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inGecko Token API List" sheetId="1" r:id="rId4"/>
    <sheet state="hidden" name="doNotDelete" sheetId="2" r:id="rId5"/>
  </sheets>
  <definedNames/>
  <calcPr/>
</workbook>
</file>

<file path=xl/sharedStrings.xml><?xml version="1.0" encoding="utf-8"?>
<sst xmlns="http://schemas.openxmlformats.org/spreadsheetml/2006/main" count="3" uniqueCount="3">
  <si>
    <r>
      <rPr>
        <rFont val="Inconsolata, monospace, arial, sans, sans-serif"/>
        <b/>
        <color rgb="FF000000"/>
        <sz val="11.0"/>
      </rPr>
      <t xml:space="preserve">Id </t>
    </r>
    <r>
      <rPr>
        <rFont val="Inconsolata, monospace, arial, sans, sans-serif"/>
        <b/>
        <color rgb="FF93C47D"/>
        <sz val="11.0"/>
      </rPr>
      <t>(API id)</t>
    </r>
  </si>
  <si>
    <t>Symbol</t>
  </si>
  <si>
    <t>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</si>
</sst>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Inconsolata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lootbox.io" TargetMode="External"/><Relationship Id="rId42" Type="http://schemas.openxmlformats.org/officeDocument/2006/relationships/hyperlink" Target="http://peghub.com" TargetMode="External"/><Relationship Id="rId41" Type="http://schemas.openxmlformats.org/officeDocument/2006/relationships/hyperlink" Target="http://nftmusic.ai" TargetMode="External"/><Relationship Id="rId44" Type="http://schemas.openxmlformats.org/officeDocument/2006/relationships/hyperlink" Target="http://po.et" TargetMode="External"/><Relationship Id="rId43" Type="http://schemas.openxmlformats.org/officeDocument/2006/relationships/hyperlink" Target="http://pixels.so" TargetMode="External"/><Relationship Id="rId46" Type="http://schemas.openxmlformats.org/officeDocument/2006/relationships/hyperlink" Target="http://scry.info" TargetMode="External"/><Relationship Id="rId45" Type="http://schemas.openxmlformats.org/officeDocument/2006/relationships/hyperlink" Target="http://rhino.fi" TargetMode="External"/><Relationship Id="rId1" Type="http://schemas.openxmlformats.org/officeDocument/2006/relationships/hyperlink" Target="http://acquire.fi" TargetMode="External"/><Relationship Id="rId2" Type="http://schemas.openxmlformats.org/officeDocument/2006/relationships/hyperlink" Target="http://aggle.io" TargetMode="External"/><Relationship Id="rId3" Type="http://schemas.openxmlformats.org/officeDocument/2006/relationships/hyperlink" Target="http://aleph.im" TargetMode="External"/><Relationship Id="rId4" Type="http://schemas.openxmlformats.org/officeDocument/2006/relationships/hyperlink" Target="http://all.me" TargetMode="External"/><Relationship Id="rId9" Type="http://schemas.openxmlformats.org/officeDocument/2006/relationships/hyperlink" Target="http://b-cube.ai" TargetMode="External"/><Relationship Id="rId48" Type="http://schemas.openxmlformats.org/officeDocument/2006/relationships/hyperlink" Target="http://stabl.fi" TargetMode="External"/><Relationship Id="rId47" Type="http://schemas.openxmlformats.org/officeDocument/2006/relationships/hyperlink" Target="http://shopping.io" TargetMode="External"/><Relationship Id="rId49" Type="http://schemas.openxmlformats.org/officeDocument/2006/relationships/hyperlink" Target="http://thestandard.io" TargetMode="External"/><Relationship Id="rId5" Type="http://schemas.openxmlformats.org/officeDocument/2006/relationships/hyperlink" Target="http://aquarius.fi" TargetMode="External"/><Relationship Id="rId6" Type="http://schemas.openxmlformats.org/officeDocument/2006/relationships/hyperlink" Target="http://astroport.fi" TargetMode="External"/><Relationship Id="rId7" Type="http://schemas.openxmlformats.org/officeDocument/2006/relationships/hyperlink" Target="http://astrospaces.io" TargetMode="External"/><Relationship Id="rId8" Type="http://schemas.openxmlformats.org/officeDocument/2006/relationships/hyperlink" Target="http://bafe.io" TargetMode="External"/><Relationship Id="rId31" Type="http://schemas.openxmlformats.org/officeDocument/2006/relationships/hyperlink" Target="http://handle.fi" TargetMode="External"/><Relationship Id="rId30" Type="http://schemas.openxmlformats.org/officeDocument/2006/relationships/hyperlink" Target="http://growing.fi" TargetMode="External"/><Relationship Id="rId33" Type="http://schemas.openxmlformats.org/officeDocument/2006/relationships/hyperlink" Target="http://hodooi.com" TargetMode="External"/><Relationship Id="rId32" Type="http://schemas.openxmlformats.org/officeDocument/2006/relationships/hyperlink" Target="http://hearn.fi" TargetMode="External"/><Relationship Id="rId35" Type="http://schemas.openxmlformats.org/officeDocument/2006/relationships/hyperlink" Target="http://kick.io" TargetMode="External"/><Relationship Id="rId34" Type="http://schemas.openxmlformats.org/officeDocument/2006/relationships/hyperlink" Target="http://humans.ai" TargetMode="External"/><Relationship Id="rId37" Type="http://schemas.openxmlformats.org/officeDocument/2006/relationships/hyperlink" Target="http://meland.ai" TargetMode="External"/><Relationship Id="rId36" Type="http://schemas.openxmlformats.org/officeDocument/2006/relationships/hyperlink" Target="http://doc.com" TargetMode="External"/><Relationship Id="rId39" Type="http://schemas.openxmlformats.org/officeDocument/2006/relationships/hyperlink" Target="http://moonwolf.io" TargetMode="External"/><Relationship Id="rId38" Type="http://schemas.openxmlformats.org/officeDocument/2006/relationships/hyperlink" Target="http://metaplayers.gg" TargetMode="External"/><Relationship Id="rId20" Type="http://schemas.openxmlformats.org/officeDocument/2006/relationships/hyperlink" Target="http://dapp.com" TargetMode="External"/><Relationship Id="rId22" Type="http://schemas.openxmlformats.org/officeDocument/2006/relationships/hyperlink" Target="http://delot.io" TargetMode="External"/><Relationship Id="rId21" Type="http://schemas.openxmlformats.org/officeDocument/2006/relationships/hyperlink" Target="http://defi.ch" TargetMode="External"/><Relationship Id="rId24" Type="http://schemas.openxmlformats.org/officeDocument/2006/relationships/hyperlink" Target="http://elondoge.io" TargetMode="External"/><Relationship Id="rId23" Type="http://schemas.openxmlformats.org/officeDocument/2006/relationships/hyperlink" Target="http://driftdelivery.cc" TargetMode="External"/><Relationship Id="rId26" Type="http://schemas.openxmlformats.org/officeDocument/2006/relationships/hyperlink" Target="http://fetch.ai" TargetMode="External"/><Relationship Id="rId25" Type="http://schemas.openxmlformats.org/officeDocument/2006/relationships/hyperlink" Target="http://esports.com" TargetMode="External"/><Relationship Id="rId28" Type="http://schemas.openxmlformats.org/officeDocument/2006/relationships/hyperlink" Target="http://greencoin.ai" TargetMode="External"/><Relationship Id="rId27" Type="http://schemas.openxmlformats.org/officeDocument/2006/relationships/hyperlink" Target="http://fnk.com" TargetMode="External"/><Relationship Id="rId29" Type="http://schemas.openxmlformats.org/officeDocument/2006/relationships/hyperlink" Target="http://gridzone.io" TargetMode="External"/><Relationship Id="rId51" Type="http://schemas.openxmlformats.org/officeDocument/2006/relationships/hyperlink" Target="http://wallstreetbets.com" TargetMode="External"/><Relationship Id="rId50" Type="http://schemas.openxmlformats.org/officeDocument/2006/relationships/hyperlink" Target="http://tune.fm" TargetMode="External"/><Relationship Id="rId53" Type="http://schemas.openxmlformats.org/officeDocument/2006/relationships/hyperlink" Target="http://xt.com" TargetMode="External"/><Relationship Id="rId52" Type="http://schemas.openxmlformats.org/officeDocument/2006/relationships/hyperlink" Target="http://wsb.sh" TargetMode="External"/><Relationship Id="rId11" Type="http://schemas.openxmlformats.org/officeDocument/2006/relationships/hyperlink" Target="http://beluga.fi" TargetMode="External"/><Relationship Id="rId55" Type="http://schemas.openxmlformats.org/officeDocument/2006/relationships/hyperlink" Target="http://carb0n.fi" TargetMode="External"/><Relationship Id="rId10" Type="http://schemas.openxmlformats.org/officeDocument/2006/relationships/hyperlink" Target="http://bearn.fi" TargetMode="External"/><Relationship Id="rId54" Type="http://schemas.openxmlformats.org/officeDocument/2006/relationships/hyperlink" Target="http://zam.io" TargetMode="External"/><Relationship Id="rId13" Type="http://schemas.openxmlformats.org/officeDocument/2006/relationships/hyperlink" Target="http://blockchain.io" TargetMode="External"/><Relationship Id="rId12" Type="http://schemas.openxmlformats.org/officeDocument/2006/relationships/hyperlink" Target="http://betswap.gg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://catcoin.com" TargetMode="External"/><Relationship Id="rId14" Type="http://schemas.openxmlformats.org/officeDocument/2006/relationships/hyperlink" Target="http://buying.com" TargetMode="External"/><Relationship Id="rId17" Type="http://schemas.openxmlformats.org/officeDocument/2006/relationships/hyperlink" Target="http://compendium.fi" TargetMode="External"/><Relationship Id="rId16" Type="http://schemas.openxmlformats.org/officeDocument/2006/relationships/hyperlink" Target="http://choise.com" TargetMode="External"/><Relationship Id="rId19" Type="http://schemas.openxmlformats.org/officeDocument/2006/relationships/hyperlink" Target="http://cryptoart.ai" TargetMode="External"/><Relationship Id="rId18" Type="http://schemas.openxmlformats.org/officeDocument/2006/relationships/hyperlink" Target="http://travala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0"/>
    <col customWidth="1" min="3" max="3" width="43.0"/>
  </cols>
  <sheetData>
    <row r="1">
      <c r="A1" s="1" t="s">
        <v>0</v>
      </c>
      <c r="B1" s="2" t="s">
        <v>1</v>
      </c>
      <c r="C1" s="2" t="s">
        <v>2</v>
      </c>
    </row>
    <row r="2">
      <c r="A2" s="3" t="str">
        <f>IFERROR(__xludf.DUMMYFUNCTION("IMPORTRANGE(""https://docs.google.com/spreadsheets/d/13-DY4mXjr8z_Vdm6t1IN_gDGJ34mze78xlYuNXbBxeo"",""sheet1!A2:C50000"")"),"01coin")</f>
        <v>01coin</v>
      </c>
      <c r="B2" s="3" t="str">
        <f>IFERROR(__xludf.DUMMYFUNCTION("""COMPUTED_VALUE"""),"zoc")</f>
        <v>zoc</v>
      </c>
      <c r="C2" s="3" t="str">
        <f>IFERROR(__xludf.DUMMYFUNCTION("""COMPUTED_VALUE"""),"01coin")</f>
        <v>01coin</v>
      </c>
    </row>
    <row r="3">
      <c r="A3" s="3" t="str">
        <f>IFERROR(__xludf.DUMMYFUNCTION("""COMPUTED_VALUE"""),"0-5x-long-algorand-token")</f>
        <v>0-5x-long-algorand-token</v>
      </c>
      <c r="B3" s="3" t="str">
        <f>IFERROR(__xludf.DUMMYFUNCTION("""COMPUTED_VALUE"""),"algohalf")</f>
        <v>algohalf</v>
      </c>
      <c r="C3" s="3" t="str">
        <f>IFERROR(__xludf.DUMMYFUNCTION("""COMPUTED_VALUE"""),"0.5X Long Algorand")</f>
        <v>0.5X Long Algorand</v>
      </c>
    </row>
    <row r="4">
      <c r="A4" s="3" t="str">
        <f>IFERROR(__xludf.DUMMYFUNCTION("""COMPUTED_VALUE"""),"0-5x-long-altcoin-index-token")</f>
        <v>0-5x-long-altcoin-index-token</v>
      </c>
      <c r="B4" s="3" t="str">
        <f>IFERROR(__xludf.DUMMYFUNCTION("""COMPUTED_VALUE"""),"althalf")</f>
        <v>althalf</v>
      </c>
      <c r="C4" s="3" t="str">
        <f>IFERROR(__xludf.DUMMYFUNCTION("""COMPUTED_VALUE"""),"0.5X Long Altcoin Index")</f>
        <v>0.5X Long Altcoin Index</v>
      </c>
    </row>
    <row r="5">
      <c r="A5" s="3" t="str">
        <f>IFERROR(__xludf.DUMMYFUNCTION("""COMPUTED_VALUE"""),"0-5x-long-bitcoin-token")</f>
        <v>0-5x-long-bitcoin-token</v>
      </c>
      <c r="B5" s="3" t="str">
        <f>IFERROR(__xludf.DUMMYFUNCTION("""COMPUTED_VALUE"""),"half")</f>
        <v>half</v>
      </c>
      <c r="C5" s="3" t="str">
        <f>IFERROR(__xludf.DUMMYFUNCTION("""COMPUTED_VALUE"""),"0.5X Long Bitcoin")</f>
        <v>0.5X Long Bitcoin</v>
      </c>
    </row>
    <row r="6">
      <c r="A6" s="3" t="str">
        <f>IFERROR(__xludf.DUMMYFUNCTION("""COMPUTED_VALUE"""),"0-5x-long-cardano-token")</f>
        <v>0-5x-long-cardano-token</v>
      </c>
      <c r="B6" s="3" t="str">
        <f>IFERROR(__xludf.DUMMYFUNCTION("""COMPUTED_VALUE"""),"adahalf")</f>
        <v>adahalf</v>
      </c>
      <c r="C6" s="3" t="str">
        <f>IFERROR(__xludf.DUMMYFUNCTION("""COMPUTED_VALUE"""),"0.5X Long Cardano")</f>
        <v>0.5X Long Cardano</v>
      </c>
    </row>
    <row r="7">
      <c r="A7" s="3" t="str">
        <f>IFERROR(__xludf.DUMMYFUNCTION("""COMPUTED_VALUE"""),"0-5x-long-chainlink-token")</f>
        <v>0-5x-long-chainlink-token</v>
      </c>
      <c r="B7" s="3" t="str">
        <f>IFERROR(__xludf.DUMMYFUNCTION("""COMPUTED_VALUE"""),"linkhalf")</f>
        <v>linkhalf</v>
      </c>
      <c r="C7" s="3" t="str">
        <f>IFERROR(__xludf.DUMMYFUNCTION("""COMPUTED_VALUE"""),"0.5X Long Chainlink")</f>
        <v>0.5X Long Chainlink</v>
      </c>
    </row>
    <row r="8">
      <c r="A8" s="3" t="str">
        <f>IFERROR(__xludf.DUMMYFUNCTION("""COMPUTED_VALUE"""),"0-5x-long-cosmos-token")</f>
        <v>0-5x-long-cosmos-token</v>
      </c>
      <c r="B8" s="3" t="str">
        <f>IFERROR(__xludf.DUMMYFUNCTION("""COMPUTED_VALUE"""),"atomhalf")</f>
        <v>atomhalf</v>
      </c>
      <c r="C8" s="3" t="str">
        <f>IFERROR(__xludf.DUMMYFUNCTION("""COMPUTED_VALUE"""),"0.5X Long Cosmos")</f>
        <v>0.5X Long Cosmos</v>
      </c>
    </row>
    <row r="9">
      <c r="A9" s="3" t="str">
        <f>IFERROR(__xludf.DUMMYFUNCTION("""COMPUTED_VALUE"""),"0-5x-long-dogecoin-token")</f>
        <v>0-5x-long-dogecoin-token</v>
      </c>
      <c r="B9" s="3" t="str">
        <f>IFERROR(__xludf.DUMMYFUNCTION("""COMPUTED_VALUE"""),"dogehalf")</f>
        <v>dogehalf</v>
      </c>
      <c r="C9" s="3" t="str">
        <f>IFERROR(__xludf.DUMMYFUNCTION("""COMPUTED_VALUE"""),"0.5X Long Dogecoin")</f>
        <v>0.5X Long Dogecoin</v>
      </c>
    </row>
    <row r="10">
      <c r="A10" s="3" t="str">
        <f>IFERROR(__xludf.DUMMYFUNCTION("""COMPUTED_VALUE"""),"0-5x-long-eos-token")</f>
        <v>0-5x-long-eos-token</v>
      </c>
      <c r="B10" s="3" t="str">
        <f>IFERROR(__xludf.DUMMYFUNCTION("""COMPUTED_VALUE"""),"eoshalf")</f>
        <v>eoshalf</v>
      </c>
      <c r="C10" s="3" t="str">
        <f>IFERROR(__xludf.DUMMYFUNCTION("""COMPUTED_VALUE"""),"0.5X Long EOS")</f>
        <v>0.5X Long EOS</v>
      </c>
    </row>
    <row r="11">
      <c r="A11" s="3" t="str">
        <f>IFERROR(__xludf.DUMMYFUNCTION("""COMPUTED_VALUE"""),"0-5x-long-ethereum-classic-token")</f>
        <v>0-5x-long-ethereum-classic-token</v>
      </c>
      <c r="B11" s="3" t="str">
        <f>IFERROR(__xludf.DUMMYFUNCTION("""COMPUTED_VALUE"""),"etchalf")</f>
        <v>etchalf</v>
      </c>
      <c r="C11" s="3" t="str">
        <f>IFERROR(__xludf.DUMMYFUNCTION("""COMPUTED_VALUE"""),"0.5X Long Ethereum Classic")</f>
        <v>0.5X Long Ethereum Classic</v>
      </c>
    </row>
    <row r="12">
      <c r="A12" s="3" t="str">
        <f>IFERROR(__xludf.DUMMYFUNCTION("""COMPUTED_VALUE"""),"0-5x-long-ethereum-token")</f>
        <v>0-5x-long-ethereum-token</v>
      </c>
      <c r="B12" s="3" t="str">
        <f>IFERROR(__xludf.DUMMYFUNCTION("""COMPUTED_VALUE"""),"ethhalf")</f>
        <v>ethhalf</v>
      </c>
      <c r="C12" s="3" t="str">
        <f>IFERROR(__xludf.DUMMYFUNCTION("""COMPUTED_VALUE"""),"0.5X Long Ethereum")</f>
        <v>0.5X Long Ethereum</v>
      </c>
    </row>
    <row r="13">
      <c r="A13" s="3" t="str">
        <f>IFERROR(__xludf.DUMMYFUNCTION("""COMPUTED_VALUE"""),"0-5x-long-kyber-network-token")</f>
        <v>0-5x-long-kyber-network-token</v>
      </c>
      <c r="B13" s="3" t="str">
        <f>IFERROR(__xludf.DUMMYFUNCTION("""COMPUTED_VALUE"""),"knchalf")</f>
        <v>knchalf</v>
      </c>
      <c r="C13" s="3" t="str">
        <f>IFERROR(__xludf.DUMMYFUNCTION("""COMPUTED_VALUE"""),"0.5X Long Kyber Network")</f>
        <v>0.5X Long Kyber Network</v>
      </c>
    </row>
    <row r="14">
      <c r="A14" s="3" t="str">
        <f>IFERROR(__xludf.DUMMYFUNCTION("""COMPUTED_VALUE"""),"0-5x-long-matic-token")</f>
        <v>0-5x-long-matic-token</v>
      </c>
      <c r="B14" s="3" t="str">
        <f>IFERROR(__xludf.DUMMYFUNCTION("""COMPUTED_VALUE"""),"matichalf")</f>
        <v>matichalf</v>
      </c>
      <c r="C14" s="3" t="str">
        <f>IFERROR(__xludf.DUMMYFUNCTION("""COMPUTED_VALUE"""),"0.5X Long Matic Token")</f>
        <v>0.5X Long Matic Token</v>
      </c>
    </row>
    <row r="15">
      <c r="A15" s="3" t="str">
        <f>IFERROR(__xludf.DUMMYFUNCTION("""COMPUTED_VALUE"""),"0-5x-long-privacy-index-token")</f>
        <v>0-5x-long-privacy-index-token</v>
      </c>
      <c r="B15" s="3" t="str">
        <f>IFERROR(__xludf.DUMMYFUNCTION("""COMPUTED_VALUE"""),"privhalf")</f>
        <v>privhalf</v>
      </c>
      <c r="C15" s="3" t="str">
        <f>IFERROR(__xludf.DUMMYFUNCTION("""COMPUTED_VALUE"""),"0.5X Long Privacy Index")</f>
        <v>0.5X Long Privacy Index</v>
      </c>
    </row>
    <row r="16">
      <c r="A16" s="3" t="str">
        <f>IFERROR(__xludf.DUMMYFUNCTION("""COMPUTED_VALUE"""),"0-5x-long-swipe-token")</f>
        <v>0-5x-long-swipe-token</v>
      </c>
      <c r="B16" s="3" t="str">
        <f>IFERROR(__xludf.DUMMYFUNCTION("""COMPUTED_VALUE"""),"sxphalf")</f>
        <v>sxphalf</v>
      </c>
      <c r="C16" s="3" t="str">
        <f>IFERROR(__xludf.DUMMYFUNCTION("""COMPUTED_VALUE"""),"0.5X Long Swipe")</f>
        <v>0.5X Long Swipe</v>
      </c>
    </row>
    <row r="17">
      <c r="A17" s="3" t="str">
        <f>IFERROR(__xludf.DUMMYFUNCTION("""COMPUTED_VALUE"""),"0-5x-long-xrp-token")</f>
        <v>0-5x-long-xrp-token</v>
      </c>
      <c r="B17" s="3" t="str">
        <f>IFERROR(__xludf.DUMMYFUNCTION("""COMPUTED_VALUE"""),"xrphalf")</f>
        <v>xrphalf</v>
      </c>
      <c r="C17" s="3" t="str">
        <f>IFERROR(__xludf.DUMMYFUNCTION("""COMPUTED_VALUE"""),"0.5X Long XRP Token")</f>
        <v>0.5X Long XRP Token</v>
      </c>
    </row>
    <row r="18">
      <c r="A18" s="3" t="str">
        <f>IFERROR(__xludf.DUMMYFUNCTION("""COMPUTED_VALUE"""),"0chain")</f>
        <v>0chain</v>
      </c>
      <c r="B18" s="3" t="str">
        <f>IFERROR(__xludf.DUMMYFUNCTION("""COMPUTED_VALUE"""),"zcn")</f>
        <v>zcn</v>
      </c>
      <c r="C18" s="3" t="str">
        <f>IFERROR(__xludf.DUMMYFUNCTION("""COMPUTED_VALUE"""),"0chain")</f>
        <v>0chain</v>
      </c>
    </row>
    <row r="19">
      <c r="A19" s="3" t="str">
        <f>IFERROR(__xludf.DUMMYFUNCTION("""COMPUTED_VALUE"""),"0x")</f>
        <v>0x</v>
      </c>
      <c r="B19" s="3" t="str">
        <f>IFERROR(__xludf.DUMMYFUNCTION("""COMPUTED_VALUE"""),"zrx")</f>
        <v>zrx</v>
      </c>
      <c r="C19" s="3" t="str">
        <f>IFERROR(__xludf.DUMMYFUNCTION("""COMPUTED_VALUE"""),"0x")</f>
        <v>0x</v>
      </c>
    </row>
    <row r="20">
      <c r="A20" s="3" t="str">
        <f>IFERROR(__xludf.DUMMYFUNCTION("""COMPUTED_VALUE"""),"0xcert")</f>
        <v>0xcert</v>
      </c>
      <c r="B20" s="3" t="str">
        <f>IFERROR(__xludf.DUMMYFUNCTION("""COMPUTED_VALUE"""),"zxc")</f>
        <v>zxc</v>
      </c>
      <c r="C20" s="3" t="str">
        <f>IFERROR(__xludf.DUMMYFUNCTION("""COMPUTED_VALUE"""),"0xcert")</f>
        <v>0xcert</v>
      </c>
    </row>
    <row r="21">
      <c r="A21" s="3" t="str">
        <f>IFERROR(__xludf.DUMMYFUNCTION("""COMPUTED_VALUE"""),"0xdao")</f>
        <v>0xdao</v>
      </c>
      <c r="B21" s="3" t="str">
        <f>IFERROR(__xludf.DUMMYFUNCTION("""COMPUTED_VALUE"""),"oxd")</f>
        <v>oxd</v>
      </c>
      <c r="C21" s="3" t="str">
        <f>IFERROR(__xludf.DUMMYFUNCTION("""COMPUTED_VALUE"""),"0xDAO")</f>
        <v>0xDAO</v>
      </c>
    </row>
    <row r="22">
      <c r="A22" s="3" t="str">
        <f>IFERROR(__xludf.DUMMYFUNCTION("""COMPUTED_VALUE"""),"0xdao-v2")</f>
        <v>0xdao-v2</v>
      </c>
      <c r="B22" s="3" t="str">
        <f>IFERROR(__xludf.DUMMYFUNCTION("""COMPUTED_VALUE"""),"oxd v2")</f>
        <v>oxd v2</v>
      </c>
      <c r="C22" s="3" t="str">
        <f>IFERROR(__xludf.DUMMYFUNCTION("""COMPUTED_VALUE"""),"0xDAO V2")</f>
        <v>0xDAO V2</v>
      </c>
    </row>
    <row r="23">
      <c r="A23" s="3" t="str">
        <f>IFERROR(__xludf.DUMMYFUNCTION("""COMPUTED_VALUE"""),"0xmonero")</f>
        <v>0xmonero</v>
      </c>
      <c r="B23" s="3" t="str">
        <f>IFERROR(__xludf.DUMMYFUNCTION("""COMPUTED_VALUE"""),"0xmr")</f>
        <v>0xmr</v>
      </c>
      <c r="C23" s="3" t="str">
        <f>IFERROR(__xludf.DUMMYFUNCTION("""COMPUTED_VALUE"""),"0xMonero")</f>
        <v>0xMonero</v>
      </c>
    </row>
    <row r="24">
      <c r="A24" s="3" t="str">
        <f>IFERROR(__xludf.DUMMYFUNCTION("""COMPUTED_VALUE"""),"0xpad")</f>
        <v>0xpad</v>
      </c>
      <c r="B24" s="3" t="str">
        <f>IFERROR(__xludf.DUMMYFUNCTION("""COMPUTED_VALUE"""),"0xpad")</f>
        <v>0xpad</v>
      </c>
      <c r="C24" s="3" t="str">
        <f>IFERROR(__xludf.DUMMYFUNCTION("""COMPUTED_VALUE"""),"0xPAD")</f>
        <v>0xPAD</v>
      </c>
    </row>
    <row r="25">
      <c r="A25" s="3" t="str">
        <f>IFERROR(__xludf.DUMMYFUNCTION("""COMPUTED_VALUE"""),"0xtrade")</f>
        <v>0xtrade</v>
      </c>
      <c r="B25" s="3" t="str">
        <f>IFERROR(__xludf.DUMMYFUNCTION("""COMPUTED_VALUE"""),"0xt")</f>
        <v>0xt</v>
      </c>
      <c r="C25" s="3" t="str">
        <f>IFERROR(__xludf.DUMMYFUNCTION("""COMPUTED_VALUE"""),"0xTrade")</f>
        <v>0xTrade</v>
      </c>
    </row>
    <row r="26">
      <c r="A26" s="3" t="str">
        <f>IFERROR(__xludf.DUMMYFUNCTION("""COMPUTED_VALUE"""),"0xwallet-token")</f>
        <v>0xwallet-token</v>
      </c>
      <c r="B26" s="3" t="str">
        <f>IFERROR(__xludf.DUMMYFUNCTION("""COMPUTED_VALUE"""),"0xw")</f>
        <v>0xw</v>
      </c>
      <c r="C26" s="3" t="str">
        <f>IFERROR(__xludf.DUMMYFUNCTION("""COMPUTED_VALUE"""),"0xWallet Token")</f>
        <v>0xWallet Token</v>
      </c>
    </row>
    <row r="27">
      <c r="A27" s="3" t="str">
        <f>IFERROR(__xludf.DUMMYFUNCTION("""COMPUTED_VALUE"""),"10024-10028-appoline")</f>
        <v>10024-10028-appoline</v>
      </c>
      <c r="B27" s="3" t="str">
        <f>IFERROR(__xludf.DUMMYFUNCTION("""COMPUTED_VALUE"""),"realt-s-10024-10028-appoline-st-detroit-mi")</f>
        <v>realt-s-10024-10028-appoline-st-detroit-mi</v>
      </c>
      <c r="C27" s="3" t="str">
        <f>IFERROR(__xludf.DUMMYFUNCTION("""COMPUTED_VALUE"""),"RealT -10024-10028 Appoline St, Detroit, MI 48227")</f>
        <v>RealT -10024-10028 Appoline St, Detroit, MI 48227</v>
      </c>
    </row>
    <row r="28">
      <c r="A28" s="3" t="str">
        <f>IFERROR(__xludf.DUMMYFUNCTION("""COMPUTED_VALUE"""),"10084-grayton")</f>
        <v>10084-grayton</v>
      </c>
      <c r="B28" s="3" t="str">
        <f>IFERROR(__xludf.DUMMYFUNCTION("""COMPUTED_VALUE"""),"realt-s-10084-grayton-st-detroit-mi")</f>
        <v>realt-s-10084-grayton-st-detroit-mi</v>
      </c>
      <c r="C28" s="3" t="str">
        <f>IFERROR(__xludf.DUMMYFUNCTION("""COMPUTED_VALUE"""),"RealT - 10084 Grayton St, Detroit, MI 48224")</f>
        <v>RealT - 10084 Grayton St, Detroit, MI 48224</v>
      </c>
    </row>
    <row r="29">
      <c r="A29" s="3" t="str">
        <f>IFERROR(__xludf.DUMMYFUNCTION("""COMPUTED_VALUE"""),"100-days-ventures")</f>
        <v>100-days-ventures</v>
      </c>
      <c r="B29" s="3" t="str">
        <f>IFERROR(__xludf.DUMMYFUNCTION("""COMPUTED_VALUE"""),"astro")</f>
        <v>astro</v>
      </c>
      <c r="C29" s="3" t="str">
        <f>IFERROR(__xludf.DUMMYFUNCTION("""COMPUTED_VALUE"""),"100 Days Ventures")</f>
        <v>100 Days Ventures</v>
      </c>
    </row>
    <row r="30">
      <c r="A30" s="3" t="str">
        <f>IFERROR(__xludf.DUMMYFUNCTION("""COMPUTED_VALUE"""),"10604-somerset")</f>
        <v>10604-somerset</v>
      </c>
      <c r="B30" s="3" t="str">
        <f>IFERROR(__xludf.DUMMYFUNCTION("""COMPUTED_VALUE"""),"realt-s-10604-somerset-ave-detroit-mi")</f>
        <v>realt-s-10604-somerset-ave-detroit-mi</v>
      </c>
      <c r="C30" s="3" t="str">
        <f>IFERROR(__xludf.DUMMYFUNCTION("""COMPUTED_VALUE"""),"RealT - 10604 Somerset Ave, Detroit, MI 48224")</f>
        <v>RealT - 10604 Somerset Ave, Detroit, MI 48224</v>
      </c>
    </row>
    <row r="31">
      <c r="A31" s="3" t="str">
        <f>IFERROR(__xludf.DUMMYFUNCTION("""COMPUTED_VALUE"""),"10612-somerset")</f>
        <v>10612-somerset</v>
      </c>
      <c r="B31" s="3" t="str">
        <f>IFERROR(__xludf.DUMMYFUNCTION("""COMPUTED_VALUE"""),"realt-s-10612-somerset-ave-detroit-mi")</f>
        <v>realt-s-10612-somerset-ave-detroit-mi</v>
      </c>
      <c r="C31" s="3" t="str">
        <f>IFERROR(__xludf.DUMMYFUNCTION("""COMPUTED_VALUE"""),"RealT - 10612 Somerset Ave, Detroit, MI 48224")</f>
        <v>RealT - 10612 Somerset Ave, Detroit, MI 48224</v>
      </c>
    </row>
    <row r="32">
      <c r="A32" s="3" t="str">
        <f>IFERROR(__xludf.DUMMYFUNCTION("""COMPUTED_VALUE"""),"10616-mckinney")</f>
        <v>10616-mckinney</v>
      </c>
      <c r="B32" s="3" t="str">
        <f>IFERROR(__xludf.DUMMYFUNCTION("""COMPUTED_VALUE"""),"realt-s-10616-mckinney-st-detroit-mi")</f>
        <v>realt-s-10616-mckinney-st-detroit-mi</v>
      </c>
      <c r="C32" s="3" t="str">
        <f>IFERROR(__xludf.DUMMYFUNCTION("""COMPUTED_VALUE"""),"RealT - 10616 McKinney St, Detroit, MI 48224")</f>
        <v>RealT - 10616 McKinney St, Detroit, MI 48224</v>
      </c>
    </row>
    <row r="33">
      <c r="A33" s="3" t="str">
        <f>IFERROR(__xludf.DUMMYFUNCTION("""COMPUTED_VALUE"""),"10617-hathaway")</f>
        <v>10617-hathaway</v>
      </c>
      <c r="B33" s="3" t="str">
        <f>IFERROR(__xludf.DUMMYFUNCTION("""COMPUTED_VALUE"""),"realt-s-10617-hathaway-ave-cleveland-oh")</f>
        <v>realt-s-10617-hathaway-ave-cleveland-oh</v>
      </c>
      <c r="C33" s="3" t="str">
        <f>IFERROR(__xludf.DUMMYFUNCTION("""COMPUTED_VALUE"""),"RealT - 10617 Hathaway Ave, Cleveland, OH 44108")</f>
        <v>RealT - 10617 Hathaway Ave, Cleveland, OH 44108</v>
      </c>
    </row>
    <row r="34">
      <c r="A34" s="3" t="str">
        <f>IFERROR(__xludf.DUMMYFUNCTION("""COMPUTED_VALUE"""),"10629-mckinney")</f>
        <v>10629-mckinney</v>
      </c>
      <c r="B34" s="3" t="str">
        <f>IFERROR(__xludf.DUMMYFUNCTION("""COMPUTED_VALUE"""),"realt-s-10629-mckinney-st-detroit-mi")</f>
        <v>realt-s-10629-mckinney-st-detroit-mi</v>
      </c>
      <c r="C34" s="3" t="str">
        <f>IFERROR(__xludf.DUMMYFUNCTION("""COMPUTED_VALUE"""),"RealT - 10629 McKinney St, Detroit, MI 48224")</f>
        <v>RealT - 10629 McKinney St, Detroit, MI 48224</v>
      </c>
    </row>
    <row r="35">
      <c r="A35" s="3" t="str">
        <f>IFERROR(__xludf.DUMMYFUNCTION("""COMPUTED_VALUE"""),"10639-stratman")</f>
        <v>10639-stratman</v>
      </c>
      <c r="B35" s="3" t="str">
        <f>IFERROR(__xludf.DUMMYFUNCTION("""COMPUTED_VALUE"""),"realt-s-10639-stratman-st-detroit-mi")</f>
        <v>realt-s-10639-stratman-st-detroit-mi</v>
      </c>
      <c r="C35" s="3" t="str">
        <f>IFERROR(__xludf.DUMMYFUNCTION("""COMPUTED_VALUE"""),"RealT - 10639 Stratman St, Detroit, MI 48224")</f>
        <v>RealT - 10639 Stratman St, Detroit, MI 48224</v>
      </c>
    </row>
    <row r="36">
      <c r="A36" s="3" t="str">
        <f>IFERROR(__xludf.DUMMYFUNCTION("""COMPUTED_VALUE"""),"10700-whittier")</f>
        <v>10700-whittier</v>
      </c>
      <c r="B36" s="3" t="str">
        <f>IFERROR(__xludf.DUMMYFUNCTION("""COMPUTED_VALUE"""),"realt-s-10700-whittier-ave-detroit-mi")</f>
        <v>realt-s-10700-whittier-ave-detroit-mi</v>
      </c>
      <c r="C36" s="3" t="str">
        <f>IFERROR(__xludf.DUMMYFUNCTION("""COMPUTED_VALUE"""),"RealT - 10700 Whittier Ave, Detroit, MI 48224")</f>
        <v>RealT - 10700 Whittier Ave, Detroit, MI 48224</v>
      </c>
    </row>
    <row r="37">
      <c r="A37" s="3" t="str">
        <f>IFERROR(__xludf.DUMMYFUNCTION("""COMPUTED_VALUE"""),"10mb")</f>
        <v>10mb</v>
      </c>
      <c r="B37" s="3" t="str">
        <f>IFERROR(__xludf.DUMMYFUNCTION("""COMPUTED_VALUE"""),"10mb")</f>
        <v>10mb</v>
      </c>
      <c r="C37" s="3" t="str">
        <f>IFERROR(__xludf.DUMMYFUNCTION("""COMPUTED_VALUE"""),"10mb")</f>
        <v>10mb</v>
      </c>
    </row>
    <row r="38">
      <c r="A38" s="3" t="str">
        <f>IFERROR(__xludf.DUMMYFUNCTION("""COMPUTED_VALUE"""),"10share")</f>
        <v>10share</v>
      </c>
      <c r="B38" s="3" t="str">
        <f>IFERROR(__xludf.DUMMYFUNCTION("""COMPUTED_VALUE"""),"10share")</f>
        <v>10share</v>
      </c>
      <c r="C38" s="3" t="str">
        <f>IFERROR(__xludf.DUMMYFUNCTION("""COMPUTED_VALUE"""),"10SHARE")</f>
        <v>10SHARE</v>
      </c>
    </row>
    <row r="39">
      <c r="A39" s="3" t="str">
        <f>IFERROR(__xludf.DUMMYFUNCTION("""COMPUTED_VALUE"""),"11078-longview")</f>
        <v>11078-longview</v>
      </c>
      <c r="B39" s="3" t="str">
        <f>IFERROR(__xludf.DUMMYFUNCTION("""COMPUTED_VALUE"""),"realt-s-11078-longview-st-detroit-mi")</f>
        <v>realt-s-11078-longview-st-detroit-mi</v>
      </c>
      <c r="C39" s="3" t="str">
        <f>IFERROR(__xludf.DUMMYFUNCTION("""COMPUTED_VALUE"""),"RealT - 11078 Longview St, Detroit, MI 48213")</f>
        <v>RealT - 11078 Longview St, Detroit, MI 48213</v>
      </c>
    </row>
    <row r="40">
      <c r="A40" s="3" t="str">
        <f>IFERROR(__xludf.DUMMYFUNCTION("""COMPUTED_VALUE"""),"11078-wayburn")</f>
        <v>11078-wayburn</v>
      </c>
      <c r="B40" s="3" t="str">
        <f>IFERROR(__xludf.DUMMYFUNCTION("""COMPUTED_VALUE"""),"realt-s-11078-wayburn-st-detroit-mi")</f>
        <v>realt-s-11078-wayburn-st-detroit-mi</v>
      </c>
      <c r="C40" s="3" t="str">
        <f>IFERROR(__xludf.DUMMYFUNCTION("""COMPUTED_VALUE"""),"RealT - 11078 Wayburn St, Detroit, MI 48224")</f>
        <v>RealT - 11078 Wayburn St, Detroit, MI 48224</v>
      </c>
    </row>
    <row r="41">
      <c r="A41" s="3" t="str">
        <f>IFERROR(__xludf.DUMMYFUNCTION("""COMPUTED_VALUE"""),"11201-college")</f>
        <v>11201-college</v>
      </c>
      <c r="B41" s="3" t="str">
        <f>IFERROR(__xludf.DUMMYFUNCTION("""COMPUTED_VALUE"""),"realt-s-11201-college-st-detroit-mi")</f>
        <v>realt-s-11201-college-st-detroit-mi</v>
      </c>
      <c r="C41" s="3" t="str">
        <f>IFERROR(__xludf.DUMMYFUNCTION("""COMPUTED_VALUE"""),"RealT - 11201 College St, Detroit, MI 48205")</f>
        <v>RealT - 11201 College St, Detroit, MI 48205</v>
      </c>
    </row>
    <row r="42">
      <c r="A42" s="3" t="str">
        <f>IFERROR(__xludf.DUMMYFUNCTION("""COMPUTED_VALUE"""),"11300-roxbury")</f>
        <v>11300-roxbury</v>
      </c>
      <c r="B42" s="3" t="str">
        <f>IFERROR(__xludf.DUMMYFUNCTION("""COMPUTED_VALUE"""),"realt-s-11300-roxbury-st-detroit-mi")</f>
        <v>realt-s-11300-roxbury-st-detroit-mi</v>
      </c>
      <c r="C42" s="3" t="str">
        <f>IFERROR(__xludf.DUMMYFUNCTION("""COMPUTED_VALUE"""),"RealT - 11300 Roxbury St, Detroit, MI 48224")</f>
        <v>RealT - 11300 Roxbury St, Detroit, MI 48224</v>
      </c>
    </row>
    <row r="43">
      <c r="A43" s="3" t="str">
        <f>IFERROR(__xludf.DUMMYFUNCTION("""COMPUTED_VALUE"""),"11653-nottingham")</f>
        <v>11653-nottingham</v>
      </c>
      <c r="B43" s="3" t="str">
        <f>IFERROR(__xludf.DUMMYFUNCTION("""COMPUTED_VALUE"""),"realt-s-11653-nottingham-rd-detroit-mi")</f>
        <v>realt-s-11653-nottingham-rd-detroit-mi</v>
      </c>
      <c r="C43" s="3" t="str">
        <f>IFERROR(__xludf.DUMMYFUNCTION("""COMPUTED_VALUE"""),"RealT - 11653 Nottingham Rd, Detroit, MI 48224")</f>
        <v>RealT - 11653 Nottingham Rd, Detroit, MI 48224</v>
      </c>
    </row>
    <row r="44">
      <c r="A44" s="3" t="str">
        <f>IFERROR(__xludf.DUMMYFUNCTION("""COMPUTED_VALUE"""),"11957-olga")</f>
        <v>11957-olga</v>
      </c>
      <c r="B44" s="3" t="str">
        <f>IFERROR(__xludf.DUMMYFUNCTION("""COMPUTED_VALUE"""),"realt-s-11957-olga-st-detroit-mi")</f>
        <v>realt-s-11957-olga-st-detroit-mi</v>
      </c>
      <c r="C44" s="3" t="str">
        <f>IFERROR(__xludf.DUMMYFUNCTION("""COMPUTED_VALUE"""),"RealT - 11957 Olga St, Detroit, MI 48213")</f>
        <v>RealT - 11957 Olga St, Detroit, MI 48213</v>
      </c>
    </row>
    <row r="45">
      <c r="A45" s="3" t="str">
        <f>IFERROR(__xludf.DUMMYFUNCTION("""COMPUTED_VALUE"""),"12334-lansdowne")</f>
        <v>12334-lansdowne</v>
      </c>
      <c r="B45" s="3" t="str">
        <f>IFERROR(__xludf.DUMMYFUNCTION("""COMPUTED_VALUE"""),"realt-s-12334-lansdowne-street-detroit-mi")</f>
        <v>realt-s-12334-lansdowne-street-detroit-mi</v>
      </c>
      <c r="C45" s="3" t="str">
        <f>IFERROR(__xludf.DUMMYFUNCTION("""COMPUTED_VALUE"""),"RealT - 12334 Lansdowne Street, Detroit, MI 48224")</f>
        <v>RealT - 12334 Lansdowne Street, Detroit, MI 48224</v>
      </c>
    </row>
    <row r="46">
      <c r="A46" s="3" t="str">
        <f>IFERROR(__xludf.DUMMYFUNCTION("""COMPUTED_VALUE"""),"12405-santa-rosa")</f>
        <v>12405-santa-rosa</v>
      </c>
      <c r="B46" s="3" t="str">
        <f>IFERROR(__xludf.DUMMYFUNCTION("""COMPUTED_VALUE"""),"realt-s-12405-santa-rosa-dr-detroit-mi")</f>
        <v>realt-s-12405-santa-rosa-dr-detroit-mi</v>
      </c>
      <c r="C46" s="3" t="str">
        <f>IFERROR(__xludf.DUMMYFUNCTION("""COMPUTED_VALUE"""),"RealT - 12405 Santa Rosa Dr, Detroit, MI 48204")</f>
        <v>RealT - 12405 Santa Rosa Dr, Detroit, MI 48204</v>
      </c>
    </row>
    <row r="47">
      <c r="A47" s="3" t="str">
        <f>IFERROR(__xludf.DUMMYFUNCTION("""COMPUTED_VALUE"""),"12409-whitehill")</f>
        <v>12409-whitehill</v>
      </c>
      <c r="B47" s="3" t="str">
        <f>IFERROR(__xludf.DUMMYFUNCTION("""COMPUTED_VALUE"""),"realt-s-12409-whitehill-st-detroit-mi")</f>
        <v>realt-s-12409-whitehill-st-detroit-mi</v>
      </c>
      <c r="C47" s="3" t="str">
        <f>IFERROR(__xludf.DUMMYFUNCTION("""COMPUTED_VALUE"""),"RealT - 12409 Whitehill St, Detroit, MI 48224")</f>
        <v>RealT - 12409 Whitehill St, Detroit, MI 48224</v>
      </c>
    </row>
    <row r="48">
      <c r="A48" s="3" t="str">
        <f>IFERROR(__xludf.DUMMYFUNCTION("""COMPUTED_VALUE"""),"1244-s-avers")</f>
        <v>1244-s-avers</v>
      </c>
      <c r="B48" s="3" t="str">
        <f>IFERROR(__xludf.DUMMYFUNCTION("""COMPUTED_VALUE"""),"realt-s-1244-s.avers-st-chicago-il")</f>
        <v>realt-s-1244-s.avers-st-chicago-il</v>
      </c>
      <c r="C48" s="3" t="str">
        <f>IFERROR(__xludf.DUMMYFUNCTION("""COMPUTED_VALUE"""),"RealT - 1244 S. Avers St, Chicago, IL 60623")</f>
        <v>RealT - 1244 S. Avers St, Chicago, IL 60623</v>
      </c>
    </row>
    <row r="49">
      <c r="A49" s="3" t="str">
        <f>IFERROR(__xludf.DUMMYFUNCTION("""COMPUTED_VALUE"""),"12866-lauder")</f>
        <v>12866-lauder</v>
      </c>
      <c r="B49" s="3" t="str">
        <f>IFERROR(__xludf.DUMMYFUNCTION("""COMPUTED_VALUE"""),"realt-s-12866-lauder-st-detroit-mi")</f>
        <v>realt-s-12866-lauder-st-detroit-mi</v>
      </c>
      <c r="C49" s="3" t="str">
        <f>IFERROR(__xludf.DUMMYFUNCTION("""COMPUTED_VALUE"""),"RealT - 12866 Lauder St, Detroit, MI 48227")</f>
        <v>RealT - 12866 Lauder St, Detroit, MI 48227</v>
      </c>
    </row>
    <row r="50">
      <c r="A50" s="3" t="str">
        <f>IFERROR(__xludf.DUMMYFUNCTION("""COMPUTED_VALUE"""),"12ships")</f>
        <v>12ships</v>
      </c>
      <c r="B50" s="3" t="str">
        <f>IFERROR(__xludf.DUMMYFUNCTION("""COMPUTED_VALUE"""),"tshp")</f>
        <v>tshp</v>
      </c>
      <c r="C50" s="3" t="str">
        <f>IFERROR(__xludf.DUMMYFUNCTION("""COMPUTED_VALUE"""),"12Ships")</f>
        <v>12Ships</v>
      </c>
    </row>
    <row r="51">
      <c r="A51" s="3" t="str">
        <f>IFERROR(__xludf.DUMMYFUNCTION("""COMPUTED_VALUE"""),"13045-wade")</f>
        <v>13045-wade</v>
      </c>
      <c r="B51" s="3" t="str">
        <f>IFERROR(__xludf.DUMMYFUNCTION("""COMPUTED_VALUE"""),"realt-s-13045-wade-st-detroit-mi")</f>
        <v>realt-s-13045-wade-st-detroit-mi</v>
      </c>
      <c r="C51" s="3" t="str">
        <f>IFERROR(__xludf.DUMMYFUNCTION("""COMPUTED_VALUE"""),"RealT - 13045 Wade St, Detroit, MI 48213")</f>
        <v>RealT - 13045 Wade St, Detroit, MI 48213</v>
      </c>
    </row>
    <row r="52">
      <c r="A52" s="3" t="str">
        <f>IFERROR(__xludf.DUMMYFUNCTION("""COMPUTED_VALUE"""),"13114-glenfield")</f>
        <v>13114-glenfield</v>
      </c>
      <c r="B52" s="3" t="str">
        <f>IFERROR(__xludf.DUMMYFUNCTION("""COMPUTED_VALUE"""),"realt-s-13114-glenfield-ave-detroit-mi")</f>
        <v>realt-s-13114-glenfield-ave-detroit-mi</v>
      </c>
      <c r="C52" s="3" t="str">
        <f>IFERROR(__xludf.DUMMYFUNCTION("""COMPUTED_VALUE"""),"RealT - 13114 Glenfield Ave, Detroit, MI 48213")</f>
        <v>RealT - 13114 Glenfield Ave, Detroit, MI 48213</v>
      </c>
    </row>
    <row r="53">
      <c r="A53" s="3" t="str">
        <f>IFERROR(__xludf.DUMMYFUNCTION("""COMPUTED_VALUE"""),"13116-kilbourne")</f>
        <v>13116-kilbourne</v>
      </c>
      <c r="B53" s="3" t="str">
        <f>IFERROR(__xludf.DUMMYFUNCTION("""COMPUTED_VALUE"""),"realt-s-13116-kilbourne-ave-detroit-mi")</f>
        <v>realt-s-13116-kilbourne-ave-detroit-mi</v>
      </c>
      <c r="C53" s="3" t="str">
        <f>IFERROR(__xludf.DUMMYFUNCTION("""COMPUTED_VALUE"""),"RealT - 13116 Kilbourne Ave, Detroit, MI 48213")</f>
        <v>RealT - 13116 Kilbourne Ave, Detroit, MI 48213</v>
      </c>
    </row>
    <row r="54">
      <c r="A54" s="3" t="str">
        <f>IFERROR(__xludf.DUMMYFUNCTION("""COMPUTED_VALUE"""),"1337")</f>
        <v>1337</v>
      </c>
      <c r="B54" s="3" t="str">
        <f>IFERROR(__xludf.DUMMYFUNCTION("""COMPUTED_VALUE"""),"1337")</f>
        <v>1337</v>
      </c>
      <c r="C54" s="3" t="str">
        <f>IFERROR(__xludf.DUMMYFUNCTION("""COMPUTED_VALUE"""),"Elite")</f>
        <v>Elite</v>
      </c>
    </row>
    <row r="55">
      <c r="A55" s="3" t="str">
        <f>IFERROR(__xludf.DUMMYFUNCTION("""COMPUTED_VALUE"""),"13991-warwick")</f>
        <v>13991-warwick</v>
      </c>
      <c r="B55" s="3" t="str">
        <f>IFERROR(__xludf.DUMMYFUNCTION("""COMPUTED_VALUE"""),"realt-s-13991-warwick-st-detroit-mi")</f>
        <v>realt-s-13991-warwick-st-detroit-mi</v>
      </c>
      <c r="C55" s="3" t="str">
        <f>IFERROR(__xludf.DUMMYFUNCTION("""COMPUTED_VALUE"""),"RealT -13991 Warwick St, Detroit, MI, 48223")</f>
        <v>RealT -13991 Warwick St, Detroit, MI, 48223</v>
      </c>
    </row>
    <row r="56">
      <c r="A56" s="3" t="str">
        <f>IFERROR(__xludf.DUMMYFUNCTION("""COMPUTED_VALUE"""),"14066-santa-rosa")</f>
        <v>14066-santa-rosa</v>
      </c>
      <c r="B56" s="3" t="str">
        <f>IFERROR(__xludf.DUMMYFUNCTION("""COMPUTED_VALUE"""),"realt-s-14066-santa-rosa-dr-detroit-mi")</f>
        <v>realt-s-14066-santa-rosa-dr-detroit-mi</v>
      </c>
      <c r="C56" s="3" t="str">
        <f>IFERROR(__xludf.DUMMYFUNCTION("""COMPUTED_VALUE"""),"RealT - 14066 Santa Rosa Dr, Detroit, MI 48238")</f>
        <v>RealT - 14066 Santa Rosa Dr, Detroit, MI 48238</v>
      </c>
    </row>
    <row r="57">
      <c r="A57" s="3" t="str">
        <f>IFERROR(__xludf.DUMMYFUNCTION("""COMPUTED_VALUE"""),"14078-carlisle")</f>
        <v>14078-carlisle</v>
      </c>
      <c r="B57" s="3" t="str">
        <f>IFERROR(__xludf.DUMMYFUNCTION("""COMPUTED_VALUE"""),"realt-s-14078-carlisle-st-detroit-mi")</f>
        <v>realt-s-14078-carlisle-st-detroit-mi</v>
      </c>
      <c r="C57" s="3" t="str">
        <f>IFERROR(__xludf.DUMMYFUNCTION("""COMPUTED_VALUE"""),"RealT - 14078 Carlisle St, Detroit, MI 48205")</f>
        <v>RealT - 14078 Carlisle St, Detroit, MI 48205</v>
      </c>
    </row>
    <row r="58">
      <c r="A58" s="3" t="str">
        <f>IFERROR(__xludf.DUMMYFUNCTION("""COMPUTED_VALUE"""),"14229-wilshire")</f>
        <v>14229-wilshire</v>
      </c>
      <c r="B58" s="3" t="str">
        <f>IFERROR(__xludf.DUMMYFUNCTION("""COMPUTED_VALUE"""),"realt-s-14229-wilshire-dr-detroit-mi")</f>
        <v>realt-s-14229-wilshire-dr-detroit-mi</v>
      </c>
      <c r="C58" s="3" t="str">
        <f>IFERROR(__xludf.DUMMYFUNCTION("""COMPUTED_VALUE"""),"RealT - 14229 Wilshire Dr, Detroit, MI 48213")</f>
        <v>RealT - 14229 Wilshire Dr, Detroit, MI 48213</v>
      </c>
    </row>
    <row r="59">
      <c r="A59" s="3" t="str">
        <f>IFERROR(__xludf.DUMMYFUNCTION("""COMPUTED_VALUE"""),"14231-strathmoor")</f>
        <v>14231-strathmoor</v>
      </c>
      <c r="B59" s="3" t="str">
        <f>IFERROR(__xludf.DUMMYFUNCTION("""COMPUTED_VALUE"""),"realt-s-14231-strathmoor-st-detroit-mi")</f>
        <v>realt-s-14231-strathmoor-st-detroit-mi</v>
      </c>
      <c r="C59" s="3" t="str">
        <f>IFERROR(__xludf.DUMMYFUNCTION("""COMPUTED_VALUE"""),"RealT - 14231 Strathmoor St, Detroit, MI 48227")</f>
        <v>RealT - 14231 Strathmoor St, Detroit, MI 48227</v>
      </c>
    </row>
    <row r="60">
      <c r="A60" s="3" t="str">
        <f>IFERROR(__xludf.DUMMYFUNCTION("""COMPUTED_VALUE"""),"14319-rosemary")</f>
        <v>14319-rosemary</v>
      </c>
      <c r="B60" s="3" t="str">
        <f>IFERROR(__xludf.DUMMYFUNCTION("""COMPUTED_VALUE"""),"realt-s-14319-rosemary-st-detroit-mi")</f>
        <v>realt-s-14319-rosemary-st-detroit-mi</v>
      </c>
      <c r="C60" s="3" t="str">
        <f>IFERROR(__xludf.DUMMYFUNCTION("""COMPUTED_VALUE"""),"RealT - 14319 Rosemary St, Detroit, MI 48213")</f>
        <v>RealT - 14319 Rosemary St, Detroit, MI 48213</v>
      </c>
    </row>
    <row r="61">
      <c r="A61" s="3" t="str">
        <f>IFERROR(__xludf.DUMMYFUNCTION("""COMPUTED_VALUE"""),"14494-chelsea")</f>
        <v>14494-chelsea</v>
      </c>
      <c r="B61" s="3" t="str">
        <f>IFERROR(__xludf.DUMMYFUNCTION("""COMPUTED_VALUE"""),"realt-s-14494-chelsea-ave-detroit-mi")</f>
        <v>realt-s-14494-chelsea-ave-detroit-mi</v>
      </c>
      <c r="C61" s="3" t="str">
        <f>IFERROR(__xludf.DUMMYFUNCTION("""COMPUTED_VALUE"""),"RealT - 14494 Chelsea Ave, Detroit, MI 48213")</f>
        <v>RealT - 14494 Chelsea Ave, Detroit, MI 48213</v>
      </c>
    </row>
    <row r="62">
      <c r="A62" s="3" t="str">
        <f>IFERROR(__xludf.DUMMYFUNCTION("""COMPUTED_VALUE"""),"14825-wilfred")</f>
        <v>14825-wilfred</v>
      </c>
      <c r="B62" s="3" t="str">
        <f>IFERROR(__xludf.DUMMYFUNCTION("""COMPUTED_VALUE"""),"realt-s-14825-wilfried-st-detroit-mi")</f>
        <v>realt-s-14825-wilfried-st-detroit-mi</v>
      </c>
      <c r="C62" s="3" t="str">
        <f>IFERROR(__xludf.DUMMYFUNCTION("""COMPUTED_VALUE"""),"RealT - 14825 Wilfred St, Detroit, MI 48213")</f>
        <v>RealT - 14825 Wilfred St, Detroit, MI 48213</v>
      </c>
    </row>
    <row r="63">
      <c r="A63" s="3" t="str">
        <f>IFERROR(__xludf.DUMMYFUNCTION("""COMPUTED_VALUE"""),"14882-troester")</f>
        <v>14882-troester</v>
      </c>
      <c r="B63" s="3" t="str">
        <f>IFERROR(__xludf.DUMMYFUNCTION("""COMPUTED_VALUE"""),"realt-s-14882-troester-st-detroit-mi")</f>
        <v>realt-s-14882-troester-st-detroit-mi</v>
      </c>
      <c r="C63" s="3" t="str">
        <f>IFERROR(__xludf.DUMMYFUNCTION("""COMPUTED_VALUE"""),"RealT - 14882 Troester St, Detroit, MI 48205")</f>
        <v>RealT - 14882 Troester St, Detroit, MI 48205</v>
      </c>
    </row>
    <row r="64">
      <c r="A64" s="3" t="str">
        <f>IFERROR(__xludf.DUMMYFUNCTION("""COMPUTED_VALUE"""),"15039-ward")</f>
        <v>15039-ward</v>
      </c>
      <c r="B64" s="3" t="str">
        <f>IFERROR(__xludf.DUMMYFUNCTION("""COMPUTED_VALUE"""),"realt-s-15039-ward-ave-detroit-mi")</f>
        <v>realt-s-15039-ward-ave-detroit-mi</v>
      </c>
      <c r="C64" s="3" t="str">
        <f>IFERROR(__xludf.DUMMYFUNCTION("""COMPUTED_VALUE"""),"RealT - 15039 Ward Ave, Detroit, MI 48227")</f>
        <v>RealT - 15039 Ward Ave, Detroit, MI 48227</v>
      </c>
    </row>
    <row r="65">
      <c r="A65" s="3" t="str">
        <f>IFERROR(__xludf.DUMMYFUNCTION("""COMPUTED_VALUE"""),"15048-freeland")</f>
        <v>15048-freeland</v>
      </c>
      <c r="B65" s="3" t="str">
        <f>IFERROR(__xludf.DUMMYFUNCTION("""COMPUTED_VALUE"""),"realt-s-15048-freeland-st-detroit-mi")</f>
        <v>realt-s-15048-freeland-st-detroit-mi</v>
      </c>
      <c r="C65" s="3" t="str">
        <f>IFERROR(__xludf.DUMMYFUNCTION("""COMPUTED_VALUE"""),"RealT - 15048 Freeland St, Detroit, MI, 48227")</f>
        <v>RealT - 15048 Freeland St, Detroit, MI, 48227</v>
      </c>
    </row>
    <row r="66">
      <c r="A66" s="3" t="str">
        <f>IFERROR(__xludf.DUMMYFUNCTION("""COMPUTED_VALUE"""),"15095-hartwell")</f>
        <v>15095-hartwell</v>
      </c>
      <c r="B66" s="3" t="str">
        <f>IFERROR(__xludf.DUMMYFUNCTION("""COMPUTED_VALUE"""),"realt-s-15095-hartwell-st-detroit-mi")</f>
        <v>realt-s-15095-hartwell-st-detroit-mi</v>
      </c>
      <c r="C66" s="3" t="str">
        <f>IFERROR(__xludf.DUMMYFUNCTION("""COMPUTED_VALUE"""),"RealT -15095 Hartwell St, Detroit, MI 48227")</f>
        <v>RealT -15095 Hartwell St, Detroit, MI 48227</v>
      </c>
    </row>
    <row r="67">
      <c r="A67" s="3" t="str">
        <f>IFERROR(__xludf.DUMMYFUNCTION("""COMPUTED_VALUE"""),"15350-greydale")</f>
        <v>15350-greydale</v>
      </c>
      <c r="B67" s="3" t="str">
        <f>IFERROR(__xludf.DUMMYFUNCTION("""COMPUTED_VALUE"""),"realt-s-15350-greydale-st-detroit-mi")</f>
        <v>realt-s-15350-greydale-st-detroit-mi</v>
      </c>
      <c r="C67" s="3" t="str">
        <f>IFERROR(__xludf.DUMMYFUNCTION("""COMPUTED_VALUE"""),"RealT - 15350 Greydale St, Detroit, MI 48223")</f>
        <v>RealT - 15350 Greydale St, Detroit, MI 48223</v>
      </c>
    </row>
    <row r="68">
      <c r="A68" s="3" t="str">
        <f>IFERROR(__xludf.DUMMYFUNCTION("""COMPUTED_VALUE"""),"15373-parkside")</f>
        <v>15373-parkside</v>
      </c>
      <c r="B68" s="3" t="str">
        <f>IFERROR(__xludf.DUMMYFUNCTION("""COMPUTED_VALUE"""),"realt-s-15373-parkside-st-detroit-mi")</f>
        <v>realt-s-15373-parkside-st-detroit-mi</v>
      </c>
      <c r="C68" s="3" t="str">
        <f>IFERROR(__xludf.DUMMYFUNCTION("""COMPUTED_VALUE"""),"RealT - 15373 Parkside St, Detroit, MI 48238")</f>
        <v>RealT - 15373 Parkside St, Detroit, MI 48238</v>
      </c>
    </row>
    <row r="69">
      <c r="A69" s="3" t="str">
        <f>IFERROR(__xludf.DUMMYFUNCTION("""COMPUTED_VALUE"""),"1542-s-ridgeway")</f>
        <v>1542-s-ridgeway</v>
      </c>
      <c r="B69" s="3" t="str">
        <f>IFERROR(__xludf.DUMMYFUNCTION("""COMPUTED_VALUE"""),"realt-s-1542-s.ridgeway-ave-chicago-il")</f>
        <v>realt-s-1542-s.ridgeway-ave-chicago-il</v>
      </c>
      <c r="C69" s="3" t="str">
        <f>IFERROR(__xludf.DUMMYFUNCTION("""COMPUTED_VALUE"""),"RealT - 1542 S Ridgeway Ave, Chicago, IL 60623")</f>
        <v>RealT - 1542 S Ridgeway Ave, Chicago, IL 60623</v>
      </c>
    </row>
    <row r="70">
      <c r="A70" s="3" t="str">
        <f>IFERROR(__xludf.DUMMYFUNCTION("""COMPUTED_VALUE"""),"15753-hartwell")</f>
        <v>15753-hartwell</v>
      </c>
      <c r="B70" s="3" t="str">
        <f>IFERROR(__xludf.DUMMYFUNCTION("""COMPUTED_VALUE"""),"realt-s-15753-hartwell-st-detroit-mi")</f>
        <v>realt-s-15753-hartwell-st-detroit-mi</v>
      </c>
      <c r="C70" s="3" t="str">
        <f>IFERROR(__xludf.DUMMYFUNCTION("""COMPUTED_VALUE"""),"RealT - 15753 Hartwell St, Detroit, MI 48227")</f>
        <v>RealT - 15753 Hartwell St, Detroit, MI 48227</v>
      </c>
    </row>
    <row r="71">
      <c r="A71" s="3" t="str">
        <f>IFERROR(__xludf.DUMMYFUNCTION("""COMPUTED_VALUE"""),"15770-prest")</f>
        <v>15770-prest</v>
      </c>
      <c r="B71" s="3" t="str">
        <f>IFERROR(__xludf.DUMMYFUNCTION("""COMPUTED_VALUE"""),"realt-s-15770-prest-st-detroit-mi")</f>
        <v>realt-s-15770-prest-st-detroit-mi</v>
      </c>
      <c r="C71" s="3" t="str">
        <f>IFERROR(__xludf.DUMMYFUNCTION("""COMPUTED_VALUE"""),"RealT - 15770 Prest St, Detroit, MI 48227")</f>
        <v>RealT - 15770 Prest St, Detroit, MI 48227</v>
      </c>
    </row>
    <row r="72">
      <c r="A72" s="3" t="str">
        <f>IFERROR(__xludf.DUMMYFUNCTION("""COMPUTED_VALUE"""),"15777-ardmore")</f>
        <v>15777-ardmore</v>
      </c>
      <c r="B72" s="3" t="str">
        <f>IFERROR(__xludf.DUMMYFUNCTION("""COMPUTED_VALUE"""),"realt-s-15777-ardmore-st-detroit-mi")</f>
        <v>realt-s-15777-ardmore-st-detroit-mi</v>
      </c>
      <c r="C72" s="3" t="str">
        <f>IFERROR(__xludf.DUMMYFUNCTION("""COMPUTED_VALUE"""),"RealT - 15777 Ardmore St, Detroit, MI 48227")</f>
        <v>RealT - 15777 Ardmore St, Detroit, MI 48227</v>
      </c>
    </row>
    <row r="73">
      <c r="A73" s="3" t="str">
        <f>IFERROR(__xludf.DUMMYFUNCTION("""COMPUTED_VALUE"""),"15778-manor")</f>
        <v>15778-manor</v>
      </c>
      <c r="B73" s="3" t="str">
        <f>IFERROR(__xludf.DUMMYFUNCTION("""COMPUTED_VALUE"""),"realt-s-15778-manor-st-detroit-mi")</f>
        <v>realt-s-15778-manor-st-detroit-mi</v>
      </c>
      <c r="C73" s="3" t="str">
        <f>IFERROR(__xludf.DUMMYFUNCTION("""COMPUTED_VALUE"""),"RealT - 15778 Manor St, Detroit, MI 48238")</f>
        <v>RealT - 15778 Manor St, Detroit, MI 48238</v>
      </c>
    </row>
    <row r="74">
      <c r="A74" s="3" t="str">
        <f>IFERROR(__xludf.DUMMYFUNCTION("""COMPUTED_VALUE"""),"15784-monte-vista")</f>
        <v>15784-monte-vista</v>
      </c>
      <c r="B74" s="3" t="str">
        <f>IFERROR(__xludf.DUMMYFUNCTION("""COMPUTED_VALUE"""),"realt-s-15784-monte-vista-st-detroit-mi")</f>
        <v>realt-s-15784-monte-vista-st-detroit-mi</v>
      </c>
      <c r="C74" s="3" t="str">
        <f>IFERROR(__xludf.DUMMYFUNCTION("""COMPUTED_VALUE"""),"RealT - 15784 Monte Vista St, Detroit, MI 48238")</f>
        <v>RealT - 15784 Monte Vista St, Detroit, MI 48238</v>
      </c>
    </row>
    <row r="75">
      <c r="A75" s="3" t="str">
        <f>IFERROR(__xludf.DUMMYFUNCTION("""COMPUTED_VALUE"""),"15796-hartwell")</f>
        <v>15796-hartwell</v>
      </c>
      <c r="B75" s="3" t="str">
        <f>IFERROR(__xludf.DUMMYFUNCTION("""COMPUTED_VALUE"""),"realt-s-15796-hartwell-st-detroit-mi")</f>
        <v>realt-s-15796-hartwell-st-detroit-mi</v>
      </c>
      <c r="C75" s="3" t="str">
        <f>IFERROR(__xludf.DUMMYFUNCTION("""COMPUTED_VALUE"""),"RealT - 15796 Hartwell St, Detroit, MI 48227")</f>
        <v>RealT - 15796 Hartwell St, Detroit, MI 48227</v>
      </c>
    </row>
    <row r="76">
      <c r="A76" s="3" t="str">
        <f>IFERROR(__xludf.DUMMYFUNCTION("""COMPUTED_VALUE"""),"15860-hartwell")</f>
        <v>15860-hartwell</v>
      </c>
      <c r="B76" s="3" t="str">
        <f>IFERROR(__xludf.DUMMYFUNCTION("""COMPUTED_VALUE"""),"realt-s-15860-hartwell-st-detroit-mi")</f>
        <v>realt-s-15860-hartwell-st-detroit-mi</v>
      </c>
      <c r="C76" s="3" t="str">
        <f>IFERROR(__xludf.DUMMYFUNCTION("""COMPUTED_VALUE"""),"RealT - 15860 Hartwell St, Detroit, MI 48227")</f>
        <v>RealT - 15860 Hartwell St, Detroit, MI 48227</v>
      </c>
    </row>
    <row r="77">
      <c r="A77" s="3" t="str">
        <f>IFERROR(__xludf.DUMMYFUNCTION("""COMPUTED_VALUE"""),"1617-s-avers")</f>
        <v>1617-s-avers</v>
      </c>
      <c r="B77" s="3" t="str">
        <f>IFERROR(__xludf.DUMMYFUNCTION("""COMPUTED_VALUE"""),"realt-s-1617-s.avers-ave-chicago-il")</f>
        <v>realt-s-1617-s.avers-ave-chicago-il</v>
      </c>
      <c r="C77" s="3" t="str">
        <f>IFERROR(__xludf.DUMMYFUNCTION("""COMPUTED_VALUE"""),"RealT - 1617 S Avers Ave, Chicago, IL 60623")</f>
        <v>RealT - 1617 S Avers Ave, Chicago, IL 60623</v>
      </c>
    </row>
    <row r="78">
      <c r="A78" s="3" t="str">
        <f>IFERROR(__xludf.DUMMYFUNCTION("""COMPUTED_VALUE"""),"17500-evergreen")</f>
        <v>17500-evergreen</v>
      </c>
      <c r="B78" s="3" t="str">
        <f>IFERROR(__xludf.DUMMYFUNCTION("""COMPUTED_VALUE"""),"realt-s-17500-evergreen-rd-detroit-mi")</f>
        <v>realt-s-17500-evergreen-rd-detroit-mi</v>
      </c>
      <c r="C78" s="3" t="str">
        <f>IFERROR(__xludf.DUMMYFUNCTION("""COMPUTED_VALUE"""),"RealT - 17500 Evergreen Rd, Detroit, MI 48219")</f>
        <v>RealT - 17500 Evergreen Rd, Detroit, MI 48219</v>
      </c>
    </row>
    <row r="79">
      <c r="A79" s="3" t="str">
        <f>IFERROR(__xludf.DUMMYFUNCTION("""COMPUTED_VALUE"""),"17809-charest")</f>
        <v>17809-charest</v>
      </c>
      <c r="B79" s="3" t="str">
        <f>IFERROR(__xludf.DUMMYFUNCTION("""COMPUTED_VALUE"""),"realt-s-17809-charest-st-detroit-mi")</f>
        <v>realt-s-17809-charest-st-detroit-mi</v>
      </c>
      <c r="C79" s="3" t="str">
        <f>IFERROR(__xludf.DUMMYFUNCTION("""COMPUTED_VALUE"""),"RealT - 17809 Charest St, Detroit, MI 48212")</f>
        <v>RealT - 17809 Charest St, Detroit, MI 48212</v>
      </c>
    </row>
    <row r="80">
      <c r="A80" s="3" t="str">
        <f>IFERROR(__xludf.DUMMYFUNCTION("""COMPUTED_VALUE"""),"17813-bradford")</f>
        <v>17813-bradford</v>
      </c>
      <c r="B80" s="3" t="str">
        <f>IFERROR(__xludf.DUMMYFUNCTION("""COMPUTED_VALUE"""),"realt-s-17813-bradford-st-detroit-mi")</f>
        <v>realt-s-17813-bradford-st-detroit-mi</v>
      </c>
      <c r="C80" s="3" t="str">
        <f>IFERROR(__xludf.DUMMYFUNCTION("""COMPUTED_VALUE"""),"RealT - 17813 Bradford St, Detroit, MI 48205")</f>
        <v>RealT - 17813 Bradford St, Detroit, MI 48205</v>
      </c>
    </row>
    <row r="81">
      <c r="A81" s="3" t="str">
        <f>IFERROR(__xludf.DUMMYFUNCTION("""COMPUTED_VALUE"""),"1815-s-avers")</f>
        <v>1815-s-avers</v>
      </c>
      <c r="B81" s="3" t="str">
        <f>IFERROR(__xludf.DUMMYFUNCTION("""COMPUTED_VALUE"""),"realt-s-1815-s.avers-ave-chicago-il")</f>
        <v>realt-s-1815-s.avers-ave-chicago-il</v>
      </c>
      <c r="C81" s="3" t="str">
        <f>IFERROR(__xludf.DUMMYFUNCTION("""COMPUTED_VALUE"""),"RealT - 1815 S Avers Ave, Chicago, IL 60623")</f>
        <v>RealT - 1815 S Avers Ave, Chicago, IL 60623</v>
      </c>
    </row>
    <row r="82">
      <c r="A82" s="3" t="str">
        <f>IFERROR(__xludf.DUMMYFUNCTION("""COMPUTED_VALUE"""),"18273-monte-vista")</f>
        <v>18273-monte-vista</v>
      </c>
      <c r="B82" s="3" t="str">
        <f>IFERROR(__xludf.DUMMYFUNCTION("""COMPUTED_VALUE"""),"realt-s-18273-monte-vista-st-detroit-mi")</f>
        <v>realt-s-18273-monte-vista-st-detroit-mi</v>
      </c>
      <c r="C82" s="3" t="str">
        <f>IFERROR(__xludf.DUMMYFUNCTION("""COMPUTED_VALUE"""),"RealT - 18273 Monte Vista St, Detroit, MI 48221")</f>
        <v>RealT - 18273 Monte Vista St, Detroit, MI 48221</v>
      </c>
    </row>
    <row r="83">
      <c r="A83" s="3" t="str">
        <f>IFERROR(__xludf.DUMMYFUNCTION("""COMPUTED_VALUE"""),"18433-faust")</f>
        <v>18433-faust</v>
      </c>
      <c r="B83" s="3" t="str">
        <f>IFERROR(__xludf.DUMMYFUNCTION("""COMPUTED_VALUE"""),"realt-s-18433-faust-ave-detroit-mi")</f>
        <v>realt-s-18433-faust-ave-detroit-mi</v>
      </c>
      <c r="C83" s="3" t="str">
        <f>IFERROR(__xludf.DUMMYFUNCTION("""COMPUTED_VALUE"""),"RealT - 18433 Faust Ave, Detroit, MI, 48219")</f>
        <v>RealT - 18433 Faust Ave, Detroit, MI, 48219</v>
      </c>
    </row>
    <row r="84">
      <c r="A84" s="3" t="str">
        <f>IFERROR(__xludf.DUMMYFUNCTION("""COMPUTED_VALUE"""),"18466-fielding")</f>
        <v>18466-fielding</v>
      </c>
      <c r="B84" s="3" t="str">
        <f>IFERROR(__xludf.DUMMYFUNCTION("""COMPUTED_VALUE"""),"realt-s-18466-fielding-st-detroit-mi")</f>
        <v>realt-s-18466-fielding-st-detroit-mi</v>
      </c>
      <c r="C84" s="3" t="str">
        <f>IFERROR(__xludf.DUMMYFUNCTION("""COMPUTED_VALUE"""),"RealT -18466 Fielding St, Detroit, MI 48219")</f>
        <v>RealT -18466 Fielding St, Detroit, MI 48219</v>
      </c>
    </row>
    <row r="85">
      <c r="A85" s="3" t="str">
        <f>IFERROR(__xludf.DUMMYFUNCTION("""COMPUTED_VALUE"""),"18481-westphalia")</f>
        <v>18481-westphalia</v>
      </c>
      <c r="B85" s="3" t="str">
        <f>IFERROR(__xludf.DUMMYFUNCTION("""COMPUTED_VALUE"""),"realt-s-18481-westphalia-st-detroit-mi")</f>
        <v>realt-s-18481-westphalia-st-detroit-mi</v>
      </c>
      <c r="C85" s="3" t="str">
        <f>IFERROR(__xludf.DUMMYFUNCTION("""COMPUTED_VALUE"""),"RealT - 18481 Westphalia St, Detroit, MI 48205")</f>
        <v>RealT - 18481 Westphalia St, Detroit, MI 48205</v>
      </c>
    </row>
    <row r="86">
      <c r="A86" s="3" t="str">
        <f>IFERROR(__xludf.DUMMYFUNCTION("""COMPUTED_VALUE"""),"18776-sunderland")</f>
        <v>18776-sunderland</v>
      </c>
      <c r="B86" s="3" t="str">
        <f>IFERROR(__xludf.DUMMYFUNCTION("""COMPUTED_VALUE"""),"realt-s-18776-sunderland-rd-detroit-mi")</f>
        <v>realt-s-18776-sunderland-rd-detroit-mi</v>
      </c>
      <c r="C86" s="3" t="str">
        <f>IFERROR(__xludf.DUMMYFUNCTION("""COMPUTED_VALUE"""),"RealT - 18776 Sunderland Rd, Detroit, MI 48219")</f>
        <v>RealT - 18776 Sunderland Rd, Detroit, MI 48219</v>
      </c>
    </row>
    <row r="87">
      <c r="A87" s="3" t="str">
        <f>IFERROR(__xludf.DUMMYFUNCTION("""COMPUTED_VALUE"""),"18900-mansfield")</f>
        <v>18900-mansfield</v>
      </c>
      <c r="B87" s="3" t="str">
        <f>IFERROR(__xludf.DUMMYFUNCTION("""COMPUTED_VALUE"""),"realt-s-18900-mansfield-st-detroit-mi")</f>
        <v>realt-s-18900-mansfield-st-detroit-mi</v>
      </c>
      <c r="C87" s="3" t="str">
        <f>IFERROR(__xludf.DUMMYFUNCTION("""COMPUTED_VALUE"""),"RealT - 18900 Mansfield St, Detroit, MI 48235")</f>
        <v>RealT - 18900 Mansfield St, Detroit, MI 48235</v>
      </c>
    </row>
    <row r="88">
      <c r="A88" s="3" t="str">
        <f>IFERROR(__xludf.DUMMYFUNCTION("""COMPUTED_VALUE"""),"18983-alcoy")</f>
        <v>18983-alcoy</v>
      </c>
      <c r="B88" s="3" t="str">
        <f>IFERROR(__xludf.DUMMYFUNCTION("""COMPUTED_VALUE"""),"realt-s-18983-alcoy-ave-detroit-mi")</f>
        <v>realt-s-18983-alcoy-ave-detroit-mi</v>
      </c>
      <c r="C88" s="3" t="str">
        <f>IFERROR(__xludf.DUMMYFUNCTION("""COMPUTED_VALUE"""),"RealT - 18983 Alcoy Ave, Detroit, MI 48205")</f>
        <v>RealT - 18983 Alcoy Ave, Detroit, MI 48205</v>
      </c>
    </row>
    <row r="89">
      <c r="A89" s="3" t="str">
        <f>IFERROR(__xludf.DUMMYFUNCTION("""COMPUTED_VALUE"""),"19020-rosemont")</f>
        <v>19020-rosemont</v>
      </c>
      <c r="B89" s="3" t="str">
        <f>IFERROR(__xludf.DUMMYFUNCTION("""COMPUTED_VALUE"""),"realt-s-19020-rosemont-ave-detroit-mi")</f>
        <v>realt-s-19020-rosemont-ave-detroit-mi</v>
      </c>
      <c r="C89" s="3" t="str">
        <f>IFERROR(__xludf.DUMMYFUNCTION("""COMPUTED_VALUE"""),"RealT - 19020 Rosemont Ave, Detroit, MI 48219")</f>
        <v>RealT - 19020 Rosemont Ave, Detroit, MI 48219</v>
      </c>
    </row>
    <row r="90">
      <c r="A90" s="3" t="str">
        <f>IFERROR(__xludf.DUMMYFUNCTION("""COMPUTED_VALUE"""),"19136-tracey")</f>
        <v>19136-tracey</v>
      </c>
      <c r="B90" s="3" t="str">
        <f>IFERROR(__xludf.DUMMYFUNCTION("""COMPUTED_VALUE"""),"realt-s-19136-tracey-st-detroit-mi")</f>
        <v>realt-s-19136-tracey-st-detroit-mi</v>
      </c>
      <c r="C90" s="3" t="str">
        <f>IFERROR(__xludf.DUMMYFUNCTION("""COMPUTED_VALUE"""),"RealT - 19136 Tracey St, Detroit MI 48235")</f>
        <v>RealT - 19136 Tracey St, Detroit MI 48235</v>
      </c>
    </row>
    <row r="91">
      <c r="A91" s="3" t="str">
        <f>IFERROR(__xludf.DUMMYFUNCTION("""COMPUTED_VALUE"""),"19163-mitchell")</f>
        <v>19163-mitchell</v>
      </c>
      <c r="B91" s="3" t="str">
        <f>IFERROR(__xludf.DUMMYFUNCTION("""COMPUTED_VALUE"""),"realt-s-19163-mitchell-st-detroit-mi")</f>
        <v>realt-s-19163-mitchell-st-detroit-mi</v>
      </c>
      <c r="C91" s="3" t="str">
        <f>IFERROR(__xludf.DUMMYFUNCTION("""COMPUTED_VALUE"""),"RealT - 19163 Mitchell St, Detroit, MI 48234")</f>
        <v>RealT - 19163 Mitchell St, Detroit, MI 48234</v>
      </c>
    </row>
    <row r="92">
      <c r="A92" s="3" t="str">
        <f>IFERROR(__xludf.DUMMYFUNCTION("""COMPUTED_VALUE"""),"19200-strasburg")</f>
        <v>19200-strasburg</v>
      </c>
      <c r="B92" s="3" t="str">
        <f>IFERROR(__xludf.DUMMYFUNCTION("""COMPUTED_VALUE"""),"realt-s-19200-strasburg-st-detroit-mi")</f>
        <v>realt-s-19200-strasburg-st-detroit-mi</v>
      </c>
      <c r="C92" s="3" t="str">
        <f>IFERROR(__xludf.DUMMYFUNCTION("""COMPUTED_VALUE"""),"RealT - 19200 Strasburg St, Detroit, MI 48205")</f>
        <v>RealT - 19200 Strasburg St, Detroit, MI 48205</v>
      </c>
    </row>
    <row r="93">
      <c r="A93" s="3" t="str">
        <f>IFERROR(__xludf.DUMMYFUNCTION("""COMPUTED_VALUE"""),"19201-westphalia")</f>
        <v>19201-westphalia</v>
      </c>
      <c r="B93" s="3" t="str">
        <f>IFERROR(__xludf.DUMMYFUNCTION("""COMPUTED_VALUE"""),"realt-s-19201-westphalia-st-detroit-mi")</f>
        <v>realt-s-19201-westphalia-st-detroit-mi</v>
      </c>
      <c r="C93" s="3" t="str">
        <f>IFERROR(__xludf.DUMMYFUNCTION("""COMPUTED_VALUE"""),"RealT - 19201 Westphalia St, Detroit, MI 48205")</f>
        <v>RealT - 19201 Westphalia St, Detroit, MI 48205</v>
      </c>
    </row>
    <row r="94">
      <c r="A94" s="3" t="str">
        <f>IFERROR(__xludf.DUMMYFUNCTION("""COMPUTED_VALUE"""),"19311-keystone")</f>
        <v>19311-keystone</v>
      </c>
      <c r="B94" s="3" t="str">
        <f>IFERROR(__xludf.DUMMYFUNCTION("""COMPUTED_VALUE"""),"realt-s-19311-keystone-st-detroit-mi")</f>
        <v>realt-s-19311-keystone-st-detroit-mi</v>
      </c>
      <c r="C94" s="3" t="str">
        <f>IFERROR(__xludf.DUMMYFUNCTION("""COMPUTED_VALUE"""),"RealT - 19311 Keystone St, Detroit, MI 48234")</f>
        <v>RealT - 19311 Keystone St, Detroit, MI 48234</v>
      </c>
    </row>
    <row r="95">
      <c r="A95" s="3" t="str">
        <f>IFERROR(__xludf.DUMMYFUNCTION("""COMPUTED_VALUE"""),"19317-gable")</f>
        <v>19317-gable</v>
      </c>
      <c r="B95" s="3" t="str">
        <f>IFERROR(__xludf.DUMMYFUNCTION("""COMPUTED_VALUE"""),"realt-s-19317-gable-st-detroit-mi")</f>
        <v>realt-s-19317-gable-st-detroit-mi</v>
      </c>
      <c r="C95" s="3" t="str">
        <f>IFERROR(__xludf.DUMMYFUNCTION("""COMPUTED_VALUE"""),"RealT - 19317 Gable St, Detroit, MI 48234")</f>
        <v>RealT - 19317 Gable St, Detroit, MI 48234</v>
      </c>
    </row>
    <row r="96">
      <c r="A96" s="3" t="str">
        <f>IFERROR(__xludf.DUMMYFUNCTION("""COMPUTED_VALUE"""),"19333-moenart")</f>
        <v>19333-moenart</v>
      </c>
      <c r="B96" s="3" t="str">
        <f>IFERROR(__xludf.DUMMYFUNCTION("""COMPUTED_VALUE"""),"realt-s-19333-moenart-st-detroit-mi")</f>
        <v>realt-s-19333-moenart-st-detroit-mi</v>
      </c>
      <c r="C96" s="3" t="str">
        <f>IFERROR(__xludf.DUMMYFUNCTION("""COMPUTED_VALUE"""),"RealT - 19333 Moenart St, Detroit MI 48234")</f>
        <v>RealT - 19333 Moenart St, Detroit MI 48234</v>
      </c>
    </row>
    <row r="97">
      <c r="A97" s="3" t="str">
        <f>IFERROR(__xludf.DUMMYFUNCTION("""COMPUTED_VALUE"""),"19596-goulburn")</f>
        <v>19596-goulburn</v>
      </c>
      <c r="B97" s="3" t="str">
        <f>IFERROR(__xludf.DUMMYFUNCTION("""COMPUTED_VALUE"""),"realt-s-19596-goulburn-st-detroit-mi")</f>
        <v>realt-s-19596-goulburn-st-detroit-mi</v>
      </c>
      <c r="C97" s="3" t="str">
        <f>IFERROR(__xludf.DUMMYFUNCTION("""COMPUTED_VALUE"""),"RealT - 19596 Goulburn Ave, Detroit, MI 48205")</f>
        <v>RealT - 19596 Goulburn Ave, Detroit, MI 48205</v>
      </c>
    </row>
    <row r="98">
      <c r="A98" s="3" t="str">
        <f>IFERROR(__xludf.DUMMYFUNCTION("""COMPUTED_VALUE"""),"19996-joann")</f>
        <v>19996-joann</v>
      </c>
      <c r="B98" s="3" t="str">
        <f>IFERROR(__xludf.DUMMYFUNCTION("""COMPUTED_VALUE"""),"realt-s-19996-joann-ave-detroit-mi")</f>
        <v>realt-s-19996-joann-ave-detroit-mi</v>
      </c>
      <c r="C98" s="3" t="str">
        <f>IFERROR(__xludf.DUMMYFUNCTION("""COMPUTED_VALUE"""),"RealT - 19996 Joann Ave, Detroit, MI 48205")</f>
        <v>RealT - 19996 Joann Ave, Detroit, MI 48205</v>
      </c>
    </row>
    <row r="99">
      <c r="A99" s="3" t="str">
        <f>IFERROR(__xludf.DUMMYFUNCTION("""COMPUTED_VALUE"""),"1art")</f>
        <v>1art</v>
      </c>
      <c r="B99" s="3" t="str">
        <f>IFERROR(__xludf.DUMMYFUNCTION("""COMPUTED_VALUE"""),"1art")</f>
        <v>1art</v>
      </c>
      <c r="C99" s="3" t="str">
        <f>IFERROR(__xludf.DUMMYFUNCTION("""COMPUTED_VALUE"""),"OneArt")</f>
        <v>OneArt</v>
      </c>
    </row>
    <row r="100">
      <c r="A100" s="3" t="str">
        <f>IFERROR(__xludf.DUMMYFUNCTION("""COMPUTED_VALUE"""),"1bch")</f>
        <v>1bch</v>
      </c>
      <c r="B100" s="3" t="str">
        <f>IFERROR(__xludf.DUMMYFUNCTION("""COMPUTED_VALUE"""),"1bch")</f>
        <v>1bch</v>
      </c>
      <c r="C100" s="3" t="str">
        <f>IFERROR(__xludf.DUMMYFUNCTION("""COMPUTED_VALUE"""),"1BCH")</f>
        <v>1BCH</v>
      </c>
    </row>
    <row r="101">
      <c r="A101" s="3" t="str">
        <f>IFERROR(__xludf.DUMMYFUNCTION("""COMPUTED_VALUE"""),"1box")</f>
        <v>1box</v>
      </c>
      <c r="B101" s="3" t="str">
        <f>IFERROR(__xludf.DUMMYFUNCTION("""COMPUTED_VALUE"""),"1box")</f>
        <v>1box</v>
      </c>
      <c r="C101" s="3" t="str">
        <f>IFERROR(__xludf.DUMMYFUNCTION("""COMPUTED_VALUE"""),"1BOX")</f>
        <v>1BOX</v>
      </c>
    </row>
    <row r="102">
      <c r="A102" s="3" t="str">
        <f>IFERROR(__xludf.DUMMYFUNCTION("""COMPUTED_VALUE"""),"1doge")</f>
        <v>1doge</v>
      </c>
      <c r="B102" s="3" t="str">
        <f>IFERROR(__xludf.DUMMYFUNCTION("""COMPUTED_VALUE"""),"1doge")</f>
        <v>1doge</v>
      </c>
      <c r="C102" s="3" t="str">
        <f>IFERROR(__xludf.DUMMYFUNCTION("""COMPUTED_VALUE"""),"1Doge")</f>
        <v>1Doge</v>
      </c>
    </row>
    <row r="103">
      <c r="A103" s="3" t="str">
        <f>IFERROR(__xludf.DUMMYFUNCTION("""COMPUTED_VALUE"""),"1-dollar")</f>
        <v>1-dollar</v>
      </c>
      <c r="B103" s="3" t="str">
        <f>IFERROR(__xludf.DUMMYFUNCTION("""COMPUTED_VALUE"""),"oneusd")</f>
        <v>oneusd</v>
      </c>
      <c r="C103" s="3" t="str">
        <f>IFERROR(__xludf.DUMMYFUNCTION("""COMPUTED_VALUE"""),"1 Dollar")</f>
        <v>1 Dollar</v>
      </c>
    </row>
    <row r="104">
      <c r="A104" s="3" t="str">
        <f>IFERROR(__xludf.DUMMYFUNCTION("""COMPUTED_VALUE"""),"1eco")</f>
        <v>1eco</v>
      </c>
      <c r="B104" s="3" t="str">
        <f>IFERROR(__xludf.DUMMYFUNCTION("""COMPUTED_VALUE"""),"1eco")</f>
        <v>1eco</v>
      </c>
      <c r="C104" s="3" t="str">
        <f>IFERROR(__xludf.DUMMYFUNCTION("""COMPUTED_VALUE"""),"1eco")</f>
        <v>1eco</v>
      </c>
    </row>
    <row r="105">
      <c r="A105" s="3" t="str">
        <f>IFERROR(__xludf.DUMMYFUNCTION("""COMPUTED_VALUE"""),"1eth")</f>
        <v>1eth</v>
      </c>
      <c r="B105" s="3" t="str">
        <f>IFERROR(__xludf.DUMMYFUNCTION("""COMPUTED_VALUE"""),"1eth")</f>
        <v>1eth</v>
      </c>
      <c r="C105" s="3" t="str">
        <f>IFERROR(__xludf.DUMMYFUNCTION("""COMPUTED_VALUE"""),"1ETH")</f>
        <v>1ETH</v>
      </c>
    </row>
    <row r="106">
      <c r="A106" s="3" t="str">
        <f>IFERROR(__xludf.DUMMYFUNCTION("""COMPUTED_VALUE"""),"1hive-water")</f>
        <v>1hive-water</v>
      </c>
      <c r="B106" s="3" t="str">
        <f>IFERROR(__xludf.DUMMYFUNCTION("""COMPUTED_VALUE"""),"water")</f>
        <v>water</v>
      </c>
      <c r="C106" s="3" t="str">
        <f>IFERROR(__xludf.DUMMYFUNCTION("""COMPUTED_VALUE"""),"1Hive Water")</f>
        <v>1Hive Water</v>
      </c>
    </row>
    <row r="107">
      <c r="A107" s="3" t="str">
        <f>IFERROR(__xludf.DUMMYFUNCTION("""COMPUTED_VALUE"""),"1inch")</f>
        <v>1inch</v>
      </c>
      <c r="B107" s="3" t="str">
        <f>IFERROR(__xludf.DUMMYFUNCTION("""COMPUTED_VALUE"""),"1inch")</f>
        <v>1inch</v>
      </c>
      <c r="C107" s="3" t="str">
        <f>IFERROR(__xludf.DUMMYFUNCTION("""COMPUTED_VALUE"""),"1inch")</f>
        <v>1inch</v>
      </c>
    </row>
    <row r="108">
      <c r="A108" s="3" t="str">
        <f>IFERROR(__xludf.DUMMYFUNCTION("""COMPUTED_VALUE"""),"1million-nfts")</f>
        <v>1million-nfts</v>
      </c>
      <c r="B108" s="3" t="str">
        <f>IFERROR(__xludf.DUMMYFUNCTION("""COMPUTED_VALUE"""),"1mil")</f>
        <v>1mil</v>
      </c>
      <c r="C108" s="3" t="str">
        <f>IFERROR(__xludf.DUMMYFUNCTION("""COMPUTED_VALUE"""),"1MillionNFTs")</f>
        <v>1MillionNFTs</v>
      </c>
    </row>
    <row r="109">
      <c r="A109" s="3" t="str">
        <f>IFERROR(__xludf.DUMMYFUNCTION("""COMPUTED_VALUE"""),"1million-token")</f>
        <v>1million-token</v>
      </c>
      <c r="B109" s="3" t="str">
        <f>IFERROR(__xludf.DUMMYFUNCTION("""COMPUTED_VALUE"""),"1mt")</f>
        <v>1mt</v>
      </c>
      <c r="C109" s="3" t="str">
        <f>IFERROR(__xludf.DUMMYFUNCTION("""COMPUTED_VALUE"""),"1Million")</f>
        <v>1Million</v>
      </c>
    </row>
    <row r="110">
      <c r="A110" s="3" t="str">
        <f>IFERROR(__xludf.DUMMYFUNCTION("""COMPUTED_VALUE"""),"1move token")</f>
        <v>1move token</v>
      </c>
      <c r="B110" s="3" t="str">
        <f>IFERROR(__xludf.DUMMYFUNCTION("""COMPUTED_VALUE"""),"1mt")</f>
        <v>1mt</v>
      </c>
      <c r="C110" s="3" t="str">
        <f>IFERROR(__xludf.DUMMYFUNCTION("""COMPUTED_VALUE"""),"1Move Token")</f>
        <v>1Move Token</v>
      </c>
    </row>
    <row r="111">
      <c r="A111" s="3" t="str">
        <f>IFERROR(__xludf.DUMMYFUNCTION("""COMPUTED_VALUE"""),"1peco")</f>
        <v>1peco</v>
      </c>
      <c r="B111" s="3" t="str">
        <f>IFERROR(__xludf.DUMMYFUNCTION("""COMPUTED_VALUE"""),"1peco")</f>
        <v>1peco</v>
      </c>
      <c r="C111" s="3" t="str">
        <f>IFERROR(__xludf.DUMMYFUNCTION("""COMPUTED_VALUE"""),"1peco")</f>
        <v>1peco</v>
      </c>
    </row>
    <row r="112">
      <c r="A112" s="3" t="str">
        <f>IFERROR(__xludf.DUMMYFUNCTION("""COMPUTED_VALUE"""),"1reward-token")</f>
        <v>1reward-token</v>
      </c>
      <c r="B112" s="3" t="str">
        <f>IFERROR(__xludf.DUMMYFUNCTION("""COMPUTED_VALUE"""),"1rt")</f>
        <v>1rt</v>
      </c>
      <c r="C112" s="3" t="str">
        <f>IFERROR(__xludf.DUMMYFUNCTION("""COMPUTED_VALUE"""),"1Reward Token")</f>
        <v>1Reward Token</v>
      </c>
    </row>
    <row r="113">
      <c r="A113" s="3" t="str">
        <f>IFERROR(__xludf.DUMMYFUNCTION("""COMPUTED_VALUE"""),"1safu")</f>
        <v>1safu</v>
      </c>
      <c r="B113" s="3" t="str">
        <f>IFERROR(__xludf.DUMMYFUNCTION("""COMPUTED_VALUE"""),"safu")</f>
        <v>safu</v>
      </c>
      <c r="C113" s="3" t="str">
        <f>IFERROR(__xludf.DUMMYFUNCTION("""COMPUTED_VALUE"""),"1SAFU")</f>
        <v>1SAFU</v>
      </c>
    </row>
    <row r="114">
      <c r="A114" s="3" t="str">
        <f>IFERROR(__xludf.DUMMYFUNCTION("""COMPUTED_VALUE"""),"1sol")</f>
        <v>1sol</v>
      </c>
      <c r="B114" s="3" t="str">
        <f>IFERROR(__xludf.DUMMYFUNCTION("""COMPUTED_VALUE"""),"1sol")</f>
        <v>1sol</v>
      </c>
      <c r="C114" s="3" t="str">
        <f>IFERROR(__xludf.DUMMYFUNCTION("""COMPUTED_VALUE"""),"1Sol")</f>
        <v>1Sol</v>
      </c>
    </row>
    <row r="115">
      <c r="A115" s="3" t="str">
        <f>IFERROR(__xludf.DUMMYFUNCTION("""COMPUTED_VALUE"""),"1sol-io-wormhole")</f>
        <v>1sol-io-wormhole</v>
      </c>
      <c r="B115" s="3" t="str">
        <f>IFERROR(__xludf.DUMMYFUNCTION("""COMPUTED_VALUE"""),"1sol")</f>
        <v>1sol</v>
      </c>
      <c r="C115" s="3" t="str">
        <f>IFERROR(__xludf.DUMMYFUNCTION("""COMPUTED_VALUE"""),"1sol.io (Wormhole)")</f>
        <v>1sol.io (Wormhole)</v>
      </c>
    </row>
    <row r="116">
      <c r="A116" s="3" t="str">
        <f>IFERROR(__xludf.DUMMYFUNCTION("""COMPUTED_VALUE"""),"1tronic")</f>
        <v>1tronic</v>
      </c>
      <c r="B116" s="3" t="str">
        <f>IFERROR(__xludf.DUMMYFUNCTION("""COMPUTED_VALUE"""),"1trc")</f>
        <v>1trc</v>
      </c>
      <c r="C116" s="3" t="str">
        <f>IFERROR(__xludf.DUMMYFUNCTION("""COMPUTED_VALUE"""),"1TRONIC")</f>
        <v>1TRONIC</v>
      </c>
    </row>
    <row r="117">
      <c r="A117" s="3" t="str">
        <f>IFERROR(__xludf.DUMMYFUNCTION("""COMPUTED_VALUE"""),"1-up")</f>
        <v>1-up</v>
      </c>
      <c r="B117" s="3" t="str">
        <f>IFERROR(__xludf.DUMMYFUNCTION("""COMPUTED_VALUE"""),"1-up")</f>
        <v>1-up</v>
      </c>
      <c r="C117" s="3" t="str">
        <f>IFERROR(__xludf.DUMMYFUNCTION("""COMPUTED_VALUE"""),"1-UP")</f>
        <v>1-UP</v>
      </c>
    </row>
    <row r="118">
      <c r="A118" s="3" t="str">
        <f>IFERROR(__xludf.DUMMYFUNCTION("""COMPUTED_VALUE"""),"1world")</f>
        <v>1world</v>
      </c>
      <c r="B118" s="3" t="str">
        <f>IFERROR(__xludf.DUMMYFUNCTION("""COMPUTED_VALUE"""),"1wo")</f>
        <v>1wo</v>
      </c>
      <c r="C118" s="3" t="str">
        <f>IFERROR(__xludf.DUMMYFUNCTION("""COMPUTED_VALUE"""),"1World")</f>
        <v>1World</v>
      </c>
    </row>
    <row r="119">
      <c r="A119" s="3" t="str">
        <f>IFERROR(__xludf.DUMMYFUNCTION("""COMPUTED_VALUE"""),"1x-long-btc-implied-volatility-token")</f>
        <v>1x-long-btc-implied-volatility-token</v>
      </c>
      <c r="B119" s="3" t="str">
        <f>IFERROR(__xludf.DUMMYFUNCTION("""COMPUTED_VALUE"""),"bvol")</f>
        <v>bvol</v>
      </c>
      <c r="C119" s="3" t="str">
        <f>IFERROR(__xludf.DUMMYFUNCTION("""COMPUTED_VALUE"""),"Bitcoin Volatility Token")</f>
        <v>Bitcoin Volatility Token</v>
      </c>
    </row>
    <row r="120">
      <c r="A120" s="3" t="str">
        <f>IFERROR(__xludf.DUMMYFUNCTION("""COMPUTED_VALUE"""),"1x-short-algorand-token")</f>
        <v>1x-short-algorand-token</v>
      </c>
      <c r="B120" s="3" t="str">
        <f>IFERROR(__xludf.DUMMYFUNCTION("""COMPUTED_VALUE"""),"algohedge")</f>
        <v>algohedge</v>
      </c>
      <c r="C120" s="3" t="str">
        <f>IFERROR(__xludf.DUMMYFUNCTION("""COMPUTED_VALUE"""),"1X Short Algorand Token")</f>
        <v>1X Short Algorand Token</v>
      </c>
    </row>
    <row r="121">
      <c r="A121" s="3" t="str">
        <f>IFERROR(__xludf.DUMMYFUNCTION("""COMPUTED_VALUE"""),"1x-short-bitcoin-cash-token")</f>
        <v>1x-short-bitcoin-cash-token</v>
      </c>
      <c r="B121" s="3" t="str">
        <f>IFERROR(__xludf.DUMMYFUNCTION("""COMPUTED_VALUE"""),"bchhedge")</f>
        <v>bchhedge</v>
      </c>
      <c r="C121" s="3" t="str">
        <f>IFERROR(__xludf.DUMMYFUNCTION("""COMPUTED_VALUE"""),"1X Short Bitcoin Cash Token")</f>
        <v>1X Short Bitcoin Cash Token</v>
      </c>
    </row>
    <row r="122">
      <c r="A122" s="3" t="str">
        <f>IFERROR(__xludf.DUMMYFUNCTION("""COMPUTED_VALUE"""),"1x-short-bitcoin-token")</f>
        <v>1x-short-bitcoin-token</v>
      </c>
      <c r="B122" s="3" t="str">
        <f>IFERROR(__xludf.DUMMYFUNCTION("""COMPUTED_VALUE"""),"hedge")</f>
        <v>hedge</v>
      </c>
      <c r="C122" s="3" t="str">
        <f>IFERROR(__xludf.DUMMYFUNCTION("""COMPUTED_VALUE"""),"1X Short Bitcoin Token")</f>
        <v>1X Short Bitcoin Token</v>
      </c>
    </row>
    <row r="123">
      <c r="A123" s="3" t="str">
        <f>IFERROR(__xludf.DUMMYFUNCTION("""COMPUTED_VALUE"""),"1x-short-bnb-token")</f>
        <v>1x-short-bnb-token</v>
      </c>
      <c r="B123" s="3" t="str">
        <f>IFERROR(__xludf.DUMMYFUNCTION("""COMPUTED_VALUE"""),"bnbhedge")</f>
        <v>bnbhedge</v>
      </c>
      <c r="C123" s="3" t="str">
        <f>IFERROR(__xludf.DUMMYFUNCTION("""COMPUTED_VALUE"""),"1X Short BNB")</f>
        <v>1X Short BNB</v>
      </c>
    </row>
    <row r="124">
      <c r="A124" s="3" t="str">
        <f>IFERROR(__xludf.DUMMYFUNCTION("""COMPUTED_VALUE"""),"1x-short-btc-implied-volatility")</f>
        <v>1x-short-btc-implied-volatility</v>
      </c>
      <c r="B124" s="3" t="str">
        <f>IFERROR(__xludf.DUMMYFUNCTION("""COMPUTED_VALUE"""),"ibvol")</f>
        <v>ibvol</v>
      </c>
      <c r="C124" s="3" t="str">
        <f>IFERROR(__xludf.DUMMYFUNCTION("""COMPUTED_VALUE"""),"Inverse Bitcoin Volatility")</f>
        <v>Inverse Bitcoin Volatility</v>
      </c>
    </row>
    <row r="125">
      <c r="A125" s="3" t="str">
        <f>IFERROR(__xludf.DUMMYFUNCTION("""COMPUTED_VALUE"""),"1x-short-cardano-token")</f>
        <v>1x-short-cardano-token</v>
      </c>
      <c r="B125" s="3" t="str">
        <f>IFERROR(__xludf.DUMMYFUNCTION("""COMPUTED_VALUE"""),"adahedge")</f>
        <v>adahedge</v>
      </c>
      <c r="C125" s="3" t="str">
        <f>IFERROR(__xludf.DUMMYFUNCTION("""COMPUTED_VALUE"""),"1X Short Cardano")</f>
        <v>1X Short Cardano</v>
      </c>
    </row>
    <row r="126">
      <c r="A126" s="3" t="str">
        <f>IFERROR(__xludf.DUMMYFUNCTION("""COMPUTED_VALUE"""),"1x-short-chainlink-token")</f>
        <v>1x-short-chainlink-token</v>
      </c>
      <c r="B126" s="3" t="str">
        <f>IFERROR(__xludf.DUMMYFUNCTION("""COMPUTED_VALUE"""),"linkhedge")</f>
        <v>linkhedge</v>
      </c>
      <c r="C126" s="3" t="str">
        <f>IFERROR(__xludf.DUMMYFUNCTION("""COMPUTED_VALUE"""),"1X Short Chainlink")</f>
        <v>1X Short Chainlink</v>
      </c>
    </row>
    <row r="127">
      <c r="A127" s="3" t="str">
        <f>IFERROR(__xludf.DUMMYFUNCTION("""COMPUTED_VALUE"""),"1x-short-compound-token-token")</f>
        <v>1x-short-compound-token-token</v>
      </c>
      <c r="B127" s="3" t="str">
        <f>IFERROR(__xludf.DUMMYFUNCTION("""COMPUTED_VALUE"""),"comphedge")</f>
        <v>comphedge</v>
      </c>
      <c r="C127" s="3" t="str">
        <f>IFERROR(__xludf.DUMMYFUNCTION("""COMPUTED_VALUE"""),"1X Short Compound")</f>
        <v>1X Short Compound</v>
      </c>
    </row>
    <row r="128">
      <c r="A128" s="3" t="str">
        <f>IFERROR(__xludf.DUMMYFUNCTION("""COMPUTED_VALUE"""),"1x-short-cosmos-token")</f>
        <v>1x-short-cosmos-token</v>
      </c>
      <c r="B128" s="3" t="str">
        <f>IFERROR(__xludf.DUMMYFUNCTION("""COMPUTED_VALUE"""),"atomhedge")</f>
        <v>atomhedge</v>
      </c>
      <c r="C128" s="3" t="str">
        <f>IFERROR(__xludf.DUMMYFUNCTION("""COMPUTED_VALUE"""),"1X Short Cosmos")</f>
        <v>1X Short Cosmos</v>
      </c>
    </row>
    <row r="129">
      <c r="A129" s="3" t="str">
        <f>IFERROR(__xludf.DUMMYFUNCTION("""COMPUTED_VALUE"""),"1x-short-defi-index-token")</f>
        <v>1x-short-defi-index-token</v>
      </c>
      <c r="B129" s="3" t="str">
        <f>IFERROR(__xludf.DUMMYFUNCTION("""COMPUTED_VALUE"""),"defihedge")</f>
        <v>defihedge</v>
      </c>
      <c r="C129" s="3" t="str">
        <f>IFERROR(__xludf.DUMMYFUNCTION("""COMPUTED_VALUE"""),"1X Short DeFi Index")</f>
        <v>1X Short DeFi Index</v>
      </c>
    </row>
    <row r="130">
      <c r="A130" s="3" t="str">
        <f>IFERROR(__xludf.DUMMYFUNCTION("""COMPUTED_VALUE"""),"1x-short-dogecoin-token")</f>
        <v>1x-short-dogecoin-token</v>
      </c>
      <c r="B130" s="3" t="str">
        <f>IFERROR(__xludf.DUMMYFUNCTION("""COMPUTED_VALUE"""),"dogehedge")</f>
        <v>dogehedge</v>
      </c>
      <c r="C130" s="3" t="str">
        <f>IFERROR(__xludf.DUMMYFUNCTION("""COMPUTED_VALUE"""),"1X Short Dogecoin")</f>
        <v>1X Short Dogecoin</v>
      </c>
    </row>
    <row r="131">
      <c r="A131" s="3" t="str">
        <f>IFERROR(__xludf.DUMMYFUNCTION("""COMPUTED_VALUE"""),"1x-short-eos-token")</f>
        <v>1x-short-eos-token</v>
      </c>
      <c r="B131" s="3" t="str">
        <f>IFERROR(__xludf.DUMMYFUNCTION("""COMPUTED_VALUE"""),"eoshedge")</f>
        <v>eoshedge</v>
      </c>
      <c r="C131" s="3" t="str">
        <f>IFERROR(__xludf.DUMMYFUNCTION("""COMPUTED_VALUE"""),"1X Short EOS Token")</f>
        <v>1X Short EOS Token</v>
      </c>
    </row>
    <row r="132">
      <c r="A132" s="3" t="str">
        <f>IFERROR(__xludf.DUMMYFUNCTION("""COMPUTED_VALUE"""),"1x-short-ethereum-token")</f>
        <v>1x-short-ethereum-token</v>
      </c>
      <c r="B132" s="3" t="str">
        <f>IFERROR(__xludf.DUMMYFUNCTION("""COMPUTED_VALUE"""),"ethhedge")</f>
        <v>ethhedge</v>
      </c>
      <c r="C132" s="3" t="str">
        <f>IFERROR(__xludf.DUMMYFUNCTION("""COMPUTED_VALUE"""),"1X Short Ethereum Token")</f>
        <v>1X Short Ethereum Token</v>
      </c>
    </row>
    <row r="133">
      <c r="A133" s="3" t="str">
        <f>IFERROR(__xludf.DUMMYFUNCTION("""COMPUTED_VALUE"""),"1x-short-exchange-token-index-token")</f>
        <v>1x-short-exchange-token-index-token</v>
      </c>
      <c r="B133" s="3" t="str">
        <f>IFERROR(__xludf.DUMMYFUNCTION("""COMPUTED_VALUE"""),"exchhedge")</f>
        <v>exchhedge</v>
      </c>
      <c r="C133" s="3" t="str">
        <f>IFERROR(__xludf.DUMMYFUNCTION("""COMPUTED_VALUE"""),"1X Short Exchange Token Index Token")</f>
        <v>1X Short Exchange Token Index Token</v>
      </c>
    </row>
    <row r="134">
      <c r="A134" s="3" t="str">
        <f>IFERROR(__xludf.DUMMYFUNCTION("""COMPUTED_VALUE"""),"1x-short-litecoin-token")</f>
        <v>1x-short-litecoin-token</v>
      </c>
      <c r="B134" s="3" t="str">
        <f>IFERROR(__xludf.DUMMYFUNCTION("""COMPUTED_VALUE"""),"ltchedge")</f>
        <v>ltchedge</v>
      </c>
      <c r="C134" s="3" t="str">
        <f>IFERROR(__xludf.DUMMYFUNCTION("""COMPUTED_VALUE"""),"1X Short Litecoin Token")</f>
        <v>1X Short Litecoin Token</v>
      </c>
    </row>
    <row r="135">
      <c r="A135" s="3" t="str">
        <f>IFERROR(__xludf.DUMMYFUNCTION("""COMPUTED_VALUE"""),"1x-short-matic-token")</f>
        <v>1x-short-matic-token</v>
      </c>
      <c r="B135" s="3" t="str">
        <f>IFERROR(__xludf.DUMMYFUNCTION("""COMPUTED_VALUE"""),"matichedge")</f>
        <v>matichedge</v>
      </c>
      <c r="C135" s="3" t="str">
        <f>IFERROR(__xludf.DUMMYFUNCTION("""COMPUTED_VALUE"""),"1X Short Matic")</f>
        <v>1X Short Matic</v>
      </c>
    </row>
    <row r="136">
      <c r="A136" s="3" t="str">
        <f>IFERROR(__xludf.DUMMYFUNCTION("""COMPUTED_VALUE"""),"1x-short-okb-token")</f>
        <v>1x-short-okb-token</v>
      </c>
      <c r="B136" s="3" t="str">
        <f>IFERROR(__xludf.DUMMYFUNCTION("""COMPUTED_VALUE"""),"okbhedge")</f>
        <v>okbhedge</v>
      </c>
      <c r="C136" s="3" t="str">
        <f>IFERROR(__xludf.DUMMYFUNCTION("""COMPUTED_VALUE"""),"1X Short OKB")</f>
        <v>1X Short OKB</v>
      </c>
    </row>
    <row r="137">
      <c r="A137" s="3" t="str">
        <f>IFERROR(__xludf.DUMMYFUNCTION("""COMPUTED_VALUE"""),"1x-short-privacy-index-token")</f>
        <v>1x-short-privacy-index-token</v>
      </c>
      <c r="B137" s="3" t="str">
        <f>IFERROR(__xludf.DUMMYFUNCTION("""COMPUTED_VALUE"""),"privhedge")</f>
        <v>privhedge</v>
      </c>
      <c r="C137" s="3" t="str">
        <f>IFERROR(__xludf.DUMMYFUNCTION("""COMPUTED_VALUE"""),"1X Short Privacy Index")</f>
        <v>1X Short Privacy Index</v>
      </c>
    </row>
    <row r="138">
      <c r="A138" s="3" t="str">
        <f>IFERROR(__xludf.DUMMYFUNCTION("""COMPUTED_VALUE"""),"1x-short-shitcoin-index-token")</f>
        <v>1x-short-shitcoin-index-token</v>
      </c>
      <c r="B138" s="3" t="str">
        <f>IFERROR(__xludf.DUMMYFUNCTION("""COMPUTED_VALUE"""),"hedgeshit")</f>
        <v>hedgeshit</v>
      </c>
      <c r="C138" s="3" t="str">
        <f>IFERROR(__xludf.DUMMYFUNCTION("""COMPUTED_VALUE"""),"1X Short Shitcoin Index Token")</f>
        <v>1X Short Shitcoin Index Token</v>
      </c>
    </row>
    <row r="139">
      <c r="A139" s="3" t="str">
        <f>IFERROR(__xludf.DUMMYFUNCTION("""COMPUTED_VALUE"""),"1x-short-swipe-token")</f>
        <v>1x-short-swipe-token</v>
      </c>
      <c r="B139" s="3" t="str">
        <f>IFERROR(__xludf.DUMMYFUNCTION("""COMPUTED_VALUE"""),"sxphedge")</f>
        <v>sxphedge</v>
      </c>
      <c r="C139" s="3" t="str">
        <f>IFERROR(__xludf.DUMMYFUNCTION("""COMPUTED_VALUE"""),"1X Short Swipe")</f>
        <v>1X Short Swipe</v>
      </c>
    </row>
    <row r="140">
      <c r="A140" s="3" t="str">
        <f>IFERROR(__xludf.DUMMYFUNCTION("""COMPUTED_VALUE"""),"1x-short-tezos-token")</f>
        <v>1x-short-tezos-token</v>
      </c>
      <c r="B140" s="3" t="str">
        <f>IFERROR(__xludf.DUMMYFUNCTION("""COMPUTED_VALUE"""),"xtzhedge")</f>
        <v>xtzhedge</v>
      </c>
      <c r="C140" s="3" t="str">
        <f>IFERROR(__xludf.DUMMYFUNCTION("""COMPUTED_VALUE"""),"1X Short Tezos")</f>
        <v>1X Short Tezos</v>
      </c>
    </row>
    <row r="141">
      <c r="A141" s="3" t="str">
        <f>IFERROR(__xludf.DUMMYFUNCTION("""COMPUTED_VALUE"""),"1x-short-theta-network-token")</f>
        <v>1x-short-theta-network-token</v>
      </c>
      <c r="B141" s="3" t="str">
        <f>IFERROR(__xludf.DUMMYFUNCTION("""COMPUTED_VALUE"""),"thetahedge")</f>
        <v>thetahedge</v>
      </c>
      <c r="C141" s="3" t="str">
        <f>IFERROR(__xludf.DUMMYFUNCTION("""COMPUTED_VALUE"""),"1X Short Theta Network")</f>
        <v>1X Short Theta Network</v>
      </c>
    </row>
    <row r="142">
      <c r="A142" s="3" t="str">
        <f>IFERROR(__xludf.DUMMYFUNCTION("""COMPUTED_VALUE"""),"1x-short-tomochain-token")</f>
        <v>1x-short-tomochain-token</v>
      </c>
      <c r="B142" s="3" t="str">
        <f>IFERROR(__xludf.DUMMYFUNCTION("""COMPUTED_VALUE"""),"tomohedge")</f>
        <v>tomohedge</v>
      </c>
      <c r="C142" s="3" t="str">
        <f>IFERROR(__xludf.DUMMYFUNCTION("""COMPUTED_VALUE"""),"1X Short TomoChain")</f>
        <v>1X Short TomoChain</v>
      </c>
    </row>
    <row r="143">
      <c r="A143" s="3" t="str">
        <f>IFERROR(__xludf.DUMMYFUNCTION("""COMPUTED_VALUE"""),"1x-short-trx-token")</f>
        <v>1x-short-trx-token</v>
      </c>
      <c r="B143" s="3" t="str">
        <f>IFERROR(__xludf.DUMMYFUNCTION("""COMPUTED_VALUE"""),"trxhedge")</f>
        <v>trxhedge</v>
      </c>
      <c r="C143" s="3" t="str">
        <f>IFERROR(__xludf.DUMMYFUNCTION("""COMPUTED_VALUE"""),"1X Short TRX")</f>
        <v>1X Short TRX</v>
      </c>
    </row>
    <row r="144">
      <c r="A144" s="3" t="str">
        <f>IFERROR(__xludf.DUMMYFUNCTION("""COMPUTED_VALUE"""),"1x-short-vechain-token")</f>
        <v>1x-short-vechain-token</v>
      </c>
      <c r="B144" s="3" t="str">
        <f>IFERROR(__xludf.DUMMYFUNCTION("""COMPUTED_VALUE"""),"vethedge")</f>
        <v>vethedge</v>
      </c>
      <c r="C144" s="3" t="str">
        <f>IFERROR(__xludf.DUMMYFUNCTION("""COMPUTED_VALUE"""),"1X Short VeChain")</f>
        <v>1X Short VeChain</v>
      </c>
    </row>
    <row r="145">
      <c r="A145" s="3" t="str">
        <f>IFERROR(__xludf.DUMMYFUNCTION("""COMPUTED_VALUE"""),"1x-short-xrp-token")</f>
        <v>1x-short-xrp-token</v>
      </c>
      <c r="B145" s="3" t="str">
        <f>IFERROR(__xludf.DUMMYFUNCTION("""COMPUTED_VALUE"""),"xrphedge")</f>
        <v>xrphedge</v>
      </c>
      <c r="C145" s="3" t="str">
        <f>IFERROR(__xludf.DUMMYFUNCTION("""COMPUTED_VALUE"""),"1X Short XRP")</f>
        <v>1X Short XRP</v>
      </c>
    </row>
    <row r="146">
      <c r="A146" s="3" t="str">
        <f>IFERROR(__xludf.DUMMYFUNCTION("""COMPUTED_VALUE"""),"20200-lesure")</f>
        <v>20200-lesure</v>
      </c>
      <c r="B146" s="3" t="str">
        <f>IFERROR(__xludf.DUMMYFUNCTION("""COMPUTED_VALUE"""),"realt-s-20200-lesure-st-detroit-mi")</f>
        <v>realt-s-20200-lesure-st-detroit-mi</v>
      </c>
      <c r="C146" s="3" t="str">
        <f>IFERROR(__xludf.DUMMYFUNCTION("""COMPUTED_VALUE"""),"RealT - 20200 Lesure St, Detroit, MI 48235")</f>
        <v>RealT - 20200 Lesure St, Detroit, MI 48235</v>
      </c>
    </row>
    <row r="147">
      <c r="A147" s="3" t="str">
        <f>IFERROR(__xludf.DUMMYFUNCTION("""COMPUTED_VALUE"""),"2022moon")</f>
        <v>2022moon</v>
      </c>
      <c r="B147" s="3" t="str">
        <f>IFERROR(__xludf.DUMMYFUNCTION("""COMPUTED_VALUE"""),"2022m")</f>
        <v>2022m</v>
      </c>
      <c r="C147" s="3" t="str">
        <f>IFERROR(__xludf.DUMMYFUNCTION("""COMPUTED_VALUE"""),"2022MOON")</f>
        <v>2022MOON</v>
      </c>
    </row>
    <row r="148">
      <c r="A148" s="3" t="str">
        <f>IFERROR(__xludf.DUMMYFUNCTION("""COMPUTED_VALUE"""),"2044-nuclear-apocalypse")</f>
        <v>2044-nuclear-apocalypse</v>
      </c>
      <c r="B148" s="3" t="str">
        <f>IFERROR(__xludf.DUMMYFUNCTION("""COMPUTED_VALUE"""),"2044")</f>
        <v>2044</v>
      </c>
      <c r="C148" s="3" t="str">
        <f>IFERROR(__xludf.DUMMYFUNCTION("""COMPUTED_VALUE"""),"2044 Nuclear Apocalypse")</f>
        <v>2044 Nuclear Apocalypse</v>
      </c>
    </row>
    <row r="149">
      <c r="A149" s="3" t="str">
        <f>IFERROR(__xludf.DUMMYFUNCTION("""COMPUTED_VALUE"""),"20weth-80bal")</f>
        <v>20weth-80bal</v>
      </c>
      <c r="B149" s="3" t="str">
        <f>IFERROR(__xludf.DUMMYFUNCTION("""COMPUTED_VALUE"""),"20weth-80bal")</f>
        <v>20weth-80bal</v>
      </c>
      <c r="C149" s="3" t="str">
        <f>IFERROR(__xludf.DUMMYFUNCTION("""COMPUTED_VALUE"""),"20WETH-80BAL")</f>
        <v>20WETH-80BAL</v>
      </c>
    </row>
    <row r="150">
      <c r="A150" s="3" t="str">
        <f>IFERROR(__xludf.DUMMYFUNCTION("""COMPUTED_VALUE"""),"25097-andover")</f>
        <v>25097-andover</v>
      </c>
      <c r="B150" s="3" t="str">
        <f>IFERROR(__xludf.DUMMYFUNCTION("""COMPUTED_VALUE"""),"realt-s-25097-andover-dr-dearborn-heights-mi")</f>
        <v>realt-s-25097-andover-dr-dearborn-heights-mi</v>
      </c>
      <c r="C150" s="3" t="str">
        <f>IFERROR(__xludf.DUMMYFUNCTION("""COMPUTED_VALUE"""),"RealT - 25097 Andover Dr, Dearborn Heights, MI 48125")</f>
        <v>RealT - 25097 Andover Dr, Dearborn Heights, MI 48125</v>
      </c>
    </row>
    <row r="151">
      <c r="A151" s="3" t="str">
        <f>IFERROR(__xludf.DUMMYFUNCTION("""COMPUTED_VALUE"""),"272-n-e-42nd-court")</f>
        <v>272-n-e-42nd-court</v>
      </c>
      <c r="B151" s="3" t="str">
        <f>IFERROR(__xludf.DUMMYFUNCTION("""COMPUTED_VALUE"""),"realt-s-272-n.e.-42nd-court-deerfield-beach-fl")</f>
        <v>realt-s-272-n.e.-42nd-court-deerfield-beach-fl</v>
      </c>
      <c r="C151" s="3" t="str">
        <f>IFERROR(__xludf.DUMMYFUNCTION("""COMPUTED_VALUE"""),"RealT - 272 N.E. 42nd Court, Deerfield Beach, FL 33064")</f>
        <v>RealT - 272 N.E. 42nd Court, Deerfield Beach, FL 33064</v>
      </c>
    </row>
    <row r="152">
      <c r="A152" s="3" t="str">
        <f>IFERROR(__xludf.DUMMYFUNCTION("""COMPUTED_VALUE"""),"28vck")</f>
        <v>28vck</v>
      </c>
      <c r="B152" s="3" t="str">
        <f>IFERROR(__xludf.DUMMYFUNCTION("""COMPUTED_VALUE"""),"vck")</f>
        <v>vck</v>
      </c>
      <c r="C152" s="3" t="str">
        <f>IFERROR(__xludf.DUMMYFUNCTION("""COMPUTED_VALUE"""),"28VCK")</f>
        <v>28VCK</v>
      </c>
    </row>
    <row r="153">
      <c r="A153" s="3" t="str">
        <f>IFERROR(__xludf.DUMMYFUNCTION("""COMPUTED_VALUE"""),"2acoin")</f>
        <v>2acoin</v>
      </c>
      <c r="B153" s="3" t="str">
        <f>IFERROR(__xludf.DUMMYFUNCTION("""COMPUTED_VALUE"""),"arms")</f>
        <v>arms</v>
      </c>
      <c r="C153" s="3" t="str">
        <f>IFERROR(__xludf.DUMMYFUNCTION("""COMPUTED_VALUE"""),"2ACoin")</f>
        <v>2ACoin</v>
      </c>
    </row>
    <row r="154">
      <c r="A154" s="3" t="str">
        <f>IFERROR(__xludf.DUMMYFUNCTION("""COMPUTED_VALUE"""),"2crazynft")</f>
        <v>2crazynft</v>
      </c>
      <c r="B154" s="3" t="str">
        <f>IFERROR(__xludf.DUMMYFUNCTION("""COMPUTED_VALUE"""),"2crz")</f>
        <v>2crz</v>
      </c>
      <c r="C154" s="3" t="str">
        <f>IFERROR(__xludf.DUMMYFUNCTION("""COMPUTED_VALUE"""),"2crazyNFT")</f>
        <v>2crazyNFT</v>
      </c>
    </row>
    <row r="155">
      <c r="A155" s="3" t="str">
        <f>IFERROR(__xludf.DUMMYFUNCTION("""COMPUTED_VALUE"""),"2gather")</f>
        <v>2gather</v>
      </c>
      <c r="B155" s="3" t="str">
        <f>IFERROR(__xludf.DUMMYFUNCTION("""COMPUTED_VALUE"""),"two")</f>
        <v>two</v>
      </c>
      <c r="C155" s="3" t="str">
        <f>IFERROR(__xludf.DUMMYFUNCTION("""COMPUTED_VALUE"""),"2gather")</f>
        <v>2gather</v>
      </c>
    </row>
    <row r="156">
      <c r="A156" s="3" t="str">
        <f>IFERROR(__xludf.DUMMYFUNCTION("""COMPUTED_VALUE"""),"2g-carbon-coin")</f>
        <v>2g-carbon-coin</v>
      </c>
      <c r="B156" s="3" t="str">
        <f>IFERROR(__xludf.DUMMYFUNCTION("""COMPUTED_VALUE"""),"2gcc")</f>
        <v>2gcc</v>
      </c>
      <c r="C156" s="3" t="str">
        <f>IFERROR(__xludf.DUMMYFUNCTION("""COMPUTED_VALUE"""),"2G Carbon Coin")</f>
        <v>2G Carbon Coin</v>
      </c>
    </row>
    <row r="157">
      <c r="A157" s="3" t="str">
        <f>IFERROR(__xludf.DUMMYFUNCTION("""COMPUTED_VALUE"""),"2gether-2")</f>
        <v>2gether-2</v>
      </c>
      <c r="B157" s="3" t="str">
        <f>IFERROR(__xludf.DUMMYFUNCTION("""COMPUTED_VALUE"""),"2gt")</f>
        <v>2gt</v>
      </c>
      <c r="C157" s="3" t="str">
        <f>IFERROR(__xludf.DUMMYFUNCTION("""COMPUTED_VALUE"""),"2gether")</f>
        <v>2gether</v>
      </c>
    </row>
    <row r="158">
      <c r="A158" s="3" t="str">
        <f>IFERROR(__xludf.DUMMYFUNCTION("""COMPUTED_VALUE"""),"2key")</f>
        <v>2key</v>
      </c>
      <c r="B158" s="3" t="str">
        <f>IFERROR(__xludf.DUMMYFUNCTION("""COMPUTED_VALUE"""),"2key")</f>
        <v>2key</v>
      </c>
      <c r="C158" s="3" t="str">
        <f>IFERROR(__xludf.DUMMYFUNCTION("""COMPUTED_VALUE"""),"2key.network")</f>
        <v>2key.network</v>
      </c>
    </row>
    <row r="159">
      <c r="A159" s="3" t="str">
        <f>IFERROR(__xludf.DUMMYFUNCTION("""COMPUTED_VALUE"""),"2local-2")</f>
        <v>2local-2</v>
      </c>
      <c r="B159" s="3" t="str">
        <f>IFERROR(__xludf.DUMMYFUNCTION("""COMPUTED_VALUE"""),"2lc")</f>
        <v>2lc</v>
      </c>
      <c r="C159" s="3" t="str">
        <f>IFERROR(__xludf.DUMMYFUNCTION("""COMPUTED_VALUE"""),"2local")</f>
        <v>2local</v>
      </c>
    </row>
    <row r="160">
      <c r="A160" s="3" t="str">
        <f>IFERROR(__xludf.DUMMYFUNCTION("""COMPUTED_VALUE"""),"2omb-finance")</f>
        <v>2omb-finance</v>
      </c>
      <c r="B160" s="3" t="str">
        <f>IFERROR(__xludf.DUMMYFUNCTION("""COMPUTED_VALUE"""),"2omb")</f>
        <v>2omb</v>
      </c>
      <c r="C160" s="3" t="str">
        <f>IFERROR(__xludf.DUMMYFUNCTION("""COMPUTED_VALUE"""),"2omb")</f>
        <v>2omb</v>
      </c>
    </row>
    <row r="161">
      <c r="A161" s="3" t="str">
        <f>IFERROR(__xludf.DUMMYFUNCTION("""COMPUTED_VALUE"""),"2share")</f>
        <v>2share</v>
      </c>
      <c r="B161" s="3" t="str">
        <f>IFERROR(__xludf.DUMMYFUNCTION("""COMPUTED_VALUE"""),"2shares")</f>
        <v>2shares</v>
      </c>
      <c r="C161" s="3" t="str">
        <f>IFERROR(__xludf.DUMMYFUNCTION("""COMPUTED_VALUE"""),"2SHARE")</f>
        <v>2SHARE</v>
      </c>
    </row>
    <row r="162">
      <c r="A162" s="3" t="str">
        <f>IFERROR(__xludf.DUMMYFUNCTION("""COMPUTED_VALUE"""),"300fit")</f>
        <v>300fit</v>
      </c>
      <c r="B162" s="3" t="str">
        <f>IFERROR(__xludf.DUMMYFUNCTION("""COMPUTED_VALUE"""),"fit")</f>
        <v>fit</v>
      </c>
      <c r="C162" s="3" t="str">
        <f>IFERROR(__xludf.DUMMYFUNCTION("""COMPUTED_VALUE"""),"300FIT")</f>
        <v>300FIT</v>
      </c>
    </row>
    <row r="163">
      <c r="A163" s="3" t="str">
        <f>IFERROR(__xludf.DUMMYFUNCTION("""COMPUTED_VALUE"""),"30mb-token")</f>
        <v>30mb-token</v>
      </c>
      <c r="B163" s="3" t="str">
        <f>IFERROR(__xludf.DUMMYFUNCTION("""COMPUTED_VALUE"""),"3omb")</f>
        <v>3omb</v>
      </c>
      <c r="C163" s="3" t="str">
        <f>IFERROR(__xludf.DUMMYFUNCTION("""COMPUTED_VALUE"""),"3OMB")</f>
        <v>3OMB</v>
      </c>
    </row>
    <row r="164">
      <c r="A164" s="3" t="str">
        <f>IFERROR(__xludf.DUMMYFUNCTION("""COMPUTED_VALUE"""),"37protocol")</f>
        <v>37protocol</v>
      </c>
      <c r="B164" s="3" t="str">
        <f>IFERROR(__xludf.DUMMYFUNCTION("""COMPUTED_VALUE"""),"37c")</f>
        <v>37c</v>
      </c>
      <c r="C164" s="3" t="str">
        <f>IFERROR(__xludf.DUMMYFUNCTION("""COMPUTED_VALUE"""),"37Protocol")</f>
        <v>37Protocol</v>
      </c>
    </row>
    <row r="165">
      <c r="A165" s="3" t="str">
        <f>IFERROR(__xludf.DUMMYFUNCTION("""COMPUTED_VALUE"""),"3air")</f>
        <v>3air</v>
      </c>
      <c r="B165" s="3" t="str">
        <f>IFERROR(__xludf.DUMMYFUNCTION("""COMPUTED_VALUE"""),"3air")</f>
        <v>3air</v>
      </c>
      <c r="C165" s="3" t="str">
        <f>IFERROR(__xludf.DUMMYFUNCTION("""COMPUTED_VALUE"""),"3air")</f>
        <v>3air</v>
      </c>
    </row>
    <row r="166">
      <c r="A166" s="3" t="str">
        <f>IFERROR(__xludf.DUMMYFUNCTION("""COMPUTED_VALUE"""),"3gg")</f>
        <v>3gg</v>
      </c>
      <c r="B166" s="3" t="str">
        <f>IFERROR(__xludf.DUMMYFUNCTION("""COMPUTED_VALUE"""),"3gg")</f>
        <v>3gg</v>
      </c>
      <c r="C166" s="3" t="str">
        <f>IFERROR(__xludf.DUMMYFUNCTION("""COMPUTED_VALUE"""),"3gg")</f>
        <v>3gg</v>
      </c>
    </row>
    <row r="167">
      <c r="A167" s="3" t="str">
        <f>IFERROR(__xludf.DUMMYFUNCTION("""COMPUTED_VALUE"""),"3qt")</f>
        <v>3qt</v>
      </c>
      <c r="B167" s="3" t="str">
        <f>IFERROR(__xludf.DUMMYFUNCTION("""COMPUTED_VALUE"""),"3qt")</f>
        <v>3qt</v>
      </c>
      <c r="C167" s="3" t="str">
        <f>IFERROR(__xludf.DUMMYFUNCTION("""COMPUTED_VALUE"""),"3QT")</f>
        <v>3QT</v>
      </c>
    </row>
    <row r="168">
      <c r="A168" s="3" t="str">
        <f>IFERROR(__xludf.DUMMYFUNCTION("""COMPUTED_VALUE"""),"3shares")</f>
        <v>3shares</v>
      </c>
      <c r="B168" s="3" t="str">
        <f>IFERROR(__xludf.DUMMYFUNCTION("""COMPUTED_VALUE"""),"3share")</f>
        <v>3share</v>
      </c>
      <c r="C168" s="3" t="str">
        <f>IFERROR(__xludf.DUMMYFUNCTION("""COMPUTED_VALUE"""),"3Share")</f>
        <v>3Share</v>
      </c>
    </row>
    <row r="169">
      <c r="A169" s="3" t="str">
        <f>IFERROR(__xludf.DUMMYFUNCTION("""COMPUTED_VALUE"""),"3xcalibur")</f>
        <v>3xcalibur</v>
      </c>
      <c r="B169" s="3" t="str">
        <f>IFERROR(__xludf.DUMMYFUNCTION("""COMPUTED_VALUE"""),"xcal")</f>
        <v>xcal</v>
      </c>
      <c r="C169" s="3" t="str">
        <f>IFERROR(__xludf.DUMMYFUNCTION("""COMPUTED_VALUE"""),"3xcalibur")</f>
        <v>3xcalibur</v>
      </c>
    </row>
    <row r="170">
      <c r="A170" s="3" t="str">
        <f>IFERROR(__xludf.DUMMYFUNCTION("""COMPUTED_VALUE"""),"3x-long-altcoin-index-token")</f>
        <v>3x-long-altcoin-index-token</v>
      </c>
      <c r="B170" s="3" t="str">
        <f>IFERROR(__xludf.DUMMYFUNCTION("""COMPUTED_VALUE"""),"altbull")</f>
        <v>altbull</v>
      </c>
      <c r="C170" s="3" t="str">
        <f>IFERROR(__xludf.DUMMYFUNCTION("""COMPUTED_VALUE"""),"3X Long Altcoin Index Token")</f>
        <v>3X Long Altcoin Index Token</v>
      </c>
    </row>
    <row r="171">
      <c r="A171" s="3" t="str">
        <f>IFERROR(__xludf.DUMMYFUNCTION("""COMPUTED_VALUE"""),"3x-long-balancer-token")</f>
        <v>3x-long-balancer-token</v>
      </c>
      <c r="B171" s="3" t="str">
        <f>IFERROR(__xludf.DUMMYFUNCTION("""COMPUTED_VALUE"""),"balbull")</f>
        <v>balbull</v>
      </c>
      <c r="C171" s="3" t="str">
        <f>IFERROR(__xludf.DUMMYFUNCTION("""COMPUTED_VALUE"""),"3X Long Balancer")</f>
        <v>3X Long Balancer</v>
      </c>
    </row>
    <row r="172">
      <c r="A172" s="3" t="str">
        <f>IFERROR(__xludf.DUMMYFUNCTION("""COMPUTED_VALUE"""),"3x-long-bilira-token")</f>
        <v>3x-long-bilira-token</v>
      </c>
      <c r="B172" s="3" t="str">
        <f>IFERROR(__xludf.DUMMYFUNCTION("""COMPUTED_VALUE"""),"trybbull")</f>
        <v>trybbull</v>
      </c>
      <c r="C172" s="3" t="str">
        <f>IFERROR(__xludf.DUMMYFUNCTION("""COMPUTED_VALUE"""),"3X Long BiLira Token")</f>
        <v>3X Long BiLira Token</v>
      </c>
    </row>
    <row r="173">
      <c r="A173" s="3" t="str">
        <f>IFERROR(__xludf.DUMMYFUNCTION("""COMPUTED_VALUE"""),"3x-long-bitcoin-cash-token")</f>
        <v>3x-long-bitcoin-cash-token</v>
      </c>
      <c r="B173" s="3" t="str">
        <f>IFERROR(__xludf.DUMMYFUNCTION("""COMPUTED_VALUE"""),"bchbull")</f>
        <v>bchbull</v>
      </c>
      <c r="C173" s="3" t="str">
        <f>IFERROR(__xludf.DUMMYFUNCTION("""COMPUTED_VALUE"""),"3X Long Bitcoin Cash Token")</f>
        <v>3X Long Bitcoin Cash Token</v>
      </c>
    </row>
    <row r="174">
      <c r="A174" s="3" t="str">
        <f>IFERROR(__xludf.DUMMYFUNCTION("""COMPUTED_VALUE"""),"3x-long-bitcoin-sv-token")</f>
        <v>3x-long-bitcoin-sv-token</v>
      </c>
      <c r="B174" s="3" t="str">
        <f>IFERROR(__xludf.DUMMYFUNCTION("""COMPUTED_VALUE"""),"bsvbull")</f>
        <v>bsvbull</v>
      </c>
      <c r="C174" s="3" t="str">
        <f>IFERROR(__xludf.DUMMYFUNCTION("""COMPUTED_VALUE"""),"3X Long Bitcoin SV Token")</f>
        <v>3X Long Bitcoin SV Token</v>
      </c>
    </row>
    <row r="175">
      <c r="A175" s="3" t="str">
        <f>IFERROR(__xludf.DUMMYFUNCTION("""COMPUTED_VALUE"""),"3x-long-bitcoin-token")</f>
        <v>3x-long-bitcoin-token</v>
      </c>
      <c r="B175" s="3" t="str">
        <f>IFERROR(__xludf.DUMMYFUNCTION("""COMPUTED_VALUE"""),"bull")</f>
        <v>bull</v>
      </c>
      <c r="C175" s="3" t="str">
        <f>IFERROR(__xludf.DUMMYFUNCTION("""COMPUTED_VALUE"""),"3X Long Bitcoin Token")</f>
        <v>3X Long Bitcoin Token</v>
      </c>
    </row>
    <row r="176">
      <c r="A176" s="3" t="str">
        <f>IFERROR(__xludf.DUMMYFUNCTION("""COMPUTED_VALUE"""),"3x-long-bnb-token")</f>
        <v>3x-long-bnb-token</v>
      </c>
      <c r="B176" s="3" t="str">
        <f>IFERROR(__xludf.DUMMYFUNCTION("""COMPUTED_VALUE"""),"bnbbull")</f>
        <v>bnbbull</v>
      </c>
      <c r="C176" s="3" t="str">
        <f>IFERROR(__xludf.DUMMYFUNCTION("""COMPUTED_VALUE"""),"3X Long BNB Token")</f>
        <v>3X Long BNB Token</v>
      </c>
    </row>
    <row r="177">
      <c r="A177" s="3" t="str">
        <f>IFERROR(__xludf.DUMMYFUNCTION("""COMPUTED_VALUE"""),"3x-long-cardano-token")</f>
        <v>3x-long-cardano-token</v>
      </c>
      <c r="B177" s="3" t="str">
        <f>IFERROR(__xludf.DUMMYFUNCTION("""COMPUTED_VALUE"""),"adabull")</f>
        <v>adabull</v>
      </c>
      <c r="C177" s="3" t="str">
        <f>IFERROR(__xludf.DUMMYFUNCTION("""COMPUTED_VALUE"""),"3X Long Cardano Token")</f>
        <v>3X Long Cardano Token</v>
      </c>
    </row>
    <row r="178">
      <c r="A178" s="3" t="str">
        <f>IFERROR(__xludf.DUMMYFUNCTION("""COMPUTED_VALUE"""),"3x-long-chainlink-token")</f>
        <v>3x-long-chainlink-token</v>
      </c>
      <c r="B178" s="3" t="str">
        <f>IFERROR(__xludf.DUMMYFUNCTION("""COMPUTED_VALUE"""),"linkbull")</f>
        <v>linkbull</v>
      </c>
      <c r="C178" s="3" t="str">
        <f>IFERROR(__xludf.DUMMYFUNCTION("""COMPUTED_VALUE"""),"3X Long Chainlink Token")</f>
        <v>3X Long Chainlink Token</v>
      </c>
    </row>
    <row r="179">
      <c r="A179" s="3" t="str">
        <f>IFERROR(__xludf.DUMMYFUNCTION("""COMPUTED_VALUE"""),"3x-long-compound-token-token")</f>
        <v>3x-long-compound-token-token</v>
      </c>
      <c r="B179" s="3" t="str">
        <f>IFERROR(__xludf.DUMMYFUNCTION("""COMPUTED_VALUE"""),"compbull")</f>
        <v>compbull</v>
      </c>
      <c r="C179" s="3" t="str">
        <f>IFERROR(__xludf.DUMMYFUNCTION("""COMPUTED_VALUE"""),"3X Long Compound")</f>
        <v>3X Long Compound</v>
      </c>
    </row>
    <row r="180">
      <c r="A180" s="3" t="str">
        <f>IFERROR(__xludf.DUMMYFUNCTION("""COMPUTED_VALUE"""),"3x-long-cosmos-token")</f>
        <v>3x-long-cosmos-token</v>
      </c>
      <c r="B180" s="3" t="str">
        <f>IFERROR(__xludf.DUMMYFUNCTION("""COMPUTED_VALUE"""),"atombull")</f>
        <v>atombull</v>
      </c>
      <c r="C180" s="3" t="str">
        <f>IFERROR(__xludf.DUMMYFUNCTION("""COMPUTED_VALUE"""),"3X Long Cosmos Token")</f>
        <v>3X Long Cosmos Token</v>
      </c>
    </row>
    <row r="181">
      <c r="A181" s="3" t="str">
        <f>IFERROR(__xludf.DUMMYFUNCTION("""COMPUTED_VALUE"""),"3x-long-defi-index-token")</f>
        <v>3x-long-defi-index-token</v>
      </c>
      <c r="B181" s="3" t="str">
        <f>IFERROR(__xludf.DUMMYFUNCTION("""COMPUTED_VALUE"""),"defibull")</f>
        <v>defibull</v>
      </c>
      <c r="C181" s="3" t="str">
        <f>IFERROR(__xludf.DUMMYFUNCTION("""COMPUTED_VALUE"""),"3X Long DeFi Index")</f>
        <v>3X Long DeFi Index</v>
      </c>
    </row>
    <row r="182">
      <c r="A182" s="3" t="str">
        <f>IFERROR(__xludf.DUMMYFUNCTION("""COMPUTED_VALUE"""),"3x-long-dogecoin-token")</f>
        <v>3x-long-dogecoin-token</v>
      </c>
      <c r="B182" s="3" t="str">
        <f>IFERROR(__xludf.DUMMYFUNCTION("""COMPUTED_VALUE"""),"dogebull")</f>
        <v>dogebull</v>
      </c>
      <c r="C182" s="3" t="str">
        <f>IFERROR(__xludf.DUMMYFUNCTION("""COMPUTED_VALUE"""),"3X Long Dogecoin Token")</f>
        <v>3X Long Dogecoin Token</v>
      </c>
    </row>
    <row r="183">
      <c r="A183" s="3" t="str">
        <f>IFERROR(__xludf.DUMMYFUNCTION("""COMPUTED_VALUE"""),"3x-long-dragon-index-token")</f>
        <v>3x-long-dragon-index-token</v>
      </c>
      <c r="B183" s="3" t="str">
        <f>IFERROR(__xludf.DUMMYFUNCTION("""COMPUTED_VALUE"""),"drgnbull")</f>
        <v>drgnbull</v>
      </c>
      <c r="C183" s="3" t="str">
        <f>IFERROR(__xludf.DUMMYFUNCTION("""COMPUTED_VALUE"""),"3X Long Dragon Index Token")</f>
        <v>3X Long Dragon Index Token</v>
      </c>
    </row>
    <row r="184">
      <c r="A184" s="3" t="str">
        <f>IFERROR(__xludf.DUMMYFUNCTION("""COMPUTED_VALUE"""),"3x-long-eos-token")</f>
        <v>3x-long-eos-token</v>
      </c>
      <c r="B184" s="3" t="str">
        <f>IFERROR(__xludf.DUMMYFUNCTION("""COMPUTED_VALUE"""),"eosbull")</f>
        <v>eosbull</v>
      </c>
      <c r="C184" s="3" t="str">
        <f>IFERROR(__xludf.DUMMYFUNCTION("""COMPUTED_VALUE"""),"3X Long EOS Token")</f>
        <v>3X Long EOS Token</v>
      </c>
    </row>
    <row r="185">
      <c r="A185" s="3" t="str">
        <f>IFERROR(__xludf.DUMMYFUNCTION("""COMPUTED_VALUE"""),"3x-long-ethereum-classic-token")</f>
        <v>3x-long-ethereum-classic-token</v>
      </c>
      <c r="B185" s="3" t="str">
        <f>IFERROR(__xludf.DUMMYFUNCTION("""COMPUTED_VALUE"""),"etcbull")</f>
        <v>etcbull</v>
      </c>
      <c r="C185" s="3" t="str">
        <f>IFERROR(__xludf.DUMMYFUNCTION("""COMPUTED_VALUE"""),"3X Long Ethereum Classic Token")</f>
        <v>3X Long Ethereum Classic Token</v>
      </c>
    </row>
    <row r="186">
      <c r="A186" s="3" t="str">
        <f>IFERROR(__xludf.DUMMYFUNCTION("""COMPUTED_VALUE"""),"3x-long-ethereum-token")</f>
        <v>3x-long-ethereum-token</v>
      </c>
      <c r="B186" s="3" t="str">
        <f>IFERROR(__xludf.DUMMYFUNCTION("""COMPUTED_VALUE"""),"ethbull")</f>
        <v>ethbull</v>
      </c>
      <c r="C186" s="3" t="str">
        <f>IFERROR(__xludf.DUMMYFUNCTION("""COMPUTED_VALUE"""),"3X Long Ethereum Token")</f>
        <v>3X Long Ethereum Token</v>
      </c>
    </row>
    <row r="187">
      <c r="A187" s="3" t="str">
        <f>IFERROR(__xludf.DUMMYFUNCTION("""COMPUTED_VALUE"""),"3x-long-exchange-token-index-token")</f>
        <v>3x-long-exchange-token-index-token</v>
      </c>
      <c r="B187" s="3" t="str">
        <f>IFERROR(__xludf.DUMMYFUNCTION("""COMPUTED_VALUE"""),"exchbull")</f>
        <v>exchbull</v>
      </c>
      <c r="C187" s="3" t="str">
        <f>IFERROR(__xludf.DUMMYFUNCTION("""COMPUTED_VALUE"""),"3X Long Exchange Token Index Token")</f>
        <v>3X Long Exchange Token Index Token</v>
      </c>
    </row>
    <row r="188">
      <c r="A188" s="3" t="str">
        <f>IFERROR(__xludf.DUMMYFUNCTION("""COMPUTED_VALUE"""),"3x-long-huobi-token-token")</f>
        <v>3x-long-huobi-token-token</v>
      </c>
      <c r="B188" s="3" t="str">
        <f>IFERROR(__xludf.DUMMYFUNCTION("""COMPUTED_VALUE"""),"htbull")</f>
        <v>htbull</v>
      </c>
      <c r="C188" s="3" t="str">
        <f>IFERROR(__xludf.DUMMYFUNCTION("""COMPUTED_VALUE"""),"3X Long Huobi Token Token")</f>
        <v>3X Long Huobi Token Token</v>
      </c>
    </row>
    <row r="189">
      <c r="A189" s="3" t="str">
        <f>IFERROR(__xludf.DUMMYFUNCTION("""COMPUTED_VALUE"""),"3x-long-kyber-network-token")</f>
        <v>3x-long-kyber-network-token</v>
      </c>
      <c r="B189" s="3" t="str">
        <f>IFERROR(__xludf.DUMMYFUNCTION("""COMPUTED_VALUE"""),"kncbull")</f>
        <v>kncbull</v>
      </c>
      <c r="C189" s="3" t="str">
        <f>IFERROR(__xludf.DUMMYFUNCTION("""COMPUTED_VALUE"""),"3X Long Kyber Network")</f>
        <v>3X Long Kyber Network</v>
      </c>
    </row>
    <row r="190">
      <c r="A190" s="3" t="str">
        <f>IFERROR(__xludf.DUMMYFUNCTION("""COMPUTED_VALUE"""),"3x-long-leo-token")</f>
        <v>3x-long-leo-token</v>
      </c>
      <c r="B190" s="3" t="str">
        <f>IFERROR(__xludf.DUMMYFUNCTION("""COMPUTED_VALUE"""),"leobull")</f>
        <v>leobull</v>
      </c>
      <c r="C190" s="3" t="str">
        <f>IFERROR(__xludf.DUMMYFUNCTION("""COMPUTED_VALUE"""),"3X Long LEO Token")</f>
        <v>3X Long LEO Token</v>
      </c>
    </row>
    <row r="191">
      <c r="A191" s="3" t="str">
        <f>IFERROR(__xludf.DUMMYFUNCTION("""COMPUTED_VALUE"""),"3x-long-litecoin-token")</f>
        <v>3x-long-litecoin-token</v>
      </c>
      <c r="B191" s="3" t="str">
        <f>IFERROR(__xludf.DUMMYFUNCTION("""COMPUTED_VALUE"""),"ltcbull")</f>
        <v>ltcbull</v>
      </c>
      <c r="C191" s="3" t="str">
        <f>IFERROR(__xludf.DUMMYFUNCTION("""COMPUTED_VALUE"""),"3X Long Litecoin Token")</f>
        <v>3X Long Litecoin Token</v>
      </c>
    </row>
    <row r="192">
      <c r="A192" s="3" t="str">
        <f>IFERROR(__xludf.DUMMYFUNCTION("""COMPUTED_VALUE"""),"3x-long-maker-token")</f>
        <v>3x-long-maker-token</v>
      </c>
      <c r="B192" s="3" t="str">
        <f>IFERROR(__xludf.DUMMYFUNCTION("""COMPUTED_VALUE"""),"mkrbull")</f>
        <v>mkrbull</v>
      </c>
      <c r="C192" s="3" t="str">
        <f>IFERROR(__xludf.DUMMYFUNCTION("""COMPUTED_VALUE"""),"3X Long Maker")</f>
        <v>3X Long Maker</v>
      </c>
    </row>
    <row r="193">
      <c r="A193" s="3" t="str">
        <f>IFERROR(__xludf.DUMMYFUNCTION("""COMPUTED_VALUE"""),"3x-long-matic-token")</f>
        <v>3x-long-matic-token</v>
      </c>
      <c r="B193" s="3" t="str">
        <f>IFERROR(__xludf.DUMMYFUNCTION("""COMPUTED_VALUE"""),"maticbull")</f>
        <v>maticbull</v>
      </c>
      <c r="C193" s="3" t="str">
        <f>IFERROR(__xludf.DUMMYFUNCTION("""COMPUTED_VALUE"""),"3X Long Matic Token")</f>
        <v>3X Long Matic Token</v>
      </c>
    </row>
    <row r="194">
      <c r="A194" s="3" t="str">
        <f>IFERROR(__xludf.DUMMYFUNCTION("""COMPUTED_VALUE"""),"3x-long-midcap-index-token")</f>
        <v>3x-long-midcap-index-token</v>
      </c>
      <c r="B194" s="3" t="str">
        <f>IFERROR(__xludf.DUMMYFUNCTION("""COMPUTED_VALUE"""),"midbull")</f>
        <v>midbull</v>
      </c>
      <c r="C194" s="3" t="str">
        <f>IFERROR(__xludf.DUMMYFUNCTION("""COMPUTED_VALUE"""),"3X Long Midcap Index Token")</f>
        <v>3X Long Midcap Index Token</v>
      </c>
    </row>
    <row r="195">
      <c r="A195" s="3" t="str">
        <f>IFERROR(__xludf.DUMMYFUNCTION("""COMPUTED_VALUE"""),"3x-long-okb-token")</f>
        <v>3x-long-okb-token</v>
      </c>
      <c r="B195" s="3" t="str">
        <f>IFERROR(__xludf.DUMMYFUNCTION("""COMPUTED_VALUE"""),"okbbull")</f>
        <v>okbbull</v>
      </c>
      <c r="C195" s="3" t="str">
        <f>IFERROR(__xludf.DUMMYFUNCTION("""COMPUTED_VALUE"""),"3X Long OKB Token")</f>
        <v>3X Long OKB Token</v>
      </c>
    </row>
    <row r="196">
      <c r="A196" s="3" t="str">
        <f>IFERROR(__xludf.DUMMYFUNCTION("""COMPUTED_VALUE"""),"3x-long-pax-gold-token")</f>
        <v>3x-long-pax-gold-token</v>
      </c>
      <c r="B196" s="3" t="str">
        <f>IFERROR(__xludf.DUMMYFUNCTION("""COMPUTED_VALUE"""),"paxgbull")</f>
        <v>paxgbull</v>
      </c>
      <c r="C196" s="3" t="str">
        <f>IFERROR(__xludf.DUMMYFUNCTION("""COMPUTED_VALUE"""),"3X Long PAX Gold Token")</f>
        <v>3X Long PAX Gold Token</v>
      </c>
    </row>
    <row r="197">
      <c r="A197" s="3" t="str">
        <f>IFERROR(__xludf.DUMMYFUNCTION("""COMPUTED_VALUE"""),"3x-long-privacy-index-token")</f>
        <v>3x-long-privacy-index-token</v>
      </c>
      <c r="B197" s="3" t="str">
        <f>IFERROR(__xludf.DUMMYFUNCTION("""COMPUTED_VALUE"""),"privbull")</f>
        <v>privbull</v>
      </c>
      <c r="C197" s="3" t="str">
        <f>IFERROR(__xludf.DUMMYFUNCTION("""COMPUTED_VALUE"""),"3X Long Privacy Index")</f>
        <v>3X Long Privacy Index</v>
      </c>
    </row>
    <row r="198">
      <c r="A198" s="3" t="str">
        <f>IFERROR(__xludf.DUMMYFUNCTION("""COMPUTED_VALUE"""),"3x-long-shitcoin-index-token")</f>
        <v>3x-long-shitcoin-index-token</v>
      </c>
      <c r="B198" s="3" t="str">
        <f>IFERROR(__xludf.DUMMYFUNCTION("""COMPUTED_VALUE"""),"bullshit")</f>
        <v>bullshit</v>
      </c>
      <c r="C198" s="3" t="str">
        <f>IFERROR(__xludf.DUMMYFUNCTION("""COMPUTED_VALUE"""),"3X Long Shitcoin Index Token")</f>
        <v>3X Long Shitcoin Index Token</v>
      </c>
    </row>
    <row r="199">
      <c r="A199" s="3" t="str">
        <f>IFERROR(__xludf.DUMMYFUNCTION("""COMPUTED_VALUE"""),"3x-long-stellar-token")</f>
        <v>3x-long-stellar-token</v>
      </c>
      <c r="B199" s="3" t="str">
        <f>IFERROR(__xludf.DUMMYFUNCTION("""COMPUTED_VALUE"""),"xlmbull")</f>
        <v>xlmbull</v>
      </c>
      <c r="C199" s="3" t="str">
        <f>IFERROR(__xludf.DUMMYFUNCTION("""COMPUTED_VALUE"""),"3X Long Stellar")</f>
        <v>3X Long Stellar</v>
      </c>
    </row>
    <row r="200">
      <c r="A200" s="3" t="str">
        <f>IFERROR(__xludf.DUMMYFUNCTION("""COMPUTED_VALUE"""),"3x-long-swipe-token")</f>
        <v>3x-long-swipe-token</v>
      </c>
      <c r="B200" s="3" t="str">
        <f>IFERROR(__xludf.DUMMYFUNCTION("""COMPUTED_VALUE"""),"sxpbull")</f>
        <v>sxpbull</v>
      </c>
      <c r="C200" s="3" t="str">
        <f>IFERROR(__xludf.DUMMYFUNCTION("""COMPUTED_VALUE"""),"3X Long Swipe Token")</f>
        <v>3X Long Swipe Token</v>
      </c>
    </row>
    <row r="201">
      <c r="A201" s="3" t="str">
        <f>IFERROR(__xludf.DUMMYFUNCTION("""COMPUTED_VALUE"""),"3x-long-tether-gold-token")</f>
        <v>3x-long-tether-gold-token</v>
      </c>
      <c r="B201" s="3" t="str">
        <f>IFERROR(__xludf.DUMMYFUNCTION("""COMPUTED_VALUE"""),"xautbull")</f>
        <v>xautbull</v>
      </c>
      <c r="C201" s="3" t="str">
        <f>IFERROR(__xludf.DUMMYFUNCTION("""COMPUTED_VALUE"""),"3X Long Tether Gold Token")</f>
        <v>3X Long Tether Gold Token</v>
      </c>
    </row>
    <row r="202">
      <c r="A202" s="3" t="str">
        <f>IFERROR(__xludf.DUMMYFUNCTION("""COMPUTED_VALUE"""),"3x-long-tether-token")</f>
        <v>3x-long-tether-token</v>
      </c>
      <c r="B202" s="3" t="str">
        <f>IFERROR(__xludf.DUMMYFUNCTION("""COMPUTED_VALUE"""),"usdtbull")</f>
        <v>usdtbull</v>
      </c>
      <c r="C202" s="3" t="str">
        <f>IFERROR(__xludf.DUMMYFUNCTION("""COMPUTED_VALUE"""),"3X Long Tether Token")</f>
        <v>3X Long Tether Token</v>
      </c>
    </row>
    <row r="203">
      <c r="A203" s="3" t="str">
        <f>IFERROR(__xludf.DUMMYFUNCTION("""COMPUTED_VALUE"""),"3x-long-tezos-token")</f>
        <v>3x-long-tezos-token</v>
      </c>
      <c r="B203" s="3" t="str">
        <f>IFERROR(__xludf.DUMMYFUNCTION("""COMPUTED_VALUE"""),"xtzbull")</f>
        <v>xtzbull</v>
      </c>
      <c r="C203" s="3" t="str">
        <f>IFERROR(__xludf.DUMMYFUNCTION("""COMPUTED_VALUE"""),"3X Long Tezos Token")</f>
        <v>3X Long Tezos Token</v>
      </c>
    </row>
    <row r="204">
      <c r="A204" s="3" t="str">
        <f>IFERROR(__xludf.DUMMYFUNCTION("""COMPUTED_VALUE"""),"3x-long-theta-network-token")</f>
        <v>3x-long-theta-network-token</v>
      </c>
      <c r="B204" s="3" t="str">
        <f>IFERROR(__xludf.DUMMYFUNCTION("""COMPUTED_VALUE"""),"thetabull")</f>
        <v>thetabull</v>
      </c>
      <c r="C204" s="3" t="str">
        <f>IFERROR(__xludf.DUMMYFUNCTION("""COMPUTED_VALUE"""),"3X Long Theta Network")</f>
        <v>3X Long Theta Network</v>
      </c>
    </row>
    <row r="205">
      <c r="A205" s="3" t="str">
        <f>IFERROR(__xludf.DUMMYFUNCTION("""COMPUTED_VALUE"""),"3x-long-tomochain-token")</f>
        <v>3x-long-tomochain-token</v>
      </c>
      <c r="B205" s="3" t="str">
        <f>IFERROR(__xludf.DUMMYFUNCTION("""COMPUTED_VALUE"""),"tomobull")</f>
        <v>tomobull</v>
      </c>
      <c r="C205" s="3" t="str">
        <f>IFERROR(__xludf.DUMMYFUNCTION("""COMPUTED_VALUE"""),"3X Long TomoChain Token")</f>
        <v>3X Long TomoChain Token</v>
      </c>
    </row>
    <row r="206">
      <c r="A206" s="3" t="str">
        <f>IFERROR(__xludf.DUMMYFUNCTION("""COMPUTED_VALUE"""),"3x-long-trx-token")</f>
        <v>3x-long-trx-token</v>
      </c>
      <c r="B206" s="3" t="str">
        <f>IFERROR(__xludf.DUMMYFUNCTION("""COMPUTED_VALUE"""),"trxbull")</f>
        <v>trxbull</v>
      </c>
      <c r="C206" s="3" t="str">
        <f>IFERROR(__xludf.DUMMYFUNCTION("""COMPUTED_VALUE"""),"3X Long TRX Token")</f>
        <v>3X Long TRX Token</v>
      </c>
    </row>
    <row r="207">
      <c r="A207" s="3" t="str">
        <f>IFERROR(__xludf.DUMMYFUNCTION("""COMPUTED_VALUE"""),"3x-long-vechain-token")</f>
        <v>3x-long-vechain-token</v>
      </c>
      <c r="B207" s="3" t="str">
        <f>IFERROR(__xludf.DUMMYFUNCTION("""COMPUTED_VALUE"""),"vetbull")</f>
        <v>vetbull</v>
      </c>
      <c r="C207" s="3" t="str">
        <f>IFERROR(__xludf.DUMMYFUNCTION("""COMPUTED_VALUE"""),"3X Long VeChain")</f>
        <v>3X Long VeChain</v>
      </c>
    </row>
    <row r="208">
      <c r="A208" s="3" t="str">
        <f>IFERROR(__xludf.DUMMYFUNCTION("""COMPUTED_VALUE"""),"3x-long-xrp-token")</f>
        <v>3x-long-xrp-token</v>
      </c>
      <c r="B208" s="3" t="str">
        <f>IFERROR(__xludf.DUMMYFUNCTION("""COMPUTED_VALUE"""),"xrpbull")</f>
        <v>xrpbull</v>
      </c>
      <c r="C208" s="3" t="str">
        <f>IFERROR(__xludf.DUMMYFUNCTION("""COMPUTED_VALUE"""),"3X Long XRP Token")</f>
        <v>3X Long XRP Token</v>
      </c>
    </row>
    <row r="209">
      <c r="A209" s="3" t="str">
        <f>IFERROR(__xludf.DUMMYFUNCTION("""COMPUTED_VALUE"""),"3x-long-zcash-token")</f>
        <v>3x-long-zcash-token</v>
      </c>
      <c r="B209" s="3" t="str">
        <f>IFERROR(__xludf.DUMMYFUNCTION("""COMPUTED_VALUE"""),"zecbull")</f>
        <v>zecbull</v>
      </c>
      <c r="C209" s="3" t="str">
        <f>IFERROR(__xludf.DUMMYFUNCTION("""COMPUTED_VALUE"""),"3X Long Zcash")</f>
        <v>3X Long Zcash</v>
      </c>
    </row>
    <row r="210">
      <c r="A210" s="3" t="str">
        <f>IFERROR(__xludf.DUMMYFUNCTION("""COMPUTED_VALUE"""),"3x-short-altcoin-index-token")</f>
        <v>3x-short-altcoin-index-token</v>
      </c>
      <c r="B210" s="3" t="str">
        <f>IFERROR(__xludf.DUMMYFUNCTION("""COMPUTED_VALUE"""),"altbear")</f>
        <v>altbear</v>
      </c>
      <c r="C210" s="3" t="str">
        <f>IFERROR(__xludf.DUMMYFUNCTION("""COMPUTED_VALUE"""),"3X Short Altcoin Index Token")</f>
        <v>3X Short Altcoin Index Token</v>
      </c>
    </row>
    <row r="211">
      <c r="A211" s="3" t="str">
        <f>IFERROR(__xludf.DUMMYFUNCTION("""COMPUTED_VALUE"""),"3x-short-balancer-token")</f>
        <v>3x-short-balancer-token</v>
      </c>
      <c r="B211" s="3" t="str">
        <f>IFERROR(__xludf.DUMMYFUNCTION("""COMPUTED_VALUE"""),"balbear")</f>
        <v>balbear</v>
      </c>
      <c r="C211" s="3" t="str">
        <f>IFERROR(__xludf.DUMMYFUNCTION("""COMPUTED_VALUE"""),"3X Short Balancer")</f>
        <v>3X Short Balancer</v>
      </c>
    </row>
    <row r="212">
      <c r="A212" s="3" t="str">
        <f>IFERROR(__xludf.DUMMYFUNCTION("""COMPUTED_VALUE"""),"3x-short-bilira-token")</f>
        <v>3x-short-bilira-token</v>
      </c>
      <c r="B212" s="3" t="str">
        <f>IFERROR(__xludf.DUMMYFUNCTION("""COMPUTED_VALUE"""),"trybbear")</f>
        <v>trybbear</v>
      </c>
      <c r="C212" s="3" t="str">
        <f>IFERROR(__xludf.DUMMYFUNCTION("""COMPUTED_VALUE"""),"3X Short BiLira Token")</f>
        <v>3X Short BiLira Token</v>
      </c>
    </row>
    <row r="213">
      <c r="A213" s="3" t="str">
        <f>IFERROR(__xludf.DUMMYFUNCTION("""COMPUTED_VALUE"""),"3x-short-bitcoin-cash-token")</f>
        <v>3x-short-bitcoin-cash-token</v>
      </c>
      <c r="B213" s="3" t="str">
        <f>IFERROR(__xludf.DUMMYFUNCTION("""COMPUTED_VALUE"""),"bchbear")</f>
        <v>bchbear</v>
      </c>
      <c r="C213" s="3" t="str">
        <f>IFERROR(__xludf.DUMMYFUNCTION("""COMPUTED_VALUE"""),"3X Short Bitcoin Cash Token")</f>
        <v>3X Short Bitcoin Cash Token</v>
      </c>
    </row>
    <row r="214">
      <c r="A214" s="3" t="str">
        <f>IFERROR(__xludf.DUMMYFUNCTION("""COMPUTED_VALUE"""),"3x-short-bitcoin-sv-token")</f>
        <v>3x-short-bitcoin-sv-token</v>
      </c>
      <c r="B214" s="3" t="str">
        <f>IFERROR(__xludf.DUMMYFUNCTION("""COMPUTED_VALUE"""),"bsvbear")</f>
        <v>bsvbear</v>
      </c>
      <c r="C214" s="3" t="str">
        <f>IFERROR(__xludf.DUMMYFUNCTION("""COMPUTED_VALUE"""),"3X Short Bitcoin SV Token")</f>
        <v>3X Short Bitcoin SV Token</v>
      </c>
    </row>
    <row r="215">
      <c r="A215" s="3" t="str">
        <f>IFERROR(__xludf.DUMMYFUNCTION("""COMPUTED_VALUE"""),"3x-short-bitcoin-token")</f>
        <v>3x-short-bitcoin-token</v>
      </c>
      <c r="B215" s="3" t="str">
        <f>IFERROR(__xludf.DUMMYFUNCTION("""COMPUTED_VALUE"""),"bear")</f>
        <v>bear</v>
      </c>
      <c r="C215" s="3" t="str">
        <f>IFERROR(__xludf.DUMMYFUNCTION("""COMPUTED_VALUE"""),"3X Short Bitcoin Token")</f>
        <v>3X Short Bitcoin Token</v>
      </c>
    </row>
    <row r="216">
      <c r="A216" s="3" t="str">
        <f>IFERROR(__xludf.DUMMYFUNCTION("""COMPUTED_VALUE"""),"3x-short-cardano-token")</f>
        <v>3x-short-cardano-token</v>
      </c>
      <c r="B216" s="3" t="str">
        <f>IFERROR(__xludf.DUMMYFUNCTION("""COMPUTED_VALUE"""),"adabear")</f>
        <v>adabear</v>
      </c>
      <c r="C216" s="3" t="str">
        <f>IFERROR(__xludf.DUMMYFUNCTION("""COMPUTED_VALUE"""),"3X Short Cardano Token")</f>
        <v>3X Short Cardano Token</v>
      </c>
    </row>
    <row r="217">
      <c r="A217" s="3" t="str">
        <f>IFERROR(__xludf.DUMMYFUNCTION("""COMPUTED_VALUE"""),"3x-short-chainlink-token")</f>
        <v>3x-short-chainlink-token</v>
      </c>
      <c r="B217" s="3" t="str">
        <f>IFERROR(__xludf.DUMMYFUNCTION("""COMPUTED_VALUE"""),"linkbear")</f>
        <v>linkbear</v>
      </c>
      <c r="C217" s="3" t="str">
        <f>IFERROR(__xludf.DUMMYFUNCTION("""COMPUTED_VALUE"""),"3X Short Chainlink Token")</f>
        <v>3X Short Chainlink Token</v>
      </c>
    </row>
    <row r="218">
      <c r="A218" s="3" t="str">
        <f>IFERROR(__xludf.DUMMYFUNCTION("""COMPUTED_VALUE"""),"3x-short-compound-token-token")</f>
        <v>3x-short-compound-token-token</v>
      </c>
      <c r="B218" s="3" t="str">
        <f>IFERROR(__xludf.DUMMYFUNCTION("""COMPUTED_VALUE"""),"compbear")</f>
        <v>compbear</v>
      </c>
      <c r="C218" s="3" t="str">
        <f>IFERROR(__xludf.DUMMYFUNCTION("""COMPUTED_VALUE"""),"3X Short Compound")</f>
        <v>3X Short Compound</v>
      </c>
    </row>
    <row r="219">
      <c r="A219" s="3" t="str">
        <f>IFERROR(__xludf.DUMMYFUNCTION("""COMPUTED_VALUE"""),"3x-short-defi-index-token")</f>
        <v>3x-short-defi-index-token</v>
      </c>
      <c r="B219" s="3" t="str">
        <f>IFERROR(__xludf.DUMMYFUNCTION("""COMPUTED_VALUE"""),"defibear")</f>
        <v>defibear</v>
      </c>
      <c r="C219" s="3" t="str">
        <f>IFERROR(__xludf.DUMMYFUNCTION("""COMPUTED_VALUE"""),"3X Short DeFi Index")</f>
        <v>3X Short DeFi Index</v>
      </c>
    </row>
    <row r="220">
      <c r="A220" s="3" t="str">
        <f>IFERROR(__xludf.DUMMYFUNCTION("""COMPUTED_VALUE"""),"3x-short-dragon-index-token")</f>
        <v>3x-short-dragon-index-token</v>
      </c>
      <c r="B220" s="3" t="str">
        <f>IFERROR(__xludf.DUMMYFUNCTION("""COMPUTED_VALUE"""),"drgnbear")</f>
        <v>drgnbear</v>
      </c>
      <c r="C220" s="3" t="str">
        <f>IFERROR(__xludf.DUMMYFUNCTION("""COMPUTED_VALUE"""),"3X Short Dragon Index Token")</f>
        <v>3X Short Dragon Index Token</v>
      </c>
    </row>
    <row r="221">
      <c r="A221" s="3" t="str">
        <f>IFERROR(__xludf.DUMMYFUNCTION("""COMPUTED_VALUE"""),"3x-short-eos-token")</f>
        <v>3x-short-eos-token</v>
      </c>
      <c r="B221" s="3" t="str">
        <f>IFERROR(__xludf.DUMMYFUNCTION("""COMPUTED_VALUE"""),"eosbear")</f>
        <v>eosbear</v>
      </c>
      <c r="C221" s="3" t="str">
        <f>IFERROR(__xludf.DUMMYFUNCTION("""COMPUTED_VALUE"""),"3X Short EOS Token")</f>
        <v>3X Short EOS Token</v>
      </c>
    </row>
    <row r="222">
      <c r="A222" s="3" t="str">
        <f>IFERROR(__xludf.DUMMYFUNCTION("""COMPUTED_VALUE"""),"3x-short-ethereum-token")</f>
        <v>3x-short-ethereum-token</v>
      </c>
      <c r="B222" s="3" t="str">
        <f>IFERROR(__xludf.DUMMYFUNCTION("""COMPUTED_VALUE"""),"ethbear")</f>
        <v>ethbear</v>
      </c>
      <c r="C222" s="3" t="str">
        <f>IFERROR(__xludf.DUMMYFUNCTION("""COMPUTED_VALUE"""),"3X Short Ethereum Token")</f>
        <v>3X Short Ethereum Token</v>
      </c>
    </row>
    <row r="223">
      <c r="A223" s="3" t="str">
        <f>IFERROR(__xludf.DUMMYFUNCTION("""COMPUTED_VALUE"""),"3x-short-exchange-token-index-token")</f>
        <v>3x-short-exchange-token-index-token</v>
      </c>
      <c r="B223" s="3" t="str">
        <f>IFERROR(__xludf.DUMMYFUNCTION("""COMPUTED_VALUE"""),"exchbear")</f>
        <v>exchbear</v>
      </c>
      <c r="C223" s="3" t="str">
        <f>IFERROR(__xludf.DUMMYFUNCTION("""COMPUTED_VALUE"""),"3X Short Exchange Token Index Token")</f>
        <v>3X Short Exchange Token Index Token</v>
      </c>
    </row>
    <row r="224">
      <c r="A224" s="3" t="str">
        <f>IFERROR(__xludf.DUMMYFUNCTION("""COMPUTED_VALUE"""),"3x-short-huobi-token-token")</f>
        <v>3x-short-huobi-token-token</v>
      </c>
      <c r="B224" s="3" t="str">
        <f>IFERROR(__xludf.DUMMYFUNCTION("""COMPUTED_VALUE"""),"htbear")</f>
        <v>htbear</v>
      </c>
      <c r="C224" s="3" t="str">
        <f>IFERROR(__xludf.DUMMYFUNCTION("""COMPUTED_VALUE"""),"3X Short Huobi Token Token")</f>
        <v>3X Short Huobi Token Token</v>
      </c>
    </row>
    <row r="225">
      <c r="A225" s="3" t="str">
        <f>IFERROR(__xludf.DUMMYFUNCTION("""COMPUTED_VALUE"""),"3x-short-kyber-network-token")</f>
        <v>3x-short-kyber-network-token</v>
      </c>
      <c r="B225" s="3" t="str">
        <f>IFERROR(__xludf.DUMMYFUNCTION("""COMPUTED_VALUE"""),"kncbear")</f>
        <v>kncbear</v>
      </c>
      <c r="C225" s="3" t="str">
        <f>IFERROR(__xludf.DUMMYFUNCTION("""COMPUTED_VALUE"""),"3X Short Kyber Network")</f>
        <v>3X Short Kyber Network</v>
      </c>
    </row>
    <row r="226">
      <c r="A226" s="3" t="str">
        <f>IFERROR(__xludf.DUMMYFUNCTION("""COMPUTED_VALUE"""),"3x-short-leo-token")</f>
        <v>3x-short-leo-token</v>
      </c>
      <c r="B226" s="3" t="str">
        <f>IFERROR(__xludf.DUMMYFUNCTION("""COMPUTED_VALUE"""),"leobear")</f>
        <v>leobear</v>
      </c>
      <c r="C226" s="3" t="str">
        <f>IFERROR(__xludf.DUMMYFUNCTION("""COMPUTED_VALUE"""),"3X Short LEO Token")</f>
        <v>3X Short LEO Token</v>
      </c>
    </row>
    <row r="227">
      <c r="A227" s="3" t="str">
        <f>IFERROR(__xludf.DUMMYFUNCTION("""COMPUTED_VALUE"""),"3x-short-litecoin-token")</f>
        <v>3x-short-litecoin-token</v>
      </c>
      <c r="B227" s="3" t="str">
        <f>IFERROR(__xludf.DUMMYFUNCTION("""COMPUTED_VALUE"""),"ltcbear")</f>
        <v>ltcbear</v>
      </c>
      <c r="C227" s="3" t="str">
        <f>IFERROR(__xludf.DUMMYFUNCTION("""COMPUTED_VALUE"""),"3X Short Litecoin Token")</f>
        <v>3X Short Litecoin Token</v>
      </c>
    </row>
    <row r="228">
      <c r="A228" s="3" t="str">
        <f>IFERROR(__xludf.DUMMYFUNCTION("""COMPUTED_VALUE"""),"3x-short-maker-token")</f>
        <v>3x-short-maker-token</v>
      </c>
      <c r="B228" s="3" t="str">
        <f>IFERROR(__xludf.DUMMYFUNCTION("""COMPUTED_VALUE"""),"mkrbear")</f>
        <v>mkrbear</v>
      </c>
      <c r="C228" s="3" t="str">
        <f>IFERROR(__xludf.DUMMYFUNCTION("""COMPUTED_VALUE"""),"3X Short Maker")</f>
        <v>3X Short Maker</v>
      </c>
    </row>
    <row r="229">
      <c r="A229" s="3" t="str">
        <f>IFERROR(__xludf.DUMMYFUNCTION("""COMPUTED_VALUE"""),"3x-short-midcap-index-token")</f>
        <v>3x-short-midcap-index-token</v>
      </c>
      <c r="B229" s="3" t="str">
        <f>IFERROR(__xludf.DUMMYFUNCTION("""COMPUTED_VALUE"""),"midbear")</f>
        <v>midbear</v>
      </c>
      <c r="C229" s="3" t="str">
        <f>IFERROR(__xludf.DUMMYFUNCTION("""COMPUTED_VALUE"""),"3X Short Midcap Index Token")</f>
        <v>3X Short Midcap Index Token</v>
      </c>
    </row>
    <row r="230">
      <c r="A230" s="3" t="str">
        <f>IFERROR(__xludf.DUMMYFUNCTION("""COMPUTED_VALUE"""),"3x-short-pax-gold-token")</f>
        <v>3x-short-pax-gold-token</v>
      </c>
      <c r="B230" s="3" t="str">
        <f>IFERROR(__xludf.DUMMYFUNCTION("""COMPUTED_VALUE"""),"paxgbear")</f>
        <v>paxgbear</v>
      </c>
      <c r="C230" s="3" t="str">
        <f>IFERROR(__xludf.DUMMYFUNCTION("""COMPUTED_VALUE"""),"3X Short PAX Gold Token")</f>
        <v>3X Short PAX Gold Token</v>
      </c>
    </row>
    <row r="231">
      <c r="A231" s="3" t="str">
        <f>IFERROR(__xludf.DUMMYFUNCTION("""COMPUTED_VALUE"""),"3x-short-privacy-index-token")</f>
        <v>3x-short-privacy-index-token</v>
      </c>
      <c r="B231" s="3" t="str">
        <f>IFERROR(__xludf.DUMMYFUNCTION("""COMPUTED_VALUE"""),"privbear")</f>
        <v>privbear</v>
      </c>
      <c r="C231" s="3" t="str">
        <f>IFERROR(__xludf.DUMMYFUNCTION("""COMPUTED_VALUE"""),"3X Short Privacy Index")</f>
        <v>3X Short Privacy Index</v>
      </c>
    </row>
    <row r="232">
      <c r="A232" s="3" t="str">
        <f>IFERROR(__xludf.DUMMYFUNCTION("""COMPUTED_VALUE"""),"3x-short-shitcoin-index-token")</f>
        <v>3x-short-shitcoin-index-token</v>
      </c>
      <c r="B232" s="3" t="str">
        <f>IFERROR(__xludf.DUMMYFUNCTION("""COMPUTED_VALUE"""),"bearshit")</f>
        <v>bearshit</v>
      </c>
      <c r="C232" s="3" t="str">
        <f>IFERROR(__xludf.DUMMYFUNCTION("""COMPUTED_VALUE"""),"3X Short Shitcoin Index Token")</f>
        <v>3X Short Shitcoin Index Token</v>
      </c>
    </row>
    <row r="233">
      <c r="A233" s="3" t="str">
        <f>IFERROR(__xludf.DUMMYFUNCTION("""COMPUTED_VALUE"""),"3x-short-stellar-token")</f>
        <v>3x-short-stellar-token</v>
      </c>
      <c r="B233" s="3" t="str">
        <f>IFERROR(__xludf.DUMMYFUNCTION("""COMPUTED_VALUE"""),"xlmbear")</f>
        <v>xlmbear</v>
      </c>
      <c r="C233" s="3" t="str">
        <f>IFERROR(__xludf.DUMMYFUNCTION("""COMPUTED_VALUE"""),"3X Short Stellar")</f>
        <v>3X Short Stellar</v>
      </c>
    </row>
    <row r="234">
      <c r="A234" s="3" t="str">
        <f>IFERROR(__xludf.DUMMYFUNCTION("""COMPUTED_VALUE"""),"3x-short-tether-gold-token")</f>
        <v>3x-short-tether-gold-token</v>
      </c>
      <c r="B234" s="3" t="str">
        <f>IFERROR(__xludf.DUMMYFUNCTION("""COMPUTED_VALUE"""),"xautbear")</f>
        <v>xautbear</v>
      </c>
      <c r="C234" s="3" t="str">
        <f>IFERROR(__xludf.DUMMYFUNCTION("""COMPUTED_VALUE"""),"3X Short Tether Gold Token")</f>
        <v>3X Short Tether Gold Token</v>
      </c>
    </row>
    <row r="235">
      <c r="A235" s="3" t="str">
        <f>IFERROR(__xludf.DUMMYFUNCTION("""COMPUTED_VALUE"""),"3x-short-tether-token")</f>
        <v>3x-short-tether-token</v>
      </c>
      <c r="B235" s="3" t="str">
        <f>IFERROR(__xludf.DUMMYFUNCTION("""COMPUTED_VALUE"""),"usdtbear")</f>
        <v>usdtbear</v>
      </c>
      <c r="C235" s="3" t="str">
        <f>IFERROR(__xludf.DUMMYFUNCTION("""COMPUTED_VALUE"""),"3X Short Tether Token")</f>
        <v>3X Short Tether Token</v>
      </c>
    </row>
    <row r="236">
      <c r="A236" s="3" t="str">
        <f>IFERROR(__xludf.DUMMYFUNCTION("""COMPUTED_VALUE"""),"3x-short-tezos-token")</f>
        <v>3x-short-tezos-token</v>
      </c>
      <c r="B236" s="3" t="str">
        <f>IFERROR(__xludf.DUMMYFUNCTION("""COMPUTED_VALUE"""),"xtzbear")</f>
        <v>xtzbear</v>
      </c>
      <c r="C236" s="3" t="str">
        <f>IFERROR(__xludf.DUMMYFUNCTION("""COMPUTED_VALUE"""),"3X Short Tezos Token")</f>
        <v>3X Short Tezos Token</v>
      </c>
    </row>
    <row r="237">
      <c r="A237" s="3" t="str">
        <f>IFERROR(__xludf.DUMMYFUNCTION("""COMPUTED_VALUE"""),"3x-short-trx-token")</f>
        <v>3x-short-trx-token</v>
      </c>
      <c r="B237" s="3" t="str">
        <f>IFERROR(__xludf.DUMMYFUNCTION("""COMPUTED_VALUE"""),"trxbear")</f>
        <v>trxbear</v>
      </c>
      <c r="C237" s="3" t="str">
        <f>IFERROR(__xludf.DUMMYFUNCTION("""COMPUTED_VALUE"""),"3X Short TRX Token")</f>
        <v>3X Short TRX Token</v>
      </c>
    </row>
    <row r="238">
      <c r="A238" s="3" t="str">
        <f>IFERROR(__xludf.DUMMYFUNCTION("""COMPUTED_VALUE"""),"3x-short-vechain-token")</f>
        <v>3x-short-vechain-token</v>
      </c>
      <c r="B238" s="3" t="str">
        <f>IFERROR(__xludf.DUMMYFUNCTION("""COMPUTED_VALUE"""),"vetbear")</f>
        <v>vetbear</v>
      </c>
      <c r="C238" s="3" t="str">
        <f>IFERROR(__xludf.DUMMYFUNCTION("""COMPUTED_VALUE"""),"3X Short VeChain")</f>
        <v>3X Short VeChain</v>
      </c>
    </row>
    <row r="239">
      <c r="A239" s="3" t="str">
        <f>IFERROR(__xludf.DUMMYFUNCTION("""COMPUTED_VALUE"""),"3x-short-xrp-token")</f>
        <v>3x-short-xrp-token</v>
      </c>
      <c r="B239" s="3" t="str">
        <f>IFERROR(__xludf.DUMMYFUNCTION("""COMPUTED_VALUE"""),"xrpbear")</f>
        <v>xrpbear</v>
      </c>
      <c r="C239" s="3" t="str">
        <f>IFERROR(__xludf.DUMMYFUNCTION("""COMPUTED_VALUE"""),"3X Short XRP Token")</f>
        <v>3X Short XRP Token</v>
      </c>
    </row>
    <row r="240">
      <c r="A240" s="3" t="str">
        <f>IFERROR(__xludf.DUMMYFUNCTION("""COMPUTED_VALUE"""),"402-s-kostner")</f>
        <v>402-s-kostner</v>
      </c>
      <c r="B240" s="3" t="str">
        <f>IFERROR(__xludf.DUMMYFUNCTION("""COMPUTED_VALUE"""),"realt-s-402-s.kostner-ave-chicago-il")</f>
        <v>realt-s-402-s.kostner-ave-chicago-il</v>
      </c>
      <c r="C240" s="3" t="str">
        <f>IFERROR(__xludf.DUMMYFUNCTION("""COMPUTED_VALUE"""),"RealT - 402 S Kostner Ave, Chicago, IL 60624")</f>
        <v>RealT - 402 S Kostner Ave, Chicago, IL 60624</v>
      </c>
    </row>
    <row r="241">
      <c r="A241" s="3" t="str">
        <f>IFERROR(__xludf.DUMMYFUNCTION("""COMPUTED_VALUE"""),"404")</f>
        <v>404</v>
      </c>
      <c r="B241" s="3" t="str">
        <f>IFERROR(__xludf.DUMMYFUNCTION("""COMPUTED_VALUE"""),"404")</f>
        <v>404</v>
      </c>
      <c r="C241" s="3" t="str">
        <f>IFERROR(__xludf.DUMMYFUNCTION("""COMPUTED_VALUE"""),"404")</f>
        <v>404</v>
      </c>
    </row>
    <row r="242">
      <c r="A242" s="3" t="str">
        <f>IFERROR(__xludf.DUMMYFUNCTION("""COMPUTED_VALUE"""),"4061-grand")</f>
        <v>4061-grand</v>
      </c>
      <c r="B242" s="3" t="str">
        <f>IFERROR(__xludf.DUMMYFUNCTION("""COMPUTED_VALUE"""),"realt-s-4061-grand-st-detroit-mi")</f>
        <v>realt-s-4061-grand-st-detroit-mi</v>
      </c>
      <c r="C242" s="3" t="str">
        <f>IFERROR(__xludf.DUMMYFUNCTION("""COMPUTED_VALUE"""),"RealT - 4061 Grand St, Detroit, MI 48238")</f>
        <v>RealT - 4061 Grand St, Detroit, MI 48238</v>
      </c>
    </row>
    <row r="243">
      <c r="A243" s="3" t="str">
        <f>IFERROR(__xludf.DUMMYFUNCTION("""COMPUTED_VALUE"""),"42-coin")</f>
        <v>42-coin</v>
      </c>
      <c r="B243" s="3" t="str">
        <f>IFERROR(__xludf.DUMMYFUNCTION("""COMPUTED_VALUE"""),"42")</f>
        <v>42</v>
      </c>
      <c r="C243" s="3" t="str">
        <f>IFERROR(__xludf.DUMMYFUNCTION("""COMPUTED_VALUE"""),"42-coin")</f>
        <v>42-coin</v>
      </c>
    </row>
    <row r="244">
      <c r="A244" s="3" t="str">
        <f>IFERROR(__xludf.DUMMYFUNCTION("""COMPUTED_VALUE"""),"4380-beaconsfield")</f>
        <v>4380-beaconsfield</v>
      </c>
      <c r="B244" s="3" t="str">
        <f>IFERROR(__xludf.DUMMYFUNCTION("""COMPUTED_VALUE"""),"realt-s-4380-beaconsfield-st-detroit-mi")</f>
        <v>realt-s-4380-beaconsfield-st-detroit-mi</v>
      </c>
      <c r="C244" s="3" t="str">
        <f>IFERROR(__xludf.DUMMYFUNCTION("""COMPUTED_VALUE"""),"RealT - 4380 Beaconsfield St, Detroit, MI 48224")</f>
        <v>RealT - 4380 Beaconsfield St, Detroit, MI 48224</v>
      </c>
    </row>
    <row r="245">
      <c r="A245" s="3" t="str">
        <f>IFERROR(__xludf.DUMMYFUNCTION("""COMPUTED_VALUE"""),"4680-buckingham")</f>
        <v>4680-buckingham</v>
      </c>
      <c r="B245" s="3" t="str">
        <f>IFERROR(__xludf.DUMMYFUNCTION("""COMPUTED_VALUE"""),"realt-s-4680-buckingham-ave-detroit-mi")</f>
        <v>realt-s-4680-buckingham-ave-detroit-mi</v>
      </c>
      <c r="C245" s="3" t="str">
        <f>IFERROR(__xludf.DUMMYFUNCTION("""COMPUTED_VALUE"""),"RealT - 4680 Buckingham Ave, Detroit, MI 48224")</f>
        <v>RealT - 4680 Buckingham Ave, Detroit, MI 48224</v>
      </c>
    </row>
    <row r="246">
      <c r="A246" s="3" t="str">
        <f>IFERROR(__xludf.DUMMYFUNCTION("""COMPUTED_VALUE"""),"4852-4854-w-cortez")</f>
        <v>4852-4854-w-cortez</v>
      </c>
      <c r="B246" s="3" t="str">
        <f>IFERROR(__xludf.DUMMYFUNCTION("""COMPUTED_VALUE"""),"realt-s-4852-4854-w.cortez-st-chicago-il")</f>
        <v>realt-s-4852-4854-w.cortez-st-chicago-il</v>
      </c>
      <c r="C246" s="3" t="str">
        <f>IFERROR(__xludf.DUMMYFUNCTION("""COMPUTED_VALUE"""),"RealT - 4852-4854 W Cortez St, Chicago, IL 60651")</f>
        <v>RealT - 4852-4854 W Cortez St, Chicago, IL 60651</v>
      </c>
    </row>
    <row r="247">
      <c r="A247" s="3" t="str">
        <f>IFERROR(__xludf.DUMMYFUNCTION("""COMPUTED_VALUE"""),"4artechnologies")</f>
        <v>4artechnologies</v>
      </c>
      <c r="B247" s="3" t="str">
        <f>IFERROR(__xludf.DUMMYFUNCTION("""COMPUTED_VALUE"""),"4art")</f>
        <v>4art</v>
      </c>
      <c r="C247" s="3" t="str">
        <f>IFERROR(__xludf.DUMMYFUNCTION("""COMPUTED_VALUE"""),"4ART Coin")</f>
        <v>4ART Coin</v>
      </c>
    </row>
    <row r="248">
      <c r="A248" s="3" t="str">
        <f>IFERROR(__xludf.DUMMYFUNCTION("""COMPUTED_VALUE"""),"4d-twin-maps")</f>
        <v>4d-twin-maps</v>
      </c>
      <c r="B248" s="3" t="str">
        <f>IFERROR(__xludf.DUMMYFUNCTION("""COMPUTED_VALUE"""),"map")</f>
        <v>map</v>
      </c>
      <c r="C248" s="3" t="str">
        <f>IFERROR(__xludf.DUMMYFUNCTION("""COMPUTED_VALUE"""),"4D Twin Maps")</f>
        <v>4D Twin Maps</v>
      </c>
    </row>
    <row r="249">
      <c r="A249" s="3" t="str">
        <f>IFERROR(__xludf.DUMMYFUNCTION("""COMPUTED_VALUE"""),"4int")</f>
        <v>4int</v>
      </c>
      <c r="B249" s="3" t="str">
        <f>IFERROR(__xludf.DUMMYFUNCTION("""COMPUTED_VALUE"""),"4int")</f>
        <v>4int</v>
      </c>
      <c r="C249" s="3" t="str">
        <f>IFERROR(__xludf.DUMMYFUNCTION("""COMPUTED_VALUE"""),"4INT")</f>
        <v>4INT</v>
      </c>
    </row>
    <row r="250">
      <c r="A250" s="3" t="str">
        <f>IFERROR(__xludf.DUMMYFUNCTION("""COMPUTED_VALUE"""),"4jnet")</f>
        <v>4jnet</v>
      </c>
      <c r="B250" s="3" t="str">
        <f>IFERROR(__xludf.DUMMYFUNCTION("""COMPUTED_VALUE"""),"4jnet")</f>
        <v>4jnet</v>
      </c>
      <c r="C250" s="3" t="str">
        <f>IFERROR(__xludf.DUMMYFUNCTION("""COMPUTED_VALUE"""),"4JNET")</f>
        <v>4JNET</v>
      </c>
    </row>
    <row r="251">
      <c r="A251" s="3" t="str">
        <f>IFERROR(__xludf.DUMMYFUNCTION("""COMPUTED_VALUE"""),"4move")</f>
        <v>4move</v>
      </c>
      <c r="B251" s="3" t="str">
        <f>IFERROR(__xludf.DUMMYFUNCTION("""COMPUTED_VALUE"""),"4move")</f>
        <v>4move</v>
      </c>
      <c r="C251" s="3" t="str">
        <f>IFERROR(__xludf.DUMMYFUNCTION("""COMPUTED_VALUE"""),"4MOVE")</f>
        <v>4MOVE</v>
      </c>
    </row>
    <row r="252">
      <c r="A252" s="3" t="str">
        <f>IFERROR(__xludf.DUMMYFUNCTION("""COMPUTED_VALUE"""),"4mw")</f>
        <v>4mw</v>
      </c>
      <c r="B252" s="3" t="str">
        <f>IFERROR(__xludf.DUMMYFUNCTION("""COMPUTED_VALUE"""),"4mw")</f>
        <v>4mw</v>
      </c>
      <c r="C252" s="3" t="str">
        <f>IFERROR(__xludf.DUMMYFUNCTION("""COMPUTED_VALUE"""),"4 Meta World")</f>
        <v>4 Meta World</v>
      </c>
    </row>
    <row r="253">
      <c r="A253" s="3" t="str">
        <f>IFERROR(__xludf.DUMMYFUNCTION("""COMPUTED_VALUE"""),"4new")</f>
        <v>4new</v>
      </c>
      <c r="B253" s="3" t="str">
        <f>IFERROR(__xludf.DUMMYFUNCTION("""COMPUTED_VALUE"""),"kwatt")</f>
        <v>kwatt</v>
      </c>
      <c r="C253" s="3" t="str">
        <f>IFERROR(__xludf.DUMMYFUNCTION("""COMPUTED_VALUE"""),"4New")</f>
        <v>4New</v>
      </c>
    </row>
    <row r="254">
      <c r="A254" s="3" t="str">
        <f>IFERROR(__xludf.DUMMYFUNCTION("""COMPUTED_VALUE"""),"4play")</f>
        <v>4play</v>
      </c>
      <c r="B254" s="3" t="str">
        <f>IFERROR(__xludf.DUMMYFUNCTION("""COMPUTED_VALUE"""),"4play")</f>
        <v>4play</v>
      </c>
      <c r="C254" s="3" t="str">
        <f>IFERROR(__xludf.DUMMYFUNCTION("""COMPUTED_VALUE"""),"4PLAY")</f>
        <v>4PLAY</v>
      </c>
    </row>
    <row r="255">
      <c r="A255" s="3" t="str">
        <f>IFERROR(__xludf.DUMMYFUNCTION("""COMPUTED_VALUE"""),"4-stock")</f>
        <v>4-stock</v>
      </c>
      <c r="B255" s="3" t="str">
        <f>IFERROR(__xludf.DUMMYFUNCTION("""COMPUTED_VALUE"""),"4stc")</f>
        <v>4stc</v>
      </c>
      <c r="C255" s="3" t="str">
        <f>IFERROR(__xludf.DUMMYFUNCTION("""COMPUTED_VALUE"""),"4-Stock")</f>
        <v>4-Stock</v>
      </c>
    </row>
    <row r="256">
      <c r="A256" s="3" t="str">
        <f>IFERROR(__xludf.DUMMYFUNCTION("""COMPUTED_VALUE"""),"50cent")</f>
        <v>50cent</v>
      </c>
      <c r="B256" s="3" t="str">
        <f>IFERROR(__xludf.DUMMYFUNCTION("""COMPUTED_VALUE"""),"50c")</f>
        <v>50c</v>
      </c>
      <c r="C256" s="3" t="str">
        <f>IFERROR(__xludf.DUMMYFUNCTION("""COMPUTED_VALUE"""),"50Cent")</f>
        <v>50Cent</v>
      </c>
    </row>
    <row r="257">
      <c r="A257" s="3" t="str">
        <f>IFERROR(__xludf.DUMMYFUNCTION("""COMPUTED_VALUE"""),"5601-s-wood")</f>
        <v>5601-s-wood</v>
      </c>
      <c r="B257" s="3" t="str">
        <f>IFERROR(__xludf.DUMMYFUNCTION("""COMPUTED_VALUE"""),"realt-s-5601-s.wood-st-chicago-il")</f>
        <v>realt-s-5601-s.wood-st-chicago-il</v>
      </c>
      <c r="C257" s="3" t="str">
        <f>IFERROR(__xludf.DUMMYFUNCTION("""COMPUTED_VALUE"""),"RealT - 5601 S Wood St, Chicago, IL 60636")</f>
        <v>RealT - 5601 S Wood St, Chicago, IL 60636</v>
      </c>
    </row>
    <row r="258">
      <c r="A258" s="3" t="str">
        <f>IFERROR(__xludf.DUMMYFUNCTION("""COMPUTED_VALUE"""),"581-587-jefferson")</f>
        <v>581-587-jefferson</v>
      </c>
      <c r="B258" s="3" t="str">
        <f>IFERROR(__xludf.DUMMYFUNCTION("""COMPUTED_VALUE"""),"realt-s-581-587-jefferson-ave-rochester-ny")</f>
        <v>realt-s-581-587-jefferson-ave-rochester-ny</v>
      </c>
      <c r="C258" s="3" t="str">
        <f>IFERROR(__xludf.DUMMYFUNCTION("""COMPUTED_VALUE"""),"RealT - 581-587 Jefferson Ave, Rochester, NY 14611")</f>
        <v>RealT - 581-587 Jefferson Ave, Rochester, NY 14611</v>
      </c>
    </row>
    <row r="259">
      <c r="A259" s="3" t="str">
        <f>IFERROR(__xludf.DUMMYFUNCTION("""COMPUTED_VALUE"""),"5942-audubon")</f>
        <v>5942-audubon</v>
      </c>
      <c r="B259" s="3" t="str">
        <f>IFERROR(__xludf.DUMMYFUNCTION("""COMPUTED_VALUE"""),"realt-s-5942-audubon-rd-detroit-mi")</f>
        <v>realt-s-5942-audubon-rd-detroit-mi</v>
      </c>
      <c r="C259" s="3" t="str">
        <f>IFERROR(__xludf.DUMMYFUNCTION("""COMPUTED_VALUE"""),"RealT - 5942 Audubon Rd, Detroit, MI 48224")</f>
        <v>RealT - 5942 Audubon Rd, Detroit, MI 48224</v>
      </c>
    </row>
    <row r="260">
      <c r="A260" s="3" t="str">
        <f>IFERROR(__xludf.DUMMYFUNCTION("""COMPUTED_VALUE"""),"5g-cash")</f>
        <v>5g-cash</v>
      </c>
      <c r="B260" s="3" t="str">
        <f>IFERROR(__xludf.DUMMYFUNCTION("""COMPUTED_VALUE"""),"vgc")</f>
        <v>vgc</v>
      </c>
      <c r="C260" s="3" t="str">
        <f>IFERROR(__xludf.DUMMYFUNCTION("""COMPUTED_VALUE"""),"5G-CASH")</f>
        <v>5G-CASH</v>
      </c>
    </row>
    <row r="261">
      <c r="A261" s="3" t="str">
        <f>IFERROR(__xludf.DUMMYFUNCTION("""COMPUTED_VALUE"""),"5km-run")</f>
        <v>5km-run</v>
      </c>
      <c r="B261" s="3" t="str">
        <f>IFERROR(__xludf.DUMMYFUNCTION("""COMPUTED_VALUE"""),"run")</f>
        <v>run</v>
      </c>
      <c r="C261" s="3" t="str">
        <f>IFERROR(__xludf.DUMMYFUNCTION("""COMPUTED_VALUE"""),"5KM RUN")</f>
        <v>5KM RUN</v>
      </c>
    </row>
    <row r="262">
      <c r="A262" s="3" t="str">
        <f>IFERROR(__xludf.DUMMYFUNCTION("""COMPUTED_VALUE"""),"5star")</f>
        <v>5star</v>
      </c>
      <c r="B262" s="3" t="str">
        <f>IFERROR(__xludf.DUMMYFUNCTION("""COMPUTED_VALUE"""),"5star")</f>
        <v>5star</v>
      </c>
      <c r="C262" s="3" t="str">
        <f>IFERROR(__xludf.DUMMYFUNCTION("""COMPUTED_VALUE"""),"5Star")</f>
        <v>5Star</v>
      </c>
    </row>
    <row r="263">
      <c r="A263" s="3" t="str">
        <f>IFERROR(__xludf.DUMMYFUNCTION("""COMPUTED_VALUE"""),"6923-greenview")</f>
        <v>6923-greenview</v>
      </c>
      <c r="B263" s="3" t="str">
        <f>IFERROR(__xludf.DUMMYFUNCTION("""COMPUTED_VALUE"""),"realt-s-6923-greenview-ave-detroit-mi")</f>
        <v>realt-s-6923-greenview-ave-detroit-mi</v>
      </c>
      <c r="C263" s="3" t="str">
        <f>IFERROR(__xludf.DUMMYFUNCTION("""COMPUTED_VALUE"""),"RealT - 6923 Greenview Ave, Detroit, MI 48228")</f>
        <v>RealT - 6923 Greenview Ave, Detroit, MI 48228</v>
      </c>
    </row>
    <row r="264">
      <c r="A264" s="3" t="str">
        <f>IFERROR(__xludf.DUMMYFUNCTION("""COMPUTED_VALUE"""),"73c9fc57-af8f-4bd8-935f-de69a853598d")</f>
        <v>73c9fc57-af8f-4bd8-935f-de69a853598d</v>
      </c>
      <c r="B264" s="3" t="str">
        <f>IFERROR(__xludf.DUMMYFUNCTION("""COMPUTED_VALUE"""),"mbtc")</f>
        <v>mbtc</v>
      </c>
      <c r="C264" s="3" t="str">
        <f>IFERROR(__xludf.DUMMYFUNCTION("""COMPUTED_VALUE"""),"메타비트코인")</f>
        <v>메타비트코인</v>
      </c>
    </row>
    <row r="265">
      <c r="A265" s="3" t="str">
        <f>IFERROR(__xludf.DUMMYFUNCTION("""COMPUTED_VALUE"""),"7pixels")</f>
        <v>7pixels</v>
      </c>
      <c r="B265" s="3" t="str">
        <f>IFERROR(__xludf.DUMMYFUNCTION("""COMPUTED_VALUE"""),"7pxs")</f>
        <v>7pxs</v>
      </c>
      <c r="C265" s="3" t="str">
        <f>IFERROR(__xludf.DUMMYFUNCTION("""COMPUTED_VALUE"""),"7Pixels")</f>
        <v>7Pixels</v>
      </c>
    </row>
    <row r="266">
      <c r="A266" s="3" t="str">
        <f>IFERROR(__xludf.DUMMYFUNCTION("""COMPUTED_VALUE"""),"7up")</f>
        <v>7up</v>
      </c>
      <c r="B266" s="3" t="str">
        <f>IFERROR(__xludf.DUMMYFUNCTION("""COMPUTED_VALUE"""),"7up")</f>
        <v>7up</v>
      </c>
      <c r="C266" s="3" t="str">
        <f>IFERROR(__xludf.DUMMYFUNCTION("""COMPUTED_VALUE"""),"7up")</f>
        <v>7up</v>
      </c>
    </row>
    <row r="267">
      <c r="A267" s="3" t="str">
        <f>IFERROR(__xludf.DUMMYFUNCTION("""COMPUTED_VALUE"""),"888tron")</f>
        <v>888tron</v>
      </c>
      <c r="B267" s="3" t="str">
        <f>IFERROR(__xludf.DUMMYFUNCTION("""COMPUTED_VALUE"""),"888")</f>
        <v>888</v>
      </c>
      <c r="C267" s="3" t="str">
        <f>IFERROR(__xludf.DUMMYFUNCTION("""COMPUTED_VALUE"""),"888tron")</f>
        <v>888tron</v>
      </c>
    </row>
    <row r="268">
      <c r="A268" s="3" t="str">
        <f>IFERROR(__xludf.DUMMYFUNCTION("""COMPUTED_VALUE"""),"88mph")</f>
        <v>88mph</v>
      </c>
      <c r="B268" s="3" t="str">
        <f>IFERROR(__xludf.DUMMYFUNCTION("""COMPUTED_VALUE"""),"mph")</f>
        <v>mph</v>
      </c>
      <c r="C268" s="3" t="str">
        <f>IFERROR(__xludf.DUMMYFUNCTION("""COMPUTED_VALUE"""),"88mph")</f>
        <v>88mph</v>
      </c>
    </row>
    <row r="269">
      <c r="A269" s="3" t="str">
        <f>IFERROR(__xludf.DUMMYFUNCTION("""COMPUTED_VALUE"""),"8bit-doge")</f>
        <v>8bit-doge</v>
      </c>
      <c r="B269" s="3" t="str">
        <f>IFERROR(__xludf.DUMMYFUNCTION("""COMPUTED_VALUE"""),"bitd")</f>
        <v>bitd</v>
      </c>
      <c r="C269" s="3" t="str">
        <f>IFERROR(__xludf.DUMMYFUNCTION("""COMPUTED_VALUE"""),"8Bit Doge")</f>
        <v>8Bit Doge</v>
      </c>
    </row>
    <row r="270">
      <c r="A270" s="3" t="str">
        <f>IFERROR(__xludf.DUMMYFUNCTION("""COMPUTED_VALUE"""),"8pay")</f>
        <v>8pay</v>
      </c>
      <c r="B270" s="3" t="str">
        <f>IFERROR(__xludf.DUMMYFUNCTION("""COMPUTED_VALUE"""),"8pay")</f>
        <v>8pay</v>
      </c>
      <c r="C270" s="3" t="str">
        <f>IFERROR(__xludf.DUMMYFUNCTION("""COMPUTED_VALUE"""),"8Pay")</f>
        <v>8Pay</v>
      </c>
    </row>
    <row r="271">
      <c r="A271" s="3" t="str">
        <f>IFERROR(__xludf.DUMMYFUNCTION("""COMPUTED_VALUE"""),"8x8-protocol")</f>
        <v>8x8-protocol</v>
      </c>
      <c r="B271" s="3" t="str">
        <f>IFERROR(__xludf.DUMMYFUNCTION("""COMPUTED_VALUE"""),"exe")</f>
        <v>exe</v>
      </c>
      <c r="C271" s="3" t="str">
        <f>IFERROR(__xludf.DUMMYFUNCTION("""COMPUTED_VALUE"""),"8X8 Protocol")</f>
        <v>8X8 Protocol</v>
      </c>
    </row>
    <row r="272">
      <c r="A272" s="3" t="str">
        <f>IFERROR(__xludf.DUMMYFUNCTION("""COMPUTED_VALUE"""),"9133-devonshire")</f>
        <v>9133-devonshire</v>
      </c>
      <c r="B272" s="3" t="str">
        <f>IFERROR(__xludf.DUMMYFUNCTION("""COMPUTED_VALUE"""),"realt-s-9133-devonshire-rd-detroit-mi")</f>
        <v>realt-s-9133-devonshire-rd-detroit-mi</v>
      </c>
      <c r="C272" s="3" t="str">
        <f>IFERROR(__xludf.DUMMYFUNCTION("""COMPUTED_VALUE"""),"RealT - 9133 Devonshire Rd, Detroit, MI 48224")</f>
        <v>RealT - 9133 Devonshire Rd, Detroit, MI 48224</v>
      </c>
    </row>
    <row r="273">
      <c r="A273" s="3" t="str">
        <f>IFERROR(__xludf.DUMMYFUNCTION("""COMPUTED_VALUE"""),"9165-kensington")</f>
        <v>9165-kensington</v>
      </c>
      <c r="B273" s="3" t="str">
        <f>IFERROR(__xludf.DUMMYFUNCTION("""COMPUTED_VALUE"""),"realt-s-9165-kensington-ave-detroit-mi")</f>
        <v>realt-s-9165-kensington-ave-detroit-mi</v>
      </c>
      <c r="C273" s="3" t="str">
        <f>IFERROR(__xludf.DUMMYFUNCTION("""COMPUTED_VALUE"""),"RealT - 9165 Kensington Ave, Detroit, MI 48224")</f>
        <v>RealT - 9165 Kensington Ave, Detroit, MI 48224</v>
      </c>
    </row>
    <row r="274">
      <c r="A274" s="3" t="str">
        <f>IFERROR(__xludf.DUMMYFUNCTION("""COMPUTED_VALUE"""),"9166-devonshire")</f>
        <v>9166-devonshire</v>
      </c>
      <c r="B274" s="3" t="str">
        <f>IFERROR(__xludf.DUMMYFUNCTION("""COMPUTED_VALUE"""),"realt-s-9166-devonshire-rd-detroit-mi")</f>
        <v>realt-s-9166-devonshire-rd-detroit-mi</v>
      </c>
      <c r="C274" s="3" t="str">
        <f>IFERROR(__xludf.DUMMYFUNCTION("""COMPUTED_VALUE"""),"RealT - 9166 Devonshire Rd, Detroit MI 48224")</f>
        <v>RealT - 9166 Devonshire Rd, Detroit MI 48224</v>
      </c>
    </row>
    <row r="275">
      <c r="A275" s="3" t="str">
        <f>IFERROR(__xludf.DUMMYFUNCTION("""COMPUTED_VALUE"""),"9169-boleyn")</f>
        <v>9169-boleyn</v>
      </c>
      <c r="B275" s="3" t="str">
        <f>IFERROR(__xludf.DUMMYFUNCTION("""COMPUTED_VALUE"""),"realt-s-9169-boleyn-st-detroit-mi")</f>
        <v>realt-s-9169-boleyn-st-detroit-mi</v>
      </c>
      <c r="C275" s="3" t="str">
        <f>IFERROR(__xludf.DUMMYFUNCTION("""COMPUTED_VALUE"""),"RealT - 9169 Boleyn St, Detroit, MI, 48224")</f>
        <v>RealT - 9169 Boleyn St, Detroit, MI, 48224</v>
      </c>
    </row>
    <row r="276">
      <c r="A276" s="3" t="str">
        <f>IFERROR(__xludf.DUMMYFUNCTION("""COMPUTED_VALUE"""),"9336-patton")</f>
        <v>9336-patton</v>
      </c>
      <c r="B276" s="3" t="str">
        <f>IFERROR(__xludf.DUMMYFUNCTION("""COMPUTED_VALUE"""),"realt-s-9336-patton-st-detroit-mi")</f>
        <v>realt-s-9336-patton-st-detroit-mi</v>
      </c>
      <c r="C276" s="3" t="str">
        <f>IFERROR(__xludf.DUMMYFUNCTION("""COMPUTED_VALUE"""),"RealT - 9336 Patton St, Detroit, MI 48228")</f>
        <v>RealT - 9336 Patton St, Detroit, MI 48228</v>
      </c>
    </row>
    <row r="277">
      <c r="A277" s="3" t="str">
        <f>IFERROR(__xludf.DUMMYFUNCTION("""COMPUTED_VALUE"""),"9465-beaconsfield")</f>
        <v>9465-beaconsfield</v>
      </c>
      <c r="B277" s="3" t="str">
        <f>IFERROR(__xludf.DUMMYFUNCTION("""COMPUTED_VALUE"""),"realt-s-9465-beaconsfield-st-detroit-mi")</f>
        <v>realt-s-9465-beaconsfield-st-detroit-mi</v>
      </c>
      <c r="C277" s="3" t="str">
        <f>IFERROR(__xludf.DUMMYFUNCTION("""COMPUTED_VALUE"""),"RealT - 9465 Beaconsfield St, Detroit, MI 48224")</f>
        <v>RealT - 9465 Beaconsfield St, Detroit, MI 48224</v>
      </c>
    </row>
    <row r="278">
      <c r="A278" s="3" t="str">
        <f>IFERROR(__xludf.DUMMYFUNCTION("""COMPUTED_VALUE"""),"9481-wayburn")</f>
        <v>9481-wayburn</v>
      </c>
      <c r="B278" s="3" t="str">
        <f>IFERROR(__xludf.DUMMYFUNCTION("""COMPUTED_VALUE"""),"realt-s-9481-wayburn-st-detroit-mi")</f>
        <v>realt-s-9481-wayburn-st-detroit-mi</v>
      </c>
      <c r="C278" s="3" t="str">
        <f>IFERROR(__xludf.DUMMYFUNCTION("""COMPUTED_VALUE"""),"RealT - 9481 Wayburn St, Detroit, MI 48224")</f>
        <v>RealT - 9481 Wayburn St, Detroit, MI 48224</v>
      </c>
    </row>
    <row r="279">
      <c r="A279" s="3" t="str">
        <f>IFERROR(__xludf.DUMMYFUNCTION("""COMPUTED_VALUE"""),"9717-everts")</f>
        <v>9717-everts</v>
      </c>
      <c r="B279" s="3" t="str">
        <f>IFERROR(__xludf.DUMMYFUNCTION("""COMPUTED_VALUE"""),"realt-s-9717-everts-st-detroit-mi")</f>
        <v>realt-s-9717-everts-st-detroit-mi</v>
      </c>
      <c r="C279" s="3" t="str">
        <f>IFERROR(__xludf.DUMMYFUNCTION("""COMPUTED_VALUE"""),"RealT - 9717 Everts St, Detroit, MI 48224")</f>
        <v>RealT - 9717 Everts St, Detroit, MI 48224</v>
      </c>
    </row>
    <row r="280">
      <c r="A280" s="3" t="str">
        <f>IFERROR(__xludf.DUMMYFUNCTION("""COMPUTED_VALUE"""),"9920-bishop")</f>
        <v>9920-bishop</v>
      </c>
      <c r="B280" s="3" t="str">
        <f>IFERROR(__xludf.DUMMYFUNCTION("""COMPUTED_VALUE"""),"realt-s-9920-bishop-st-detroit-mi")</f>
        <v>realt-s-9920-bishop-st-detroit-mi</v>
      </c>
      <c r="C280" s="3" t="str">
        <f>IFERROR(__xludf.DUMMYFUNCTION("""COMPUTED_VALUE"""),"RealT - 9920 Bishop St, Detroit, MI 48224")</f>
        <v>RealT - 9920 Bishop St, Detroit, MI 48224</v>
      </c>
    </row>
    <row r="281">
      <c r="A281" s="3" t="str">
        <f>IFERROR(__xludf.DUMMYFUNCTION("""COMPUTED_VALUE"""),"99defi")</f>
        <v>99defi</v>
      </c>
      <c r="B281" s="3" t="str">
        <f>IFERROR(__xludf.DUMMYFUNCTION("""COMPUTED_VALUE"""),"99defi")</f>
        <v>99defi</v>
      </c>
      <c r="C281" s="3" t="str">
        <f>IFERROR(__xludf.DUMMYFUNCTION("""COMPUTED_VALUE"""),"99Defi")</f>
        <v>99Defi</v>
      </c>
    </row>
    <row r="282">
      <c r="A282" s="3" t="str">
        <f>IFERROR(__xludf.DUMMYFUNCTION("""COMPUTED_VALUE"""),"99starz")</f>
        <v>99starz</v>
      </c>
      <c r="B282" s="3" t="str">
        <f>IFERROR(__xludf.DUMMYFUNCTION("""COMPUTED_VALUE"""),"stz")</f>
        <v>stz</v>
      </c>
      <c r="C282" s="3" t="str">
        <f>IFERROR(__xludf.DUMMYFUNCTION("""COMPUTED_VALUE"""),"99Starz")</f>
        <v>99Starz</v>
      </c>
    </row>
    <row r="283">
      <c r="A283" s="3" t="str">
        <f>IFERROR(__xludf.DUMMYFUNCTION("""COMPUTED_VALUE"""),"a4-finance")</f>
        <v>a4-finance</v>
      </c>
      <c r="B283" s="3" t="str">
        <f>IFERROR(__xludf.DUMMYFUNCTION("""COMPUTED_VALUE"""),"a4")</f>
        <v>a4</v>
      </c>
      <c r="C283" s="3" t="str">
        <f>IFERROR(__xludf.DUMMYFUNCTION("""COMPUTED_VALUE"""),"A4 Finance")</f>
        <v>A4 Finance</v>
      </c>
    </row>
    <row r="284">
      <c r="A284" s="3" t="str">
        <f>IFERROR(__xludf.DUMMYFUNCTION("""COMPUTED_VALUE"""),"aada-finance")</f>
        <v>aada-finance</v>
      </c>
      <c r="B284" s="3" t="str">
        <f>IFERROR(__xludf.DUMMYFUNCTION("""COMPUTED_VALUE"""),"aada")</f>
        <v>aada</v>
      </c>
      <c r="C284" s="3" t="str">
        <f>IFERROR(__xludf.DUMMYFUNCTION("""COMPUTED_VALUE"""),"Aada Finance")</f>
        <v>Aada Finance</v>
      </c>
    </row>
    <row r="285">
      <c r="A285" s="3" t="str">
        <f>IFERROR(__xludf.DUMMYFUNCTION("""COMPUTED_VALUE"""),"aag-ventures")</f>
        <v>aag-ventures</v>
      </c>
      <c r="B285" s="3" t="str">
        <f>IFERROR(__xludf.DUMMYFUNCTION("""COMPUTED_VALUE"""),"aag")</f>
        <v>aag</v>
      </c>
      <c r="C285" s="3" t="str">
        <f>IFERROR(__xludf.DUMMYFUNCTION("""COMPUTED_VALUE"""),"AAG")</f>
        <v>AAG</v>
      </c>
    </row>
    <row r="286">
      <c r="A286" s="3" t="str">
        <f>IFERROR(__xludf.DUMMYFUNCTION("""COMPUTED_VALUE"""),"aananaapegarden")</f>
        <v>aananaapegarden</v>
      </c>
      <c r="B286" s="3" t="str">
        <f>IFERROR(__xludf.DUMMYFUNCTION("""COMPUTED_VALUE"""),"bag")</f>
        <v>bag</v>
      </c>
      <c r="C286" s="3" t="str">
        <f>IFERROR(__xludf.DUMMYFUNCTION("""COMPUTED_VALUE"""),"BananaApeGarden")</f>
        <v>BananaApeGarden</v>
      </c>
    </row>
    <row r="287">
      <c r="A287" s="3" t="str">
        <f>IFERROR(__xludf.DUMMYFUNCTION("""COMPUTED_VALUE"""),"aarma")</f>
        <v>aarma</v>
      </c>
      <c r="B287" s="3" t="str">
        <f>IFERROR(__xludf.DUMMYFUNCTION("""COMPUTED_VALUE"""),"arma")</f>
        <v>arma</v>
      </c>
      <c r="C287" s="3" t="str">
        <f>IFERROR(__xludf.DUMMYFUNCTION("""COMPUTED_VALUE"""),"Aarma")</f>
        <v>Aarma</v>
      </c>
    </row>
    <row r="288">
      <c r="A288" s="3" t="str">
        <f>IFERROR(__xludf.DUMMYFUNCTION("""COMPUTED_VALUE"""),"aave")</f>
        <v>aave</v>
      </c>
      <c r="B288" s="3" t="str">
        <f>IFERROR(__xludf.DUMMYFUNCTION("""COMPUTED_VALUE"""),"aave")</f>
        <v>aave</v>
      </c>
      <c r="C288" s="3" t="str">
        <f>IFERROR(__xludf.DUMMYFUNCTION("""COMPUTED_VALUE"""),"Aave")</f>
        <v>Aave</v>
      </c>
    </row>
    <row r="289">
      <c r="A289" s="3" t="str">
        <f>IFERROR(__xludf.DUMMYFUNCTION("""COMPUTED_VALUE"""),"aave-aave")</f>
        <v>aave-aave</v>
      </c>
      <c r="B289" s="3" t="str">
        <f>IFERROR(__xludf.DUMMYFUNCTION("""COMPUTED_VALUE"""),"aaave")</f>
        <v>aaave</v>
      </c>
      <c r="C289" s="3" t="str">
        <f>IFERROR(__xludf.DUMMYFUNCTION("""COMPUTED_VALUE"""),"Aave AAVE")</f>
        <v>Aave AAVE</v>
      </c>
    </row>
    <row r="290">
      <c r="A290" s="3" t="str">
        <f>IFERROR(__xludf.DUMMYFUNCTION("""COMPUTED_VALUE"""),"aave-amm-bptbalweth")</f>
        <v>aave-amm-bptbalweth</v>
      </c>
      <c r="B290" s="3" t="str">
        <f>IFERROR(__xludf.DUMMYFUNCTION("""COMPUTED_VALUE"""),"aammbptbalweth")</f>
        <v>aammbptbalweth</v>
      </c>
      <c r="C290" s="3" t="str">
        <f>IFERROR(__xludf.DUMMYFUNCTION("""COMPUTED_VALUE"""),"Aave AMM BptBALWETH")</f>
        <v>Aave AMM BptBALWETH</v>
      </c>
    </row>
    <row r="291">
      <c r="A291" s="3" t="str">
        <f>IFERROR(__xludf.DUMMYFUNCTION("""COMPUTED_VALUE"""),"aave-amm-bptwbtcweth")</f>
        <v>aave-amm-bptwbtcweth</v>
      </c>
      <c r="B291" s="3" t="str">
        <f>IFERROR(__xludf.DUMMYFUNCTION("""COMPUTED_VALUE"""),"aammbptwbtcweth")</f>
        <v>aammbptwbtcweth</v>
      </c>
      <c r="C291" s="3" t="str">
        <f>IFERROR(__xludf.DUMMYFUNCTION("""COMPUTED_VALUE"""),"Aave AMM BptWBTCWETH")</f>
        <v>Aave AMM BptWBTCWETH</v>
      </c>
    </row>
    <row r="292">
      <c r="A292" s="3" t="str">
        <f>IFERROR(__xludf.DUMMYFUNCTION("""COMPUTED_VALUE"""),"aave-amm-dai")</f>
        <v>aave-amm-dai</v>
      </c>
      <c r="B292" s="3" t="str">
        <f>IFERROR(__xludf.DUMMYFUNCTION("""COMPUTED_VALUE"""),"aammdai")</f>
        <v>aammdai</v>
      </c>
      <c r="C292" s="3" t="str">
        <f>IFERROR(__xludf.DUMMYFUNCTION("""COMPUTED_VALUE"""),"Aave AMM DAI")</f>
        <v>Aave AMM DAI</v>
      </c>
    </row>
    <row r="293">
      <c r="A293" s="3" t="str">
        <f>IFERROR(__xludf.DUMMYFUNCTION("""COMPUTED_VALUE"""),"aave-amm-uniaaveweth")</f>
        <v>aave-amm-uniaaveweth</v>
      </c>
      <c r="B293" s="3" t="str">
        <f>IFERROR(__xludf.DUMMYFUNCTION("""COMPUTED_VALUE"""),"aammuniaaveweth")</f>
        <v>aammuniaaveweth</v>
      </c>
      <c r="C293" s="3" t="str">
        <f>IFERROR(__xludf.DUMMYFUNCTION("""COMPUTED_VALUE"""),"Aave AMM UniAAVEWETH")</f>
        <v>Aave AMM UniAAVEWETH</v>
      </c>
    </row>
    <row r="294">
      <c r="A294" s="3" t="str">
        <f>IFERROR(__xludf.DUMMYFUNCTION("""COMPUTED_VALUE"""),"aave-amm-unibatweth")</f>
        <v>aave-amm-unibatweth</v>
      </c>
      <c r="B294" s="3" t="str">
        <f>IFERROR(__xludf.DUMMYFUNCTION("""COMPUTED_VALUE"""),"aammunibatweth")</f>
        <v>aammunibatweth</v>
      </c>
      <c r="C294" s="3" t="str">
        <f>IFERROR(__xludf.DUMMYFUNCTION("""COMPUTED_VALUE"""),"Aave AMM UniBATWETH")</f>
        <v>Aave AMM UniBATWETH</v>
      </c>
    </row>
    <row r="295">
      <c r="A295" s="3" t="str">
        <f>IFERROR(__xludf.DUMMYFUNCTION("""COMPUTED_VALUE"""),"aave-amm-unicrvweth")</f>
        <v>aave-amm-unicrvweth</v>
      </c>
      <c r="B295" s="3" t="str">
        <f>IFERROR(__xludf.DUMMYFUNCTION("""COMPUTED_VALUE"""),"aammunicrvweth")</f>
        <v>aammunicrvweth</v>
      </c>
      <c r="C295" s="3" t="str">
        <f>IFERROR(__xludf.DUMMYFUNCTION("""COMPUTED_VALUE"""),"Aave AMM UniCRVWETH")</f>
        <v>Aave AMM UniCRVWETH</v>
      </c>
    </row>
    <row r="296">
      <c r="A296" s="3" t="str">
        <f>IFERROR(__xludf.DUMMYFUNCTION("""COMPUTED_VALUE"""),"aave-amm-unidaiusdc")</f>
        <v>aave-amm-unidaiusdc</v>
      </c>
      <c r="B296" s="3" t="str">
        <f>IFERROR(__xludf.DUMMYFUNCTION("""COMPUTED_VALUE"""),"aammunidaiusdc")</f>
        <v>aammunidaiusdc</v>
      </c>
      <c r="C296" s="3" t="str">
        <f>IFERROR(__xludf.DUMMYFUNCTION("""COMPUTED_VALUE"""),"Aave AMM UniDAIUSDC")</f>
        <v>Aave AMM UniDAIUSDC</v>
      </c>
    </row>
    <row r="297">
      <c r="A297" s="3" t="str">
        <f>IFERROR(__xludf.DUMMYFUNCTION("""COMPUTED_VALUE"""),"aave-amm-unidaiweth")</f>
        <v>aave-amm-unidaiweth</v>
      </c>
      <c r="B297" s="3" t="str">
        <f>IFERROR(__xludf.DUMMYFUNCTION("""COMPUTED_VALUE"""),"aammunidaiweth")</f>
        <v>aammunidaiweth</v>
      </c>
      <c r="C297" s="3" t="str">
        <f>IFERROR(__xludf.DUMMYFUNCTION("""COMPUTED_VALUE"""),"Aave AMM UniDAIWETH")</f>
        <v>Aave AMM UniDAIWETH</v>
      </c>
    </row>
    <row r="298">
      <c r="A298" s="3" t="str">
        <f>IFERROR(__xludf.DUMMYFUNCTION("""COMPUTED_VALUE"""),"aave-amm-unilinkweth")</f>
        <v>aave-amm-unilinkweth</v>
      </c>
      <c r="B298" s="3" t="str">
        <f>IFERROR(__xludf.DUMMYFUNCTION("""COMPUTED_VALUE"""),"aammunilinkweth")</f>
        <v>aammunilinkweth</v>
      </c>
      <c r="C298" s="3" t="str">
        <f>IFERROR(__xludf.DUMMYFUNCTION("""COMPUTED_VALUE"""),"Aave AMM UniLINKWETH")</f>
        <v>Aave AMM UniLINKWETH</v>
      </c>
    </row>
    <row r="299">
      <c r="A299" s="3" t="str">
        <f>IFERROR(__xludf.DUMMYFUNCTION("""COMPUTED_VALUE"""),"aave-amm-unimkrweth")</f>
        <v>aave-amm-unimkrweth</v>
      </c>
      <c r="B299" s="3" t="str">
        <f>IFERROR(__xludf.DUMMYFUNCTION("""COMPUTED_VALUE"""),"aammunimkrweth")</f>
        <v>aammunimkrweth</v>
      </c>
      <c r="C299" s="3" t="str">
        <f>IFERROR(__xludf.DUMMYFUNCTION("""COMPUTED_VALUE"""),"Aave AMM UniMKRWETH")</f>
        <v>Aave AMM UniMKRWETH</v>
      </c>
    </row>
    <row r="300">
      <c r="A300" s="3" t="str">
        <f>IFERROR(__xludf.DUMMYFUNCTION("""COMPUTED_VALUE"""),"aave-amm-unirenweth")</f>
        <v>aave-amm-unirenweth</v>
      </c>
      <c r="B300" s="3" t="str">
        <f>IFERROR(__xludf.DUMMYFUNCTION("""COMPUTED_VALUE"""),"aammunirenweth")</f>
        <v>aammunirenweth</v>
      </c>
      <c r="C300" s="3" t="str">
        <f>IFERROR(__xludf.DUMMYFUNCTION("""COMPUTED_VALUE"""),"Aave AMM UniRENWETH")</f>
        <v>Aave AMM UniRENWETH</v>
      </c>
    </row>
    <row r="301">
      <c r="A301" s="3" t="str">
        <f>IFERROR(__xludf.DUMMYFUNCTION("""COMPUTED_VALUE"""),"aave-amm-unisnxweth")</f>
        <v>aave-amm-unisnxweth</v>
      </c>
      <c r="B301" s="3" t="str">
        <f>IFERROR(__xludf.DUMMYFUNCTION("""COMPUTED_VALUE"""),"aammunisnxweth")</f>
        <v>aammunisnxweth</v>
      </c>
      <c r="C301" s="3" t="str">
        <f>IFERROR(__xludf.DUMMYFUNCTION("""COMPUTED_VALUE"""),"Aave AMM UniSNXWETH")</f>
        <v>Aave AMM UniSNXWETH</v>
      </c>
    </row>
    <row r="302">
      <c r="A302" s="3" t="str">
        <f>IFERROR(__xludf.DUMMYFUNCTION("""COMPUTED_VALUE"""),"aave-amm-uniuniweth")</f>
        <v>aave-amm-uniuniweth</v>
      </c>
      <c r="B302" s="3" t="str">
        <f>IFERROR(__xludf.DUMMYFUNCTION("""COMPUTED_VALUE"""),"aammuniuniweth")</f>
        <v>aammuniuniweth</v>
      </c>
      <c r="C302" s="3" t="str">
        <f>IFERROR(__xludf.DUMMYFUNCTION("""COMPUTED_VALUE"""),"Aave AMM UniUNIWETH")</f>
        <v>Aave AMM UniUNIWETH</v>
      </c>
    </row>
    <row r="303">
      <c r="A303" s="3" t="str">
        <f>IFERROR(__xludf.DUMMYFUNCTION("""COMPUTED_VALUE"""),"aave-amm-uniusdcweth")</f>
        <v>aave-amm-uniusdcweth</v>
      </c>
      <c r="B303" s="3" t="str">
        <f>IFERROR(__xludf.DUMMYFUNCTION("""COMPUTED_VALUE"""),"aammuniusdcweth")</f>
        <v>aammuniusdcweth</v>
      </c>
      <c r="C303" s="3" t="str">
        <f>IFERROR(__xludf.DUMMYFUNCTION("""COMPUTED_VALUE"""),"Aave AMM UniUSDCWETH")</f>
        <v>Aave AMM UniUSDCWETH</v>
      </c>
    </row>
    <row r="304">
      <c r="A304" s="3" t="str">
        <f>IFERROR(__xludf.DUMMYFUNCTION("""COMPUTED_VALUE"""),"aave-amm-uniwbtcusdc")</f>
        <v>aave-amm-uniwbtcusdc</v>
      </c>
      <c r="B304" s="3" t="str">
        <f>IFERROR(__xludf.DUMMYFUNCTION("""COMPUTED_VALUE"""),"aammuniwbtcusdc")</f>
        <v>aammuniwbtcusdc</v>
      </c>
      <c r="C304" s="3" t="str">
        <f>IFERROR(__xludf.DUMMYFUNCTION("""COMPUTED_VALUE"""),"Aave AMM UniWBTCUSDC")</f>
        <v>Aave AMM UniWBTCUSDC</v>
      </c>
    </row>
    <row r="305">
      <c r="A305" s="3" t="str">
        <f>IFERROR(__xludf.DUMMYFUNCTION("""COMPUTED_VALUE"""),"aave-amm-uniwbtcweth")</f>
        <v>aave-amm-uniwbtcweth</v>
      </c>
      <c r="B305" s="3" t="str">
        <f>IFERROR(__xludf.DUMMYFUNCTION("""COMPUTED_VALUE"""),"aammuniwbtcweth")</f>
        <v>aammuniwbtcweth</v>
      </c>
      <c r="C305" s="3" t="str">
        <f>IFERROR(__xludf.DUMMYFUNCTION("""COMPUTED_VALUE"""),"Aave AMM UniWBTCWETH")</f>
        <v>Aave AMM UniWBTCWETH</v>
      </c>
    </row>
    <row r="306">
      <c r="A306" s="3" t="str">
        <f>IFERROR(__xludf.DUMMYFUNCTION("""COMPUTED_VALUE"""),"aave-amm-uniyfiweth")</f>
        <v>aave-amm-uniyfiweth</v>
      </c>
      <c r="B306" s="3" t="str">
        <f>IFERROR(__xludf.DUMMYFUNCTION("""COMPUTED_VALUE"""),"aammuniyfiweth")</f>
        <v>aammuniyfiweth</v>
      </c>
      <c r="C306" s="3" t="str">
        <f>IFERROR(__xludf.DUMMYFUNCTION("""COMPUTED_VALUE"""),"Aave AMM UniYFIWETH")</f>
        <v>Aave AMM UniYFIWETH</v>
      </c>
    </row>
    <row r="307">
      <c r="A307" s="3" t="str">
        <f>IFERROR(__xludf.DUMMYFUNCTION("""COMPUTED_VALUE"""),"aave-amm-usdc")</f>
        <v>aave-amm-usdc</v>
      </c>
      <c r="B307" s="3" t="str">
        <f>IFERROR(__xludf.DUMMYFUNCTION("""COMPUTED_VALUE"""),"aammusdc")</f>
        <v>aammusdc</v>
      </c>
      <c r="C307" s="3" t="str">
        <f>IFERROR(__xludf.DUMMYFUNCTION("""COMPUTED_VALUE"""),"Aave AMM USDC")</f>
        <v>Aave AMM USDC</v>
      </c>
    </row>
    <row r="308">
      <c r="A308" s="3" t="str">
        <f>IFERROR(__xludf.DUMMYFUNCTION("""COMPUTED_VALUE"""),"aave-amm-usdt")</f>
        <v>aave-amm-usdt</v>
      </c>
      <c r="B308" s="3" t="str">
        <f>IFERROR(__xludf.DUMMYFUNCTION("""COMPUTED_VALUE"""),"aammusdt")</f>
        <v>aammusdt</v>
      </c>
      <c r="C308" s="3" t="str">
        <f>IFERROR(__xludf.DUMMYFUNCTION("""COMPUTED_VALUE"""),"Aave AMM USDT")</f>
        <v>Aave AMM USDT</v>
      </c>
    </row>
    <row r="309">
      <c r="A309" s="3" t="str">
        <f>IFERROR(__xludf.DUMMYFUNCTION("""COMPUTED_VALUE"""),"aave-amm-wbtc")</f>
        <v>aave-amm-wbtc</v>
      </c>
      <c r="B309" s="3" t="str">
        <f>IFERROR(__xludf.DUMMYFUNCTION("""COMPUTED_VALUE"""),"aammwbtc")</f>
        <v>aammwbtc</v>
      </c>
      <c r="C309" s="3" t="str">
        <f>IFERROR(__xludf.DUMMYFUNCTION("""COMPUTED_VALUE"""),"Aave AMM WBTC")</f>
        <v>Aave AMM WBTC</v>
      </c>
    </row>
    <row r="310">
      <c r="A310" s="3" t="str">
        <f>IFERROR(__xludf.DUMMYFUNCTION("""COMPUTED_VALUE"""),"aave-amm-weth")</f>
        <v>aave-amm-weth</v>
      </c>
      <c r="B310" s="3" t="str">
        <f>IFERROR(__xludf.DUMMYFUNCTION("""COMPUTED_VALUE"""),"aammweth")</f>
        <v>aammweth</v>
      </c>
      <c r="C310" s="3" t="str">
        <f>IFERROR(__xludf.DUMMYFUNCTION("""COMPUTED_VALUE"""),"Aave AMM WETH")</f>
        <v>Aave AMM WETH</v>
      </c>
    </row>
    <row r="311">
      <c r="A311" s="3" t="str">
        <f>IFERROR(__xludf.DUMMYFUNCTION("""COMPUTED_VALUE"""),"aave-bal")</f>
        <v>aave-bal</v>
      </c>
      <c r="B311" s="3" t="str">
        <f>IFERROR(__xludf.DUMMYFUNCTION("""COMPUTED_VALUE"""),"abal")</f>
        <v>abal</v>
      </c>
      <c r="C311" s="3" t="str">
        <f>IFERROR(__xludf.DUMMYFUNCTION("""COMPUTED_VALUE"""),"Aave BAL")</f>
        <v>Aave BAL</v>
      </c>
    </row>
    <row r="312">
      <c r="A312" s="3" t="str">
        <f>IFERROR(__xludf.DUMMYFUNCTION("""COMPUTED_VALUE"""),"aave-balancer-pool-token")</f>
        <v>aave-balancer-pool-token</v>
      </c>
      <c r="B312" s="3" t="str">
        <f>IFERROR(__xludf.DUMMYFUNCTION("""COMPUTED_VALUE"""),"abpt")</f>
        <v>abpt</v>
      </c>
      <c r="C312" s="3" t="str">
        <f>IFERROR(__xludf.DUMMYFUNCTION("""COMPUTED_VALUE"""),"Aave Balancer Pool Token")</f>
        <v>Aave Balancer Pool Token</v>
      </c>
    </row>
    <row r="313">
      <c r="A313" s="3" t="str">
        <f>IFERROR(__xludf.DUMMYFUNCTION("""COMPUTED_VALUE"""),"aave-bat")</f>
        <v>aave-bat</v>
      </c>
      <c r="B313" s="3" t="str">
        <f>IFERROR(__xludf.DUMMYFUNCTION("""COMPUTED_VALUE"""),"abat")</f>
        <v>abat</v>
      </c>
      <c r="C313" s="3" t="str">
        <f>IFERROR(__xludf.DUMMYFUNCTION("""COMPUTED_VALUE"""),"Aave BAT")</f>
        <v>Aave BAT</v>
      </c>
    </row>
    <row r="314">
      <c r="A314" s="3" t="str">
        <f>IFERROR(__xludf.DUMMYFUNCTION("""COMPUTED_VALUE"""),"aave-bat-v1")</f>
        <v>aave-bat-v1</v>
      </c>
      <c r="B314" s="3" t="str">
        <f>IFERROR(__xludf.DUMMYFUNCTION("""COMPUTED_VALUE"""),"abat")</f>
        <v>abat</v>
      </c>
      <c r="C314" s="3" t="str">
        <f>IFERROR(__xludf.DUMMYFUNCTION("""COMPUTED_VALUE"""),"Aave BAT v1")</f>
        <v>Aave BAT v1</v>
      </c>
    </row>
    <row r="315">
      <c r="A315" s="3" t="str">
        <f>IFERROR(__xludf.DUMMYFUNCTION("""COMPUTED_VALUE"""),"aave-busd")</f>
        <v>aave-busd</v>
      </c>
      <c r="B315" s="3" t="str">
        <f>IFERROR(__xludf.DUMMYFUNCTION("""COMPUTED_VALUE"""),"abusd")</f>
        <v>abusd</v>
      </c>
      <c r="C315" s="3" t="str">
        <f>IFERROR(__xludf.DUMMYFUNCTION("""COMPUTED_VALUE"""),"Aave BUSD")</f>
        <v>Aave BUSD</v>
      </c>
    </row>
    <row r="316">
      <c r="A316" s="3" t="str">
        <f>IFERROR(__xludf.DUMMYFUNCTION("""COMPUTED_VALUE"""),"aave-busd-v1")</f>
        <v>aave-busd-v1</v>
      </c>
      <c r="B316" s="3" t="str">
        <f>IFERROR(__xludf.DUMMYFUNCTION("""COMPUTED_VALUE"""),"abusd")</f>
        <v>abusd</v>
      </c>
      <c r="C316" s="3" t="str">
        <f>IFERROR(__xludf.DUMMYFUNCTION("""COMPUTED_VALUE"""),"Aave BUSD v1")</f>
        <v>Aave BUSD v1</v>
      </c>
    </row>
    <row r="317">
      <c r="A317" s="3" t="str">
        <f>IFERROR(__xludf.DUMMYFUNCTION("""COMPUTED_VALUE"""),"aave-crv")</f>
        <v>aave-crv</v>
      </c>
      <c r="B317" s="3" t="str">
        <f>IFERROR(__xludf.DUMMYFUNCTION("""COMPUTED_VALUE"""),"acrv")</f>
        <v>acrv</v>
      </c>
      <c r="C317" s="3" t="str">
        <f>IFERROR(__xludf.DUMMYFUNCTION("""COMPUTED_VALUE"""),"Aave CRV")</f>
        <v>Aave CRV</v>
      </c>
    </row>
    <row r="318">
      <c r="A318" s="3" t="str">
        <f>IFERROR(__xludf.DUMMYFUNCTION("""COMPUTED_VALUE"""),"aave-dai")</f>
        <v>aave-dai</v>
      </c>
      <c r="B318" s="3" t="str">
        <f>IFERROR(__xludf.DUMMYFUNCTION("""COMPUTED_VALUE"""),"adai")</f>
        <v>adai</v>
      </c>
      <c r="C318" s="3" t="str">
        <f>IFERROR(__xludf.DUMMYFUNCTION("""COMPUTED_VALUE"""),"Aave DAI")</f>
        <v>Aave DAI</v>
      </c>
    </row>
    <row r="319">
      <c r="A319" s="3" t="str">
        <f>IFERROR(__xludf.DUMMYFUNCTION("""COMPUTED_VALUE"""),"aave-dai-v1")</f>
        <v>aave-dai-v1</v>
      </c>
      <c r="B319" s="3" t="str">
        <f>IFERROR(__xludf.DUMMYFUNCTION("""COMPUTED_VALUE"""),"adai")</f>
        <v>adai</v>
      </c>
      <c r="C319" s="3" t="str">
        <f>IFERROR(__xludf.DUMMYFUNCTION("""COMPUTED_VALUE"""),"Aave DAI v1")</f>
        <v>Aave DAI v1</v>
      </c>
    </row>
    <row r="320">
      <c r="A320" s="3" t="str">
        <f>IFERROR(__xludf.DUMMYFUNCTION("""COMPUTED_VALUE"""),"aave-enj")</f>
        <v>aave-enj</v>
      </c>
      <c r="B320" s="3" t="str">
        <f>IFERROR(__xludf.DUMMYFUNCTION("""COMPUTED_VALUE"""),"aenj")</f>
        <v>aenj</v>
      </c>
      <c r="C320" s="3" t="str">
        <f>IFERROR(__xludf.DUMMYFUNCTION("""COMPUTED_VALUE"""),"Aave ENJ")</f>
        <v>Aave ENJ</v>
      </c>
    </row>
    <row r="321">
      <c r="A321" s="3" t="str">
        <f>IFERROR(__xludf.DUMMYFUNCTION("""COMPUTED_VALUE"""),"aave-enj-v1")</f>
        <v>aave-enj-v1</v>
      </c>
      <c r="B321" s="3" t="str">
        <f>IFERROR(__xludf.DUMMYFUNCTION("""COMPUTED_VALUE"""),"aenj")</f>
        <v>aenj</v>
      </c>
      <c r="C321" s="3" t="str">
        <f>IFERROR(__xludf.DUMMYFUNCTION("""COMPUTED_VALUE"""),"Aave ENJ v1")</f>
        <v>Aave ENJ v1</v>
      </c>
    </row>
    <row r="322">
      <c r="A322" s="3" t="str">
        <f>IFERROR(__xludf.DUMMYFUNCTION("""COMPUTED_VALUE"""),"aave-eth-v1")</f>
        <v>aave-eth-v1</v>
      </c>
      <c r="B322" s="3" t="str">
        <f>IFERROR(__xludf.DUMMYFUNCTION("""COMPUTED_VALUE"""),"aeth")</f>
        <v>aeth</v>
      </c>
      <c r="C322" s="3" t="str">
        <f>IFERROR(__xludf.DUMMYFUNCTION("""COMPUTED_VALUE"""),"Aave ETH v1")</f>
        <v>Aave ETH v1</v>
      </c>
    </row>
    <row r="323">
      <c r="A323" s="3" t="str">
        <f>IFERROR(__xludf.DUMMYFUNCTION("""COMPUTED_VALUE"""),"aavegotchi")</f>
        <v>aavegotchi</v>
      </c>
      <c r="B323" s="3" t="str">
        <f>IFERROR(__xludf.DUMMYFUNCTION("""COMPUTED_VALUE"""),"ghst")</f>
        <v>ghst</v>
      </c>
      <c r="C323" s="3" t="str">
        <f>IFERROR(__xludf.DUMMYFUNCTION("""COMPUTED_VALUE"""),"Aavegotchi")</f>
        <v>Aavegotchi</v>
      </c>
    </row>
    <row r="324">
      <c r="A324" s="3" t="str">
        <f>IFERROR(__xludf.DUMMYFUNCTION("""COMPUTED_VALUE"""),"aavegotchi-alpha")</f>
        <v>aavegotchi-alpha</v>
      </c>
      <c r="B324" s="3" t="str">
        <f>IFERROR(__xludf.DUMMYFUNCTION("""COMPUTED_VALUE"""),"alpha")</f>
        <v>alpha</v>
      </c>
      <c r="C324" s="3" t="str">
        <f>IFERROR(__xludf.DUMMYFUNCTION("""COMPUTED_VALUE"""),"Aavegotchi ALPHA")</f>
        <v>Aavegotchi ALPHA</v>
      </c>
    </row>
    <row r="325">
      <c r="A325" s="3" t="str">
        <f>IFERROR(__xludf.DUMMYFUNCTION("""COMPUTED_VALUE"""),"aavegotchi-fomo")</f>
        <v>aavegotchi-fomo</v>
      </c>
      <c r="B325" s="3" t="str">
        <f>IFERROR(__xludf.DUMMYFUNCTION("""COMPUTED_VALUE"""),"fomo")</f>
        <v>fomo</v>
      </c>
      <c r="C325" s="3" t="str">
        <f>IFERROR(__xludf.DUMMYFUNCTION("""COMPUTED_VALUE"""),"Aavegotchi FOMO")</f>
        <v>Aavegotchi FOMO</v>
      </c>
    </row>
    <row r="326">
      <c r="A326" s="3" t="str">
        <f>IFERROR(__xludf.DUMMYFUNCTION("""COMPUTED_VALUE"""),"aavegotchi-fud")</f>
        <v>aavegotchi-fud</v>
      </c>
      <c r="B326" s="3" t="str">
        <f>IFERROR(__xludf.DUMMYFUNCTION("""COMPUTED_VALUE"""),"fud")</f>
        <v>fud</v>
      </c>
      <c r="C326" s="3" t="str">
        <f>IFERROR(__xludf.DUMMYFUNCTION("""COMPUTED_VALUE"""),"Aavegotchi FUD")</f>
        <v>Aavegotchi FUD</v>
      </c>
    </row>
    <row r="327">
      <c r="A327" s="3" t="str">
        <f>IFERROR(__xludf.DUMMYFUNCTION("""COMPUTED_VALUE"""),"aavegotchi-kek")</f>
        <v>aavegotchi-kek</v>
      </c>
      <c r="B327" s="3" t="str">
        <f>IFERROR(__xludf.DUMMYFUNCTION("""COMPUTED_VALUE"""),"kek")</f>
        <v>kek</v>
      </c>
      <c r="C327" s="3" t="str">
        <f>IFERROR(__xludf.DUMMYFUNCTION("""COMPUTED_VALUE"""),"Aavegotchi KEK")</f>
        <v>Aavegotchi KEK</v>
      </c>
    </row>
    <row r="328">
      <c r="A328" s="3" t="str">
        <f>IFERROR(__xludf.DUMMYFUNCTION("""COMPUTED_VALUE"""),"aave-gusd")</f>
        <v>aave-gusd</v>
      </c>
      <c r="B328" s="3" t="str">
        <f>IFERROR(__xludf.DUMMYFUNCTION("""COMPUTED_VALUE"""),"agusd")</f>
        <v>agusd</v>
      </c>
      <c r="C328" s="3" t="str">
        <f>IFERROR(__xludf.DUMMYFUNCTION("""COMPUTED_VALUE"""),"Aave GUSD")</f>
        <v>Aave GUSD</v>
      </c>
    </row>
    <row r="329">
      <c r="A329" s="3" t="str">
        <f>IFERROR(__xludf.DUMMYFUNCTION("""COMPUTED_VALUE"""),"aave-interest-bearing-steth")</f>
        <v>aave-interest-bearing-steth</v>
      </c>
      <c r="B329" s="3" t="str">
        <f>IFERROR(__xludf.DUMMYFUNCTION("""COMPUTED_VALUE"""),"asteth")</f>
        <v>asteth</v>
      </c>
      <c r="C329" s="3" t="str">
        <f>IFERROR(__xludf.DUMMYFUNCTION("""COMPUTED_VALUE"""),"Aave Interest Bearing STETH")</f>
        <v>Aave Interest Bearing STETH</v>
      </c>
    </row>
    <row r="330">
      <c r="A330" s="3" t="str">
        <f>IFERROR(__xludf.DUMMYFUNCTION("""COMPUTED_VALUE"""),"aave-knc")</f>
        <v>aave-knc</v>
      </c>
      <c r="B330" s="3" t="str">
        <f>IFERROR(__xludf.DUMMYFUNCTION("""COMPUTED_VALUE"""),"aknc")</f>
        <v>aknc</v>
      </c>
      <c r="C330" s="3" t="str">
        <f>IFERROR(__xludf.DUMMYFUNCTION("""COMPUTED_VALUE"""),"Aave KNC")</f>
        <v>Aave KNC</v>
      </c>
    </row>
    <row r="331">
      <c r="A331" s="3" t="str">
        <f>IFERROR(__xludf.DUMMYFUNCTION("""COMPUTED_VALUE"""),"aave-knc-v1")</f>
        <v>aave-knc-v1</v>
      </c>
      <c r="B331" s="3" t="str">
        <f>IFERROR(__xludf.DUMMYFUNCTION("""COMPUTED_VALUE"""),"aknc")</f>
        <v>aknc</v>
      </c>
      <c r="C331" s="3" t="str">
        <f>IFERROR(__xludf.DUMMYFUNCTION("""COMPUTED_VALUE"""),"Aave KNC v1")</f>
        <v>Aave KNC v1</v>
      </c>
    </row>
    <row r="332">
      <c r="A332" s="3" t="str">
        <f>IFERROR(__xludf.DUMMYFUNCTION("""COMPUTED_VALUE"""),"aave-link")</f>
        <v>aave-link</v>
      </c>
      <c r="B332" s="3" t="str">
        <f>IFERROR(__xludf.DUMMYFUNCTION("""COMPUTED_VALUE"""),"alink")</f>
        <v>alink</v>
      </c>
      <c r="C332" s="3" t="str">
        <f>IFERROR(__xludf.DUMMYFUNCTION("""COMPUTED_VALUE"""),"Aave LINK")</f>
        <v>Aave LINK</v>
      </c>
    </row>
    <row r="333">
      <c r="A333" s="3" t="str">
        <f>IFERROR(__xludf.DUMMYFUNCTION("""COMPUTED_VALUE"""),"aave-link-v1")</f>
        <v>aave-link-v1</v>
      </c>
      <c r="B333" s="3" t="str">
        <f>IFERROR(__xludf.DUMMYFUNCTION("""COMPUTED_VALUE"""),"alink")</f>
        <v>alink</v>
      </c>
      <c r="C333" s="3" t="str">
        <f>IFERROR(__xludf.DUMMYFUNCTION("""COMPUTED_VALUE"""),"Aave LINK v1")</f>
        <v>Aave LINK v1</v>
      </c>
    </row>
    <row r="334">
      <c r="A334" s="3" t="str">
        <f>IFERROR(__xludf.DUMMYFUNCTION("""COMPUTED_VALUE"""),"aave-mana")</f>
        <v>aave-mana</v>
      </c>
      <c r="B334" s="3" t="str">
        <f>IFERROR(__xludf.DUMMYFUNCTION("""COMPUTED_VALUE"""),"amana")</f>
        <v>amana</v>
      </c>
      <c r="C334" s="3" t="str">
        <f>IFERROR(__xludf.DUMMYFUNCTION("""COMPUTED_VALUE"""),"Aave MANA")</f>
        <v>Aave MANA</v>
      </c>
    </row>
    <row r="335">
      <c r="A335" s="3" t="str">
        <f>IFERROR(__xludf.DUMMYFUNCTION("""COMPUTED_VALUE"""),"aave-mana-v1")</f>
        <v>aave-mana-v1</v>
      </c>
      <c r="B335" s="3" t="str">
        <f>IFERROR(__xludf.DUMMYFUNCTION("""COMPUTED_VALUE"""),"amana")</f>
        <v>amana</v>
      </c>
      <c r="C335" s="3" t="str">
        <f>IFERROR(__xludf.DUMMYFUNCTION("""COMPUTED_VALUE"""),"Aave MANA v1")</f>
        <v>Aave MANA v1</v>
      </c>
    </row>
    <row r="336">
      <c r="A336" s="3" t="str">
        <f>IFERROR(__xludf.DUMMYFUNCTION("""COMPUTED_VALUE"""),"aave-mkr")</f>
        <v>aave-mkr</v>
      </c>
      <c r="B336" s="3" t="str">
        <f>IFERROR(__xludf.DUMMYFUNCTION("""COMPUTED_VALUE"""),"amkr")</f>
        <v>amkr</v>
      </c>
      <c r="C336" s="3" t="str">
        <f>IFERROR(__xludf.DUMMYFUNCTION("""COMPUTED_VALUE"""),"Aave MKR")</f>
        <v>Aave MKR</v>
      </c>
    </row>
    <row r="337">
      <c r="A337" s="3" t="str">
        <f>IFERROR(__xludf.DUMMYFUNCTION("""COMPUTED_VALUE"""),"aave-mkr-v1")</f>
        <v>aave-mkr-v1</v>
      </c>
      <c r="B337" s="3" t="str">
        <f>IFERROR(__xludf.DUMMYFUNCTION("""COMPUTED_VALUE"""),"amkr")</f>
        <v>amkr</v>
      </c>
      <c r="C337" s="3" t="str">
        <f>IFERROR(__xludf.DUMMYFUNCTION("""COMPUTED_VALUE"""),"Aave MKR v1")</f>
        <v>Aave MKR v1</v>
      </c>
    </row>
    <row r="338">
      <c r="A338" s="3" t="str">
        <f>IFERROR(__xludf.DUMMYFUNCTION("""COMPUTED_VALUE"""),"aave-polygon-aave")</f>
        <v>aave-polygon-aave</v>
      </c>
      <c r="B338" s="3" t="str">
        <f>IFERROR(__xludf.DUMMYFUNCTION("""COMPUTED_VALUE"""),"amaave")</f>
        <v>amaave</v>
      </c>
      <c r="C338" s="3" t="str">
        <f>IFERROR(__xludf.DUMMYFUNCTION("""COMPUTED_VALUE"""),"Aave Polygon AAVE")</f>
        <v>Aave Polygon AAVE</v>
      </c>
    </row>
    <row r="339">
      <c r="A339" s="3" t="str">
        <f>IFERROR(__xludf.DUMMYFUNCTION("""COMPUTED_VALUE"""),"aave-polygon-dai")</f>
        <v>aave-polygon-dai</v>
      </c>
      <c r="B339" s="3" t="str">
        <f>IFERROR(__xludf.DUMMYFUNCTION("""COMPUTED_VALUE"""),"amdai")</f>
        <v>amdai</v>
      </c>
      <c r="C339" s="3" t="str">
        <f>IFERROR(__xludf.DUMMYFUNCTION("""COMPUTED_VALUE"""),"Aave Polygon DAI")</f>
        <v>Aave Polygon DAI</v>
      </c>
    </row>
    <row r="340">
      <c r="A340" s="3" t="str">
        <f>IFERROR(__xludf.DUMMYFUNCTION("""COMPUTED_VALUE"""),"aave-polygon-usdc")</f>
        <v>aave-polygon-usdc</v>
      </c>
      <c r="B340" s="3" t="str">
        <f>IFERROR(__xludf.DUMMYFUNCTION("""COMPUTED_VALUE"""),"amusdc")</f>
        <v>amusdc</v>
      </c>
      <c r="C340" s="3" t="str">
        <f>IFERROR(__xludf.DUMMYFUNCTION("""COMPUTED_VALUE"""),"Aave Polygon USDC")</f>
        <v>Aave Polygon USDC</v>
      </c>
    </row>
    <row r="341">
      <c r="A341" s="3" t="str">
        <f>IFERROR(__xludf.DUMMYFUNCTION("""COMPUTED_VALUE"""),"aave-polygon-usdt")</f>
        <v>aave-polygon-usdt</v>
      </c>
      <c r="B341" s="3" t="str">
        <f>IFERROR(__xludf.DUMMYFUNCTION("""COMPUTED_VALUE"""),"amusdt")</f>
        <v>amusdt</v>
      </c>
      <c r="C341" s="3" t="str">
        <f>IFERROR(__xludf.DUMMYFUNCTION("""COMPUTED_VALUE"""),"Aave Polygon USDT")</f>
        <v>Aave Polygon USDT</v>
      </c>
    </row>
    <row r="342">
      <c r="A342" s="3" t="str">
        <f>IFERROR(__xludf.DUMMYFUNCTION("""COMPUTED_VALUE"""),"aave-polygon-wbtc")</f>
        <v>aave-polygon-wbtc</v>
      </c>
      <c r="B342" s="3" t="str">
        <f>IFERROR(__xludf.DUMMYFUNCTION("""COMPUTED_VALUE"""),"amwbtc")</f>
        <v>amwbtc</v>
      </c>
      <c r="C342" s="3" t="str">
        <f>IFERROR(__xludf.DUMMYFUNCTION("""COMPUTED_VALUE"""),"Aave Polygon WBTC")</f>
        <v>Aave Polygon WBTC</v>
      </c>
    </row>
    <row r="343">
      <c r="A343" s="3" t="str">
        <f>IFERROR(__xludf.DUMMYFUNCTION("""COMPUTED_VALUE"""),"aave-polygon-weth")</f>
        <v>aave-polygon-weth</v>
      </c>
      <c r="B343" s="3" t="str">
        <f>IFERROR(__xludf.DUMMYFUNCTION("""COMPUTED_VALUE"""),"amweth")</f>
        <v>amweth</v>
      </c>
      <c r="C343" s="3" t="str">
        <f>IFERROR(__xludf.DUMMYFUNCTION("""COMPUTED_VALUE"""),"Aave Polygon WETH")</f>
        <v>Aave Polygon WETH</v>
      </c>
    </row>
    <row r="344">
      <c r="A344" s="3" t="str">
        <f>IFERROR(__xludf.DUMMYFUNCTION("""COMPUTED_VALUE"""),"aave-polygon-wmatic")</f>
        <v>aave-polygon-wmatic</v>
      </c>
      <c r="B344" s="3" t="str">
        <f>IFERROR(__xludf.DUMMYFUNCTION("""COMPUTED_VALUE"""),"amwmatic")</f>
        <v>amwmatic</v>
      </c>
      <c r="C344" s="3" t="str">
        <f>IFERROR(__xludf.DUMMYFUNCTION("""COMPUTED_VALUE"""),"Aave Polygon WMATIC")</f>
        <v>Aave Polygon WMATIC</v>
      </c>
    </row>
    <row r="345">
      <c r="A345" s="3" t="str">
        <f>IFERROR(__xludf.DUMMYFUNCTION("""COMPUTED_VALUE"""),"aave-rai")</f>
        <v>aave-rai</v>
      </c>
      <c r="B345" s="3" t="str">
        <f>IFERROR(__xludf.DUMMYFUNCTION("""COMPUTED_VALUE"""),"arai")</f>
        <v>arai</v>
      </c>
      <c r="C345" s="3" t="str">
        <f>IFERROR(__xludf.DUMMYFUNCTION("""COMPUTED_VALUE"""),"Aave RAI")</f>
        <v>Aave RAI</v>
      </c>
    </row>
    <row r="346">
      <c r="A346" s="3" t="str">
        <f>IFERROR(__xludf.DUMMYFUNCTION("""COMPUTED_VALUE"""),"aave-ren")</f>
        <v>aave-ren</v>
      </c>
      <c r="B346" s="3" t="str">
        <f>IFERROR(__xludf.DUMMYFUNCTION("""COMPUTED_VALUE"""),"aren")</f>
        <v>aren</v>
      </c>
      <c r="C346" s="3" t="str">
        <f>IFERROR(__xludf.DUMMYFUNCTION("""COMPUTED_VALUE"""),"Aave REN")</f>
        <v>Aave REN</v>
      </c>
    </row>
    <row r="347">
      <c r="A347" s="3" t="str">
        <f>IFERROR(__xludf.DUMMYFUNCTION("""COMPUTED_VALUE"""),"aave-ren-v1")</f>
        <v>aave-ren-v1</v>
      </c>
      <c r="B347" s="3" t="str">
        <f>IFERROR(__xludf.DUMMYFUNCTION("""COMPUTED_VALUE"""),"aren")</f>
        <v>aren</v>
      </c>
      <c r="C347" s="3" t="str">
        <f>IFERROR(__xludf.DUMMYFUNCTION("""COMPUTED_VALUE"""),"Aave REN v1")</f>
        <v>Aave REN v1</v>
      </c>
    </row>
    <row r="348">
      <c r="A348" s="3" t="str">
        <f>IFERROR(__xludf.DUMMYFUNCTION("""COMPUTED_VALUE"""),"aave-snx")</f>
        <v>aave-snx</v>
      </c>
      <c r="B348" s="3" t="str">
        <f>IFERROR(__xludf.DUMMYFUNCTION("""COMPUTED_VALUE"""),"asnx")</f>
        <v>asnx</v>
      </c>
      <c r="C348" s="3" t="str">
        <f>IFERROR(__xludf.DUMMYFUNCTION("""COMPUTED_VALUE"""),"Aave SNX")</f>
        <v>Aave SNX</v>
      </c>
    </row>
    <row r="349">
      <c r="A349" s="3" t="str">
        <f>IFERROR(__xludf.DUMMYFUNCTION("""COMPUTED_VALUE"""),"aave-snx-v1")</f>
        <v>aave-snx-v1</v>
      </c>
      <c r="B349" s="3" t="str">
        <f>IFERROR(__xludf.DUMMYFUNCTION("""COMPUTED_VALUE"""),"asnx")</f>
        <v>asnx</v>
      </c>
      <c r="C349" s="3" t="str">
        <f>IFERROR(__xludf.DUMMYFUNCTION("""COMPUTED_VALUE"""),"Aave SNX v1")</f>
        <v>Aave SNX v1</v>
      </c>
    </row>
    <row r="350">
      <c r="A350" s="3" t="str">
        <f>IFERROR(__xludf.DUMMYFUNCTION("""COMPUTED_VALUE"""),"aave-susd")</f>
        <v>aave-susd</v>
      </c>
      <c r="B350" s="3" t="str">
        <f>IFERROR(__xludf.DUMMYFUNCTION("""COMPUTED_VALUE"""),"asusd")</f>
        <v>asusd</v>
      </c>
      <c r="C350" s="3" t="str">
        <f>IFERROR(__xludf.DUMMYFUNCTION("""COMPUTED_VALUE"""),"Aave SUSD")</f>
        <v>Aave SUSD</v>
      </c>
    </row>
    <row r="351">
      <c r="A351" s="3" t="str">
        <f>IFERROR(__xludf.DUMMYFUNCTION("""COMPUTED_VALUE"""),"aave-susd-v1")</f>
        <v>aave-susd-v1</v>
      </c>
      <c r="B351" s="3" t="str">
        <f>IFERROR(__xludf.DUMMYFUNCTION("""COMPUTED_VALUE"""),"asusd")</f>
        <v>asusd</v>
      </c>
      <c r="C351" s="3" t="str">
        <f>IFERROR(__xludf.DUMMYFUNCTION("""COMPUTED_VALUE"""),"Aave SUSD v1")</f>
        <v>Aave SUSD v1</v>
      </c>
    </row>
    <row r="352">
      <c r="A352" s="3" t="str">
        <f>IFERROR(__xludf.DUMMYFUNCTION("""COMPUTED_VALUE"""),"aave-tusd")</f>
        <v>aave-tusd</v>
      </c>
      <c r="B352" s="3" t="str">
        <f>IFERROR(__xludf.DUMMYFUNCTION("""COMPUTED_VALUE"""),"atusd")</f>
        <v>atusd</v>
      </c>
      <c r="C352" s="3" t="str">
        <f>IFERROR(__xludf.DUMMYFUNCTION("""COMPUTED_VALUE"""),"Aave TUSD")</f>
        <v>Aave TUSD</v>
      </c>
    </row>
    <row r="353">
      <c r="A353" s="3" t="str">
        <f>IFERROR(__xludf.DUMMYFUNCTION("""COMPUTED_VALUE"""),"aave-tusd-v1")</f>
        <v>aave-tusd-v1</v>
      </c>
      <c r="B353" s="3" t="str">
        <f>IFERROR(__xludf.DUMMYFUNCTION("""COMPUTED_VALUE"""),"atusd")</f>
        <v>atusd</v>
      </c>
      <c r="C353" s="3" t="str">
        <f>IFERROR(__xludf.DUMMYFUNCTION("""COMPUTED_VALUE"""),"Aave TUSD v1")</f>
        <v>Aave TUSD v1</v>
      </c>
    </row>
    <row r="354">
      <c r="A354" s="3" t="str">
        <f>IFERROR(__xludf.DUMMYFUNCTION("""COMPUTED_VALUE"""),"aave-uni")</f>
        <v>aave-uni</v>
      </c>
      <c r="B354" s="3" t="str">
        <f>IFERROR(__xludf.DUMMYFUNCTION("""COMPUTED_VALUE"""),"auni")</f>
        <v>auni</v>
      </c>
      <c r="C354" s="3" t="str">
        <f>IFERROR(__xludf.DUMMYFUNCTION("""COMPUTED_VALUE"""),"Aave UNI")</f>
        <v>Aave UNI</v>
      </c>
    </row>
    <row r="355">
      <c r="A355" s="3" t="str">
        <f>IFERROR(__xludf.DUMMYFUNCTION("""COMPUTED_VALUE"""),"aave-usdc")</f>
        <v>aave-usdc</v>
      </c>
      <c r="B355" s="3" t="str">
        <f>IFERROR(__xludf.DUMMYFUNCTION("""COMPUTED_VALUE"""),"ausdc")</f>
        <v>ausdc</v>
      </c>
      <c r="C355" s="3" t="str">
        <f>IFERROR(__xludf.DUMMYFUNCTION("""COMPUTED_VALUE"""),"Aave USDC")</f>
        <v>Aave USDC</v>
      </c>
    </row>
    <row r="356">
      <c r="A356" s="3" t="str">
        <f>IFERROR(__xludf.DUMMYFUNCTION("""COMPUTED_VALUE"""),"aave-usdc-v1")</f>
        <v>aave-usdc-v1</v>
      </c>
      <c r="B356" s="3" t="str">
        <f>IFERROR(__xludf.DUMMYFUNCTION("""COMPUTED_VALUE"""),"ausdc")</f>
        <v>ausdc</v>
      </c>
      <c r="C356" s="3" t="str">
        <f>IFERROR(__xludf.DUMMYFUNCTION("""COMPUTED_VALUE"""),"Aave USDC v1")</f>
        <v>Aave USDC v1</v>
      </c>
    </row>
    <row r="357">
      <c r="A357" s="3" t="str">
        <f>IFERROR(__xludf.DUMMYFUNCTION("""COMPUTED_VALUE"""),"aave-usdt")</f>
        <v>aave-usdt</v>
      </c>
      <c r="B357" s="3" t="str">
        <f>IFERROR(__xludf.DUMMYFUNCTION("""COMPUTED_VALUE"""),"ausdt")</f>
        <v>ausdt</v>
      </c>
      <c r="C357" s="3" t="str">
        <f>IFERROR(__xludf.DUMMYFUNCTION("""COMPUTED_VALUE"""),"Aave USDT")</f>
        <v>Aave USDT</v>
      </c>
    </row>
    <row r="358">
      <c r="A358" s="3" t="str">
        <f>IFERROR(__xludf.DUMMYFUNCTION("""COMPUTED_VALUE"""),"aave-usdt-v1")</f>
        <v>aave-usdt-v1</v>
      </c>
      <c r="B358" s="3" t="str">
        <f>IFERROR(__xludf.DUMMYFUNCTION("""COMPUTED_VALUE"""),"ausdt")</f>
        <v>ausdt</v>
      </c>
      <c r="C358" s="3" t="str">
        <f>IFERROR(__xludf.DUMMYFUNCTION("""COMPUTED_VALUE"""),"Aave USDT v1")</f>
        <v>Aave USDT v1</v>
      </c>
    </row>
    <row r="359">
      <c r="A359" s="3" t="str">
        <f>IFERROR(__xludf.DUMMYFUNCTION("""COMPUTED_VALUE"""),"aave-wbtc")</f>
        <v>aave-wbtc</v>
      </c>
      <c r="B359" s="3" t="str">
        <f>IFERROR(__xludf.DUMMYFUNCTION("""COMPUTED_VALUE"""),"awbtc")</f>
        <v>awbtc</v>
      </c>
      <c r="C359" s="3" t="str">
        <f>IFERROR(__xludf.DUMMYFUNCTION("""COMPUTED_VALUE"""),"Aave WBTC")</f>
        <v>Aave WBTC</v>
      </c>
    </row>
    <row r="360">
      <c r="A360" s="3" t="str">
        <f>IFERROR(__xludf.DUMMYFUNCTION("""COMPUTED_VALUE"""),"aave-wbtc-v1")</f>
        <v>aave-wbtc-v1</v>
      </c>
      <c r="B360" s="3" t="str">
        <f>IFERROR(__xludf.DUMMYFUNCTION("""COMPUTED_VALUE"""),"awbtc")</f>
        <v>awbtc</v>
      </c>
      <c r="C360" s="3" t="str">
        <f>IFERROR(__xludf.DUMMYFUNCTION("""COMPUTED_VALUE"""),"Aave WBTC v1")</f>
        <v>Aave WBTC v1</v>
      </c>
    </row>
    <row r="361">
      <c r="A361" s="3" t="str">
        <f>IFERROR(__xludf.DUMMYFUNCTION("""COMPUTED_VALUE"""),"aave-weth")</f>
        <v>aave-weth</v>
      </c>
      <c r="B361" s="3" t="str">
        <f>IFERROR(__xludf.DUMMYFUNCTION("""COMPUTED_VALUE"""),"aweth")</f>
        <v>aweth</v>
      </c>
      <c r="C361" s="3" t="str">
        <f>IFERROR(__xludf.DUMMYFUNCTION("""COMPUTED_VALUE"""),"Aave WETH")</f>
        <v>Aave WETH</v>
      </c>
    </row>
    <row r="362">
      <c r="A362" s="3" t="str">
        <f>IFERROR(__xludf.DUMMYFUNCTION("""COMPUTED_VALUE"""),"aave-wormhole")</f>
        <v>aave-wormhole</v>
      </c>
      <c r="B362" s="3" t="str">
        <f>IFERROR(__xludf.DUMMYFUNCTION("""COMPUTED_VALUE"""),"aave")</f>
        <v>aave</v>
      </c>
      <c r="C362" s="3" t="str">
        <f>IFERROR(__xludf.DUMMYFUNCTION("""COMPUTED_VALUE"""),"Aave (Wormhole)")</f>
        <v>Aave (Wormhole)</v>
      </c>
    </row>
    <row r="363">
      <c r="A363" s="3" t="str">
        <f>IFERROR(__xludf.DUMMYFUNCTION("""COMPUTED_VALUE"""),"aave-xsushi")</f>
        <v>aave-xsushi</v>
      </c>
      <c r="B363" s="3" t="str">
        <f>IFERROR(__xludf.DUMMYFUNCTION("""COMPUTED_VALUE"""),"axsushi")</f>
        <v>axsushi</v>
      </c>
      <c r="C363" s="3" t="str">
        <f>IFERROR(__xludf.DUMMYFUNCTION("""COMPUTED_VALUE"""),"Aave XSUSHI")</f>
        <v>Aave XSUSHI</v>
      </c>
    </row>
    <row r="364">
      <c r="A364" s="3" t="str">
        <f>IFERROR(__xludf.DUMMYFUNCTION("""COMPUTED_VALUE"""),"aave-yfi")</f>
        <v>aave-yfi</v>
      </c>
      <c r="B364" s="3" t="str">
        <f>IFERROR(__xludf.DUMMYFUNCTION("""COMPUTED_VALUE"""),"ayfi")</f>
        <v>ayfi</v>
      </c>
      <c r="C364" s="3" t="str">
        <f>IFERROR(__xludf.DUMMYFUNCTION("""COMPUTED_VALUE"""),"Aave YFI")</f>
        <v>Aave YFI</v>
      </c>
    </row>
    <row r="365">
      <c r="A365" s="3" t="str">
        <f>IFERROR(__xludf.DUMMYFUNCTION("""COMPUTED_VALUE"""),"aave-zrx")</f>
        <v>aave-zrx</v>
      </c>
      <c r="B365" s="3" t="str">
        <f>IFERROR(__xludf.DUMMYFUNCTION("""COMPUTED_VALUE"""),"azrx")</f>
        <v>azrx</v>
      </c>
      <c r="C365" s="3" t="str">
        <f>IFERROR(__xludf.DUMMYFUNCTION("""COMPUTED_VALUE"""),"Aave ZRX")</f>
        <v>Aave ZRX</v>
      </c>
    </row>
    <row r="366">
      <c r="A366" s="3" t="str">
        <f>IFERROR(__xludf.DUMMYFUNCTION("""COMPUTED_VALUE"""),"aave-zrx-v1")</f>
        <v>aave-zrx-v1</v>
      </c>
      <c r="B366" s="3" t="str">
        <f>IFERROR(__xludf.DUMMYFUNCTION("""COMPUTED_VALUE"""),"azrx")</f>
        <v>azrx</v>
      </c>
      <c r="C366" s="3" t="str">
        <f>IFERROR(__xludf.DUMMYFUNCTION("""COMPUTED_VALUE"""),"Aave ZRX v1")</f>
        <v>Aave ZRX v1</v>
      </c>
    </row>
    <row r="367">
      <c r="A367" s="3" t="str">
        <f>IFERROR(__xludf.DUMMYFUNCTION("""COMPUTED_VALUE"""),"aax-token")</f>
        <v>aax-token</v>
      </c>
      <c r="B367" s="3" t="str">
        <f>IFERROR(__xludf.DUMMYFUNCTION("""COMPUTED_VALUE"""),"aab")</f>
        <v>aab</v>
      </c>
      <c r="C367" s="3" t="str">
        <f>IFERROR(__xludf.DUMMYFUNCTION("""COMPUTED_VALUE"""),"AAX")</f>
        <v>AAX</v>
      </c>
    </row>
    <row r="368">
      <c r="A368" s="3" t="str">
        <f>IFERROR(__xludf.DUMMYFUNCTION("""COMPUTED_VALUE"""),"abachi")</f>
        <v>abachi</v>
      </c>
      <c r="B368" s="3" t="str">
        <f>IFERROR(__xludf.DUMMYFUNCTION("""COMPUTED_VALUE"""),"abi")</f>
        <v>abi</v>
      </c>
      <c r="C368" s="3" t="str">
        <f>IFERROR(__xludf.DUMMYFUNCTION("""COMPUTED_VALUE"""),"Abachi")</f>
        <v>Abachi</v>
      </c>
    </row>
    <row r="369">
      <c r="A369" s="3" t="str">
        <f>IFERROR(__xludf.DUMMYFUNCTION("""COMPUTED_VALUE"""),"abcc-token")</f>
        <v>abcc-token</v>
      </c>
      <c r="B369" s="3" t="str">
        <f>IFERROR(__xludf.DUMMYFUNCTION("""COMPUTED_VALUE"""),"at")</f>
        <v>at</v>
      </c>
      <c r="C369" s="3" t="str">
        <f>IFERROR(__xludf.DUMMYFUNCTION("""COMPUTED_VALUE"""),"ABCC")</f>
        <v>ABCC</v>
      </c>
    </row>
    <row r="370">
      <c r="A370" s="3" t="str">
        <f>IFERROR(__xludf.DUMMYFUNCTION("""COMPUTED_VALUE"""),"abc-floor-index")</f>
        <v>abc-floor-index</v>
      </c>
      <c r="B370" s="3" t="str">
        <f>IFERROR(__xludf.DUMMYFUNCTION("""COMPUTED_VALUE"""),"abc")</f>
        <v>abc</v>
      </c>
      <c r="C370" s="3" t="str">
        <f>IFERROR(__xludf.DUMMYFUNCTION("""COMPUTED_VALUE"""),"ABC Floor Index")</f>
        <v>ABC Floor Index</v>
      </c>
    </row>
    <row r="371">
      <c r="A371" s="3" t="str">
        <f>IFERROR(__xludf.DUMMYFUNCTION("""COMPUTED_VALUE"""),"abcmeta")</f>
        <v>abcmeta</v>
      </c>
      <c r="B371" s="3" t="str">
        <f>IFERROR(__xludf.DUMMYFUNCTION("""COMPUTED_VALUE"""),"meta")</f>
        <v>meta</v>
      </c>
      <c r="C371" s="3" t="str">
        <f>IFERROR(__xludf.DUMMYFUNCTION("""COMPUTED_VALUE"""),"ABCMETA")</f>
        <v>ABCMETA</v>
      </c>
    </row>
    <row r="372">
      <c r="A372" s="3" t="str">
        <f>IFERROR(__xludf.DUMMYFUNCTION("""COMPUTED_VALUE"""),"abeatsheroenhencement")</f>
        <v>abeatsheroenhencement</v>
      </c>
      <c r="B372" s="3" t="str">
        <f>IFERROR(__xludf.DUMMYFUNCTION("""COMPUTED_VALUE"""),"ahe")</f>
        <v>ahe</v>
      </c>
      <c r="C372" s="3" t="str">
        <f>IFERROR(__xludf.DUMMYFUNCTION("""COMPUTED_VALUE"""),"AbeatsHeroEnhencement")</f>
        <v>AbeatsHeroEnhencement</v>
      </c>
    </row>
    <row r="373">
      <c r="A373" s="3" t="str">
        <f>IFERROR(__xludf.DUMMYFUNCTION("""COMPUTED_VALUE"""),"abell-coin")</f>
        <v>abell-coin</v>
      </c>
      <c r="B373" s="3" t="str">
        <f>IFERROR(__xludf.DUMMYFUNCTION("""COMPUTED_VALUE"""),"abc")</f>
        <v>abc</v>
      </c>
      <c r="C373" s="3" t="str">
        <f>IFERROR(__xludf.DUMMYFUNCTION("""COMPUTED_VALUE"""),"Abell Coin")</f>
        <v>Abell Coin</v>
      </c>
    </row>
    <row r="374">
      <c r="A374" s="3" t="str">
        <f>IFERROR(__xludf.DUMMYFUNCTION("""COMPUTED_VALUE"""),"abey")</f>
        <v>abey</v>
      </c>
      <c r="B374" s="3" t="str">
        <f>IFERROR(__xludf.DUMMYFUNCTION("""COMPUTED_VALUE"""),"abey")</f>
        <v>abey</v>
      </c>
      <c r="C374" s="3" t="str">
        <f>IFERROR(__xludf.DUMMYFUNCTION("""COMPUTED_VALUE"""),"Abey")</f>
        <v>Abey</v>
      </c>
    </row>
    <row r="375">
      <c r="A375" s="3" t="str">
        <f>IFERROR(__xludf.DUMMYFUNCTION("""COMPUTED_VALUE"""),"abitshadow-token")</f>
        <v>abitshadow-token</v>
      </c>
      <c r="B375" s="3" t="str">
        <f>IFERROR(__xludf.DUMMYFUNCTION("""COMPUTED_VALUE"""),"abst")</f>
        <v>abst</v>
      </c>
      <c r="C375" s="3" t="str">
        <f>IFERROR(__xludf.DUMMYFUNCTION("""COMPUTED_VALUE"""),"Abitshadow")</f>
        <v>Abitshadow</v>
      </c>
    </row>
    <row r="376">
      <c r="A376" s="3" t="str">
        <f>IFERROR(__xludf.DUMMYFUNCTION("""COMPUTED_VALUE"""),"able-finance")</f>
        <v>able-finance</v>
      </c>
      <c r="B376" s="3" t="str">
        <f>IFERROR(__xludf.DUMMYFUNCTION("""COMPUTED_VALUE"""),"able")</f>
        <v>able</v>
      </c>
      <c r="C376" s="3" t="str">
        <f>IFERROR(__xludf.DUMMYFUNCTION("""COMPUTED_VALUE"""),"Able Finance")</f>
        <v>Able Finance</v>
      </c>
    </row>
    <row r="377">
      <c r="A377" s="3" t="str">
        <f>IFERROR(__xludf.DUMMYFUNCTION("""COMPUTED_VALUE"""),"aboat-token")</f>
        <v>aboat-token</v>
      </c>
      <c r="B377" s="3" t="str">
        <f>IFERROR(__xludf.DUMMYFUNCTION("""COMPUTED_VALUE"""),"aboat")</f>
        <v>aboat</v>
      </c>
      <c r="C377" s="3" t="str">
        <f>IFERROR(__xludf.DUMMYFUNCTION("""COMPUTED_VALUE"""),"Aboat Token")</f>
        <v>Aboat Token</v>
      </c>
    </row>
    <row r="378">
      <c r="A378" s="3" t="str">
        <f>IFERROR(__xludf.DUMMYFUNCTION("""COMPUTED_VALUE"""),"absolute-sync-token")</f>
        <v>absolute-sync-token</v>
      </c>
      <c r="B378" s="3" t="str">
        <f>IFERROR(__xludf.DUMMYFUNCTION("""COMPUTED_VALUE"""),"ast")</f>
        <v>ast</v>
      </c>
      <c r="C378" s="3" t="str">
        <f>IFERROR(__xludf.DUMMYFUNCTION("""COMPUTED_VALUE"""),"Absolute Sync")</f>
        <v>Absolute Sync</v>
      </c>
    </row>
    <row r="379">
      <c r="A379" s="3" t="str">
        <f>IFERROR(__xludf.DUMMYFUNCTION("""COMPUTED_VALUE"""),"acala")</f>
        <v>acala</v>
      </c>
      <c r="B379" s="3" t="str">
        <f>IFERROR(__xludf.DUMMYFUNCTION("""COMPUTED_VALUE"""),"aca")</f>
        <v>aca</v>
      </c>
      <c r="C379" s="3" t="str">
        <f>IFERROR(__xludf.DUMMYFUNCTION("""COMPUTED_VALUE"""),"Acala")</f>
        <v>Acala</v>
      </c>
    </row>
    <row r="380">
      <c r="A380" s="3" t="str">
        <f>IFERROR(__xludf.DUMMYFUNCTION("""COMPUTED_VALUE"""),"acala-dollar")</f>
        <v>acala-dollar</v>
      </c>
      <c r="B380" s="3" t="str">
        <f>IFERROR(__xludf.DUMMYFUNCTION("""COMPUTED_VALUE"""),"ausd")</f>
        <v>ausd</v>
      </c>
      <c r="C380" s="3" t="str">
        <f>IFERROR(__xludf.DUMMYFUNCTION("""COMPUTED_VALUE"""),"Acala Dollar (Karura)")</f>
        <v>Acala Dollar (Karura)</v>
      </c>
    </row>
    <row r="381">
      <c r="A381" s="3" t="str">
        <f>IFERROR(__xludf.DUMMYFUNCTION("""COMPUTED_VALUE"""),"acala-dollar-acala")</f>
        <v>acala-dollar-acala</v>
      </c>
      <c r="B381" s="3" t="str">
        <f>IFERROR(__xludf.DUMMYFUNCTION("""COMPUTED_VALUE"""),"ausd")</f>
        <v>ausd</v>
      </c>
      <c r="C381" s="3" t="str">
        <f>IFERROR(__xludf.DUMMYFUNCTION("""COMPUTED_VALUE"""),"Acala Dollar (Acala)")</f>
        <v>Acala Dollar (Acala)</v>
      </c>
    </row>
    <row r="382">
      <c r="A382" s="3" t="str">
        <f>IFERROR(__xludf.DUMMYFUNCTION("""COMPUTED_VALUE"""),"aca-token")</f>
        <v>aca-token</v>
      </c>
      <c r="B382" s="3" t="str">
        <f>IFERROR(__xludf.DUMMYFUNCTION("""COMPUTED_VALUE"""),"aca")</f>
        <v>aca</v>
      </c>
      <c r="C382" s="3" t="str">
        <f>IFERROR(__xludf.DUMMYFUNCTION("""COMPUTED_VALUE"""),"ACA")</f>
        <v>ACA</v>
      </c>
    </row>
    <row r="383">
      <c r="A383" s="3" t="str">
        <f>IFERROR(__xludf.DUMMYFUNCTION("""COMPUTED_VALUE"""),"accel-defi")</f>
        <v>accel-defi</v>
      </c>
      <c r="B383" s="3" t="str">
        <f>IFERROR(__xludf.DUMMYFUNCTION("""COMPUTED_VALUE"""),"accel")</f>
        <v>accel</v>
      </c>
      <c r="C383" s="3" t="str">
        <f>IFERROR(__xludf.DUMMYFUNCTION("""COMPUTED_VALUE"""),"Accel Defi")</f>
        <v>Accel Defi</v>
      </c>
    </row>
    <row r="384">
      <c r="A384" s="3" t="str">
        <f>IFERROR(__xludf.DUMMYFUNCTION("""COMPUTED_VALUE"""),"accesslauncher")</f>
        <v>accesslauncher</v>
      </c>
      <c r="B384" s="3" t="str">
        <f>IFERROR(__xludf.DUMMYFUNCTION("""COMPUTED_VALUE"""),"acx")</f>
        <v>acx</v>
      </c>
      <c r="C384" s="3" t="str">
        <f>IFERROR(__xludf.DUMMYFUNCTION("""COMPUTED_VALUE"""),"AccessLauncher")</f>
        <v>AccessLauncher</v>
      </c>
    </row>
    <row r="385">
      <c r="A385" s="3" t="str">
        <f>IFERROR(__xludf.DUMMYFUNCTION("""COMPUTED_VALUE"""),"accumulate")</f>
        <v>accumulate</v>
      </c>
      <c r="B385" s="3" t="str">
        <f>IFERROR(__xludf.DUMMYFUNCTION("""COMPUTED_VALUE"""),"acme")</f>
        <v>acme</v>
      </c>
      <c r="C385" s="3" t="str">
        <f>IFERROR(__xludf.DUMMYFUNCTION("""COMPUTED_VALUE"""),"Accumulate")</f>
        <v>Accumulate</v>
      </c>
    </row>
    <row r="386">
      <c r="A386" s="3" t="str">
        <f>IFERROR(__xludf.DUMMYFUNCTION("""COMPUTED_VALUE"""),"ace-cash")</f>
        <v>ace-cash</v>
      </c>
      <c r="B386" s="3" t="str">
        <f>IFERROR(__xludf.DUMMYFUNCTION("""COMPUTED_VALUE"""),"acec")</f>
        <v>acec</v>
      </c>
      <c r="C386" s="3" t="str">
        <f>IFERROR(__xludf.DUMMYFUNCTION("""COMPUTED_VALUE"""),"Ace Cash")</f>
        <v>Ace Cash</v>
      </c>
    </row>
    <row r="387">
      <c r="A387" s="3" t="str">
        <f>IFERROR(__xludf.DUMMYFUNCTION("""COMPUTED_VALUE"""),"aced")</f>
        <v>aced</v>
      </c>
      <c r="B387" s="3" t="str">
        <f>IFERROR(__xludf.DUMMYFUNCTION("""COMPUTED_VALUE"""),"aced")</f>
        <v>aced</v>
      </c>
      <c r="C387" s="3" t="str">
        <f>IFERROR(__xludf.DUMMYFUNCTION("""COMPUTED_VALUE"""),"Aced [OLD]")</f>
        <v>Aced [OLD]</v>
      </c>
    </row>
    <row r="388">
      <c r="A388" s="3" t="str">
        <f>IFERROR(__xludf.DUMMYFUNCTION("""COMPUTED_VALUE"""),"acent")</f>
        <v>acent</v>
      </c>
      <c r="B388" s="3" t="str">
        <f>IFERROR(__xludf.DUMMYFUNCTION("""COMPUTED_VALUE"""),"ace")</f>
        <v>ace</v>
      </c>
      <c r="C388" s="3" t="str">
        <f>IFERROR(__xludf.DUMMYFUNCTION("""COMPUTED_VALUE"""),"Acent")</f>
        <v>Acent</v>
      </c>
    </row>
    <row r="389">
      <c r="A389" s="3" t="str">
        <f>IFERROR(__xludf.DUMMYFUNCTION("""COMPUTED_VALUE"""),"acestarter")</f>
        <v>acestarter</v>
      </c>
      <c r="B389" s="3" t="str">
        <f>IFERROR(__xludf.DUMMYFUNCTION("""COMPUTED_VALUE"""),"astar")</f>
        <v>astar</v>
      </c>
      <c r="C389" s="3" t="str">
        <f>IFERROR(__xludf.DUMMYFUNCTION("""COMPUTED_VALUE"""),"AceStarter")</f>
        <v>AceStarter</v>
      </c>
    </row>
    <row r="390">
      <c r="A390" s="3" t="str">
        <f>IFERROR(__xludf.DUMMYFUNCTION("""COMPUTED_VALUE"""),"acetoken")</f>
        <v>acetoken</v>
      </c>
      <c r="B390" s="3" t="str">
        <f>IFERROR(__xludf.DUMMYFUNCTION("""COMPUTED_VALUE"""),"ace")</f>
        <v>ace</v>
      </c>
      <c r="C390" s="3" t="str">
        <f>IFERROR(__xludf.DUMMYFUNCTION("""COMPUTED_VALUE"""),"ACEToken")</f>
        <v>ACEToken</v>
      </c>
    </row>
    <row r="391">
      <c r="A391" s="3" t="str">
        <f>IFERROR(__xludf.DUMMYFUNCTION("""COMPUTED_VALUE"""),"acet-token")</f>
        <v>acet-token</v>
      </c>
      <c r="B391" s="3" t="str">
        <f>IFERROR(__xludf.DUMMYFUNCTION("""COMPUTED_VALUE"""),"act")</f>
        <v>act</v>
      </c>
      <c r="C391" s="3" t="str">
        <f>IFERROR(__xludf.DUMMYFUNCTION("""COMPUTED_VALUE"""),"Acet")</f>
        <v>Acet</v>
      </c>
    </row>
    <row r="392">
      <c r="A392" s="3" t="str">
        <f>IFERROR(__xludf.DUMMYFUNCTION("""COMPUTED_VALUE"""),"ac-exchange-token")</f>
        <v>ac-exchange-token</v>
      </c>
      <c r="B392" s="3" t="str">
        <f>IFERROR(__xludf.DUMMYFUNCTION("""COMPUTED_VALUE"""),"acxt")</f>
        <v>acxt</v>
      </c>
      <c r="C392" s="3" t="str">
        <f>IFERROR(__xludf.DUMMYFUNCTION("""COMPUTED_VALUE"""),"ACDX Exchange")</f>
        <v>ACDX Exchange</v>
      </c>
    </row>
    <row r="393">
      <c r="A393" s="3" t="str">
        <f>IFERROR(__xludf.DUMMYFUNCTION("""COMPUTED_VALUE"""),"achain")</f>
        <v>achain</v>
      </c>
      <c r="B393" s="3" t="str">
        <f>IFERROR(__xludf.DUMMYFUNCTION("""COMPUTED_VALUE"""),"act")</f>
        <v>act</v>
      </c>
      <c r="C393" s="3" t="str">
        <f>IFERROR(__xludf.DUMMYFUNCTION("""COMPUTED_VALUE"""),"Achain")</f>
        <v>Achain</v>
      </c>
    </row>
    <row r="394">
      <c r="A394" s="3" t="str">
        <f>IFERROR(__xludf.DUMMYFUNCTION("""COMPUTED_VALUE"""),"acknoledger")</f>
        <v>acknoledger</v>
      </c>
      <c r="B394" s="3" t="str">
        <f>IFERROR(__xludf.DUMMYFUNCTION("""COMPUTED_VALUE"""),"ack")</f>
        <v>ack</v>
      </c>
      <c r="C394" s="3" t="str">
        <f>IFERROR(__xludf.DUMMYFUNCTION("""COMPUTED_VALUE"""),"AcknoLedger")</f>
        <v>AcknoLedger</v>
      </c>
    </row>
    <row r="395">
      <c r="A395" s="3" t="str">
        <f>IFERROR(__xludf.DUMMYFUNCTION("""COMPUTED_VALUE"""),"ac-milan-fan-token")</f>
        <v>ac-milan-fan-token</v>
      </c>
      <c r="B395" s="3" t="str">
        <f>IFERROR(__xludf.DUMMYFUNCTION("""COMPUTED_VALUE"""),"acm")</f>
        <v>acm</v>
      </c>
      <c r="C395" s="3" t="str">
        <f>IFERROR(__xludf.DUMMYFUNCTION("""COMPUTED_VALUE"""),"AC Milan Fan Token")</f>
        <v>AC Milan Fan Token</v>
      </c>
    </row>
    <row r="396">
      <c r="A396" s="3" t="str">
        <f>IFERROR(__xludf.DUMMYFUNCTION("""COMPUTED_VALUE"""),"acoconut")</f>
        <v>acoconut</v>
      </c>
      <c r="B396" s="3" t="str">
        <f>IFERROR(__xludf.DUMMYFUNCTION("""COMPUTED_VALUE"""),"ac")</f>
        <v>ac</v>
      </c>
      <c r="C396" s="3" t="str">
        <f>IFERROR(__xludf.DUMMYFUNCTION("""COMPUTED_VALUE"""),"ACoconut")</f>
        <v>ACoconut</v>
      </c>
    </row>
    <row r="397">
      <c r="A397" s="3" t="str">
        <f>IFERROR(__xludf.DUMMYFUNCTION("""COMPUTED_VALUE"""),"acoin")</f>
        <v>acoin</v>
      </c>
      <c r="B397" s="3" t="str">
        <f>IFERROR(__xludf.DUMMYFUNCTION("""COMPUTED_VALUE"""),"acoin")</f>
        <v>acoin</v>
      </c>
      <c r="C397" s="3" t="str">
        <f>IFERROR(__xludf.DUMMYFUNCTION("""COMPUTED_VALUE"""),"Acoin")</f>
        <v>Acoin</v>
      </c>
    </row>
    <row r="398">
      <c r="A398" s="3" t="str">
        <f>IFERROR(__xludf.DUMMYFUNCTION("""COMPUTED_VALUE"""),"acquire-fi")</f>
        <v>acquire-fi</v>
      </c>
      <c r="B398" s="3" t="str">
        <f>IFERROR(__xludf.DUMMYFUNCTION("""COMPUTED_VALUE"""),"acq")</f>
        <v>acq</v>
      </c>
      <c r="C398" s="4" t="str">
        <f>IFERROR(__xludf.DUMMYFUNCTION("""COMPUTED_VALUE"""),"Acquire.Fi")</f>
        <v>Acquire.Fi</v>
      </c>
    </row>
    <row r="399">
      <c r="A399" s="3" t="str">
        <f>IFERROR(__xludf.DUMMYFUNCTION("""COMPUTED_VALUE"""),"acreage-coin")</f>
        <v>acreage-coin</v>
      </c>
      <c r="B399" s="3" t="str">
        <f>IFERROR(__xludf.DUMMYFUNCTION("""COMPUTED_VALUE"""),"acr")</f>
        <v>acr</v>
      </c>
      <c r="C399" s="3" t="str">
        <f>IFERROR(__xludf.DUMMYFUNCTION("""COMPUTED_VALUE"""),"Acreage Coin")</f>
        <v>Acreage Coin</v>
      </c>
    </row>
    <row r="400">
      <c r="A400" s="3" t="str">
        <f>IFERROR(__xludf.DUMMYFUNCTION("""COMPUTED_VALUE"""),"across-protocol")</f>
        <v>across-protocol</v>
      </c>
      <c r="B400" s="3" t="str">
        <f>IFERROR(__xludf.DUMMYFUNCTION("""COMPUTED_VALUE"""),"acx")</f>
        <v>acx</v>
      </c>
      <c r="C400" s="3" t="str">
        <f>IFERROR(__xludf.DUMMYFUNCTION("""COMPUTED_VALUE"""),"Across Protocol")</f>
        <v>Across Protocol</v>
      </c>
    </row>
    <row r="401">
      <c r="A401" s="3" t="str">
        <f>IFERROR(__xludf.DUMMYFUNCTION("""COMPUTED_VALUE"""),"acryptos")</f>
        <v>acryptos</v>
      </c>
      <c r="B401" s="3" t="str">
        <f>IFERROR(__xludf.DUMMYFUNCTION("""COMPUTED_VALUE"""),"acs")</f>
        <v>acs</v>
      </c>
      <c r="C401" s="3" t="str">
        <f>IFERROR(__xludf.DUMMYFUNCTION("""COMPUTED_VALUE"""),"ACryptoS")</f>
        <v>ACryptoS</v>
      </c>
    </row>
    <row r="402">
      <c r="A402" s="3" t="str">
        <f>IFERROR(__xludf.DUMMYFUNCTION("""COMPUTED_VALUE"""),"acryptosi")</f>
        <v>acryptosi</v>
      </c>
      <c r="B402" s="3" t="str">
        <f>IFERROR(__xludf.DUMMYFUNCTION("""COMPUTED_VALUE"""),"acsi")</f>
        <v>acsi</v>
      </c>
      <c r="C402" s="3" t="str">
        <f>IFERROR(__xludf.DUMMYFUNCTION("""COMPUTED_VALUE"""),"ACryptoSI")</f>
        <v>ACryptoSI</v>
      </c>
    </row>
    <row r="403">
      <c r="A403" s="3" t="str">
        <f>IFERROR(__xludf.DUMMYFUNCTION("""COMPUTED_VALUE"""),"actifit")</f>
        <v>actifit</v>
      </c>
      <c r="B403" s="3" t="str">
        <f>IFERROR(__xludf.DUMMYFUNCTION("""COMPUTED_VALUE"""),"afit")</f>
        <v>afit</v>
      </c>
      <c r="C403" s="3" t="str">
        <f>IFERROR(__xludf.DUMMYFUNCTION("""COMPUTED_VALUE"""),"Actifit")</f>
        <v>Actifit</v>
      </c>
    </row>
    <row r="404">
      <c r="A404" s="3" t="str">
        <f>IFERROR(__xludf.DUMMYFUNCTION("""COMPUTED_VALUE"""),"actinium")</f>
        <v>actinium</v>
      </c>
      <c r="B404" s="3" t="str">
        <f>IFERROR(__xludf.DUMMYFUNCTION("""COMPUTED_VALUE"""),"acm")</f>
        <v>acm</v>
      </c>
      <c r="C404" s="3" t="str">
        <f>IFERROR(__xludf.DUMMYFUNCTION("""COMPUTED_VALUE"""),"Actinium")</f>
        <v>Actinium</v>
      </c>
    </row>
    <row r="405">
      <c r="A405" s="3" t="str">
        <f>IFERROR(__xludf.DUMMYFUNCTION("""COMPUTED_VALUE"""),"action-coin")</f>
        <v>action-coin</v>
      </c>
      <c r="B405" s="3" t="str">
        <f>IFERROR(__xludf.DUMMYFUNCTION("""COMPUTED_VALUE"""),"actn")</f>
        <v>actn</v>
      </c>
      <c r="C405" s="3" t="str">
        <f>IFERROR(__xludf.DUMMYFUNCTION("""COMPUTED_VALUE"""),"Action Coin")</f>
        <v>Action Coin</v>
      </c>
    </row>
    <row r="406">
      <c r="A406" s="3" t="str">
        <f>IFERROR(__xludf.DUMMYFUNCTION("""COMPUTED_VALUE"""),"active-world-rewards-token")</f>
        <v>active-world-rewards-token</v>
      </c>
      <c r="B406" s="3" t="str">
        <f>IFERROR(__xludf.DUMMYFUNCTION("""COMPUTED_VALUE"""),"awrt")</f>
        <v>awrt</v>
      </c>
      <c r="C406" s="3" t="str">
        <f>IFERROR(__xludf.DUMMYFUNCTION("""COMPUTED_VALUE"""),"Active World Rewards")</f>
        <v>Active World Rewards</v>
      </c>
    </row>
    <row r="407">
      <c r="A407" s="3" t="str">
        <f>IFERROR(__xludf.DUMMYFUNCTION("""COMPUTED_VALUE"""),"acumen")</f>
        <v>acumen</v>
      </c>
      <c r="B407" s="3" t="str">
        <f>IFERROR(__xludf.DUMMYFUNCTION("""COMPUTED_VALUE"""),"acm")</f>
        <v>acm</v>
      </c>
      <c r="C407" s="3" t="str">
        <f>IFERROR(__xludf.DUMMYFUNCTION("""COMPUTED_VALUE"""),"Acumen")</f>
        <v>Acumen</v>
      </c>
    </row>
    <row r="408">
      <c r="A408" s="3" t="str">
        <f>IFERROR(__xludf.DUMMYFUNCTION("""COMPUTED_VALUE"""),"acu-platform")</f>
        <v>acu-platform</v>
      </c>
      <c r="B408" s="3" t="str">
        <f>IFERROR(__xludf.DUMMYFUNCTION("""COMPUTED_VALUE"""),"acu")</f>
        <v>acu</v>
      </c>
      <c r="C408" s="3" t="str">
        <f>IFERROR(__xludf.DUMMYFUNCTION("""COMPUTED_VALUE"""),"ACU Platform")</f>
        <v>ACU Platform</v>
      </c>
    </row>
    <row r="409">
      <c r="A409" s="3" t="str">
        <f>IFERROR(__xludf.DUMMYFUNCTION("""COMPUTED_VALUE"""),"acute-angle-cloud")</f>
        <v>acute-angle-cloud</v>
      </c>
      <c r="B409" s="3" t="str">
        <f>IFERROR(__xludf.DUMMYFUNCTION("""COMPUTED_VALUE"""),"aac")</f>
        <v>aac</v>
      </c>
      <c r="C409" s="3" t="str">
        <f>IFERROR(__xludf.DUMMYFUNCTION("""COMPUTED_VALUE"""),"Double-A Chain")</f>
        <v>Double-A Chain</v>
      </c>
    </row>
    <row r="410">
      <c r="A410" s="3" t="str">
        <f>IFERROR(__xludf.DUMMYFUNCTION("""COMPUTED_VALUE"""),"acy-finance")</f>
        <v>acy-finance</v>
      </c>
      <c r="B410" s="3" t="str">
        <f>IFERROR(__xludf.DUMMYFUNCTION("""COMPUTED_VALUE"""),"acy")</f>
        <v>acy</v>
      </c>
      <c r="C410" s="3" t="str">
        <f>IFERROR(__xludf.DUMMYFUNCTION("""COMPUTED_VALUE"""),"ACY Finance")</f>
        <v>ACY Finance</v>
      </c>
    </row>
    <row r="411">
      <c r="A411" s="3" t="str">
        <f>IFERROR(__xludf.DUMMYFUNCTION("""COMPUTED_VALUE"""),"adaboy")</f>
        <v>adaboy</v>
      </c>
      <c r="B411" s="3" t="str">
        <f>IFERROR(__xludf.DUMMYFUNCTION("""COMPUTED_VALUE"""),"adaboy")</f>
        <v>adaboy</v>
      </c>
      <c r="C411" s="3" t="str">
        <f>IFERROR(__xludf.DUMMYFUNCTION("""COMPUTED_VALUE"""),"ADABoy")</f>
        <v>ADABoy</v>
      </c>
    </row>
    <row r="412">
      <c r="A412" s="3" t="str">
        <f>IFERROR(__xludf.DUMMYFUNCTION("""COMPUTED_VALUE"""),"adacash")</f>
        <v>adacash</v>
      </c>
      <c r="B412" s="3" t="str">
        <f>IFERROR(__xludf.DUMMYFUNCTION("""COMPUTED_VALUE"""),"adacash")</f>
        <v>adacash</v>
      </c>
      <c r="C412" s="3" t="str">
        <f>IFERROR(__xludf.DUMMYFUNCTION("""COMPUTED_VALUE"""),"ADAcash")</f>
        <v>ADAcash</v>
      </c>
    </row>
    <row r="413">
      <c r="A413" s="3" t="str">
        <f>IFERROR(__xludf.DUMMYFUNCTION("""COMPUTED_VALUE"""),"adadao")</f>
        <v>adadao</v>
      </c>
      <c r="B413" s="3" t="str">
        <f>IFERROR(__xludf.DUMMYFUNCTION("""COMPUTED_VALUE"""),"adao")</f>
        <v>adao</v>
      </c>
      <c r="C413" s="3" t="str">
        <f>IFERROR(__xludf.DUMMYFUNCTION("""COMPUTED_VALUE"""),"ADADao")</f>
        <v>ADADao</v>
      </c>
    </row>
    <row r="414">
      <c r="A414" s="3" t="str">
        <f>IFERROR(__xludf.DUMMYFUNCTION("""COMPUTED_VALUE"""),"adadex-tools")</f>
        <v>adadex-tools</v>
      </c>
      <c r="B414" s="3" t="str">
        <f>IFERROR(__xludf.DUMMYFUNCTION("""COMPUTED_VALUE"""),"adat")</f>
        <v>adat</v>
      </c>
      <c r="C414" s="3" t="str">
        <f>IFERROR(__xludf.DUMMYFUNCTION("""COMPUTED_VALUE"""),"Adadex Tools")</f>
        <v>Adadex Tools</v>
      </c>
    </row>
    <row r="415">
      <c r="A415" s="3" t="str">
        <f>IFERROR(__xludf.DUMMYFUNCTION("""COMPUTED_VALUE"""),"adaflect")</f>
        <v>adaflect</v>
      </c>
      <c r="B415" s="3" t="str">
        <f>IFERROR(__xludf.DUMMYFUNCTION("""COMPUTED_VALUE"""),"adaflect")</f>
        <v>adaflect</v>
      </c>
      <c r="C415" s="3" t="str">
        <f>IFERROR(__xludf.DUMMYFUNCTION("""COMPUTED_VALUE"""),"ADAFlect")</f>
        <v>ADAFlect</v>
      </c>
    </row>
    <row r="416">
      <c r="A416" s="3" t="str">
        <f>IFERROR(__xludf.DUMMYFUNCTION("""COMPUTED_VALUE"""),"adalend")</f>
        <v>adalend</v>
      </c>
      <c r="B416" s="3" t="str">
        <f>IFERROR(__xludf.DUMMYFUNCTION("""COMPUTED_VALUE"""),"adal")</f>
        <v>adal</v>
      </c>
      <c r="C416" s="3" t="str">
        <f>IFERROR(__xludf.DUMMYFUNCTION("""COMPUTED_VALUE"""),"Adalend")</f>
        <v>Adalend</v>
      </c>
    </row>
    <row r="417">
      <c r="A417" s="3" t="str">
        <f>IFERROR(__xludf.DUMMYFUNCTION("""COMPUTED_VALUE"""),"adam")</f>
        <v>adam</v>
      </c>
      <c r="B417" s="3" t="str">
        <f>IFERROR(__xludf.DUMMYFUNCTION("""COMPUTED_VALUE"""),"adam")</f>
        <v>adam</v>
      </c>
      <c r="C417" s="3" t="str">
        <f>IFERROR(__xludf.DUMMYFUNCTION("""COMPUTED_VALUE"""),"ADAM")</f>
        <v>ADAM</v>
      </c>
    </row>
    <row r="418">
      <c r="A418" s="3" t="str">
        <f>IFERROR(__xludf.DUMMYFUNCTION("""COMPUTED_VALUE"""),"adamant")</f>
        <v>adamant</v>
      </c>
      <c r="B418" s="3" t="str">
        <f>IFERROR(__xludf.DUMMYFUNCTION("""COMPUTED_VALUE"""),"addy")</f>
        <v>addy</v>
      </c>
      <c r="C418" s="3" t="str">
        <f>IFERROR(__xludf.DUMMYFUNCTION("""COMPUTED_VALUE"""),"Adamant")</f>
        <v>Adamant</v>
      </c>
    </row>
    <row r="419">
      <c r="A419" s="3" t="str">
        <f>IFERROR(__xludf.DUMMYFUNCTION("""COMPUTED_VALUE"""),"adamant-coin")</f>
        <v>adamant-coin</v>
      </c>
      <c r="B419" s="3" t="str">
        <f>IFERROR(__xludf.DUMMYFUNCTION("""COMPUTED_VALUE"""),"admc")</f>
        <v>admc</v>
      </c>
      <c r="C419" s="3" t="str">
        <f>IFERROR(__xludf.DUMMYFUNCTION("""COMPUTED_VALUE"""),"Adamant Coin")</f>
        <v>Adamant Coin</v>
      </c>
    </row>
    <row r="420">
      <c r="A420" s="3" t="str">
        <f>IFERROR(__xludf.DUMMYFUNCTION("""COMPUTED_VALUE"""),"adamant-messenger")</f>
        <v>adamant-messenger</v>
      </c>
      <c r="B420" s="3" t="str">
        <f>IFERROR(__xludf.DUMMYFUNCTION("""COMPUTED_VALUE"""),"adm")</f>
        <v>adm</v>
      </c>
      <c r="C420" s="3" t="str">
        <f>IFERROR(__xludf.DUMMYFUNCTION("""COMPUTED_VALUE"""),"ADAMANT Messenger")</f>
        <v>ADAMANT Messenger</v>
      </c>
    </row>
    <row r="421">
      <c r="A421" s="3" t="str">
        <f>IFERROR(__xludf.DUMMYFUNCTION("""COMPUTED_VALUE"""),"adam-oracle")</f>
        <v>adam-oracle</v>
      </c>
      <c r="B421" s="3" t="str">
        <f>IFERROR(__xludf.DUMMYFUNCTION("""COMPUTED_VALUE"""),"adam")</f>
        <v>adam</v>
      </c>
      <c r="C421" s="3" t="str">
        <f>IFERROR(__xludf.DUMMYFUNCTION("""COMPUTED_VALUE"""),"ADAM Oracle")</f>
        <v>ADAM Oracle</v>
      </c>
    </row>
    <row r="422">
      <c r="A422" s="3" t="str">
        <f>IFERROR(__xludf.DUMMYFUNCTION("""COMPUTED_VALUE"""),"adana-demirspor")</f>
        <v>adana-demirspor</v>
      </c>
      <c r="B422" s="3" t="str">
        <f>IFERROR(__xludf.DUMMYFUNCTION("""COMPUTED_VALUE"""),"demir")</f>
        <v>demir</v>
      </c>
      <c r="C422" s="3" t="str">
        <f>IFERROR(__xludf.DUMMYFUNCTION("""COMPUTED_VALUE"""),"Adana Demirspor")</f>
        <v>Adana Demirspor</v>
      </c>
    </row>
    <row r="423">
      <c r="A423" s="3" t="str">
        <f>IFERROR(__xludf.DUMMYFUNCTION("""COMPUTED_VALUE"""),"adanaspor-fan-token")</f>
        <v>adanaspor-fan-token</v>
      </c>
      <c r="B423" s="3" t="str">
        <f>IFERROR(__xludf.DUMMYFUNCTION("""COMPUTED_VALUE"""),"adana")</f>
        <v>adana</v>
      </c>
      <c r="C423" s="3" t="str">
        <f>IFERROR(__xludf.DUMMYFUNCTION("""COMPUTED_VALUE"""),"Adanaspor Fan Token")</f>
        <v>Adanaspor Fan Token</v>
      </c>
    </row>
    <row r="424">
      <c r="A424" s="3" t="str">
        <f>IFERROR(__xludf.DUMMYFUNCTION("""COMPUTED_VALUE"""),"adapad")</f>
        <v>adapad</v>
      </c>
      <c r="B424" s="3" t="str">
        <f>IFERROR(__xludf.DUMMYFUNCTION("""COMPUTED_VALUE"""),"adapad")</f>
        <v>adapad</v>
      </c>
      <c r="C424" s="3" t="str">
        <f>IFERROR(__xludf.DUMMYFUNCTION("""COMPUTED_VALUE"""),"ADAPad")</f>
        <v>ADAPad</v>
      </c>
    </row>
    <row r="425">
      <c r="A425" s="3" t="str">
        <f>IFERROR(__xludf.DUMMYFUNCTION("""COMPUTED_VALUE"""),"adappter-token")</f>
        <v>adappter-token</v>
      </c>
      <c r="B425" s="3" t="str">
        <f>IFERROR(__xludf.DUMMYFUNCTION("""COMPUTED_VALUE"""),"adp")</f>
        <v>adp</v>
      </c>
      <c r="C425" s="3" t="str">
        <f>IFERROR(__xludf.DUMMYFUNCTION("""COMPUTED_VALUE"""),"Adappter")</f>
        <v>Adappter</v>
      </c>
    </row>
    <row r="426">
      <c r="A426" s="3" t="str">
        <f>IFERROR(__xludf.DUMMYFUNCTION("""COMPUTED_VALUE"""),"adaswap")</f>
        <v>adaswap</v>
      </c>
      <c r="B426" s="3" t="str">
        <f>IFERROR(__xludf.DUMMYFUNCTION("""COMPUTED_VALUE"""),"asw")</f>
        <v>asw</v>
      </c>
      <c r="C426" s="3" t="str">
        <f>IFERROR(__xludf.DUMMYFUNCTION("""COMPUTED_VALUE"""),"AdaSwap")</f>
        <v>AdaSwap</v>
      </c>
    </row>
    <row r="427">
      <c r="A427" s="3" t="str">
        <f>IFERROR(__xludf.DUMMYFUNCTION("""COMPUTED_VALUE"""),"adax")</f>
        <v>adax</v>
      </c>
      <c r="B427" s="3" t="str">
        <f>IFERROR(__xludf.DUMMYFUNCTION("""COMPUTED_VALUE"""),"adax")</f>
        <v>adax</v>
      </c>
      <c r="C427" s="3" t="str">
        <f>IFERROR(__xludf.DUMMYFUNCTION("""COMPUTED_VALUE"""),"ADAX")</f>
        <v>ADAX</v>
      </c>
    </row>
    <row r="428">
      <c r="A428" s="3" t="str">
        <f>IFERROR(__xludf.DUMMYFUNCTION("""COMPUTED_VALUE"""),"adbank")</f>
        <v>adbank</v>
      </c>
      <c r="B428" s="3" t="str">
        <f>IFERROR(__xludf.DUMMYFUNCTION("""COMPUTED_VALUE"""),"adb")</f>
        <v>adb</v>
      </c>
      <c r="C428" s="3" t="str">
        <f>IFERROR(__xludf.DUMMYFUNCTION("""COMPUTED_VALUE"""),"adbank")</f>
        <v>adbank</v>
      </c>
    </row>
    <row r="429">
      <c r="A429" s="3" t="str">
        <f>IFERROR(__xludf.DUMMYFUNCTION("""COMPUTED_VALUE"""),"add-xyz-new")</f>
        <v>add-xyz-new</v>
      </c>
      <c r="B429" s="3" t="str">
        <f>IFERROR(__xludf.DUMMYFUNCTION("""COMPUTED_VALUE"""),"add")</f>
        <v>add</v>
      </c>
      <c r="C429" s="3" t="str">
        <f>IFERROR(__xludf.DUMMYFUNCTION("""COMPUTED_VALUE"""),"Add.xyz (NEW)")</f>
        <v>Add.xyz (NEW)</v>
      </c>
    </row>
    <row r="430">
      <c r="A430" s="3" t="str">
        <f>IFERROR(__xludf.DUMMYFUNCTION("""COMPUTED_VALUE"""),"adene")</f>
        <v>adene</v>
      </c>
      <c r="B430" s="3" t="str">
        <f>IFERROR(__xludf.DUMMYFUNCTION("""COMPUTED_VALUE"""),"aden")</f>
        <v>aden</v>
      </c>
      <c r="C430" s="3" t="str">
        <f>IFERROR(__xludf.DUMMYFUNCTION("""COMPUTED_VALUE"""),"Adene")</f>
        <v>Adene</v>
      </c>
    </row>
    <row r="431">
      <c r="A431" s="3" t="str">
        <f>IFERROR(__xludf.DUMMYFUNCTION("""COMPUTED_VALUE"""),"adex")</f>
        <v>adex</v>
      </c>
      <c r="B431" s="3" t="str">
        <f>IFERROR(__xludf.DUMMYFUNCTION("""COMPUTED_VALUE"""),"adx")</f>
        <v>adx</v>
      </c>
      <c r="C431" s="3" t="str">
        <f>IFERROR(__xludf.DUMMYFUNCTION("""COMPUTED_VALUE"""),"Ambire AdEx")</f>
        <v>Ambire AdEx</v>
      </c>
    </row>
    <row r="432">
      <c r="A432" s="3" t="str">
        <f>IFERROR(__xludf.DUMMYFUNCTION("""COMPUTED_VALUE"""),"ad-flex-token")</f>
        <v>ad-flex-token</v>
      </c>
      <c r="B432" s="3" t="str">
        <f>IFERROR(__xludf.DUMMYFUNCTION("""COMPUTED_VALUE"""),"adf")</f>
        <v>adf</v>
      </c>
      <c r="C432" s="3" t="str">
        <f>IFERROR(__xludf.DUMMYFUNCTION("""COMPUTED_VALUE"""),"Ad Flex")</f>
        <v>Ad Flex</v>
      </c>
    </row>
    <row r="433">
      <c r="A433" s="3" t="str">
        <f>IFERROR(__xludf.DUMMYFUNCTION("""COMPUTED_VALUE"""),"aditus")</f>
        <v>aditus</v>
      </c>
      <c r="B433" s="3" t="str">
        <f>IFERROR(__xludf.DUMMYFUNCTION("""COMPUTED_VALUE"""),"adi")</f>
        <v>adi</v>
      </c>
      <c r="C433" s="3" t="str">
        <f>IFERROR(__xludf.DUMMYFUNCTION("""COMPUTED_VALUE"""),"Aditus")</f>
        <v>Aditus</v>
      </c>
    </row>
    <row r="434">
      <c r="A434" s="3" t="str">
        <f>IFERROR(__xludf.DUMMYFUNCTION("""COMPUTED_VALUE"""),"admonkey")</f>
        <v>admonkey</v>
      </c>
      <c r="B434" s="3" t="str">
        <f>IFERROR(__xludf.DUMMYFUNCTION("""COMPUTED_VALUE"""),"admonkey")</f>
        <v>admonkey</v>
      </c>
      <c r="C434" s="3" t="str">
        <f>IFERROR(__xludf.DUMMYFUNCTION("""COMPUTED_VALUE"""),"AdMonkey")</f>
        <v>AdMonkey</v>
      </c>
    </row>
    <row r="435">
      <c r="A435" s="3" t="str">
        <f>IFERROR(__xludf.DUMMYFUNCTION("""COMPUTED_VALUE"""),"ado-network")</f>
        <v>ado-network</v>
      </c>
      <c r="B435" s="3" t="str">
        <f>IFERROR(__xludf.DUMMYFUNCTION("""COMPUTED_VALUE"""),"ado")</f>
        <v>ado</v>
      </c>
      <c r="C435" s="3" t="str">
        <f>IFERROR(__xludf.DUMMYFUNCTION("""COMPUTED_VALUE"""),"ADO.Network")</f>
        <v>ADO.Network</v>
      </c>
    </row>
    <row r="436">
      <c r="A436" s="3" t="str">
        <f>IFERROR(__xludf.DUMMYFUNCTION("""COMPUTED_VALUE"""),"adonis")</f>
        <v>adonis</v>
      </c>
      <c r="B436" s="3" t="str">
        <f>IFERROR(__xludf.DUMMYFUNCTION("""COMPUTED_VALUE"""),"adon")</f>
        <v>adon</v>
      </c>
      <c r="C436" s="3" t="str">
        <f>IFERROR(__xludf.DUMMYFUNCTION("""COMPUTED_VALUE"""),"Adonis [OLD]")</f>
        <v>Adonis [OLD]</v>
      </c>
    </row>
    <row r="437">
      <c r="A437" s="3" t="str">
        <f>IFERROR(__xludf.DUMMYFUNCTION("""COMPUTED_VALUE"""),"adonis-2")</f>
        <v>adonis-2</v>
      </c>
      <c r="B437" s="3" t="str">
        <f>IFERROR(__xludf.DUMMYFUNCTION("""COMPUTED_VALUE"""),"adon")</f>
        <v>adon</v>
      </c>
      <c r="C437" s="3" t="str">
        <f>IFERROR(__xludf.DUMMYFUNCTION("""COMPUTED_VALUE"""),"Adonis")</f>
        <v>Adonis</v>
      </c>
    </row>
    <row r="438">
      <c r="A438" s="3" t="str">
        <f>IFERROR(__xludf.DUMMYFUNCTION("""COMPUTED_VALUE"""),"adora-token")</f>
        <v>adora-token</v>
      </c>
      <c r="B438" s="3" t="str">
        <f>IFERROR(__xludf.DUMMYFUNCTION("""COMPUTED_VALUE"""),"ara")</f>
        <v>ara</v>
      </c>
      <c r="C438" s="3" t="str">
        <f>IFERROR(__xludf.DUMMYFUNCTION("""COMPUTED_VALUE"""),"Adora")</f>
        <v>Adora</v>
      </c>
    </row>
    <row r="439">
      <c r="A439" s="3" t="str">
        <f>IFERROR(__xludf.DUMMYFUNCTION("""COMPUTED_VALUE"""),"adroverse")</f>
        <v>adroverse</v>
      </c>
      <c r="B439" s="3" t="str">
        <f>IFERROR(__xludf.DUMMYFUNCTION("""COMPUTED_VALUE"""),"adr")</f>
        <v>adr</v>
      </c>
      <c r="C439" s="3" t="str">
        <f>IFERROR(__xludf.DUMMYFUNCTION("""COMPUTED_VALUE"""),"Adroverse")</f>
        <v>Adroverse</v>
      </c>
    </row>
    <row r="440">
      <c r="A440" s="3" t="str">
        <f>IFERROR(__xludf.DUMMYFUNCTION("""COMPUTED_VALUE"""),"adshares")</f>
        <v>adshares</v>
      </c>
      <c r="B440" s="3" t="str">
        <f>IFERROR(__xludf.DUMMYFUNCTION("""COMPUTED_VALUE"""),"ads")</f>
        <v>ads</v>
      </c>
      <c r="C440" s="3" t="str">
        <f>IFERROR(__xludf.DUMMYFUNCTION("""COMPUTED_VALUE"""),"Adshares")</f>
        <v>Adshares</v>
      </c>
    </row>
    <row r="441">
      <c r="A441" s="3" t="str">
        <f>IFERROR(__xludf.DUMMYFUNCTION("""COMPUTED_VALUE"""),"adtoken")</f>
        <v>adtoken</v>
      </c>
      <c r="B441" s="3" t="str">
        <f>IFERROR(__xludf.DUMMYFUNCTION("""COMPUTED_VALUE"""),"adt")</f>
        <v>adt</v>
      </c>
      <c r="C441" s="3" t="str">
        <f>IFERROR(__xludf.DUMMYFUNCTION("""COMPUTED_VALUE"""),"adChain")</f>
        <v>adChain</v>
      </c>
    </row>
    <row r="442">
      <c r="A442" s="3" t="str">
        <f>IFERROR(__xludf.DUMMYFUNCTION("""COMPUTED_VALUE"""),"advanced-internet-block")</f>
        <v>advanced-internet-block</v>
      </c>
      <c r="B442" s="3" t="str">
        <f>IFERROR(__xludf.DUMMYFUNCTION("""COMPUTED_VALUE"""),"aib")</f>
        <v>aib</v>
      </c>
      <c r="C442" s="3" t="str">
        <f>IFERROR(__xludf.DUMMYFUNCTION("""COMPUTED_VALUE"""),"Advanced Integrated Blocks")</f>
        <v>Advanced Integrated Blocks</v>
      </c>
    </row>
    <row r="443">
      <c r="A443" s="3" t="str">
        <f>IFERROR(__xludf.DUMMYFUNCTION("""COMPUTED_VALUE"""),"advanced-united-continent")</f>
        <v>advanced-united-continent</v>
      </c>
      <c r="B443" s="3" t="str">
        <f>IFERROR(__xludf.DUMMYFUNCTION("""COMPUTED_VALUE"""),"auc")</f>
        <v>auc</v>
      </c>
      <c r="C443" s="3" t="str">
        <f>IFERROR(__xludf.DUMMYFUNCTION("""COMPUTED_VALUE"""),"Advanced United Continent")</f>
        <v>Advanced United Continent</v>
      </c>
    </row>
    <row r="444">
      <c r="A444" s="3" t="str">
        <f>IFERROR(__xludf.DUMMYFUNCTION("""COMPUTED_VALUE"""),"adventure-gold")</f>
        <v>adventure-gold</v>
      </c>
      <c r="B444" s="3" t="str">
        <f>IFERROR(__xludf.DUMMYFUNCTION("""COMPUTED_VALUE"""),"agld")</f>
        <v>agld</v>
      </c>
      <c r="C444" s="3" t="str">
        <f>IFERROR(__xludf.DUMMYFUNCTION("""COMPUTED_VALUE"""),"Adventure Gold")</f>
        <v>Adventure Gold</v>
      </c>
    </row>
    <row r="445">
      <c r="A445" s="3" t="str">
        <f>IFERROR(__xludf.DUMMYFUNCTION("""COMPUTED_VALUE"""),"adventure-inu")</f>
        <v>adventure-inu</v>
      </c>
      <c r="B445" s="3" t="str">
        <f>IFERROR(__xludf.DUMMYFUNCTION("""COMPUTED_VALUE"""),"adinu")</f>
        <v>adinu</v>
      </c>
      <c r="C445" s="3" t="str">
        <f>IFERROR(__xludf.DUMMYFUNCTION("""COMPUTED_VALUE"""),"Adventure Inu")</f>
        <v>Adventure Inu</v>
      </c>
    </row>
    <row r="446">
      <c r="A446" s="3" t="str">
        <f>IFERROR(__xludf.DUMMYFUNCTION("""COMPUTED_VALUE"""),"adventure-token")</f>
        <v>adventure-token</v>
      </c>
      <c r="B446" s="3" t="str">
        <f>IFERROR(__xludf.DUMMYFUNCTION("""COMPUTED_VALUE"""),"twa")</f>
        <v>twa</v>
      </c>
      <c r="C446" s="3" t="str">
        <f>IFERROR(__xludf.DUMMYFUNCTION("""COMPUTED_VALUE"""),"Adventure")</f>
        <v>Adventure</v>
      </c>
    </row>
    <row r="447">
      <c r="A447" s="3" t="str">
        <f>IFERROR(__xludf.DUMMYFUNCTION("""COMPUTED_VALUE"""),"advertise-coin")</f>
        <v>advertise-coin</v>
      </c>
      <c r="B447" s="3" t="str">
        <f>IFERROR(__xludf.DUMMYFUNCTION("""COMPUTED_VALUE"""),"adco")</f>
        <v>adco</v>
      </c>
      <c r="C447" s="3" t="str">
        <f>IFERROR(__xludf.DUMMYFUNCTION("""COMPUTED_VALUE"""),"Advertise Coin")</f>
        <v>Advertise Coin</v>
      </c>
    </row>
    <row r="448">
      <c r="A448" s="3" t="str">
        <f>IFERROR(__xludf.DUMMYFUNCTION("""COMPUTED_VALUE"""),"aegis")</f>
        <v>aegis</v>
      </c>
      <c r="B448" s="3" t="str">
        <f>IFERROR(__xludf.DUMMYFUNCTION("""COMPUTED_VALUE"""),"ags")</f>
        <v>ags</v>
      </c>
      <c r="C448" s="3" t="str">
        <f>IFERROR(__xludf.DUMMYFUNCTION("""COMPUTED_VALUE"""),"Aegis")</f>
        <v>Aegis</v>
      </c>
    </row>
    <row r="449">
      <c r="A449" s="3" t="str">
        <f>IFERROR(__xludf.DUMMYFUNCTION("""COMPUTED_VALUE"""),"aegis-launchpad")</f>
        <v>aegis-launchpad</v>
      </c>
      <c r="B449" s="3" t="str">
        <f>IFERROR(__xludf.DUMMYFUNCTION("""COMPUTED_VALUE"""),"agspad")</f>
        <v>agspad</v>
      </c>
      <c r="C449" s="3" t="str">
        <f>IFERROR(__xludf.DUMMYFUNCTION("""COMPUTED_VALUE"""),"Aegis Launchpad")</f>
        <v>Aegis Launchpad</v>
      </c>
    </row>
    <row r="450">
      <c r="A450" s="3" t="str">
        <f>IFERROR(__xludf.DUMMYFUNCTION("""COMPUTED_VALUE"""),"aelf")</f>
        <v>aelf</v>
      </c>
      <c r="B450" s="3" t="str">
        <f>IFERROR(__xludf.DUMMYFUNCTION("""COMPUTED_VALUE"""),"elf")</f>
        <v>elf</v>
      </c>
      <c r="C450" s="3" t="str">
        <f>IFERROR(__xludf.DUMMYFUNCTION("""COMPUTED_VALUE"""),"aelf")</f>
        <v>aelf</v>
      </c>
    </row>
    <row r="451">
      <c r="A451" s="3" t="str">
        <f>IFERROR(__xludf.DUMMYFUNCTION("""COMPUTED_VALUE"""),"aelin")</f>
        <v>aelin</v>
      </c>
      <c r="B451" s="3" t="str">
        <f>IFERROR(__xludf.DUMMYFUNCTION("""COMPUTED_VALUE"""),"aelin")</f>
        <v>aelin</v>
      </c>
      <c r="C451" s="3" t="str">
        <f>IFERROR(__xludf.DUMMYFUNCTION("""COMPUTED_VALUE"""),"Aelin")</f>
        <v>Aelin</v>
      </c>
    </row>
    <row r="452">
      <c r="A452" s="3" t="str">
        <f>IFERROR(__xludf.DUMMYFUNCTION("""COMPUTED_VALUE"""),"aelysir")</f>
        <v>aelysir</v>
      </c>
      <c r="B452" s="3" t="str">
        <f>IFERROR(__xludf.DUMMYFUNCTION("""COMPUTED_VALUE"""),"ael")</f>
        <v>ael</v>
      </c>
      <c r="C452" s="3" t="str">
        <f>IFERROR(__xludf.DUMMYFUNCTION("""COMPUTED_VALUE"""),"Aelysir")</f>
        <v>Aelysir</v>
      </c>
    </row>
    <row r="453">
      <c r="A453" s="3" t="str">
        <f>IFERROR(__xludf.DUMMYFUNCTION("""COMPUTED_VALUE"""),"aen-smart-token")</f>
        <v>aen-smart-token</v>
      </c>
      <c r="B453" s="3" t="str">
        <f>IFERROR(__xludf.DUMMYFUNCTION("""COMPUTED_VALUE"""),"aens")</f>
        <v>aens</v>
      </c>
      <c r="C453" s="3" t="str">
        <f>IFERROR(__xludf.DUMMYFUNCTION("""COMPUTED_VALUE"""),"AEN Smart")</f>
        <v>AEN Smart</v>
      </c>
    </row>
    <row r="454">
      <c r="A454" s="3" t="str">
        <f>IFERROR(__xludf.DUMMYFUNCTION("""COMPUTED_VALUE"""),"aeon")</f>
        <v>aeon</v>
      </c>
      <c r="B454" s="3" t="str">
        <f>IFERROR(__xludf.DUMMYFUNCTION("""COMPUTED_VALUE"""),"aeon")</f>
        <v>aeon</v>
      </c>
      <c r="C454" s="3" t="str">
        <f>IFERROR(__xludf.DUMMYFUNCTION("""COMPUTED_VALUE"""),"Aeon")</f>
        <v>Aeon</v>
      </c>
    </row>
    <row r="455">
      <c r="A455" s="3" t="str">
        <f>IFERROR(__xludf.DUMMYFUNCTION("""COMPUTED_VALUE"""),"aequinox")</f>
        <v>aequinox</v>
      </c>
      <c r="B455" s="3" t="str">
        <f>IFERROR(__xludf.DUMMYFUNCTION("""COMPUTED_VALUE"""),"aeq")</f>
        <v>aeq</v>
      </c>
      <c r="C455" s="3" t="str">
        <f>IFERROR(__xludf.DUMMYFUNCTION("""COMPUTED_VALUE"""),"Aequinox")</f>
        <v>Aequinox</v>
      </c>
    </row>
    <row r="456">
      <c r="A456" s="3" t="str">
        <f>IFERROR(__xludf.DUMMYFUNCTION("""COMPUTED_VALUE"""),"aerarium-fi")</f>
        <v>aerarium-fi</v>
      </c>
      <c r="B456" s="3" t="str">
        <f>IFERROR(__xludf.DUMMYFUNCTION("""COMPUTED_VALUE"""),"aera")</f>
        <v>aera</v>
      </c>
      <c r="C456" s="3" t="str">
        <f>IFERROR(__xludf.DUMMYFUNCTION("""COMPUTED_VALUE"""),"Aerarium Fi")</f>
        <v>Aerarium Fi</v>
      </c>
    </row>
    <row r="457">
      <c r="A457" s="3" t="str">
        <f>IFERROR(__xludf.DUMMYFUNCTION("""COMPUTED_VALUE"""),"aerdrop")</f>
        <v>aerdrop</v>
      </c>
      <c r="B457" s="3" t="str">
        <f>IFERROR(__xludf.DUMMYFUNCTION("""COMPUTED_VALUE"""),"aer")</f>
        <v>aer</v>
      </c>
      <c r="C457" s="3" t="str">
        <f>IFERROR(__xludf.DUMMYFUNCTION("""COMPUTED_VALUE"""),"Aerdrop")</f>
        <v>Aerdrop</v>
      </c>
    </row>
    <row r="458">
      <c r="A458" s="3" t="str">
        <f>IFERROR(__xludf.DUMMYFUNCTION("""COMPUTED_VALUE"""),"aergo")</f>
        <v>aergo</v>
      </c>
      <c r="B458" s="3" t="str">
        <f>IFERROR(__xludf.DUMMYFUNCTION("""COMPUTED_VALUE"""),"aergo")</f>
        <v>aergo</v>
      </c>
      <c r="C458" s="3" t="str">
        <f>IFERROR(__xludf.DUMMYFUNCTION("""COMPUTED_VALUE"""),"Aergo")</f>
        <v>Aergo</v>
      </c>
    </row>
    <row r="459">
      <c r="A459" s="3" t="str">
        <f>IFERROR(__xludf.DUMMYFUNCTION("""COMPUTED_VALUE"""),"aerochain")</f>
        <v>aerochain</v>
      </c>
      <c r="B459" s="3" t="str">
        <f>IFERROR(__xludf.DUMMYFUNCTION("""COMPUTED_VALUE"""),"aero-v2")</f>
        <v>aero-v2</v>
      </c>
      <c r="C459" s="3" t="str">
        <f>IFERROR(__xludf.DUMMYFUNCTION("""COMPUTED_VALUE"""),"Aerochain Coin V2")</f>
        <v>Aerochain Coin V2</v>
      </c>
    </row>
    <row r="460">
      <c r="A460" s="3" t="str">
        <f>IFERROR(__xludf.DUMMYFUNCTION("""COMPUTED_VALUE"""),"aeron")</f>
        <v>aeron</v>
      </c>
      <c r="B460" s="3" t="str">
        <f>IFERROR(__xludf.DUMMYFUNCTION("""COMPUTED_VALUE"""),"arnx")</f>
        <v>arnx</v>
      </c>
      <c r="C460" s="3" t="str">
        <f>IFERROR(__xludf.DUMMYFUNCTION("""COMPUTED_VALUE"""),"Aeron")</f>
        <v>Aeron</v>
      </c>
    </row>
    <row r="461">
      <c r="A461" s="3" t="str">
        <f>IFERROR(__xludf.DUMMYFUNCTION("""COMPUTED_VALUE"""),"aerotoken")</f>
        <v>aerotoken</v>
      </c>
      <c r="B461" s="3" t="str">
        <f>IFERROR(__xludf.DUMMYFUNCTION("""COMPUTED_VALUE"""),"aet")</f>
        <v>aet</v>
      </c>
      <c r="C461" s="3" t="str">
        <f>IFERROR(__xludf.DUMMYFUNCTION("""COMPUTED_VALUE"""),"AEROTOKEN")</f>
        <v>AEROTOKEN</v>
      </c>
    </row>
    <row r="462">
      <c r="A462" s="3" t="str">
        <f>IFERROR(__xludf.DUMMYFUNCTION("""COMPUTED_VALUE"""),"aerotyne")</f>
        <v>aerotyne</v>
      </c>
      <c r="B462" s="3" t="str">
        <f>IFERROR(__xludf.DUMMYFUNCTION("""COMPUTED_VALUE"""),"atyne")</f>
        <v>atyne</v>
      </c>
      <c r="C462" s="3" t="str">
        <f>IFERROR(__xludf.DUMMYFUNCTION("""COMPUTED_VALUE"""),"Aerotyne")</f>
        <v>Aerotyne</v>
      </c>
    </row>
    <row r="463">
      <c r="A463" s="3" t="str">
        <f>IFERROR(__xludf.DUMMYFUNCTION("""COMPUTED_VALUE"""),"aerovek-aviation")</f>
        <v>aerovek-aviation</v>
      </c>
      <c r="B463" s="3" t="str">
        <f>IFERROR(__xludf.DUMMYFUNCTION("""COMPUTED_VALUE"""),"aero")</f>
        <v>aero</v>
      </c>
      <c r="C463" s="3" t="str">
        <f>IFERROR(__xludf.DUMMYFUNCTION("""COMPUTED_VALUE"""),"Aerovek Aviation")</f>
        <v>Aerovek Aviation</v>
      </c>
    </row>
    <row r="464">
      <c r="A464" s="3" t="str">
        <f>IFERROR(__xludf.DUMMYFUNCTION("""COMPUTED_VALUE"""),"aeternity")</f>
        <v>aeternity</v>
      </c>
      <c r="B464" s="3" t="str">
        <f>IFERROR(__xludf.DUMMYFUNCTION("""COMPUTED_VALUE"""),"ae")</f>
        <v>ae</v>
      </c>
      <c r="C464" s="3" t="str">
        <f>IFERROR(__xludf.DUMMYFUNCTION("""COMPUTED_VALUE"""),"Aeternity")</f>
        <v>Aeternity</v>
      </c>
    </row>
    <row r="465">
      <c r="A465" s="3" t="str">
        <f>IFERROR(__xludf.DUMMYFUNCTION("""COMPUTED_VALUE"""),"aetherius")</f>
        <v>aetherius</v>
      </c>
      <c r="B465" s="3" t="str">
        <f>IFERROR(__xludf.DUMMYFUNCTION("""COMPUTED_VALUE"""),"aeth")</f>
        <v>aeth</v>
      </c>
      <c r="C465" s="3" t="str">
        <f>IFERROR(__xludf.DUMMYFUNCTION("""COMPUTED_VALUE"""),"Aetherius")</f>
        <v>Aetherius</v>
      </c>
    </row>
    <row r="466">
      <c r="A466" s="3" t="str">
        <f>IFERROR(__xludf.DUMMYFUNCTION("""COMPUTED_VALUE"""),"aetherv2")</f>
        <v>aetherv2</v>
      </c>
      <c r="B466" s="3" t="str">
        <f>IFERROR(__xludf.DUMMYFUNCTION("""COMPUTED_VALUE"""),"ath")</f>
        <v>ath</v>
      </c>
      <c r="C466" s="3" t="str">
        <f>IFERROR(__xludf.DUMMYFUNCTION("""COMPUTED_VALUE"""),"AetherV2")</f>
        <v>AetherV2</v>
      </c>
    </row>
    <row r="467">
      <c r="A467" s="3" t="str">
        <f>IFERROR(__xludf.DUMMYFUNCTION("""COMPUTED_VALUE"""),"aeur")</f>
        <v>aeur</v>
      </c>
      <c r="B467" s="3" t="str">
        <f>IFERROR(__xludf.DUMMYFUNCTION("""COMPUTED_VALUE"""),"aeur")</f>
        <v>aeur</v>
      </c>
      <c r="C467" s="3" t="str">
        <f>IFERROR(__xludf.DUMMYFUNCTION("""COMPUTED_VALUE"""),"AEUR")</f>
        <v>AEUR</v>
      </c>
    </row>
    <row r="468">
      <c r="A468" s="3" t="str">
        <f>IFERROR(__xludf.DUMMYFUNCTION("""COMPUTED_VALUE"""),"aezora")</f>
        <v>aezora</v>
      </c>
      <c r="B468" s="3" t="str">
        <f>IFERROR(__xludf.DUMMYFUNCTION("""COMPUTED_VALUE"""),"azr")</f>
        <v>azr</v>
      </c>
      <c r="C468" s="3" t="str">
        <f>IFERROR(__xludf.DUMMYFUNCTION("""COMPUTED_VALUE"""),"Azzure")</f>
        <v>Azzure</v>
      </c>
    </row>
    <row r="469">
      <c r="A469" s="3" t="str">
        <f>IFERROR(__xludf.DUMMYFUNCTION("""COMPUTED_VALUE"""),"afen-blockchain")</f>
        <v>afen-blockchain</v>
      </c>
      <c r="B469" s="3" t="str">
        <f>IFERROR(__xludf.DUMMYFUNCTION("""COMPUTED_VALUE"""),"afen")</f>
        <v>afen</v>
      </c>
      <c r="C469" s="3" t="str">
        <f>IFERROR(__xludf.DUMMYFUNCTION("""COMPUTED_VALUE"""),"AFEN Blockchain")</f>
        <v>AFEN Blockchain</v>
      </c>
    </row>
    <row r="470">
      <c r="A470" s="3" t="str">
        <f>IFERROR(__xludf.DUMMYFUNCTION("""COMPUTED_VALUE"""),"affinity")</f>
        <v>affinity</v>
      </c>
      <c r="B470" s="3" t="str">
        <f>IFERROR(__xludf.DUMMYFUNCTION("""COMPUTED_VALUE"""),"afnty")</f>
        <v>afnty</v>
      </c>
      <c r="C470" s="3" t="str">
        <f>IFERROR(__xludf.DUMMYFUNCTION("""COMPUTED_VALUE"""),"Affinity")</f>
        <v>Affinity</v>
      </c>
    </row>
    <row r="471">
      <c r="A471" s="3" t="str">
        <f>IFERROR(__xludf.DUMMYFUNCTION("""COMPUTED_VALUE"""),"affyn")</f>
        <v>affyn</v>
      </c>
      <c r="B471" s="3" t="str">
        <f>IFERROR(__xludf.DUMMYFUNCTION("""COMPUTED_VALUE"""),"fyn")</f>
        <v>fyn</v>
      </c>
      <c r="C471" s="3" t="str">
        <f>IFERROR(__xludf.DUMMYFUNCTION("""COMPUTED_VALUE"""),"Affyn")</f>
        <v>Affyn</v>
      </c>
    </row>
    <row r="472">
      <c r="A472" s="3" t="str">
        <f>IFERROR(__xludf.DUMMYFUNCTION("""COMPUTED_VALUE"""),"afin-coin")</f>
        <v>afin-coin</v>
      </c>
      <c r="B472" s="3" t="str">
        <f>IFERROR(__xludf.DUMMYFUNCTION("""COMPUTED_VALUE"""),"afin")</f>
        <v>afin</v>
      </c>
      <c r="C472" s="3" t="str">
        <f>IFERROR(__xludf.DUMMYFUNCTION("""COMPUTED_VALUE"""),"Asian Fintech")</f>
        <v>Asian Fintech</v>
      </c>
    </row>
    <row r="473">
      <c r="A473" s="3" t="str">
        <f>IFERROR(__xludf.DUMMYFUNCTION("""COMPUTED_VALUE"""),"afkdao")</f>
        <v>afkdao</v>
      </c>
      <c r="B473" s="3" t="str">
        <f>IFERROR(__xludf.DUMMYFUNCTION("""COMPUTED_VALUE"""),"afk")</f>
        <v>afk</v>
      </c>
      <c r="C473" s="3" t="str">
        <f>IFERROR(__xludf.DUMMYFUNCTION("""COMPUTED_VALUE"""),"AFKDAO")</f>
        <v>AFKDAO</v>
      </c>
    </row>
    <row r="474">
      <c r="A474" s="3" t="str">
        <f>IFERROR(__xludf.DUMMYFUNCTION("""COMPUTED_VALUE"""),"afrep")</f>
        <v>afrep</v>
      </c>
      <c r="B474" s="3" t="str">
        <f>IFERROR(__xludf.DUMMYFUNCTION("""COMPUTED_VALUE"""),"afrep")</f>
        <v>afrep</v>
      </c>
      <c r="C474" s="3" t="str">
        <f>IFERROR(__xludf.DUMMYFUNCTION("""COMPUTED_VALUE"""),"Afrep")</f>
        <v>Afrep</v>
      </c>
    </row>
    <row r="475">
      <c r="A475" s="3" t="str">
        <f>IFERROR(__xludf.DUMMYFUNCTION("""COMPUTED_VALUE"""),"afreum")</f>
        <v>afreum</v>
      </c>
      <c r="B475" s="3" t="str">
        <f>IFERROR(__xludf.DUMMYFUNCTION("""COMPUTED_VALUE"""),"afr")</f>
        <v>afr</v>
      </c>
      <c r="C475" s="3" t="str">
        <f>IFERROR(__xludf.DUMMYFUNCTION("""COMPUTED_VALUE"""),"Afreum")</f>
        <v>Afreum</v>
      </c>
    </row>
    <row r="476">
      <c r="A476" s="3" t="str">
        <f>IFERROR(__xludf.DUMMYFUNCTION("""COMPUTED_VALUE"""),"afrix")</f>
        <v>afrix</v>
      </c>
      <c r="B476" s="3" t="str">
        <f>IFERROR(__xludf.DUMMYFUNCTION("""COMPUTED_VALUE"""),"afx")</f>
        <v>afx</v>
      </c>
      <c r="C476" s="3" t="str">
        <f>IFERROR(__xludf.DUMMYFUNCTION("""COMPUTED_VALUE"""),"Afrix")</f>
        <v>Afrix</v>
      </c>
    </row>
    <row r="477">
      <c r="A477" s="3" t="str">
        <f>IFERROR(__xludf.DUMMYFUNCTION("""COMPUTED_VALUE"""),"afrostar")</f>
        <v>afrostar</v>
      </c>
      <c r="B477" s="3" t="str">
        <f>IFERROR(__xludf.DUMMYFUNCTION("""COMPUTED_VALUE"""),"afro")</f>
        <v>afro</v>
      </c>
      <c r="C477" s="3" t="str">
        <f>IFERROR(__xludf.DUMMYFUNCTION("""COMPUTED_VALUE"""),"Afrostar")</f>
        <v>Afrostar</v>
      </c>
    </row>
    <row r="478">
      <c r="A478" s="3" t="str">
        <f>IFERROR(__xludf.DUMMYFUNCTION("""COMPUTED_VALUE"""),"afyonspor-fan-token")</f>
        <v>afyonspor-fan-token</v>
      </c>
      <c r="B478" s="3" t="str">
        <f>IFERROR(__xludf.DUMMYFUNCTION("""COMPUTED_VALUE"""),"afyon")</f>
        <v>afyon</v>
      </c>
      <c r="C478" s="3" t="str">
        <f>IFERROR(__xludf.DUMMYFUNCTION("""COMPUTED_VALUE"""),"Afyonspor Fan Token")</f>
        <v>Afyonspor Fan Token</v>
      </c>
    </row>
    <row r="479">
      <c r="A479" s="3" t="str">
        <f>IFERROR(__xludf.DUMMYFUNCTION("""COMPUTED_VALUE"""),"aga-carbon-credit")</f>
        <v>aga-carbon-credit</v>
      </c>
      <c r="B479" s="3" t="str">
        <f>IFERROR(__xludf.DUMMYFUNCTION("""COMPUTED_VALUE"""),"agac")</f>
        <v>agac</v>
      </c>
      <c r="C479" s="3" t="str">
        <f>IFERROR(__xludf.DUMMYFUNCTION("""COMPUTED_VALUE"""),"AGA Carbon Credit")</f>
        <v>AGA Carbon Credit</v>
      </c>
    </row>
    <row r="480">
      <c r="A480" s="3" t="str">
        <f>IFERROR(__xludf.DUMMYFUNCTION("""COMPUTED_VALUE"""),"aga-carbon-rewards")</f>
        <v>aga-carbon-rewards</v>
      </c>
      <c r="B480" s="3" t="str">
        <f>IFERROR(__xludf.DUMMYFUNCTION("""COMPUTED_VALUE"""),"acar")</f>
        <v>acar</v>
      </c>
      <c r="C480" s="3" t="str">
        <f>IFERROR(__xludf.DUMMYFUNCTION("""COMPUTED_VALUE"""),"AGA Carbon Rewards")</f>
        <v>AGA Carbon Rewards</v>
      </c>
    </row>
    <row r="481">
      <c r="A481" s="3" t="str">
        <f>IFERROR(__xludf.DUMMYFUNCTION("""COMPUTED_VALUE"""),"again-project")</f>
        <v>again-project</v>
      </c>
      <c r="B481" s="3" t="str">
        <f>IFERROR(__xludf.DUMMYFUNCTION("""COMPUTED_VALUE"""),"again")</f>
        <v>again</v>
      </c>
      <c r="C481" s="3" t="str">
        <f>IFERROR(__xludf.DUMMYFUNCTION("""COMPUTED_VALUE"""),"Again Project")</f>
        <v>Again Project</v>
      </c>
    </row>
    <row r="482">
      <c r="A482" s="3" t="str">
        <f>IFERROR(__xludf.DUMMYFUNCTION("""COMPUTED_VALUE"""),"agame")</f>
        <v>agame</v>
      </c>
      <c r="B482" s="3" t="str">
        <f>IFERROR(__xludf.DUMMYFUNCTION("""COMPUTED_VALUE"""),"ag")</f>
        <v>ag</v>
      </c>
      <c r="C482" s="3" t="str">
        <f>IFERROR(__xludf.DUMMYFUNCTION("""COMPUTED_VALUE"""),"AGAME")</f>
        <v>AGAME</v>
      </c>
    </row>
    <row r="483">
      <c r="A483" s="3" t="str">
        <f>IFERROR(__xludf.DUMMYFUNCTION("""COMPUTED_VALUE"""),"aga-rewards")</f>
        <v>aga-rewards</v>
      </c>
      <c r="B483" s="3" t="str">
        <f>IFERROR(__xludf.DUMMYFUNCTION("""COMPUTED_VALUE"""),"edc")</f>
        <v>edc</v>
      </c>
      <c r="C483" s="3" t="str">
        <f>IFERROR(__xludf.DUMMYFUNCTION("""COMPUTED_VALUE"""),"Edcoin")</f>
        <v>Edcoin</v>
      </c>
    </row>
    <row r="484">
      <c r="A484" s="3" t="str">
        <f>IFERROR(__xludf.DUMMYFUNCTION("""COMPUTED_VALUE"""),"aga-rewards-2")</f>
        <v>aga-rewards-2</v>
      </c>
      <c r="B484" s="3" t="str">
        <f>IFERROR(__xludf.DUMMYFUNCTION("""COMPUTED_VALUE"""),"agar")</f>
        <v>agar</v>
      </c>
      <c r="C484" s="3" t="str">
        <f>IFERROR(__xludf.DUMMYFUNCTION("""COMPUTED_VALUE"""),"AGA Rewards")</f>
        <v>AGA Rewards</v>
      </c>
    </row>
    <row r="485">
      <c r="A485" s="3" t="str">
        <f>IFERROR(__xludf.DUMMYFUNCTION("""COMPUTED_VALUE"""),"aga-token")</f>
        <v>aga-token</v>
      </c>
      <c r="B485" s="3" t="str">
        <f>IFERROR(__xludf.DUMMYFUNCTION("""COMPUTED_VALUE"""),"aga")</f>
        <v>aga</v>
      </c>
      <c r="C485" s="3" t="str">
        <f>IFERROR(__xludf.DUMMYFUNCTION("""COMPUTED_VALUE"""),"AGA")</f>
        <v>AGA</v>
      </c>
    </row>
    <row r="486">
      <c r="A486" s="3" t="str">
        <f>IFERROR(__xludf.DUMMYFUNCTION("""COMPUTED_VALUE"""),"agavecoin")</f>
        <v>agavecoin</v>
      </c>
      <c r="B486" s="3" t="str">
        <f>IFERROR(__xludf.DUMMYFUNCTION("""COMPUTED_VALUE"""),"agvc")</f>
        <v>agvc</v>
      </c>
      <c r="C486" s="3" t="str">
        <f>IFERROR(__xludf.DUMMYFUNCTION("""COMPUTED_VALUE"""),"AgaveCoin")</f>
        <v>AgaveCoin</v>
      </c>
    </row>
    <row r="487">
      <c r="A487" s="3" t="str">
        <f>IFERROR(__xludf.DUMMYFUNCTION("""COMPUTED_VALUE"""),"agave-token")</f>
        <v>agave-token</v>
      </c>
      <c r="B487" s="3" t="str">
        <f>IFERROR(__xludf.DUMMYFUNCTION("""COMPUTED_VALUE"""),"agve")</f>
        <v>agve</v>
      </c>
      <c r="C487" s="3" t="str">
        <f>IFERROR(__xludf.DUMMYFUNCTION("""COMPUTED_VALUE"""),"Agave")</f>
        <v>Agave</v>
      </c>
    </row>
    <row r="488">
      <c r="A488" s="3" t="str">
        <f>IFERROR(__xludf.DUMMYFUNCTION("""COMPUTED_VALUE"""),"agenor")</f>
        <v>agenor</v>
      </c>
      <c r="B488" s="3" t="str">
        <f>IFERROR(__xludf.DUMMYFUNCTION("""COMPUTED_VALUE"""),"age")</f>
        <v>age</v>
      </c>
      <c r="C488" s="3" t="str">
        <f>IFERROR(__xludf.DUMMYFUNCTION("""COMPUTED_VALUE"""),"Agenor")</f>
        <v>Agenor</v>
      </c>
    </row>
    <row r="489">
      <c r="A489" s="3" t="str">
        <f>IFERROR(__xludf.DUMMYFUNCTION("""COMPUTED_VALUE"""),"ageofgods")</f>
        <v>ageofgods</v>
      </c>
      <c r="B489" s="3" t="str">
        <f>IFERROR(__xludf.DUMMYFUNCTION("""COMPUTED_VALUE"""),"aog")</f>
        <v>aog</v>
      </c>
      <c r="C489" s="3" t="str">
        <f>IFERROR(__xludf.DUMMYFUNCTION("""COMPUTED_VALUE"""),"AgeOfGods")</f>
        <v>AgeOfGods</v>
      </c>
    </row>
    <row r="490">
      <c r="A490" s="3" t="str">
        <f>IFERROR(__xludf.DUMMYFUNCTION("""COMPUTED_VALUE"""),"age-of-knights")</f>
        <v>age-of-knights</v>
      </c>
      <c r="B490" s="3" t="str">
        <f>IFERROR(__xludf.DUMMYFUNCTION("""COMPUTED_VALUE"""),"gem")</f>
        <v>gem</v>
      </c>
      <c r="C490" s="3" t="str">
        <f>IFERROR(__xludf.DUMMYFUNCTION("""COMPUTED_VALUE"""),"Age Of Knights")</f>
        <v>Age Of Knights</v>
      </c>
    </row>
    <row r="491">
      <c r="A491" s="3" t="str">
        <f>IFERROR(__xludf.DUMMYFUNCTION("""COMPUTED_VALUE"""),"age-of-tanks")</f>
        <v>age-of-tanks</v>
      </c>
      <c r="B491" s="3" t="str">
        <f>IFERROR(__xludf.DUMMYFUNCTION("""COMPUTED_VALUE"""),"a.o.t")</f>
        <v>a.o.t</v>
      </c>
      <c r="C491" s="3" t="str">
        <f>IFERROR(__xludf.DUMMYFUNCTION("""COMPUTED_VALUE"""),"Age Of Tanks")</f>
        <v>Age Of Tanks</v>
      </c>
    </row>
    <row r="492">
      <c r="A492" s="3" t="str">
        <f>IFERROR(__xludf.DUMMYFUNCTION("""COMPUTED_VALUE"""),"age-of-zalmoxis-koson")</f>
        <v>age-of-zalmoxis-koson</v>
      </c>
      <c r="B492" s="3" t="str">
        <f>IFERROR(__xludf.DUMMYFUNCTION("""COMPUTED_VALUE"""),"koson")</f>
        <v>koson</v>
      </c>
      <c r="C492" s="3" t="str">
        <f>IFERROR(__xludf.DUMMYFUNCTION("""COMPUTED_VALUE"""),"Age of Zalmoxis KOSON")</f>
        <v>Age of Zalmoxis KOSON</v>
      </c>
    </row>
    <row r="493">
      <c r="A493" s="3" t="str">
        <f>IFERROR(__xludf.DUMMYFUNCTION("""COMPUTED_VALUE"""),"ageur")</f>
        <v>ageur</v>
      </c>
      <c r="B493" s="3" t="str">
        <f>IFERROR(__xludf.DUMMYFUNCTION("""COMPUTED_VALUE"""),"ageur")</f>
        <v>ageur</v>
      </c>
      <c r="C493" s="3" t="str">
        <f>IFERROR(__xludf.DUMMYFUNCTION("""COMPUTED_VALUE"""),"agEUR")</f>
        <v>agEUR</v>
      </c>
    </row>
    <row r="494">
      <c r="A494" s="3" t="str">
        <f>IFERROR(__xludf.DUMMYFUNCTION("""COMPUTED_VALUE"""),"ageur-wormhole")</f>
        <v>ageur-wormhole</v>
      </c>
      <c r="B494" s="3" t="str">
        <f>IFERROR(__xludf.DUMMYFUNCTION("""COMPUTED_VALUE"""),"ageur")</f>
        <v>ageur</v>
      </c>
      <c r="C494" s="3" t="str">
        <f>IFERROR(__xludf.DUMMYFUNCTION("""COMPUTED_VALUE"""),"agEUR (Wormhole)")</f>
        <v>agEUR (Wormhole)</v>
      </c>
    </row>
    <row r="495">
      <c r="A495" s="3" t="str">
        <f>IFERROR(__xludf.DUMMYFUNCTION("""COMPUTED_VALUE"""),"aggle-io")</f>
        <v>aggle-io</v>
      </c>
      <c r="B495" s="3" t="str">
        <f>IFERROR(__xludf.DUMMYFUNCTION("""COMPUTED_VALUE"""),"aggl")</f>
        <v>aggl</v>
      </c>
      <c r="C495" s="4" t="str">
        <f>IFERROR(__xludf.DUMMYFUNCTION("""COMPUTED_VALUE"""),"aggle.io")</f>
        <v>aggle.io</v>
      </c>
    </row>
    <row r="496">
      <c r="A496" s="3" t="str">
        <f>IFERROR(__xludf.DUMMYFUNCTION("""COMPUTED_VALUE"""),"aggregated-finance")</f>
        <v>aggregated-finance</v>
      </c>
      <c r="B496" s="3" t="str">
        <f>IFERROR(__xludf.DUMMYFUNCTION("""COMPUTED_VALUE"""),"agfi")</f>
        <v>agfi</v>
      </c>
      <c r="C496" s="3" t="str">
        <f>IFERROR(__xludf.DUMMYFUNCTION("""COMPUTED_VALUE"""),"Aggregated Finance")</f>
        <v>Aggregated Finance</v>
      </c>
    </row>
    <row r="497">
      <c r="A497" s="3" t="str">
        <f>IFERROR(__xludf.DUMMYFUNCTION("""COMPUTED_VALUE"""),"aggregatedfinance-2")</f>
        <v>aggregatedfinance-2</v>
      </c>
      <c r="B497" s="3" t="str">
        <f>IFERROR(__xludf.DUMMYFUNCTION("""COMPUTED_VALUE"""),"agfi")</f>
        <v>agfi</v>
      </c>
      <c r="C497" s="3" t="str">
        <f>IFERROR(__xludf.DUMMYFUNCTION("""COMPUTED_VALUE"""),"AggregatedFinance [OLD]")</f>
        <v>AggregatedFinance [OLD]</v>
      </c>
    </row>
    <row r="498">
      <c r="A498" s="3" t="str">
        <f>IFERROR(__xludf.DUMMYFUNCTION("""COMPUTED_VALUE"""),"agile")</f>
        <v>agile</v>
      </c>
      <c r="B498" s="3" t="str">
        <f>IFERROR(__xludf.DUMMYFUNCTION("""COMPUTED_VALUE"""),"agl")</f>
        <v>agl</v>
      </c>
      <c r="C498" s="3" t="str">
        <f>IFERROR(__xludf.DUMMYFUNCTION("""COMPUTED_VALUE"""),"Agile")</f>
        <v>Agile</v>
      </c>
    </row>
    <row r="499">
      <c r="A499" s="3" t="str">
        <f>IFERROR(__xludf.DUMMYFUNCTION("""COMPUTED_VALUE"""),"agora-defi")</f>
        <v>agora-defi</v>
      </c>
      <c r="B499" s="3" t="str">
        <f>IFERROR(__xludf.DUMMYFUNCTION("""COMPUTED_VALUE"""),"agora")</f>
        <v>agora</v>
      </c>
      <c r="C499" s="3" t="str">
        <f>IFERROR(__xludf.DUMMYFUNCTION("""COMPUTED_VALUE"""),"Agora Defi")</f>
        <v>Agora Defi</v>
      </c>
    </row>
    <row r="500">
      <c r="A500" s="3" t="str">
        <f>IFERROR(__xludf.DUMMYFUNCTION("""COMPUTED_VALUE"""),"agoras-currency-of-tau")</f>
        <v>agoras-currency-of-tau</v>
      </c>
      <c r="B500" s="3" t="str">
        <f>IFERROR(__xludf.DUMMYFUNCTION("""COMPUTED_VALUE"""),"agrs")</f>
        <v>agrs</v>
      </c>
      <c r="C500" s="3" t="str">
        <f>IFERROR(__xludf.DUMMYFUNCTION("""COMPUTED_VALUE"""),"Agoras: Currency of Tau")</f>
        <v>Agoras: Currency of Tau</v>
      </c>
    </row>
    <row r="501">
      <c r="A501" s="3" t="str">
        <f>IFERROR(__xludf.DUMMYFUNCTION("""COMPUTED_VALUE"""),"agoric")</f>
        <v>agoric</v>
      </c>
      <c r="B501" s="3" t="str">
        <f>IFERROR(__xludf.DUMMYFUNCTION("""COMPUTED_VALUE"""),"bld")</f>
        <v>bld</v>
      </c>
      <c r="C501" s="3" t="str">
        <f>IFERROR(__xludf.DUMMYFUNCTION("""COMPUTED_VALUE"""),"Agoric")</f>
        <v>Agoric</v>
      </c>
    </row>
    <row r="502">
      <c r="A502" s="3" t="str">
        <f>IFERROR(__xludf.DUMMYFUNCTION("""COMPUTED_VALUE"""),"agpc")</f>
        <v>agpc</v>
      </c>
      <c r="B502" s="3" t="str">
        <f>IFERROR(__xludf.DUMMYFUNCTION("""COMPUTED_VALUE"""),"agpc")</f>
        <v>agpc</v>
      </c>
      <c r="C502" s="3" t="str">
        <f>IFERROR(__xludf.DUMMYFUNCTION("""COMPUTED_VALUE"""),"AGPC")</f>
        <v>AGPC</v>
      </c>
    </row>
    <row r="503">
      <c r="A503" s="3" t="str">
        <f>IFERROR(__xludf.DUMMYFUNCTION("""COMPUTED_VALUE"""),"agrello")</f>
        <v>agrello</v>
      </c>
      <c r="B503" s="3" t="str">
        <f>IFERROR(__xludf.DUMMYFUNCTION("""COMPUTED_VALUE"""),"dlt")</f>
        <v>dlt</v>
      </c>
      <c r="C503" s="3" t="str">
        <f>IFERROR(__xludf.DUMMYFUNCTION("""COMPUTED_VALUE"""),"Agrello")</f>
        <v>Agrello</v>
      </c>
    </row>
    <row r="504">
      <c r="A504" s="3" t="str">
        <f>IFERROR(__xludf.DUMMYFUNCTION("""COMPUTED_VALUE"""),"agricoin")</f>
        <v>agricoin</v>
      </c>
      <c r="B504" s="3" t="str">
        <f>IFERROR(__xludf.DUMMYFUNCTION("""COMPUTED_VALUE"""),"agn")</f>
        <v>agn</v>
      </c>
      <c r="C504" s="3" t="str">
        <f>IFERROR(__xludf.DUMMYFUNCTION("""COMPUTED_VALUE"""),"Agricoin")</f>
        <v>Agricoin</v>
      </c>
    </row>
    <row r="505">
      <c r="A505" s="3" t="str">
        <f>IFERROR(__xludf.DUMMYFUNCTION("""COMPUTED_VALUE"""),"agrinoble")</f>
        <v>agrinoble</v>
      </c>
      <c r="B505" s="3" t="str">
        <f>IFERROR(__xludf.DUMMYFUNCTION("""COMPUTED_VALUE"""),"agn")</f>
        <v>agn</v>
      </c>
      <c r="C505" s="3" t="str">
        <f>IFERROR(__xludf.DUMMYFUNCTION("""COMPUTED_VALUE"""),"Agrinoble")</f>
        <v>Agrinoble</v>
      </c>
    </row>
    <row r="506">
      <c r="A506" s="3" t="str">
        <f>IFERROR(__xludf.DUMMYFUNCTION("""COMPUTED_VALUE"""),"agrinovuscoin")</f>
        <v>agrinovuscoin</v>
      </c>
      <c r="B506" s="3" t="str">
        <f>IFERROR(__xludf.DUMMYFUNCTION("""COMPUTED_VALUE"""),"agri")</f>
        <v>agri</v>
      </c>
      <c r="C506" s="3" t="str">
        <f>IFERROR(__xludf.DUMMYFUNCTION("""COMPUTED_VALUE"""),"AgriNovusCoin")</f>
        <v>AgriNovusCoin</v>
      </c>
    </row>
    <row r="507">
      <c r="A507" s="3" t="str">
        <f>IFERROR(__xludf.DUMMYFUNCTION("""COMPUTED_VALUE"""),"agrocash-x")</f>
        <v>agrocash-x</v>
      </c>
      <c r="B507" s="3" t="str">
        <f>IFERROR(__xludf.DUMMYFUNCTION("""COMPUTED_VALUE"""),"xagc")</f>
        <v>xagc</v>
      </c>
      <c r="C507" s="3" t="str">
        <f>IFERROR(__xludf.DUMMYFUNCTION("""COMPUTED_VALUE"""),"AgroCash X")</f>
        <v>AgroCash X</v>
      </c>
    </row>
    <row r="508">
      <c r="A508" s="3" t="str">
        <f>IFERROR(__xludf.DUMMYFUNCTION("""COMPUTED_VALUE"""),"agro-global")</f>
        <v>agro-global</v>
      </c>
      <c r="B508" s="3" t="str">
        <f>IFERROR(__xludf.DUMMYFUNCTION("""COMPUTED_VALUE"""),"agro")</f>
        <v>agro</v>
      </c>
      <c r="C508" s="3" t="str">
        <f>IFERROR(__xludf.DUMMYFUNCTION("""COMPUTED_VALUE"""),"Agro Global")</f>
        <v>Agro Global</v>
      </c>
    </row>
    <row r="509">
      <c r="A509" s="3" t="str">
        <f>IFERROR(__xludf.DUMMYFUNCTION("""COMPUTED_VALUE"""),"agronomist")</f>
        <v>agronomist</v>
      </c>
      <c r="B509" s="3" t="str">
        <f>IFERROR(__xludf.DUMMYFUNCTION("""COMPUTED_VALUE"""),"agte")</f>
        <v>agte</v>
      </c>
      <c r="C509" s="3" t="str">
        <f>IFERROR(__xludf.DUMMYFUNCTION("""COMPUTED_VALUE"""),"Agronomist")</f>
        <v>Agronomist</v>
      </c>
    </row>
    <row r="510">
      <c r="A510" s="3" t="str">
        <f>IFERROR(__xludf.DUMMYFUNCTION("""COMPUTED_VALUE"""),"ahatoken")</f>
        <v>ahatoken</v>
      </c>
      <c r="B510" s="3" t="str">
        <f>IFERROR(__xludf.DUMMYFUNCTION("""COMPUTED_VALUE"""),"aht")</f>
        <v>aht</v>
      </c>
      <c r="C510" s="3" t="str">
        <f>IFERROR(__xludf.DUMMYFUNCTION("""COMPUTED_VALUE"""),"AhaToken")</f>
        <v>AhaToken</v>
      </c>
    </row>
    <row r="511">
      <c r="A511" s="3" t="str">
        <f>IFERROR(__xludf.DUMMYFUNCTION("""COMPUTED_VALUE"""),"a-hunters-dream")</f>
        <v>a-hunters-dream</v>
      </c>
      <c r="B511" s="3" t="str">
        <f>IFERROR(__xludf.DUMMYFUNCTION("""COMPUTED_VALUE"""),"caw")</f>
        <v>caw</v>
      </c>
      <c r="C511" s="3" t="str">
        <f>IFERROR(__xludf.DUMMYFUNCTION("""COMPUTED_VALUE"""),"A Hunters Dream")</f>
        <v>A Hunters Dream</v>
      </c>
    </row>
    <row r="512">
      <c r="A512" s="3" t="str">
        <f>IFERROR(__xludf.DUMMYFUNCTION("""COMPUTED_VALUE"""),"aibra")</f>
        <v>aibra</v>
      </c>
      <c r="B512" s="3" t="str">
        <f>IFERROR(__xludf.DUMMYFUNCTION("""COMPUTED_VALUE"""),"abr")</f>
        <v>abr</v>
      </c>
      <c r="C512" s="3" t="str">
        <f>IFERROR(__xludf.DUMMYFUNCTION("""COMPUTED_VALUE"""),"AIBRA")</f>
        <v>AIBRA</v>
      </c>
    </row>
    <row r="513">
      <c r="A513" s="3" t="str">
        <f>IFERROR(__xludf.DUMMYFUNCTION("""COMPUTED_VALUE"""),"aichain")</f>
        <v>aichain</v>
      </c>
      <c r="B513" s="3" t="str">
        <f>IFERROR(__xludf.DUMMYFUNCTION("""COMPUTED_VALUE"""),"ait")</f>
        <v>ait</v>
      </c>
      <c r="C513" s="3" t="str">
        <f>IFERROR(__xludf.DUMMYFUNCTION("""COMPUTED_VALUE"""),"AICHAIN")</f>
        <v>AICHAIN</v>
      </c>
    </row>
    <row r="514">
      <c r="A514" s="3" t="str">
        <f>IFERROR(__xludf.DUMMYFUNCTION("""COMPUTED_VALUE"""),"aicon")</f>
        <v>aicon</v>
      </c>
      <c r="B514" s="3" t="str">
        <f>IFERROR(__xludf.DUMMYFUNCTION("""COMPUTED_VALUE"""),"aico")</f>
        <v>aico</v>
      </c>
      <c r="C514" s="3" t="str">
        <f>IFERROR(__xludf.DUMMYFUNCTION("""COMPUTED_VALUE"""),"Aicon")</f>
        <v>Aicon</v>
      </c>
    </row>
    <row r="515">
      <c r="A515" s="3" t="str">
        <f>IFERROR(__xludf.DUMMYFUNCTION("""COMPUTED_VALUE"""),"aidcoin")</f>
        <v>aidcoin</v>
      </c>
      <c r="B515" s="3" t="str">
        <f>IFERROR(__xludf.DUMMYFUNCTION("""COMPUTED_VALUE"""),"aid")</f>
        <v>aid</v>
      </c>
      <c r="C515" s="3" t="str">
        <f>IFERROR(__xludf.DUMMYFUNCTION("""COMPUTED_VALUE"""),"AidCoin")</f>
        <v>AidCoin</v>
      </c>
    </row>
    <row r="516">
      <c r="A516" s="3" t="str">
        <f>IFERROR(__xludf.DUMMYFUNCTION("""COMPUTED_VALUE"""),"aidi-finance")</f>
        <v>aidi-finance</v>
      </c>
      <c r="B516" s="3" t="str">
        <f>IFERROR(__xludf.DUMMYFUNCTION("""COMPUTED_VALUE"""),"aidi")</f>
        <v>aidi</v>
      </c>
      <c r="C516" s="3" t="str">
        <f>IFERROR(__xludf.DUMMYFUNCTION("""COMPUTED_VALUE"""),"Aidi Finance")</f>
        <v>Aidi Finance</v>
      </c>
    </row>
    <row r="517">
      <c r="A517" s="3" t="str">
        <f>IFERROR(__xludf.DUMMYFUNCTION("""COMPUTED_VALUE"""),"aidi-inu")</f>
        <v>aidi-inu</v>
      </c>
      <c r="B517" s="3" t="str">
        <f>IFERROR(__xludf.DUMMYFUNCTION("""COMPUTED_VALUE"""),"aidi")</f>
        <v>aidi</v>
      </c>
      <c r="C517" s="3" t="str">
        <f>IFERROR(__xludf.DUMMYFUNCTION("""COMPUTED_VALUE"""),"Aidi Inu")</f>
        <v>Aidi Inu</v>
      </c>
    </row>
    <row r="518">
      <c r="A518" s="3" t="str">
        <f>IFERROR(__xludf.DUMMYFUNCTION("""COMPUTED_VALUE"""),"ai-doctor")</f>
        <v>ai-doctor</v>
      </c>
      <c r="B518" s="3" t="str">
        <f>IFERROR(__xludf.DUMMYFUNCTION("""COMPUTED_VALUE"""),"aidoc")</f>
        <v>aidoc</v>
      </c>
      <c r="C518" s="3" t="str">
        <f>IFERROR(__xludf.DUMMYFUNCTION("""COMPUTED_VALUE"""),"AI Doctor")</f>
        <v>AI Doctor</v>
      </c>
    </row>
    <row r="519">
      <c r="A519" s="3" t="str">
        <f>IFERROR(__xludf.DUMMYFUNCTION("""COMPUTED_VALUE"""),"aidos-kuneen")</f>
        <v>aidos-kuneen</v>
      </c>
      <c r="B519" s="3" t="str">
        <f>IFERROR(__xludf.DUMMYFUNCTION("""COMPUTED_VALUE"""),"adk")</f>
        <v>adk</v>
      </c>
      <c r="C519" s="3" t="str">
        <f>IFERROR(__xludf.DUMMYFUNCTION("""COMPUTED_VALUE"""),"Aidos Kuneen")</f>
        <v>Aidos Kuneen</v>
      </c>
    </row>
    <row r="520">
      <c r="A520" s="3" t="str">
        <f>IFERROR(__xludf.DUMMYFUNCTION("""COMPUTED_VALUE"""),"ailink-token")</f>
        <v>ailink-token</v>
      </c>
      <c r="B520" s="3" t="str">
        <f>IFERROR(__xludf.DUMMYFUNCTION("""COMPUTED_VALUE"""),"ali")</f>
        <v>ali</v>
      </c>
      <c r="C520" s="3" t="str">
        <f>IFERROR(__xludf.DUMMYFUNCTION("""COMPUTED_VALUE"""),"AiLink")</f>
        <v>AiLink</v>
      </c>
    </row>
    <row r="521">
      <c r="A521" s="3" t="str">
        <f>IFERROR(__xludf.DUMMYFUNCTION("""COMPUTED_VALUE"""),"aimedis-2")</f>
        <v>aimedis-2</v>
      </c>
      <c r="B521" s="3" t="str">
        <f>IFERROR(__xludf.DUMMYFUNCTION("""COMPUTED_VALUE"""),"aimx")</f>
        <v>aimx</v>
      </c>
      <c r="C521" s="3" t="str">
        <f>IFERROR(__xludf.DUMMYFUNCTION("""COMPUTED_VALUE"""),"Aimedis")</f>
        <v>Aimedis</v>
      </c>
    </row>
    <row r="522">
      <c r="A522" s="3" t="str">
        <f>IFERROR(__xludf.DUMMYFUNCTION("""COMPUTED_VALUE"""),"ai-network")</f>
        <v>ai-network</v>
      </c>
      <c r="B522" s="3" t="str">
        <f>IFERROR(__xludf.DUMMYFUNCTION("""COMPUTED_VALUE"""),"ain")</f>
        <v>ain</v>
      </c>
      <c r="C522" s="3" t="str">
        <f>IFERROR(__xludf.DUMMYFUNCTION("""COMPUTED_VALUE"""),"AI Network")</f>
        <v>AI Network</v>
      </c>
    </row>
    <row r="523">
      <c r="A523" s="3" t="str">
        <f>IFERROR(__xludf.DUMMYFUNCTION("""COMPUTED_VALUE"""),"ainu-token")</f>
        <v>ainu-token</v>
      </c>
      <c r="B523" s="3" t="str">
        <f>IFERROR(__xludf.DUMMYFUNCTION("""COMPUTED_VALUE"""),"ainu")</f>
        <v>ainu</v>
      </c>
      <c r="C523" s="3" t="str">
        <f>IFERROR(__xludf.DUMMYFUNCTION("""COMPUTED_VALUE"""),"Ainu")</f>
        <v>Ainu</v>
      </c>
    </row>
    <row r="524">
      <c r="A524" s="3" t="str">
        <f>IFERROR(__xludf.DUMMYFUNCTION("""COMPUTED_VALUE"""),"aion")</f>
        <v>aion</v>
      </c>
      <c r="B524" s="3" t="str">
        <f>IFERROR(__xludf.DUMMYFUNCTION("""COMPUTED_VALUE"""),"aion")</f>
        <v>aion</v>
      </c>
      <c r="C524" s="3" t="str">
        <f>IFERROR(__xludf.DUMMYFUNCTION("""COMPUTED_VALUE"""),"Aion")</f>
        <v>Aion</v>
      </c>
    </row>
    <row r="525">
      <c r="A525" s="3" t="str">
        <f>IFERROR(__xludf.DUMMYFUNCTION("""COMPUTED_VALUE"""),"aioz-network")</f>
        <v>aioz-network</v>
      </c>
      <c r="B525" s="3" t="str">
        <f>IFERROR(__xludf.DUMMYFUNCTION("""COMPUTED_VALUE"""),"aioz")</f>
        <v>aioz</v>
      </c>
      <c r="C525" s="3" t="str">
        <f>IFERROR(__xludf.DUMMYFUNCTION("""COMPUTED_VALUE"""),"AIOZ Network")</f>
        <v>AIOZ Network</v>
      </c>
    </row>
    <row r="526">
      <c r="A526" s="3" t="str">
        <f>IFERROR(__xludf.DUMMYFUNCTION("""COMPUTED_VALUE"""),"aipro")</f>
        <v>aipro</v>
      </c>
      <c r="B526" s="3" t="str">
        <f>IFERROR(__xludf.DUMMYFUNCTION("""COMPUTED_VALUE"""),"aipro")</f>
        <v>aipro</v>
      </c>
      <c r="C526" s="3" t="str">
        <f>IFERROR(__xludf.DUMMYFUNCTION("""COMPUTED_VALUE"""),"AIPRO")</f>
        <v>AIPRO</v>
      </c>
    </row>
    <row r="527">
      <c r="A527" s="3" t="str">
        <f>IFERROR(__xludf.DUMMYFUNCTION("""COMPUTED_VALUE"""),"airbloc-protocol")</f>
        <v>airbloc-protocol</v>
      </c>
      <c r="B527" s="3" t="str">
        <f>IFERROR(__xludf.DUMMYFUNCTION("""COMPUTED_VALUE"""),"abl")</f>
        <v>abl</v>
      </c>
      <c r="C527" s="3" t="str">
        <f>IFERROR(__xludf.DUMMYFUNCTION("""COMPUTED_VALUE"""),"Airbloc")</f>
        <v>Airbloc</v>
      </c>
    </row>
    <row r="528">
      <c r="A528" s="3" t="str">
        <f>IFERROR(__xludf.DUMMYFUNCTION("""COMPUTED_VALUE"""),"airbnb-tokenized-stock-zipmex")</f>
        <v>airbnb-tokenized-stock-zipmex</v>
      </c>
      <c r="B528" s="3" t="str">
        <f>IFERROR(__xludf.DUMMYFUNCTION("""COMPUTED_VALUE"""),"abnb")</f>
        <v>abnb</v>
      </c>
      <c r="C528" s="3" t="str">
        <f>IFERROR(__xludf.DUMMYFUNCTION("""COMPUTED_VALUE"""),"Airbnb Tokenized Stock Zipmex")</f>
        <v>Airbnb Tokenized Stock Zipmex</v>
      </c>
    </row>
    <row r="529">
      <c r="A529" s="3" t="str">
        <f>IFERROR(__xludf.DUMMYFUNCTION("""COMPUTED_VALUE"""),"aircoin-2")</f>
        <v>aircoin-2</v>
      </c>
      <c r="B529" s="3" t="str">
        <f>IFERROR(__xludf.DUMMYFUNCTION("""COMPUTED_VALUE"""),"air")</f>
        <v>air</v>
      </c>
      <c r="C529" s="3" t="str">
        <f>IFERROR(__xludf.DUMMYFUNCTION("""COMPUTED_VALUE"""),"AirCoin")</f>
        <v>AirCoin</v>
      </c>
    </row>
    <row r="530">
      <c r="A530" s="3" t="str">
        <f>IFERROR(__xludf.DUMMYFUNCTION("""COMPUTED_VALUE"""),"aircoins")</f>
        <v>aircoins</v>
      </c>
      <c r="B530" s="3" t="str">
        <f>IFERROR(__xludf.DUMMYFUNCTION("""COMPUTED_VALUE"""),"airx")</f>
        <v>airx</v>
      </c>
      <c r="C530" s="3" t="str">
        <f>IFERROR(__xludf.DUMMYFUNCTION("""COMPUTED_VALUE"""),"Aircoins")</f>
        <v>Aircoins</v>
      </c>
    </row>
    <row r="531">
      <c r="A531" s="3" t="str">
        <f>IFERROR(__xludf.DUMMYFUNCTION("""COMPUTED_VALUE"""),"airdrop-world")</f>
        <v>airdrop-world</v>
      </c>
      <c r="B531" s="3" t="str">
        <f>IFERROR(__xludf.DUMMYFUNCTION("""COMPUTED_VALUE"""),"awt")</f>
        <v>awt</v>
      </c>
      <c r="C531" s="3" t="str">
        <f>IFERROR(__xludf.DUMMYFUNCTION("""COMPUTED_VALUE"""),"Airdrop World")</f>
        <v>Airdrop World</v>
      </c>
    </row>
    <row r="532">
      <c r="A532" s="3" t="str">
        <f>IFERROR(__xludf.DUMMYFUNCTION("""COMPUTED_VALUE"""),"airight")</f>
        <v>airight</v>
      </c>
      <c r="B532" s="3" t="str">
        <f>IFERROR(__xludf.DUMMYFUNCTION("""COMPUTED_VALUE"""),"airi")</f>
        <v>airi</v>
      </c>
      <c r="C532" s="3" t="str">
        <f>IFERROR(__xludf.DUMMYFUNCTION("""COMPUTED_VALUE"""),"aiRight")</f>
        <v>aiRight</v>
      </c>
    </row>
    <row r="533">
      <c r="A533" s="3" t="str">
        <f>IFERROR(__xludf.DUMMYFUNCTION("""COMPUTED_VALUE"""),"airnft-token")</f>
        <v>airnft-token</v>
      </c>
      <c r="B533" s="3" t="str">
        <f>IFERROR(__xludf.DUMMYFUNCTION("""COMPUTED_VALUE"""),"airt")</f>
        <v>airt</v>
      </c>
      <c r="C533" s="3" t="str">
        <f>IFERROR(__xludf.DUMMYFUNCTION("""COMPUTED_VALUE"""),"AirNFT")</f>
        <v>AirNFT</v>
      </c>
    </row>
    <row r="534">
      <c r="A534" s="3" t="str">
        <f>IFERROR(__xludf.DUMMYFUNCTION("""COMPUTED_VALUE"""),"airpay")</f>
        <v>airpay</v>
      </c>
      <c r="B534" s="3" t="str">
        <f>IFERROR(__xludf.DUMMYFUNCTION("""COMPUTED_VALUE"""),"airpay")</f>
        <v>airpay</v>
      </c>
      <c r="C534" s="3" t="str">
        <f>IFERROR(__xludf.DUMMYFUNCTION("""COMPUTED_VALUE"""),"AirPay")</f>
        <v>AirPay</v>
      </c>
    </row>
    <row r="535">
      <c r="A535" s="3" t="str">
        <f>IFERROR(__xludf.DUMMYFUNCTION("""COMPUTED_VALUE"""),"airswap")</f>
        <v>airswap</v>
      </c>
      <c r="B535" s="3" t="str">
        <f>IFERROR(__xludf.DUMMYFUNCTION("""COMPUTED_VALUE"""),"ast")</f>
        <v>ast</v>
      </c>
      <c r="C535" s="3" t="str">
        <f>IFERROR(__xludf.DUMMYFUNCTION("""COMPUTED_VALUE"""),"AirSwap")</f>
        <v>AirSwap</v>
      </c>
    </row>
    <row r="536">
      <c r="A536" s="3" t="str">
        <f>IFERROR(__xludf.DUMMYFUNCTION("""COMPUTED_VALUE"""),"aisf")</f>
        <v>aisf</v>
      </c>
      <c r="B536" s="3" t="str">
        <f>IFERROR(__xludf.DUMMYFUNCTION("""COMPUTED_VALUE"""),"agt")</f>
        <v>agt</v>
      </c>
      <c r="C536" s="3" t="str">
        <f>IFERROR(__xludf.DUMMYFUNCTION("""COMPUTED_VALUE"""),"AISF")</f>
        <v>AISF</v>
      </c>
    </row>
    <row r="537">
      <c r="A537" s="3" t="str">
        <f>IFERROR(__xludf.DUMMYFUNCTION("""COMPUTED_VALUE"""),"aitra")</f>
        <v>aitra</v>
      </c>
      <c r="B537" s="3" t="str">
        <f>IFERROR(__xludf.DUMMYFUNCTION("""COMPUTED_VALUE"""),"aitra")</f>
        <v>aitra</v>
      </c>
      <c r="C537" s="3" t="str">
        <f>IFERROR(__xludf.DUMMYFUNCTION("""COMPUTED_VALUE"""),"AITRA")</f>
        <v>AITRA</v>
      </c>
    </row>
    <row r="538">
      <c r="A538" s="3" t="str">
        <f>IFERROR(__xludf.DUMMYFUNCTION("""COMPUTED_VALUE"""),"aiwork")</f>
        <v>aiwork</v>
      </c>
      <c r="B538" s="3" t="str">
        <f>IFERROR(__xludf.DUMMYFUNCTION("""COMPUTED_VALUE"""),"awo")</f>
        <v>awo</v>
      </c>
      <c r="C538" s="3" t="str">
        <f>IFERROR(__xludf.DUMMYFUNCTION("""COMPUTED_VALUE"""),"AiWork")</f>
        <v>AiWork</v>
      </c>
    </row>
    <row r="539">
      <c r="A539" s="3" t="str">
        <f>IFERROR(__xludf.DUMMYFUNCTION("""COMPUTED_VALUE"""),"ajeverse")</f>
        <v>ajeverse</v>
      </c>
      <c r="B539" s="3" t="str">
        <f>IFERROR(__xludf.DUMMYFUNCTION("""COMPUTED_VALUE"""),"aje")</f>
        <v>aje</v>
      </c>
      <c r="C539" s="3" t="str">
        <f>IFERROR(__xludf.DUMMYFUNCTION("""COMPUTED_VALUE"""),"Ajeverse")</f>
        <v>Ajeverse</v>
      </c>
    </row>
    <row r="540">
      <c r="A540" s="3" t="str">
        <f>IFERROR(__xludf.DUMMYFUNCTION("""COMPUTED_VALUE"""),"akamaru-inu")</f>
        <v>akamaru-inu</v>
      </c>
      <c r="B540" s="3" t="str">
        <f>IFERROR(__xludf.DUMMYFUNCTION("""COMPUTED_VALUE"""),"akamaru")</f>
        <v>akamaru</v>
      </c>
      <c r="C540" s="3" t="str">
        <f>IFERROR(__xludf.DUMMYFUNCTION("""COMPUTED_VALUE"""),"Akamaru Inu")</f>
        <v>Akamaru Inu</v>
      </c>
    </row>
    <row r="541">
      <c r="A541" s="3" t="str">
        <f>IFERROR(__xludf.DUMMYFUNCTION("""COMPUTED_VALUE"""),"akash-network")</f>
        <v>akash-network</v>
      </c>
      <c r="B541" s="3" t="str">
        <f>IFERROR(__xludf.DUMMYFUNCTION("""COMPUTED_VALUE"""),"akt")</f>
        <v>akt</v>
      </c>
      <c r="C541" s="3" t="str">
        <f>IFERROR(__xludf.DUMMYFUNCTION("""COMPUTED_VALUE"""),"Akash Network")</f>
        <v>Akash Network</v>
      </c>
    </row>
    <row r="542">
      <c r="A542" s="3" t="str">
        <f>IFERROR(__xludf.DUMMYFUNCTION("""COMPUTED_VALUE"""),"akihiko-inu")</f>
        <v>akihiko-inu</v>
      </c>
      <c r="B542" s="3" t="str">
        <f>IFERROR(__xludf.DUMMYFUNCTION("""COMPUTED_VALUE"""),"akihiko")</f>
        <v>akihiko</v>
      </c>
      <c r="C542" s="3" t="str">
        <f>IFERROR(__xludf.DUMMYFUNCTION("""COMPUTED_VALUE"""),"Akihiko Inu")</f>
        <v>Akihiko Inu</v>
      </c>
    </row>
    <row r="543">
      <c r="A543" s="3" t="str">
        <f>IFERROR(__xludf.DUMMYFUNCTION("""COMPUTED_VALUE"""),"aki-inu")</f>
        <v>aki-inu</v>
      </c>
      <c r="B543" s="3" t="str">
        <f>IFERROR(__xludf.DUMMYFUNCTION("""COMPUTED_VALUE"""),"aki")</f>
        <v>aki</v>
      </c>
      <c r="C543" s="3" t="str">
        <f>IFERROR(__xludf.DUMMYFUNCTION("""COMPUTED_VALUE"""),"Aki Inu")</f>
        <v>Aki Inu</v>
      </c>
    </row>
    <row r="544">
      <c r="A544" s="3" t="str">
        <f>IFERROR(__xludf.DUMMYFUNCTION("""COMPUTED_VALUE"""),"akil-coin")</f>
        <v>akil-coin</v>
      </c>
      <c r="B544" s="3" t="str">
        <f>IFERROR(__xludf.DUMMYFUNCTION("""COMPUTED_VALUE"""),"akl")</f>
        <v>akl</v>
      </c>
      <c r="C544" s="3" t="str">
        <f>IFERROR(__xludf.DUMMYFUNCTION("""COMPUTED_VALUE"""),"Akil Coin")</f>
        <v>Akil Coin</v>
      </c>
    </row>
    <row r="545">
      <c r="A545" s="3" t="str">
        <f>IFERROR(__xludf.DUMMYFUNCTION("""COMPUTED_VALUE"""),"akita-inu")</f>
        <v>akita-inu</v>
      </c>
      <c r="B545" s="3" t="str">
        <f>IFERROR(__xludf.DUMMYFUNCTION("""COMPUTED_VALUE"""),"akita")</f>
        <v>akita</v>
      </c>
      <c r="C545" s="3" t="str">
        <f>IFERROR(__xludf.DUMMYFUNCTION("""COMPUTED_VALUE"""),"Akita Inu")</f>
        <v>Akita Inu</v>
      </c>
    </row>
    <row r="546">
      <c r="A546" s="3" t="str">
        <f>IFERROR(__xludf.DUMMYFUNCTION("""COMPUTED_VALUE"""),"akita-inu-asa")</f>
        <v>akita-inu-asa</v>
      </c>
      <c r="B546" s="3" t="str">
        <f>IFERROR(__xludf.DUMMYFUNCTION("""COMPUTED_VALUE"""),"akta")</f>
        <v>akta</v>
      </c>
      <c r="C546" s="3" t="str">
        <f>IFERROR(__xludf.DUMMYFUNCTION("""COMPUTED_VALUE"""),"Akita Inu ASA")</f>
        <v>Akita Inu ASA</v>
      </c>
    </row>
    <row r="547">
      <c r="A547" s="3" t="str">
        <f>IFERROR(__xludf.DUMMYFUNCTION("""COMPUTED_VALUE"""),"akitavax")</f>
        <v>akitavax</v>
      </c>
      <c r="B547" s="3" t="str">
        <f>IFERROR(__xludf.DUMMYFUNCTION("""COMPUTED_VALUE"""),"akitax")</f>
        <v>akitax</v>
      </c>
      <c r="C547" s="3" t="str">
        <f>IFERROR(__xludf.DUMMYFUNCTION("""COMPUTED_VALUE"""),"Akitavax")</f>
        <v>Akitavax</v>
      </c>
    </row>
    <row r="548">
      <c r="A548" s="3" t="str">
        <f>IFERROR(__xludf.DUMMYFUNCTION("""COMPUTED_VALUE"""),"akitsuki")</f>
        <v>akitsuki</v>
      </c>
      <c r="B548" s="3" t="str">
        <f>IFERROR(__xludf.DUMMYFUNCTION("""COMPUTED_VALUE"""),"aki")</f>
        <v>aki</v>
      </c>
      <c r="C548" s="3" t="str">
        <f>IFERROR(__xludf.DUMMYFUNCTION("""COMPUTED_VALUE"""),"Akitsuki")</f>
        <v>Akitsuki</v>
      </c>
    </row>
    <row r="549">
      <c r="A549" s="3" t="str">
        <f>IFERROR(__xludf.DUMMYFUNCTION("""COMPUTED_VALUE"""),"akoin")</f>
        <v>akoin</v>
      </c>
      <c r="B549" s="3" t="str">
        <f>IFERROR(__xludf.DUMMYFUNCTION("""COMPUTED_VALUE"""),"akn")</f>
        <v>akn</v>
      </c>
      <c r="C549" s="3" t="str">
        <f>IFERROR(__xludf.DUMMYFUNCTION("""COMPUTED_VALUE"""),"Akoin")</f>
        <v>Akoin</v>
      </c>
    </row>
    <row r="550">
      <c r="A550" s="3" t="str">
        <f>IFERROR(__xludf.DUMMYFUNCTION("""COMPUTED_VALUE"""),"akroma")</f>
        <v>akroma</v>
      </c>
      <c r="B550" s="3" t="str">
        <f>IFERROR(__xludf.DUMMYFUNCTION("""COMPUTED_VALUE"""),"aka")</f>
        <v>aka</v>
      </c>
      <c r="C550" s="3" t="str">
        <f>IFERROR(__xludf.DUMMYFUNCTION("""COMPUTED_VALUE"""),"Akroma")</f>
        <v>Akroma</v>
      </c>
    </row>
    <row r="551">
      <c r="A551" s="3" t="str">
        <f>IFERROR(__xludf.DUMMYFUNCTION("""COMPUTED_VALUE"""),"akropolis")</f>
        <v>akropolis</v>
      </c>
      <c r="B551" s="3" t="str">
        <f>IFERROR(__xludf.DUMMYFUNCTION("""COMPUTED_VALUE"""),"akro")</f>
        <v>akro</v>
      </c>
      <c r="C551" s="3" t="str">
        <f>IFERROR(__xludf.DUMMYFUNCTION("""COMPUTED_VALUE"""),"Akropolis")</f>
        <v>Akropolis</v>
      </c>
    </row>
    <row r="552">
      <c r="A552" s="3" t="str">
        <f>IFERROR(__xludf.DUMMYFUNCTION("""COMPUTED_VALUE"""),"akropolis-delphi")</f>
        <v>akropolis-delphi</v>
      </c>
      <c r="B552" s="3" t="str">
        <f>IFERROR(__xludf.DUMMYFUNCTION("""COMPUTED_VALUE"""),"adel")</f>
        <v>adel</v>
      </c>
      <c r="C552" s="3" t="str">
        <f>IFERROR(__xludf.DUMMYFUNCTION("""COMPUTED_VALUE"""),"Delphi")</f>
        <v>Delphi</v>
      </c>
    </row>
    <row r="553">
      <c r="A553" s="3" t="str">
        <f>IFERROR(__xludf.DUMMYFUNCTION("""COMPUTED_VALUE"""),"aktio")</f>
        <v>aktio</v>
      </c>
      <c r="B553" s="3" t="str">
        <f>IFERROR(__xludf.DUMMYFUNCTION("""COMPUTED_VALUE"""),"aktio")</f>
        <v>aktio</v>
      </c>
      <c r="C553" s="3" t="str">
        <f>IFERROR(__xludf.DUMMYFUNCTION("""COMPUTED_VALUE"""),"Aktio")</f>
        <v>Aktio</v>
      </c>
    </row>
    <row r="554">
      <c r="A554" s="3" t="str">
        <f>IFERROR(__xludf.DUMMYFUNCTION("""COMPUTED_VALUE"""),"aladdin-cvxcrv")</f>
        <v>aladdin-cvxcrv</v>
      </c>
      <c r="B554" s="3" t="str">
        <f>IFERROR(__xludf.DUMMYFUNCTION("""COMPUTED_VALUE"""),"acrv")</f>
        <v>acrv</v>
      </c>
      <c r="C554" s="3" t="str">
        <f>IFERROR(__xludf.DUMMYFUNCTION("""COMPUTED_VALUE"""),"Aladdin cvxCRV")</f>
        <v>Aladdin cvxCRV</v>
      </c>
    </row>
    <row r="555">
      <c r="A555" s="3" t="str">
        <f>IFERROR(__xludf.DUMMYFUNCTION("""COMPUTED_VALUE"""),"aladdin-dao")</f>
        <v>aladdin-dao</v>
      </c>
      <c r="B555" s="3" t="str">
        <f>IFERROR(__xludf.DUMMYFUNCTION("""COMPUTED_VALUE"""),"ald")</f>
        <v>ald</v>
      </c>
      <c r="C555" s="3" t="str">
        <f>IFERROR(__xludf.DUMMYFUNCTION("""COMPUTED_VALUE"""),"Aladdin DAO")</f>
        <v>Aladdin DAO</v>
      </c>
    </row>
    <row r="556">
      <c r="A556" s="3" t="str">
        <f>IFERROR(__xludf.DUMMYFUNCTION("""COMPUTED_VALUE"""),"alanyaspor-fan-token")</f>
        <v>alanyaspor-fan-token</v>
      </c>
      <c r="B556" s="3" t="str">
        <f>IFERROR(__xludf.DUMMYFUNCTION("""COMPUTED_VALUE"""),"ala")</f>
        <v>ala</v>
      </c>
      <c r="C556" s="3" t="str">
        <f>IFERROR(__xludf.DUMMYFUNCTION("""COMPUTED_VALUE"""),"Alanyaspor Fan Token")</f>
        <v>Alanyaspor Fan Token</v>
      </c>
    </row>
    <row r="557">
      <c r="A557" s="3" t="str">
        <f>IFERROR(__xludf.DUMMYFUNCTION("""COMPUTED_VALUE"""),"alaya")</f>
        <v>alaya</v>
      </c>
      <c r="B557" s="3" t="str">
        <f>IFERROR(__xludf.DUMMYFUNCTION("""COMPUTED_VALUE"""),"atp")</f>
        <v>atp</v>
      </c>
      <c r="C557" s="3" t="str">
        <f>IFERROR(__xludf.DUMMYFUNCTION("""COMPUTED_VALUE"""),"Alaya")</f>
        <v>Alaya</v>
      </c>
    </row>
    <row r="558">
      <c r="A558" s="3" t="str">
        <f>IFERROR(__xludf.DUMMYFUNCTION("""COMPUTED_VALUE"""),"albedo")</f>
        <v>albedo</v>
      </c>
      <c r="B558" s="3" t="str">
        <f>IFERROR(__xludf.DUMMYFUNCTION("""COMPUTED_VALUE"""),"albedo")</f>
        <v>albedo</v>
      </c>
      <c r="C558" s="3" t="str">
        <f>IFERROR(__xludf.DUMMYFUNCTION("""COMPUTED_VALUE"""),"ALBEDO")</f>
        <v>ALBEDO</v>
      </c>
    </row>
    <row r="559">
      <c r="A559" s="3" t="str">
        <f>IFERROR(__xludf.DUMMYFUNCTION("""COMPUTED_VALUE"""),"alcazar")</f>
        <v>alcazar</v>
      </c>
      <c r="B559" s="3" t="str">
        <f>IFERROR(__xludf.DUMMYFUNCTION("""COMPUTED_VALUE"""),"alcazar")</f>
        <v>alcazar</v>
      </c>
      <c r="C559" s="3" t="str">
        <f>IFERROR(__xludf.DUMMYFUNCTION("""COMPUTED_VALUE"""),"Alcazar")</f>
        <v>Alcazar</v>
      </c>
    </row>
    <row r="560">
      <c r="A560" s="3" t="str">
        <f>IFERROR(__xludf.DUMMYFUNCTION("""COMPUTED_VALUE"""),"alchemist")</f>
        <v>alchemist</v>
      </c>
      <c r="B560" s="3" t="str">
        <f>IFERROR(__xludf.DUMMYFUNCTION("""COMPUTED_VALUE"""),"mist")</f>
        <v>mist</v>
      </c>
      <c r="C560" s="3" t="str">
        <f>IFERROR(__xludf.DUMMYFUNCTION("""COMPUTED_VALUE"""),"Alchemist")</f>
        <v>Alchemist</v>
      </c>
    </row>
    <row r="561">
      <c r="A561" s="3" t="str">
        <f>IFERROR(__xludf.DUMMYFUNCTION("""COMPUTED_VALUE"""),"alchemix")</f>
        <v>alchemix</v>
      </c>
      <c r="B561" s="3" t="str">
        <f>IFERROR(__xludf.DUMMYFUNCTION("""COMPUTED_VALUE"""),"alcx")</f>
        <v>alcx</v>
      </c>
      <c r="C561" s="3" t="str">
        <f>IFERROR(__xludf.DUMMYFUNCTION("""COMPUTED_VALUE"""),"Alchemix")</f>
        <v>Alchemix</v>
      </c>
    </row>
    <row r="562">
      <c r="A562" s="3" t="str">
        <f>IFERROR(__xludf.DUMMYFUNCTION("""COMPUTED_VALUE"""),"alchemix-eth")</f>
        <v>alchemix-eth</v>
      </c>
      <c r="B562" s="3" t="str">
        <f>IFERROR(__xludf.DUMMYFUNCTION("""COMPUTED_VALUE"""),"aleth")</f>
        <v>aleth</v>
      </c>
      <c r="C562" s="3" t="str">
        <f>IFERROR(__xludf.DUMMYFUNCTION("""COMPUTED_VALUE"""),"Alchemix ETH")</f>
        <v>Alchemix ETH</v>
      </c>
    </row>
    <row r="563">
      <c r="A563" s="3" t="str">
        <f>IFERROR(__xludf.DUMMYFUNCTION("""COMPUTED_VALUE"""),"alchemix-usd")</f>
        <v>alchemix-usd</v>
      </c>
      <c r="B563" s="3" t="str">
        <f>IFERROR(__xludf.DUMMYFUNCTION("""COMPUTED_VALUE"""),"alusd")</f>
        <v>alusd</v>
      </c>
      <c r="C563" s="3" t="str">
        <f>IFERROR(__xludf.DUMMYFUNCTION("""COMPUTED_VALUE"""),"Alchemix USD")</f>
        <v>Alchemix USD</v>
      </c>
    </row>
    <row r="564">
      <c r="A564" s="3" t="str">
        <f>IFERROR(__xludf.DUMMYFUNCTION("""COMPUTED_VALUE"""),"alchemy-pay")</f>
        <v>alchemy-pay</v>
      </c>
      <c r="B564" s="3" t="str">
        <f>IFERROR(__xludf.DUMMYFUNCTION("""COMPUTED_VALUE"""),"ach")</f>
        <v>ach</v>
      </c>
      <c r="C564" s="3" t="str">
        <f>IFERROR(__xludf.DUMMYFUNCTION("""COMPUTED_VALUE"""),"Alchemy Pay")</f>
        <v>Alchemy Pay</v>
      </c>
    </row>
    <row r="565">
      <c r="A565" s="3" t="str">
        <f>IFERROR(__xludf.DUMMYFUNCTION("""COMPUTED_VALUE"""),"aldrin")</f>
        <v>aldrin</v>
      </c>
      <c r="B565" s="3" t="str">
        <f>IFERROR(__xludf.DUMMYFUNCTION("""COMPUTED_VALUE"""),"rin")</f>
        <v>rin</v>
      </c>
      <c r="C565" s="3" t="str">
        <f>IFERROR(__xludf.DUMMYFUNCTION("""COMPUTED_VALUE"""),"Aldrin")</f>
        <v>Aldrin</v>
      </c>
    </row>
    <row r="566">
      <c r="A566" s="3" t="str">
        <f>IFERROR(__xludf.DUMMYFUNCTION("""COMPUTED_VALUE"""),"aleo")</f>
        <v>aleo</v>
      </c>
      <c r="B566" s="3" t="str">
        <f>IFERROR(__xludf.DUMMYFUNCTION("""COMPUTED_VALUE"""),"aleo")</f>
        <v>aleo</v>
      </c>
      <c r="C566" s="3" t="str">
        <f>IFERROR(__xludf.DUMMYFUNCTION("""COMPUTED_VALUE"""),"ALEO")</f>
        <v>ALEO</v>
      </c>
    </row>
    <row r="567">
      <c r="A567" s="3" t="str">
        <f>IFERROR(__xludf.DUMMYFUNCTION("""COMPUTED_VALUE"""),"aleph")</f>
        <v>aleph</v>
      </c>
      <c r="B567" s="3" t="str">
        <f>IFERROR(__xludf.DUMMYFUNCTION("""COMPUTED_VALUE"""),"aleph")</f>
        <v>aleph</v>
      </c>
      <c r="C567" s="4" t="str">
        <f>IFERROR(__xludf.DUMMYFUNCTION("""COMPUTED_VALUE"""),"Aleph.im")</f>
        <v>Aleph.im</v>
      </c>
    </row>
    <row r="568">
      <c r="A568" s="3" t="str">
        <f>IFERROR(__xludf.DUMMYFUNCTION("""COMPUTED_VALUE"""),"alephium")</f>
        <v>alephium</v>
      </c>
      <c r="B568" s="3" t="str">
        <f>IFERROR(__xludf.DUMMYFUNCTION("""COMPUTED_VALUE"""),"alph")</f>
        <v>alph</v>
      </c>
      <c r="C568" s="3" t="str">
        <f>IFERROR(__xludf.DUMMYFUNCTION("""COMPUTED_VALUE"""),"Alephium")</f>
        <v>Alephium</v>
      </c>
    </row>
    <row r="569">
      <c r="A569" s="3" t="str">
        <f>IFERROR(__xludf.DUMMYFUNCTION("""COMPUTED_VALUE"""),"aleph-zero")</f>
        <v>aleph-zero</v>
      </c>
      <c r="B569" s="3" t="str">
        <f>IFERROR(__xludf.DUMMYFUNCTION("""COMPUTED_VALUE"""),"azero")</f>
        <v>azero</v>
      </c>
      <c r="C569" s="3" t="str">
        <f>IFERROR(__xludf.DUMMYFUNCTION("""COMPUTED_VALUE"""),"Aleph Zero")</f>
        <v>Aleph Zero</v>
      </c>
    </row>
    <row r="570">
      <c r="A570" s="3" t="str">
        <f>IFERROR(__xludf.DUMMYFUNCTION("""COMPUTED_VALUE"""),"alethea-artificial-liquid-intelligence-token")</f>
        <v>alethea-artificial-liquid-intelligence-token</v>
      </c>
      <c r="B570" s="3" t="str">
        <f>IFERROR(__xludf.DUMMYFUNCTION("""COMPUTED_VALUE"""),"ali")</f>
        <v>ali</v>
      </c>
      <c r="C570" s="3" t="str">
        <f>IFERROR(__xludf.DUMMYFUNCTION("""COMPUTED_VALUE"""),"Alethea Artificial Liquid Intelligence")</f>
        <v>Alethea Artificial Liquid Intelligence</v>
      </c>
    </row>
    <row r="571">
      <c r="A571" s="3" t="str">
        <f>IFERROR(__xludf.DUMMYFUNCTION("""COMPUTED_VALUE"""),"alex")</f>
        <v>alex</v>
      </c>
      <c r="B571" s="3" t="str">
        <f>IFERROR(__xludf.DUMMYFUNCTION("""COMPUTED_VALUE"""),"alex")</f>
        <v>alex</v>
      </c>
      <c r="C571" s="3" t="str">
        <f>IFERROR(__xludf.DUMMYFUNCTION("""COMPUTED_VALUE"""),"Alex")</f>
        <v>Alex</v>
      </c>
    </row>
    <row r="572">
      <c r="A572" s="3" t="str">
        <f>IFERROR(__xludf.DUMMYFUNCTION("""COMPUTED_VALUE"""),"alexgo")</f>
        <v>alexgo</v>
      </c>
      <c r="B572" s="3" t="str">
        <f>IFERROR(__xludf.DUMMYFUNCTION("""COMPUTED_VALUE"""),"alex")</f>
        <v>alex</v>
      </c>
      <c r="C572" s="3" t="str">
        <f>IFERROR(__xludf.DUMMYFUNCTION("""COMPUTED_VALUE"""),"ALEX Lab")</f>
        <v>ALEX Lab</v>
      </c>
    </row>
    <row r="573">
      <c r="A573" s="3" t="str">
        <f>IFERROR(__xludf.DUMMYFUNCTION("""COMPUTED_VALUE"""),"alfa-romeo-racing-orlen-fan-token")</f>
        <v>alfa-romeo-racing-orlen-fan-token</v>
      </c>
      <c r="B573" s="3" t="str">
        <f>IFERROR(__xludf.DUMMYFUNCTION("""COMPUTED_VALUE"""),"sauber")</f>
        <v>sauber</v>
      </c>
      <c r="C573" s="3" t="str">
        <f>IFERROR(__xludf.DUMMYFUNCTION("""COMPUTED_VALUE"""),"Alfa Romeo Racing ORLEN Fan Token")</f>
        <v>Alfa Romeo Racing ORLEN Fan Token</v>
      </c>
    </row>
    <row r="574">
      <c r="A574" s="3" t="str">
        <f>IFERROR(__xludf.DUMMYFUNCTION("""COMPUTED_VALUE"""),"alfweb3project")</f>
        <v>alfweb3project</v>
      </c>
      <c r="B574" s="3" t="str">
        <f>IFERROR(__xludf.DUMMYFUNCTION("""COMPUTED_VALUE"""),"alfw3")</f>
        <v>alfw3</v>
      </c>
      <c r="C574" s="3" t="str">
        <f>IFERROR(__xludf.DUMMYFUNCTION("""COMPUTED_VALUE"""),"ALFweb3Project")</f>
        <v>ALFweb3Project</v>
      </c>
    </row>
    <row r="575">
      <c r="A575" s="3" t="str">
        <f>IFERROR(__xludf.DUMMYFUNCTION("""COMPUTED_VALUE"""),"algebra")</f>
        <v>algebra</v>
      </c>
      <c r="B575" s="3" t="str">
        <f>IFERROR(__xludf.DUMMYFUNCTION("""COMPUTED_VALUE"""),"algb")</f>
        <v>algb</v>
      </c>
      <c r="C575" s="3" t="str">
        <f>IFERROR(__xludf.DUMMYFUNCTION("""COMPUTED_VALUE"""),"Algebra")</f>
        <v>Algebra</v>
      </c>
    </row>
    <row r="576">
      <c r="A576" s="3" t="str">
        <f>IFERROR(__xludf.DUMMYFUNCTION("""COMPUTED_VALUE"""),"algoblocks")</f>
        <v>algoblocks</v>
      </c>
      <c r="B576" s="3" t="str">
        <f>IFERROR(__xludf.DUMMYFUNCTION("""COMPUTED_VALUE"""),"algoblk")</f>
        <v>algoblk</v>
      </c>
      <c r="C576" s="3" t="str">
        <f>IFERROR(__xludf.DUMMYFUNCTION("""COMPUTED_VALUE"""),"AlgoBlocks")</f>
        <v>AlgoBlocks</v>
      </c>
    </row>
    <row r="577">
      <c r="A577" s="3" t="str">
        <f>IFERROR(__xludf.DUMMYFUNCTION("""COMPUTED_VALUE"""),"algodao")</f>
        <v>algodao</v>
      </c>
      <c r="B577" s="3" t="str">
        <f>IFERROR(__xludf.DUMMYFUNCTION("""COMPUTED_VALUE"""),"adao")</f>
        <v>adao</v>
      </c>
      <c r="C577" s="3" t="str">
        <f>IFERROR(__xludf.DUMMYFUNCTION("""COMPUTED_VALUE"""),"AlgoDAO")</f>
        <v>AlgoDAO</v>
      </c>
    </row>
    <row r="578">
      <c r="A578" s="3" t="str">
        <f>IFERROR(__xludf.DUMMYFUNCTION("""COMPUTED_VALUE"""),"algodex")</f>
        <v>algodex</v>
      </c>
      <c r="B578" s="3" t="str">
        <f>IFERROR(__xludf.DUMMYFUNCTION("""COMPUTED_VALUE"""),"algx")</f>
        <v>algx</v>
      </c>
      <c r="C578" s="3" t="str">
        <f>IFERROR(__xludf.DUMMYFUNCTION("""COMPUTED_VALUE"""),"Algodex")</f>
        <v>Algodex</v>
      </c>
    </row>
    <row r="579">
      <c r="A579" s="3" t="str">
        <f>IFERROR(__xludf.DUMMYFUNCTION("""COMPUTED_VALUE"""),"algofund")</f>
        <v>algofund</v>
      </c>
      <c r="B579" s="3" t="str">
        <f>IFERROR(__xludf.DUMMYFUNCTION("""COMPUTED_VALUE"""),"algf")</f>
        <v>algf</v>
      </c>
      <c r="C579" s="3" t="str">
        <f>IFERROR(__xludf.DUMMYFUNCTION("""COMPUTED_VALUE"""),"AlgoFund")</f>
        <v>AlgoFund</v>
      </c>
    </row>
    <row r="580">
      <c r="A580" s="3" t="str">
        <f>IFERROR(__xludf.DUMMYFUNCTION("""COMPUTED_VALUE"""),"algogems")</f>
        <v>algogems</v>
      </c>
      <c r="B580" s="3" t="str">
        <f>IFERROR(__xludf.DUMMYFUNCTION("""COMPUTED_VALUE"""),"gems")</f>
        <v>gems</v>
      </c>
      <c r="C580" s="3" t="str">
        <f>IFERROR(__xludf.DUMMYFUNCTION("""COMPUTED_VALUE"""),"AlgoGems")</f>
        <v>AlgoGems</v>
      </c>
    </row>
    <row r="581">
      <c r="A581" s="3" t="str">
        <f>IFERROR(__xludf.DUMMYFUNCTION("""COMPUTED_VALUE"""),"algomint")</f>
        <v>algomint</v>
      </c>
      <c r="B581" s="3" t="str">
        <f>IFERROR(__xludf.DUMMYFUNCTION("""COMPUTED_VALUE"""),"gomint")</f>
        <v>gomint</v>
      </c>
      <c r="C581" s="3" t="str">
        <f>IFERROR(__xludf.DUMMYFUNCTION("""COMPUTED_VALUE"""),"Algomint")</f>
        <v>Algomint</v>
      </c>
    </row>
    <row r="582">
      <c r="A582" s="3" t="str">
        <f>IFERROR(__xludf.DUMMYFUNCTION("""COMPUTED_VALUE"""),"algopad")</f>
        <v>algopad</v>
      </c>
      <c r="B582" s="3" t="str">
        <f>IFERROR(__xludf.DUMMYFUNCTION("""COMPUTED_VALUE"""),"algopad")</f>
        <v>algopad</v>
      </c>
      <c r="C582" s="3" t="str">
        <f>IFERROR(__xludf.DUMMYFUNCTION("""COMPUTED_VALUE"""),"AlgoPad")</f>
        <v>AlgoPad</v>
      </c>
    </row>
    <row r="583">
      <c r="A583" s="3" t="str">
        <f>IFERROR(__xludf.DUMMYFUNCTION("""COMPUTED_VALUE"""),"algopainter")</f>
        <v>algopainter</v>
      </c>
      <c r="B583" s="3" t="str">
        <f>IFERROR(__xludf.DUMMYFUNCTION("""COMPUTED_VALUE"""),"algop")</f>
        <v>algop</v>
      </c>
      <c r="C583" s="3" t="str">
        <f>IFERROR(__xludf.DUMMYFUNCTION("""COMPUTED_VALUE"""),"AlgoPainter")</f>
        <v>AlgoPainter</v>
      </c>
    </row>
    <row r="584">
      <c r="A584" s="3" t="str">
        <f>IFERROR(__xludf.DUMMYFUNCTION("""COMPUTED_VALUE"""),"algoracle")</f>
        <v>algoracle</v>
      </c>
      <c r="B584" s="3" t="str">
        <f>IFERROR(__xludf.DUMMYFUNCTION("""COMPUTED_VALUE"""),"gora")</f>
        <v>gora</v>
      </c>
      <c r="C584" s="3" t="str">
        <f>IFERROR(__xludf.DUMMYFUNCTION("""COMPUTED_VALUE"""),"Goracle")</f>
        <v>Goracle</v>
      </c>
    </row>
    <row r="585">
      <c r="A585" s="3" t="str">
        <f>IFERROR(__xludf.DUMMYFUNCTION("""COMPUTED_VALUE"""),"algorand")</f>
        <v>algorand</v>
      </c>
      <c r="B585" s="3" t="str">
        <f>IFERROR(__xludf.DUMMYFUNCTION("""COMPUTED_VALUE"""),"algo")</f>
        <v>algo</v>
      </c>
      <c r="C585" s="3" t="str">
        <f>IFERROR(__xludf.DUMMYFUNCTION("""COMPUTED_VALUE"""),"Algorand")</f>
        <v>Algorand</v>
      </c>
    </row>
    <row r="586">
      <c r="A586" s="3" t="str">
        <f>IFERROR(__xludf.DUMMYFUNCTION("""COMPUTED_VALUE"""),"algory")</f>
        <v>algory</v>
      </c>
      <c r="B586" s="3" t="str">
        <f>IFERROR(__xludf.DUMMYFUNCTION("""COMPUTED_VALUE"""),"alg")</f>
        <v>alg</v>
      </c>
      <c r="C586" s="3" t="str">
        <f>IFERROR(__xludf.DUMMYFUNCTION("""COMPUTED_VALUE"""),"Algory")</f>
        <v>Algory</v>
      </c>
    </row>
    <row r="587">
      <c r="A587" s="3" t="str">
        <f>IFERROR(__xludf.DUMMYFUNCTION("""COMPUTED_VALUE"""),"algostable")</f>
        <v>algostable</v>
      </c>
      <c r="B587" s="3" t="str">
        <f>IFERROR(__xludf.DUMMYFUNCTION("""COMPUTED_VALUE"""),"stbl")</f>
        <v>stbl</v>
      </c>
      <c r="C587" s="3" t="str">
        <f>IFERROR(__xludf.DUMMYFUNCTION("""COMPUTED_VALUE"""),"AlgoStable")</f>
        <v>AlgoStable</v>
      </c>
    </row>
    <row r="588">
      <c r="A588" s="3" t="str">
        <f>IFERROR(__xludf.DUMMYFUNCTION("""COMPUTED_VALUE"""),"algostake")</f>
        <v>algostake</v>
      </c>
      <c r="B588" s="3" t="str">
        <f>IFERROR(__xludf.DUMMYFUNCTION("""COMPUTED_VALUE"""),"stke")</f>
        <v>stke</v>
      </c>
      <c r="C588" s="3" t="str">
        <f>IFERROR(__xludf.DUMMYFUNCTION("""COMPUTED_VALUE"""),"AlgoStake")</f>
        <v>AlgoStake</v>
      </c>
    </row>
    <row r="589">
      <c r="A589" s="3" t="str">
        <f>IFERROR(__xludf.DUMMYFUNCTION("""COMPUTED_VALUE"""),"algovest")</f>
        <v>algovest</v>
      </c>
      <c r="B589" s="3" t="str">
        <f>IFERROR(__xludf.DUMMYFUNCTION("""COMPUTED_VALUE"""),"avs")</f>
        <v>avs</v>
      </c>
      <c r="C589" s="3" t="str">
        <f>IFERROR(__xludf.DUMMYFUNCTION("""COMPUTED_VALUE"""),"AlgoVest")</f>
        <v>AlgoVest</v>
      </c>
    </row>
    <row r="590">
      <c r="A590" s="3" t="str">
        <f>IFERROR(__xludf.DUMMYFUNCTION("""COMPUTED_VALUE"""),"alibabacoin")</f>
        <v>alibabacoin</v>
      </c>
      <c r="B590" s="3" t="str">
        <f>IFERROR(__xludf.DUMMYFUNCTION("""COMPUTED_VALUE"""),"abbc")</f>
        <v>abbc</v>
      </c>
      <c r="C590" s="3" t="str">
        <f>IFERROR(__xludf.DUMMYFUNCTION("""COMPUTED_VALUE"""),"ABBC")</f>
        <v>ABBC</v>
      </c>
    </row>
    <row r="591">
      <c r="A591" s="3" t="str">
        <f>IFERROR(__xludf.DUMMYFUNCTION("""COMPUTED_VALUE"""),"alibaba-tokenized-stock-defichain")</f>
        <v>alibaba-tokenized-stock-defichain</v>
      </c>
      <c r="B591" s="3" t="str">
        <f>IFERROR(__xludf.DUMMYFUNCTION("""COMPUTED_VALUE"""),"dbaba")</f>
        <v>dbaba</v>
      </c>
      <c r="C591" s="3" t="str">
        <f>IFERROR(__xludf.DUMMYFUNCTION("""COMPUTED_VALUE"""),"Alibaba Tokenized Stock Defichain")</f>
        <v>Alibaba Tokenized Stock Defichain</v>
      </c>
    </row>
    <row r="592">
      <c r="A592" s="3" t="str">
        <f>IFERROR(__xludf.DUMMYFUNCTION("""COMPUTED_VALUE"""),"alibaba-tokenized-stock-zipmex")</f>
        <v>alibaba-tokenized-stock-zipmex</v>
      </c>
      <c r="B592" s="3" t="str">
        <f>IFERROR(__xludf.DUMMYFUNCTION("""COMPUTED_VALUE"""),"baba")</f>
        <v>baba</v>
      </c>
      <c r="C592" s="3" t="str">
        <f>IFERROR(__xludf.DUMMYFUNCTION("""COMPUTED_VALUE"""),"Alibaba Tokenized Stock Zipmex")</f>
        <v>Alibaba Tokenized Stock Zipmex</v>
      </c>
    </row>
    <row r="593">
      <c r="A593" s="3" t="str">
        <f>IFERROR(__xludf.DUMMYFUNCTION("""COMPUTED_VALUE"""),"alicoin")</f>
        <v>alicoin</v>
      </c>
      <c r="B593" s="3" t="str">
        <f>IFERROR(__xludf.DUMMYFUNCTION("""COMPUTED_VALUE"""),"alicn")</f>
        <v>alicn</v>
      </c>
      <c r="C593" s="3" t="str">
        <f>IFERROR(__xludf.DUMMYFUNCTION("""COMPUTED_VALUE"""),"Alicoin")</f>
        <v>Alicoin</v>
      </c>
    </row>
    <row r="594">
      <c r="A594" s="3" t="str">
        <f>IFERROR(__xludf.DUMMYFUNCTION("""COMPUTED_VALUE"""),"alien-chicken-farm")</f>
        <v>alien-chicken-farm</v>
      </c>
      <c r="B594" s="3" t="str">
        <f>IFERROR(__xludf.DUMMYFUNCTION("""COMPUTED_VALUE"""),"acf")</f>
        <v>acf</v>
      </c>
      <c r="C594" s="3" t="str">
        <f>IFERROR(__xludf.DUMMYFUNCTION("""COMPUTED_VALUE"""),"Alien Chicken Farm")</f>
        <v>Alien Chicken Farm</v>
      </c>
    </row>
    <row r="595">
      <c r="A595" s="3" t="str">
        <f>IFERROR(__xludf.DUMMYFUNCTION("""COMPUTED_VALUE"""),"alien-inu")</f>
        <v>alien-inu</v>
      </c>
      <c r="B595" s="3" t="str">
        <f>IFERROR(__xludf.DUMMYFUNCTION("""COMPUTED_VALUE"""),"alien")</f>
        <v>alien</v>
      </c>
      <c r="C595" s="3" t="str">
        <f>IFERROR(__xludf.DUMMYFUNCTION("""COMPUTED_VALUE"""),"Alien Inu")</f>
        <v>Alien Inu</v>
      </c>
    </row>
    <row r="596">
      <c r="A596" s="3" t="str">
        <f>IFERROR(__xludf.DUMMYFUNCTION("""COMPUTED_VALUE"""),"alien-shiba-inu")</f>
        <v>alien-shiba-inu</v>
      </c>
      <c r="B596" s="3" t="str">
        <f>IFERROR(__xludf.DUMMYFUNCTION("""COMPUTED_VALUE"""),"ashib")</f>
        <v>ashib</v>
      </c>
      <c r="C596" s="3" t="str">
        <f>IFERROR(__xludf.DUMMYFUNCTION("""COMPUTED_VALUE"""),"Alien Shiba Inu")</f>
        <v>Alien Shiba Inu</v>
      </c>
    </row>
    <row r="597">
      <c r="A597" s="3" t="str">
        <f>IFERROR(__xludf.DUMMYFUNCTION("""COMPUTED_VALUE"""),"alien-wars-gold")</f>
        <v>alien-wars-gold</v>
      </c>
      <c r="B597" s="3" t="str">
        <f>IFERROR(__xludf.DUMMYFUNCTION("""COMPUTED_VALUE"""),"awg")</f>
        <v>awg</v>
      </c>
      <c r="C597" s="3" t="str">
        <f>IFERROR(__xludf.DUMMYFUNCTION("""COMPUTED_VALUE"""),"Alien Wars Gold")</f>
        <v>Alien Wars Gold</v>
      </c>
    </row>
    <row r="598">
      <c r="A598" s="3" t="str">
        <f>IFERROR(__xludf.DUMMYFUNCTION("""COMPUTED_VALUE"""),"alien-worlds")</f>
        <v>alien-worlds</v>
      </c>
      <c r="B598" s="3" t="str">
        <f>IFERROR(__xludf.DUMMYFUNCTION("""COMPUTED_VALUE"""),"tlm")</f>
        <v>tlm</v>
      </c>
      <c r="C598" s="3" t="str">
        <f>IFERROR(__xludf.DUMMYFUNCTION("""COMPUTED_VALUE"""),"Alien Worlds")</f>
        <v>Alien Worlds</v>
      </c>
    </row>
    <row r="599">
      <c r="A599" s="3" t="str">
        <f>IFERROR(__xludf.DUMMYFUNCTION("""COMPUTED_VALUE"""),"alinx")</f>
        <v>alinx</v>
      </c>
      <c r="B599" s="3" t="str">
        <f>IFERROR(__xludf.DUMMYFUNCTION("""COMPUTED_VALUE"""),"alix")</f>
        <v>alix</v>
      </c>
      <c r="C599" s="3" t="str">
        <f>IFERROR(__xludf.DUMMYFUNCTION("""COMPUTED_VALUE"""),"AlinX")</f>
        <v>AlinX</v>
      </c>
    </row>
    <row r="600">
      <c r="A600" s="3" t="str">
        <f>IFERROR(__xludf.DUMMYFUNCTION("""COMPUTED_VALUE"""),"alita")</f>
        <v>alita</v>
      </c>
      <c r="B600" s="3" t="str">
        <f>IFERROR(__xludf.DUMMYFUNCTION("""COMPUTED_VALUE"""),"ali")</f>
        <v>ali</v>
      </c>
      <c r="C600" s="3" t="str">
        <f>IFERROR(__xludf.DUMMYFUNCTION("""COMPUTED_VALUE"""),"Alita")</f>
        <v>Alita</v>
      </c>
    </row>
    <row r="601">
      <c r="A601" s="3" t="str">
        <f>IFERROR(__xludf.DUMMYFUNCTION("""COMPUTED_VALUE"""),"alita-network")</f>
        <v>alita-network</v>
      </c>
      <c r="B601" s="3" t="str">
        <f>IFERROR(__xludf.DUMMYFUNCTION("""COMPUTED_VALUE"""),"alita")</f>
        <v>alita</v>
      </c>
      <c r="C601" s="3" t="str">
        <f>IFERROR(__xludf.DUMMYFUNCTION("""COMPUTED_VALUE"""),"Alita Network")</f>
        <v>Alita Network</v>
      </c>
    </row>
    <row r="602">
      <c r="A602" s="3" t="str">
        <f>IFERROR(__xludf.DUMMYFUNCTION("""COMPUTED_VALUE"""),"alitas")</f>
        <v>alitas</v>
      </c>
      <c r="B602" s="3" t="str">
        <f>IFERROR(__xludf.DUMMYFUNCTION("""COMPUTED_VALUE"""),"alt")</f>
        <v>alt</v>
      </c>
      <c r="C602" s="3" t="str">
        <f>IFERROR(__xludf.DUMMYFUNCTION("""COMPUTED_VALUE"""),"Alitas")</f>
        <v>Alitas</v>
      </c>
    </row>
    <row r="603">
      <c r="A603" s="3" t="str">
        <f>IFERROR(__xludf.DUMMYFUNCTION("""COMPUTED_VALUE"""),"alium-finance")</f>
        <v>alium-finance</v>
      </c>
      <c r="B603" s="3" t="str">
        <f>IFERROR(__xludf.DUMMYFUNCTION("""COMPUTED_VALUE"""),"alm")</f>
        <v>alm</v>
      </c>
      <c r="C603" s="3" t="str">
        <f>IFERROR(__xludf.DUMMYFUNCTION("""COMPUTED_VALUE"""),"Alium Finance")</f>
        <v>Alium Finance</v>
      </c>
    </row>
    <row r="604">
      <c r="A604" s="3" t="str">
        <f>IFERROR(__xludf.DUMMYFUNCTION("""COMPUTED_VALUE"""),"alkemi-network-dao-token")</f>
        <v>alkemi-network-dao-token</v>
      </c>
      <c r="B604" s="3" t="str">
        <f>IFERROR(__xludf.DUMMYFUNCTION("""COMPUTED_VALUE"""),"alk")</f>
        <v>alk</v>
      </c>
      <c r="C604" s="3" t="str">
        <f>IFERROR(__xludf.DUMMYFUNCTION("""COMPUTED_VALUE"""),"Alkemi Network DAO")</f>
        <v>Alkemi Network DAO</v>
      </c>
    </row>
    <row r="605">
      <c r="A605" s="3" t="str">
        <f>IFERROR(__xludf.DUMMYFUNCTION("""COMPUTED_VALUE"""),"alkimi")</f>
        <v>alkimi</v>
      </c>
      <c r="B605" s="3" t="str">
        <f>IFERROR(__xludf.DUMMYFUNCTION("""COMPUTED_VALUE"""),"$ads")</f>
        <v>$ads</v>
      </c>
      <c r="C605" s="3" t="str">
        <f>IFERROR(__xludf.DUMMYFUNCTION("""COMPUTED_VALUE"""),"Alkimi")</f>
        <v>Alkimi</v>
      </c>
    </row>
    <row r="606">
      <c r="A606" s="3" t="str">
        <f>IFERROR(__xludf.DUMMYFUNCTION("""COMPUTED_VALUE"""),"all-art")</f>
        <v>all-art</v>
      </c>
      <c r="B606" s="3" t="str">
        <f>IFERROR(__xludf.DUMMYFUNCTION("""COMPUTED_VALUE"""),"aart")</f>
        <v>aart</v>
      </c>
      <c r="C606" s="3" t="str">
        <f>IFERROR(__xludf.DUMMYFUNCTION("""COMPUTED_VALUE"""),"ALL.ART")</f>
        <v>ALL.ART</v>
      </c>
    </row>
    <row r="607">
      <c r="A607" s="3" t="str">
        <f>IFERROR(__xludf.DUMMYFUNCTION("""COMPUTED_VALUE"""),"all-best-ico-satoshi")</f>
        <v>all-best-ico-satoshi</v>
      </c>
      <c r="B607" s="3" t="str">
        <f>IFERROR(__xludf.DUMMYFUNCTION("""COMPUTED_VALUE"""),"satsall")</f>
        <v>satsall</v>
      </c>
      <c r="C607" s="3" t="str">
        <f>IFERROR(__xludf.DUMMYFUNCTION("""COMPUTED_VALUE"""),"All Best ICO Satoshi")</f>
        <v>All Best ICO Satoshi</v>
      </c>
    </row>
    <row r="608">
      <c r="A608" s="3" t="str">
        <f>IFERROR(__xludf.DUMMYFUNCTION("""COMPUTED_VALUE"""),"allbridge")</f>
        <v>allbridge</v>
      </c>
      <c r="B608" s="3" t="str">
        <f>IFERROR(__xludf.DUMMYFUNCTION("""COMPUTED_VALUE"""),"abr")</f>
        <v>abr</v>
      </c>
      <c r="C608" s="3" t="str">
        <f>IFERROR(__xludf.DUMMYFUNCTION("""COMPUTED_VALUE"""),"Allbridge")</f>
        <v>Allbridge</v>
      </c>
    </row>
    <row r="609">
      <c r="A609" s="3" t="str">
        <f>IFERROR(__xludf.DUMMYFUNCTION("""COMPUTED_VALUE"""),"all-coins-yield-capital")</f>
        <v>all-coins-yield-capital</v>
      </c>
      <c r="B609" s="3" t="str">
        <f>IFERROR(__xludf.DUMMYFUNCTION("""COMPUTED_VALUE"""),"acyc")</f>
        <v>acyc</v>
      </c>
      <c r="C609" s="3" t="str">
        <f>IFERROR(__xludf.DUMMYFUNCTION("""COMPUTED_VALUE"""),"All Coins Yield Capital")</f>
        <v>All Coins Yield Capital</v>
      </c>
    </row>
    <row r="610">
      <c r="A610" s="3" t="str">
        <f>IFERROR(__xludf.DUMMYFUNCTION("""COMPUTED_VALUE"""),"alldex-alliance")</f>
        <v>alldex-alliance</v>
      </c>
      <c r="B610" s="3" t="str">
        <f>IFERROR(__xludf.DUMMYFUNCTION("""COMPUTED_VALUE"""),"axa")</f>
        <v>axa</v>
      </c>
      <c r="C610" s="3" t="str">
        <f>IFERROR(__xludf.DUMMYFUNCTION("""COMPUTED_VALUE"""),"Alldex Alliance")</f>
        <v>Alldex Alliance</v>
      </c>
    </row>
    <row r="611">
      <c r="A611" s="3" t="str">
        <f>IFERROR(__xludf.DUMMYFUNCTION("""COMPUTED_VALUE"""),"allianceblock")</f>
        <v>allianceblock</v>
      </c>
      <c r="B611" s="3" t="str">
        <f>IFERROR(__xludf.DUMMYFUNCTION("""COMPUTED_VALUE"""),"albt")</f>
        <v>albt</v>
      </c>
      <c r="C611" s="3" t="str">
        <f>IFERROR(__xludf.DUMMYFUNCTION("""COMPUTED_VALUE"""),"AllianceBlock")</f>
        <v>AllianceBlock</v>
      </c>
    </row>
    <row r="612">
      <c r="A612" s="3" t="str">
        <f>IFERROR(__xludf.DUMMYFUNCTION("""COMPUTED_VALUE"""),"alliance-fan-token")</f>
        <v>alliance-fan-token</v>
      </c>
      <c r="B612" s="3" t="str">
        <f>IFERROR(__xludf.DUMMYFUNCTION("""COMPUTED_VALUE"""),"all")</f>
        <v>all</v>
      </c>
      <c r="C612" s="3" t="str">
        <f>IFERROR(__xludf.DUMMYFUNCTION("""COMPUTED_VALUE"""),"Alliance Fan Token")</f>
        <v>Alliance Fan Token</v>
      </c>
    </row>
    <row r="613">
      <c r="A613" s="3" t="str">
        <f>IFERROR(__xludf.DUMMYFUNCTION("""COMPUTED_VALUE"""),"alliance-token")</f>
        <v>alliance-token</v>
      </c>
      <c r="B613" s="3" t="str">
        <f>IFERROR(__xludf.DUMMYFUNCTION("""COMPUTED_VALUE"""),"alto")</f>
        <v>alto</v>
      </c>
      <c r="C613" s="3" t="str">
        <f>IFERROR(__xludf.DUMMYFUNCTION("""COMPUTED_VALUE"""),"Alliance")</f>
        <v>Alliance</v>
      </c>
    </row>
    <row r="614">
      <c r="A614" s="3" t="str">
        <f>IFERROR(__xludf.DUMMYFUNCTION("""COMPUTED_VALUE"""),"alliance-x-trading")</f>
        <v>alliance-x-trading</v>
      </c>
      <c r="B614" s="3" t="str">
        <f>IFERROR(__xludf.DUMMYFUNCTION("""COMPUTED_VALUE"""),"axt")</f>
        <v>axt</v>
      </c>
      <c r="C614" s="3" t="str">
        <f>IFERROR(__xludf.DUMMYFUNCTION("""COMPUTED_VALUE"""),"Alliance X Trading")</f>
        <v>Alliance X Trading</v>
      </c>
    </row>
    <row r="615">
      <c r="A615" s="3" t="str">
        <f>IFERROR(__xludf.DUMMYFUNCTION("""COMPUTED_VALUE"""),"allium-finance")</f>
        <v>allium-finance</v>
      </c>
      <c r="B615" s="3" t="str">
        <f>IFERROR(__xludf.DUMMYFUNCTION("""COMPUTED_VALUE"""),"alm")</f>
        <v>alm</v>
      </c>
      <c r="C615" s="3" t="str">
        <f>IFERROR(__xludf.DUMMYFUNCTION("""COMPUTED_VALUE"""),"Allium Finance")</f>
        <v>Allium Finance</v>
      </c>
    </row>
    <row r="616">
      <c r="A616" s="3" t="str">
        <f>IFERROR(__xludf.DUMMYFUNCTION("""COMPUTED_VALUE"""),"all-me")</f>
        <v>all-me</v>
      </c>
      <c r="B616" s="3" t="str">
        <f>IFERROR(__xludf.DUMMYFUNCTION("""COMPUTED_VALUE"""),"me")</f>
        <v>me</v>
      </c>
      <c r="C616" s="4" t="str">
        <f>IFERROR(__xludf.DUMMYFUNCTION("""COMPUTED_VALUE"""),"All.me")</f>
        <v>All.me</v>
      </c>
    </row>
    <row r="617">
      <c r="A617" s="3" t="str">
        <f>IFERROR(__xludf.DUMMYFUNCTION("""COMPUTED_VALUE"""),"alloy-project")</f>
        <v>alloy-project</v>
      </c>
      <c r="B617" s="3" t="str">
        <f>IFERROR(__xludf.DUMMYFUNCTION("""COMPUTED_VALUE"""),"xao")</f>
        <v>xao</v>
      </c>
      <c r="C617" s="3" t="str">
        <f>IFERROR(__xludf.DUMMYFUNCTION("""COMPUTED_VALUE"""),"Alloy Project")</f>
        <v>Alloy Project</v>
      </c>
    </row>
    <row r="618">
      <c r="A618" s="3" t="str">
        <f>IFERROR(__xludf.DUMMYFUNCTION("""COMPUTED_VALUE"""),"allpaycoin")</f>
        <v>allpaycoin</v>
      </c>
      <c r="B618" s="3" t="str">
        <f>IFERROR(__xludf.DUMMYFUNCTION("""COMPUTED_VALUE"""),"apcg")</f>
        <v>apcg</v>
      </c>
      <c r="C618" s="3" t="str">
        <f>IFERROR(__xludf.DUMMYFUNCTION("""COMPUTED_VALUE"""),"ALLPAYCOIN")</f>
        <v>ALLPAYCOIN</v>
      </c>
    </row>
    <row r="619">
      <c r="A619" s="3" t="str">
        <f>IFERROR(__xludf.DUMMYFUNCTION("""COMPUTED_VALUE"""),"allsafe")</f>
        <v>allsafe</v>
      </c>
      <c r="B619" s="3" t="str">
        <f>IFERROR(__xludf.DUMMYFUNCTION("""COMPUTED_VALUE"""),"asafe")</f>
        <v>asafe</v>
      </c>
      <c r="C619" s="3" t="str">
        <f>IFERROR(__xludf.DUMMYFUNCTION("""COMPUTED_VALUE"""),"AllSafe")</f>
        <v>AllSafe</v>
      </c>
    </row>
    <row r="620">
      <c r="A620" s="3" t="str">
        <f>IFERROR(__xludf.DUMMYFUNCTION("""COMPUTED_VALUE"""),"all-sports-2")</f>
        <v>all-sports-2</v>
      </c>
      <c r="B620" s="3" t="str">
        <f>IFERROR(__xludf.DUMMYFUNCTION("""COMPUTED_VALUE"""),"soc")</f>
        <v>soc</v>
      </c>
      <c r="C620" s="3" t="str">
        <f>IFERROR(__xludf.DUMMYFUNCTION("""COMPUTED_VALUE"""),"All Sports")</f>
        <v>All Sports</v>
      </c>
    </row>
    <row r="621">
      <c r="A621" s="3" t="str">
        <f>IFERROR(__xludf.DUMMYFUNCTION("""COMPUTED_VALUE"""),"allspot")</f>
        <v>allspot</v>
      </c>
      <c r="B621" s="3" t="str">
        <f>IFERROR(__xludf.DUMMYFUNCTION("""COMPUTED_VALUE"""),"alt")</f>
        <v>alt</v>
      </c>
      <c r="C621" s="3" t="str">
        <f>IFERROR(__xludf.DUMMYFUNCTION("""COMPUTED_VALUE"""),"Allspot")</f>
        <v>Allspot</v>
      </c>
    </row>
    <row r="622">
      <c r="A622" s="3" t="str">
        <f>IFERROR(__xludf.DUMMYFUNCTION("""COMPUTED_VALUE"""),"allstars")</f>
        <v>allstars</v>
      </c>
      <c r="B622" s="3" t="str">
        <f>IFERROR(__xludf.DUMMYFUNCTION("""COMPUTED_VALUE"""),"asx")</f>
        <v>asx</v>
      </c>
      <c r="C622" s="3" t="str">
        <f>IFERROR(__xludf.DUMMYFUNCTION("""COMPUTED_VALUE"""),"AllStars")</f>
        <v>AllStars</v>
      </c>
    </row>
    <row r="623">
      <c r="A623" s="3" t="str">
        <f>IFERROR(__xludf.DUMMYFUNCTION("""COMPUTED_VALUE"""),"ally")</f>
        <v>ally</v>
      </c>
      <c r="B623" s="3" t="str">
        <f>IFERROR(__xludf.DUMMYFUNCTION("""COMPUTED_VALUE"""),"aly")</f>
        <v>aly</v>
      </c>
      <c r="C623" s="3" t="str">
        <f>IFERROR(__xludf.DUMMYFUNCTION("""COMPUTED_VALUE"""),"Ally")</f>
        <v>Ally</v>
      </c>
    </row>
    <row r="624">
      <c r="A624" s="3" t="str">
        <f>IFERROR(__xludf.DUMMYFUNCTION("""COMPUTED_VALUE"""),"ally-direct")</f>
        <v>ally-direct</v>
      </c>
      <c r="B624" s="3" t="str">
        <f>IFERROR(__xludf.DUMMYFUNCTION("""COMPUTED_VALUE"""),"drct")</f>
        <v>drct</v>
      </c>
      <c r="C624" s="3" t="str">
        <f>IFERROR(__xludf.DUMMYFUNCTION("""COMPUTED_VALUE"""),"Ally Direct")</f>
        <v>Ally Direct</v>
      </c>
    </row>
    <row r="625">
      <c r="A625" s="3" t="str">
        <f>IFERROR(__xludf.DUMMYFUNCTION("""COMPUTED_VALUE"""),"almond")</f>
        <v>almond</v>
      </c>
      <c r="B625" s="3" t="str">
        <f>IFERROR(__xludf.DUMMYFUNCTION("""COMPUTED_VALUE"""),"alm")</f>
        <v>alm</v>
      </c>
      <c r="C625" s="3" t="str">
        <f>IFERROR(__xludf.DUMMYFUNCTION("""COMPUTED_VALUE"""),"Almond")</f>
        <v>Almond</v>
      </c>
    </row>
    <row r="626">
      <c r="A626" s="3" t="str">
        <f>IFERROR(__xludf.DUMMYFUNCTION("""COMPUTED_VALUE"""),"alnair-finance")</f>
        <v>alnair-finance</v>
      </c>
      <c r="B626" s="3" t="str">
        <f>IFERROR(__xludf.DUMMYFUNCTION("""COMPUTED_VALUE"""),"alnr")</f>
        <v>alnr</v>
      </c>
      <c r="C626" s="3" t="str">
        <f>IFERROR(__xludf.DUMMYFUNCTION("""COMPUTED_VALUE"""),"Alnair Finance")</f>
        <v>Alnair Finance</v>
      </c>
    </row>
    <row r="627">
      <c r="A627" s="3" t="str">
        <f>IFERROR(__xludf.DUMMYFUNCTION("""COMPUTED_VALUE"""),"alnair-finance-nika")</f>
        <v>alnair-finance-nika</v>
      </c>
      <c r="B627" s="3" t="str">
        <f>IFERROR(__xludf.DUMMYFUNCTION("""COMPUTED_VALUE"""),"nika")</f>
        <v>nika</v>
      </c>
      <c r="C627" s="3" t="str">
        <f>IFERROR(__xludf.DUMMYFUNCTION("""COMPUTED_VALUE"""),"Alnair Finance NIKA")</f>
        <v>Alnair Finance NIKA</v>
      </c>
    </row>
    <row r="628">
      <c r="A628" s="3" t="str">
        <f>IFERROR(__xludf.DUMMYFUNCTION("""COMPUTED_VALUE"""),"alnair-finance-xalnr")</f>
        <v>alnair-finance-xalnr</v>
      </c>
      <c r="B628" s="3" t="str">
        <f>IFERROR(__xludf.DUMMYFUNCTION("""COMPUTED_VALUE"""),"xalnr")</f>
        <v>xalnr</v>
      </c>
      <c r="C628" s="3" t="str">
        <f>IFERROR(__xludf.DUMMYFUNCTION("""COMPUTED_VALUE"""),"Alnair Finance xALNR")</f>
        <v>Alnair Finance xALNR</v>
      </c>
    </row>
    <row r="629">
      <c r="A629" s="3" t="str">
        <f>IFERROR(__xludf.DUMMYFUNCTION("""COMPUTED_VALUE"""),"alnassr-fc-fan-token")</f>
        <v>alnassr-fc-fan-token</v>
      </c>
      <c r="B629" s="3" t="str">
        <f>IFERROR(__xludf.DUMMYFUNCTION("""COMPUTED_VALUE"""),"nassr")</f>
        <v>nassr</v>
      </c>
      <c r="C629" s="3" t="str">
        <f>IFERROR(__xludf.DUMMYFUNCTION("""COMPUTED_VALUE"""),"Alnassr FC Fan Token")</f>
        <v>Alnassr FC Fan Token</v>
      </c>
    </row>
    <row r="630">
      <c r="A630" s="3" t="str">
        <f>IFERROR(__xludf.DUMMYFUNCTION("""COMPUTED_VALUE"""),"aloha")</f>
        <v>aloha</v>
      </c>
      <c r="B630" s="3" t="str">
        <f>IFERROR(__xludf.DUMMYFUNCTION("""COMPUTED_VALUE"""),"aloha")</f>
        <v>aloha</v>
      </c>
      <c r="C630" s="3" t="str">
        <f>IFERROR(__xludf.DUMMYFUNCTION("""COMPUTED_VALUE"""),"Aloha")</f>
        <v>Aloha</v>
      </c>
    </row>
    <row r="631">
      <c r="A631" s="3" t="str">
        <f>IFERROR(__xludf.DUMMYFUNCTION("""COMPUTED_VALUE"""),"alora")</f>
        <v>alora</v>
      </c>
      <c r="B631" s="3" t="str">
        <f>IFERROR(__xludf.DUMMYFUNCTION("""COMPUTED_VALUE"""),"alora")</f>
        <v>alora</v>
      </c>
      <c r="C631" s="3" t="str">
        <f>IFERROR(__xludf.DUMMYFUNCTION("""COMPUTED_VALUE"""),"Alora")</f>
        <v>Alora</v>
      </c>
    </row>
    <row r="632">
      <c r="A632" s="3" t="str">
        <f>IFERROR(__xludf.DUMMYFUNCTION("""COMPUTED_VALUE"""),"alpaca")</f>
        <v>alpaca</v>
      </c>
      <c r="B632" s="3" t="str">
        <f>IFERROR(__xludf.DUMMYFUNCTION("""COMPUTED_VALUE"""),"alpa")</f>
        <v>alpa</v>
      </c>
      <c r="C632" s="3" t="str">
        <f>IFERROR(__xludf.DUMMYFUNCTION("""COMPUTED_VALUE"""),"Alpaca City")</f>
        <v>Alpaca City</v>
      </c>
    </row>
    <row r="633">
      <c r="A633" s="3" t="str">
        <f>IFERROR(__xludf.DUMMYFUNCTION("""COMPUTED_VALUE"""),"alpaca-finance")</f>
        <v>alpaca-finance</v>
      </c>
      <c r="B633" s="3" t="str">
        <f>IFERROR(__xludf.DUMMYFUNCTION("""COMPUTED_VALUE"""),"alpaca")</f>
        <v>alpaca</v>
      </c>
      <c r="C633" s="3" t="str">
        <f>IFERROR(__xludf.DUMMYFUNCTION("""COMPUTED_VALUE"""),"Alpaca Finance")</f>
        <v>Alpaca Finance</v>
      </c>
    </row>
    <row r="634">
      <c r="A634" s="3" t="str">
        <f>IFERROR(__xludf.DUMMYFUNCTION("""COMPUTED_VALUE"""),"alpha5")</f>
        <v>alpha5</v>
      </c>
      <c r="B634" s="3" t="str">
        <f>IFERROR(__xludf.DUMMYFUNCTION("""COMPUTED_VALUE"""),"a5t")</f>
        <v>a5t</v>
      </c>
      <c r="C634" s="3" t="str">
        <f>IFERROR(__xludf.DUMMYFUNCTION("""COMPUTED_VALUE"""),"Alpha5")</f>
        <v>Alpha5</v>
      </c>
    </row>
    <row r="635">
      <c r="A635" s="3" t="str">
        <f>IFERROR(__xludf.DUMMYFUNCTION("""COMPUTED_VALUE"""),"alpha-brain-capital-2")</f>
        <v>alpha-brain-capital-2</v>
      </c>
      <c r="B635" s="3" t="str">
        <f>IFERROR(__xludf.DUMMYFUNCTION("""COMPUTED_VALUE"""),"acap")</f>
        <v>acap</v>
      </c>
      <c r="C635" s="3" t="str">
        <f>IFERROR(__xludf.DUMMYFUNCTION("""COMPUTED_VALUE"""),"Alpha Capital")</f>
        <v>Alpha Capital</v>
      </c>
    </row>
    <row r="636">
      <c r="A636" s="3" t="str">
        <f>IFERROR(__xludf.DUMMYFUNCTION("""COMPUTED_VALUE"""),"alphacat")</f>
        <v>alphacat</v>
      </c>
      <c r="B636" s="3" t="str">
        <f>IFERROR(__xludf.DUMMYFUNCTION("""COMPUTED_VALUE"""),"acat")</f>
        <v>acat</v>
      </c>
      <c r="C636" s="3" t="str">
        <f>IFERROR(__xludf.DUMMYFUNCTION("""COMPUTED_VALUE"""),"Alphacat")</f>
        <v>Alphacat</v>
      </c>
    </row>
    <row r="637">
      <c r="A637" s="3" t="str">
        <f>IFERROR(__xludf.DUMMYFUNCTION("""COMPUTED_VALUE"""),"alphacoin")</f>
        <v>alphacoin</v>
      </c>
      <c r="B637" s="3" t="str">
        <f>IFERROR(__xludf.DUMMYFUNCTION("""COMPUTED_VALUE"""),"alpha")</f>
        <v>alpha</v>
      </c>
      <c r="C637" s="3" t="str">
        <f>IFERROR(__xludf.DUMMYFUNCTION("""COMPUTED_VALUE"""),"AlphaCoin")</f>
        <v>AlphaCoin</v>
      </c>
    </row>
    <row r="638">
      <c r="A638" s="3" t="str">
        <f>IFERROR(__xludf.DUMMYFUNCTION("""COMPUTED_VALUE"""),"alpha-coin")</f>
        <v>alpha-coin</v>
      </c>
      <c r="B638" s="3" t="str">
        <f>IFERROR(__xludf.DUMMYFUNCTION("""COMPUTED_VALUE"""),"apc")</f>
        <v>apc</v>
      </c>
      <c r="C638" s="3" t="str">
        <f>IFERROR(__xludf.DUMMYFUNCTION("""COMPUTED_VALUE"""),"Alpha Coin")</f>
        <v>Alpha Coin</v>
      </c>
    </row>
    <row r="639">
      <c r="A639" s="3" t="str">
        <f>IFERROR(__xludf.DUMMYFUNCTION("""COMPUTED_VALUE"""),"alphadex")</f>
        <v>alphadex</v>
      </c>
      <c r="B639" s="3" t="str">
        <f>IFERROR(__xludf.DUMMYFUNCTION("""COMPUTED_VALUE"""),"dex")</f>
        <v>dex</v>
      </c>
      <c r="C639" s="3" t="str">
        <f>IFERROR(__xludf.DUMMYFUNCTION("""COMPUTED_VALUE"""),"AlphaDex")</f>
        <v>AlphaDex</v>
      </c>
    </row>
    <row r="640">
      <c r="A640" s="3" t="str">
        <f>IFERROR(__xludf.DUMMYFUNCTION("""COMPUTED_VALUE"""),"alpha-dex")</f>
        <v>alpha-dex</v>
      </c>
      <c r="B640" s="3" t="str">
        <f>IFERROR(__xludf.DUMMYFUNCTION("""COMPUTED_VALUE"""),"roar")</f>
        <v>roar</v>
      </c>
      <c r="C640" s="3" t="str">
        <f>IFERROR(__xludf.DUMMYFUNCTION("""COMPUTED_VALUE"""),"Alpha DEX")</f>
        <v>Alpha DEX</v>
      </c>
    </row>
    <row r="641">
      <c r="A641" s="3" t="str">
        <f>IFERROR(__xludf.DUMMYFUNCTION("""COMPUTED_VALUE"""),"alphafi")</f>
        <v>alphafi</v>
      </c>
      <c r="B641" s="3" t="str">
        <f>IFERROR(__xludf.DUMMYFUNCTION("""COMPUTED_VALUE"""),"alf")</f>
        <v>alf</v>
      </c>
      <c r="C641" s="3" t="str">
        <f>IFERROR(__xludf.DUMMYFUNCTION("""COMPUTED_VALUE"""),"ALPHAFI")</f>
        <v>ALPHAFI</v>
      </c>
    </row>
    <row r="642">
      <c r="A642" s="3" t="str">
        <f>IFERROR(__xludf.DUMMYFUNCTION("""COMPUTED_VALUE"""),"alpha-finance")</f>
        <v>alpha-finance</v>
      </c>
      <c r="B642" s="3" t="str">
        <f>IFERROR(__xludf.DUMMYFUNCTION("""COMPUTED_VALUE"""),"alpha")</f>
        <v>alpha</v>
      </c>
      <c r="C642" s="3" t="str">
        <f>IFERROR(__xludf.DUMMYFUNCTION("""COMPUTED_VALUE"""),"Alpha Venture DAO")</f>
        <v>Alpha Venture DAO</v>
      </c>
    </row>
    <row r="643">
      <c r="A643" s="3" t="str">
        <f>IFERROR(__xludf.DUMMYFUNCTION("""COMPUTED_VALUE"""),"alpha-genesis")</f>
        <v>alpha-genesis</v>
      </c>
      <c r="B643" s="3" t="str">
        <f>IFERROR(__xludf.DUMMYFUNCTION("""COMPUTED_VALUE"""),"agen")</f>
        <v>agen</v>
      </c>
      <c r="C643" s="3" t="str">
        <f>IFERROR(__xludf.DUMMYFUNCTION("""COMPUTED_VALUE"""),"Alpha Genesis")</f>
        <v>Alpha Genesis</v>
      </c>
    </row>
    <row r="644">
      <c r="A644" s="3" t="str">
        <f>IFERROR(__xludf.DUMMYFUNCTION("""COMPUTED_VALUE"""),"alpha-kombat")</f>
        <v>alpha-kombat</v>
      </c>
      <c r="B644" s="3" t="str">
        <f>IFERROR(__xludf.DUMMYFUNCTION("""COMPUTED_VALUE"""),"alkom")</f>
        <v>alkom</v>
      </c>
      <c r="C644" s="3" t="str">
        <f>IFERROR(__xludf.DUMMYFUNCTION("""COMPUTED_VALUE"""),"Alpha Kombat")</f>
        <v>Alpha Kombat</v>
      </c>
    </row>
    <row r="645">
      <c r="A645" s="3" t="str">
        <f>IFERROR(__xludf.DUMMYFUNCTION("""COMPUTED_VALUE"""),"alpha-labz")</f>
        <v>alpha-labz</v>
      </c>
      <c r="B645" s="3" t="str">
        <f>IFERROR(__xludf.DUMMYFUNCTION("""COMPUTED_VALUE"""),"$alpha")</f>
        <v>$alpha</v>
      </c>
      <c r="C645" s="3" t="str">
        <f>IFERROR(__xludf.DUMMYFUNCTION("""COMPUTED_VALUE"""),"Alpha Labz")</f>
        <v>Alpha Labz</v>
      </c>
    </row>
    <row r="646">
      <c r="A646" s="3" t="str">
        <f>IFERROR(__xludf.DUMMYFUNCTION("""COMPUTED_VALUE"""),"alphalink")</f>
        <v>alphalink</v>
      </c>
      <c r="B646" s="3" t="str">
        <f>IFERROR(__xludf.DUMMYFUNCTION("""COMPUTED_VALUE"""),"ank")</f>
        <v>ank</v>
      </c>
      <c r="C646" s="3" t="str">
        <f>IFERROR(__xludf.DUMMYFUNCTION("""COMPUTED_VALUE"""),"AlphaLink")</f>
        <v>AlphaLink</v>
      </c>
    </row>
    <row r="647">
      <c r="A647" s="3" t="str">
        <f>IFERROR(__xludf.DUMMYFUNCTION("""COMPUTED_VALUE"""),"alpha-pad")</f>
        <v>alpha-pad</v>
      </c>
      <c r="B647" s="3" t="str">
        <f>IFERROR(__xludf.DUMMYFUNCTION("""COMPUTED_VALUE"""),"apad")</f>
        <v>apad</v>
      </c>
      <c r="C647" s="3" t="str">
        <f>IFERROR(__xludf.DUMMYFUNCTION("""COMPUTED_VALUE"""),"Alpha Pad")</f>
        <v>Alpha Pad</v>
      </c>
    </row>
    <row r="648">
      <c r="A648" s="3" t="str">
        <f>IFERROR(__xludf.DUMMYFUNCTION("""COMPUTED_VALUE"""),"alpha-quark-token")</f>
        <v>alpha-quark-token</v>
      </c>
      <c r="B648" s="3" t="str">
        <f>IFERROR(__xludf.DUMMYFUNCTION("""COMPUTED_VALUE"""),"aqt")</f>
        <v>aqt</v>
      </c>
      <c r="C648" s="3" t="str">
        <f>IFERROR(__xludf.DUMMYFUNCTION("""COMPUTED_VALUE"""),"Alpha Quark")</f>
        <v>Alpha Quark</v>
      </c>
    </row>
    <row r="649">
      <c r="A649" s="3" t="str">
        <f>IFERROR(__xludf.DUMMYFUNCTION("""COMPUTED_VALUE"""),"alpha-shares-v2")</f>
        <v>alpha-shares-v2</v>
      </c>
      <c r="B649" s="3" t="str">
        <f>IFERROR(__xludf.DUMMYFUNCTION("""COMPUTED_VALUE"""),"$alpha")</f>
        <v>$alpha</v>
      </c>
      <c r="C649" s="3" t="str">
        <f>IFERROR(__xludf.DUMMYFUNCTION("""COMPUTED_VALUE"""),"Alpha Shares V2")</f>
        <v>Alpha Shares V2</v>
      </c>
    </row>
    <row r="650">
      <c r="A650" s="3" t="str">
        <f>IFERROR(__xludf.DUMMYFUNCTION("""COMPUTED_VALUE"""),"alphatoken")</f>
        <v>alphatoken</v>
      </c>
      <c r="B650" s="3" t="str">
        <f>IFERROR(__xludf.DUMMYFUNCTION("""COMPUTED_VALUE"""),".alpha")</f>
        <v>.alpha</v>
      </c>
      <c r="C650" s="3" t="str">
        <f>IFERROR(__xludf.DUMMYFUNCTION("""COMPUTED_VALUE"""),".Alpha")</f>
        <v>.Alpha</v>
      </c>
    </row>
    <row r="651">
      <c r="A651" s="3" t="str">
        <f>IFERROR(__xludf.DUMMYFUNCTION("""COMPUTED_VALUE"""),"alphr")</f>
        <v>alphr</v>
      </c>
      <c r="B651" s="3" t="str">
        <f>IFERROR(__xludf.DUMMYFUNCTION("""COMPUTED_VALUE"""),"alphr")</f>
        <v>alphr</v>
      </c>
      <c r="C651" s="3" t="str">
        <f>IFERROR(__xludf.DUMMYFUNCTION("""COMPUTED_VALUE"""),"Alphr")</f>
        <v>Alphr</v>
      </c>
    </row>
    <row r="652">
      <c r="A652" s="3" t="str">
        <f>IFERROR(__xludf.DUMMYFUNCTION("""COMPUTED_VALUE"""),"alpine-f1-team-fan-token")</f>
        <v>alpine-f1-team-fan-token</v>
      </c>
      <c r="B652" s="3" t="str">
        <f>IFERROR(__xludf.DUMMYFUNCTION("""COMPUTED_VALUE"""),"alpine")</f>
        <v>alpine</v>
      </c>
      <c r="C652" s="3" t="str">
        <f>IFERROR(__xludf.DUMMYFUNCTION("""COMPUTED_VALUE"""),"Alpine F1 Team Fan Token")</f>
        <v>Alpine F1 Team Fan Token</v>
      </c>
    </row>
    <row r="653">
      <c r="A653" s="3" t="str">
        <f>IFERROR(__xludf.DUMMYFUNCTION("""COMPUTED_VALUE"""),"alrihla")</f>
        <v>alrihla</v>
      </c>
      <c r="B653" s="3" t="str">
        <f>IFERROR(__xludf.DUMMYFUNCTION("""COMPUTED_VALUE"""),"alrihla")</f>
        <v>alrihla</v>
      </c>
      <c r="C653" s="3" t="str">
        <f>IFERROR(__xludf.DUMMYFUNCTION("""COMPUTED_VALUE"""),"Alrihla")</f>
        <v>Alrihla</v>
      </c>
    </row>
    <row r="654">
      <c r="A654" s="3" t="str">
        <f>IFERROR(__xludf.DUMMYFUNCTION("""COMPUTED_VALUE"""),"alta-finance")</f>
        <v>alta-finance</v>
      </c>
      <c r="B654" s="3" t="str">
        <f>IFERROR(__xludf.DUMMYFUNCTION("""COMPUTED_VALUE"""),"alta")</f>
        <v>alta</v>
      </c>
      <c r="C654" s="3" t="str">
        <f>IFERROR(__xludf.DUMMYFUNCTION("""COMPUTED_VALUE"""),"Alta Finance")</f>
        <v>Alta Finance</v>
      </c>
    </row>
    <row r="655">
      <c r="A655" s="3" t="str">
        <f>IFERROR(__xludf.DUMMYFUNCTION("""COMPUTED_VALUE"""),"altair")</f>
        <v>altair</v>
      </c>
      <c r="B655" s="3" t="str">
        <f>IFERROR(__xludf.DUMMYFUNCTION("""COMPUTED_VALUE"""),"air")</f>
        <v>air</v>
      </c>
      <c r="C655" s="3" t="str">
        <f>IFERROR(__xludf.DUMMYFUNCTION("""COMPUTED_VALUE"""),"Altair")</f>
        <v>Altair</v>
      </c>
    </row>
    <row r="656">
      <c r="A656" s="3" t="str">
        <f>IFERROR(__xludf.DUMMYFUNCTION("""COMPUTED_VALUE"""),"altava")</f>
        <v>altava</v>
      </c>
      <c r="B656" s="3" t="str">
        <f>IFERROR(__xludf.DUMMYFUNCTION("""COMPUTED_VALUE"""),"tava")</f>
        <v>tava</v>
      </c>
      <c r="C656" s="3" t="str">
        <f>IFERROR(__xludf.DUMMYFUNCTION("""COMPUTED_VALUE"""),"ALTAVA")</f>
        <v>ALTAVA</v>
      </c>
    </row>
    <row r="657">
      <c r="A657" s="3" t="str">
        <f>IFERROR(__xludf.DUMMYFUNCTION("""COMPUTED_VALUE"""),"altbase")</f>
        <v>altbase</v>
      </c>
      <c r="B657" s="3" t="str">
        <f>IFERROR(__xludf.DUMMYFUNCTION("""COMPUTED_VALUE"""),"altb")</f>
        <v>altb</v>
      </c>
      <c r="C657" s="3" t="str">
        <f>IFERROR(__xludf.DUMMYFUNCTION("""COMPUTED_VALUE"""),"Altbase")</f>
        <v>Altbase</v>
      </c>
    </row>
    <row r="658">
      <c r="A658" s="3" t="str">
        <f>IFERROR(__xludf.DUMMYFUNCTION("""COMPUTED_VALUE"""),"alt-coin")</f>
        <v>alt-coin</v>
      </c>
      <c r="B658" s="3" t="str">
        <f>IFERROR(__xludf.DUMMYFUNCTION("""COMPUTED_VALUE"""),"alt")</f>
        <v>alt</v>
      </c>
      <c r="C658" s="3" t="str">
        <f>IFERROR(__xludf.DUMMYFUNCTION("""COMPUTED_VALUE"""),"Alt Coin")</f>
        <v>Alt Coin</v>
      </c>
    </row>
    <row r="659">
      <c r="A659" s="3" t="str">
        <f>IFERROR(__xludf.DUMMYFUNCTION("""COMPUTED_VALUE"""),"altcommunity-coin")</f>
        <v>altcommunity-coin</v>
      </c>
      <c r="B659" s="3" t="str">
        <f>IFERROR(__xludf.DUMMYFUNCTION("""COMPUTED_VALUE"""),"altom")</f>
        <v>altom</v>
      </c>
      <c r="C659" s="3" t="str">
        <f>IFERROR(__xludf.DUMMYFUNCTION("""COMPUTED_VALUE"""),"ALTOM")</f>
        <v>ALTOM</v>
      </c>
    </row>
    <row r="660">
      <c r="A660" s="3" t="str">
        <f>IFERROR(__xludf.DUMMYFUNCTION("""COMPUTED_VALUE"""),"alter")</f>
        <v>alter</v>
      </c>
      <c r="B660" s="3" t="str">
        <f>IFERROR(__xludf.DUMMYFUNCTION("""COMPUTED_VALUE"""),"alter")</f>
        <v>alter</v>
      </c>
      <c r="C660" s="3" t="str">
        <f>IFERROR(__xludf.DUMMYFUNCTION("""COMPUTED_VALUE"""),"Alter")</f>
        <v>Alter</v>
      </c>
    </row>
    <row r="661">
      <c r="A661" s="3" t="str">
        <f>IFERROR(__xludf.DUMMYFUNCTION("""COMPUTED_VALUE"""),"altered-state-token")</f>
        <v>altered-state-token</v>
      </c>
      <c r="B661" s="3" t="str">
        <f>IFERROR(__xludf.DUMMYFUNCTION("""COMPUTED_VALUE"""),"asto")</f>
        <v>asto</v>
      </c>
      <c r="C661" s="3" t="str">
        <f>IFERROR(__xludf.DUMMYFUNCTION("""COMPUTED_VALUE"""),"Altered State Machine")</f>
        <v>Altered State Machine</v>
      </c>
    </row>
    <row r="662">
      <c r="A662" s="3" t="str">
        <f>IFERROR(__xludf.DUMMYFUNCTION("""COMPUTED_VALUE"""),"alternatemoney")</f>
        <v>alternatemoney</v>
      </c>
      <c r="B662" s="3" t="str">
        <f>IFERROR(__xludf.DUMMYFUNCTION("""COMPUTED_VALUE"""),"am")</f>
        <v>am</v>
      </c>
      <c r="C662" s="3" t="str">
        <f>IFERROR(__xludf.DUMMYFUNCTION("""COMPUTED_VALUE"""),"AlternateMoney")</f>
        <v>AlternateMoney</v>
      </c>
    </row>
    <row r="663">
      <c r="A663" s="3" t="str">
        <f>IFERROR(__xludf.DUMMYFUNCTION("""COMPUTED_VALUE"""),"alt-estate")</f>
        <v>alt-estate</v>
      </c>
      <c r="B663" s="3" t="str">
        <f>IFERROR(__xludf.DUMMYFUNCTION("""COMPUTED_VALUE"""),"alt")</f>
        <v>alt</v>
      </c>
      <c r="C663" s="3" t="str">
        <f>IFERROR(__xludf.DUMMYFUNCTION("""COMPUTED_VALUE"""),"AltEstate")</f>
        <v>AltEstate</v>
      </c>
    </row>
    <row r="664">
      <c r="A664" s="3" t="str">
        <f>IFERROR(__xludf.DUMMYFUNCTION("""COMPUTED_VALUE"""),"altfins")</f>
        <v>altfins</v>
      </c>
      <c r="B664" s="3" t="str">
        <f>IFERROR(__xludf.DUMMYFUNCTION("""COMPUTED_VALUE"""),"afins")</f>
        <v>afins</v>
      </c>
      <c r="C664" s="3" t="str">
        <f>IFERROR(__xludf.DUMMYFUNCTION("""COMPUTED_VALUE"""),"altFINS")</f>
        <v>altFINS</v>
      </c>
    </row>
    <row r="665">
      <c r="A665" s="3" t="str">
        <f>IFERROR(__xludf.DUMMYFUNCTION("""COMPUTED_VALUE"""),"altfolio")</f>
        <v>altfolio</v>
      </c>
      <c r="B665" s="3" t="str">
        <f>IFERROR(__xludf.DUMMYFUNCTION("""COMPUTED_VALUE"""),"alt")</f>
        <v>alt</v>
      </c>
      <c r="C665" s="3" t="str">
        <f>IFERROR(__xludf.DUMMYFUNCTION("""COMPUTED_VALUE"""),"altfolio")</f>
        <v>altfolio</v>
      </c>
    </row>
    <row r="666">
      <c r="A666" s="3" t="str">
        <f>IFERROR(__xludf.DUMMYFUNCTION("""COMPUTED_VALUE"""),"altimatum")</f>
        <v>altimatum</v>
      </c>
      <c r="B666" s="3" t="str">
        <f>IFERROR(__xludf.DUMMYFUNCTION("""COMPUTED_VALUE"""),"$alti")</f>
        <v>$alti</v>
      </c>
      <c r="C666" s="3" t="str">
        <f>IFERROR(__xludf.DUMMYFUNCTION("""COMPUTED_VALUE"""),"Altimatum")</f>
        <v>Altimatum</v>
      </c>
    </row>
    <row r="667">
      <c r="A667" s="3" t="str">
        <f>IFERROR(__xludf.DUMMYFUNCTION("""COMPUTED_VALUE"""),"altmarkets-coin")</f>
        <v>altmarkets-coin</v>
      </c>
      <c r="B667" s="3" t="str">
        <f>IFERROR(__xludf.DUMMYFUNCTION("""COMPUTED_VALUE"""),"altm")</f>
        <v>altm</v>
      </c>
      <c r="C667" s="3" t="str">
        <f>IFERROR(__xludf.DUMMYFUNCTION("""COMPUTED_VALUE"""),"Altmarkets Coin")</f>
        <v>Altmarkets Coin</v>
      </c>
    </row>
    <row r="668">
      <c r="A668" s="3" t="str">
        <f>IFERROR(__xludf.DUMMYFUNCTION("""COMPUTED_VALUE"""),"altpay-finance")</f>
        <v>altpay-finance</v>
      </c>
      <c r="B668" s="3" t="str">
        <f>IFERROR(__xludf.DUMMYFUNCTION("""COMPUTED_VALUE"""),"altpay")</f>
        <v>altpay</v>
      </c>
      <c r="C668" s="3" t="str">
        <f>IFERROR(__xludf.DUMMYFUNCTION("""COMPUTED_VALUE"""),"ALTPAY FINANCE")</f>
        <v>ALTPAY FINANCE</v>
      </c>
    </row>
    <row r="669">
      <c r="A669" s="3" t="str">
        <f>IFERROR(__xludf.DUMMYFUNCTION("""COMPUTED_VALUE"""),"altrucoin-2")</f>
        <v>altrucoin-2</v>
      </c>
      <c r="B669" s="3" t="str">
        <f>IFERROR(__xludf.DUMMYFUNCTION("""COMPUTED_VALUE"""),"altrucoin")</f>
        <v>altrucoin</v>
      </c>
      <c r="C669" s="3" t="str">
        <f>IFERROR(__xludf.DUMMYFUNCTION("""COMPUTED_VALUE"""),"Altrucoin")</f>
        <v>Altrucoin</v>
      </c>
    </row>
    <row r="670">
      <c r="A670" s="3" t="str">
        <f>IFERROR(__xludf.DUMMYFUNCTION("""COMPUTED_VALUE"""),"altswitch")</f>
        <v>altswitch</v>
      </c>
      <c r="B670" s="3" t="str">
        <f>IFERROR(__xludf.DUMMYFUNCTION("""COMPUTED_VALUE"""),"alts")</f>
        <v>alts</v>
      </c>
      <c r="C670" s="3" t="str">
        <f>IFERROR(__xludf.DUMMYFUNCTION("""COMPUTED_VALUE"""),"AltSwitch")</f>
        <v>AltSwitch</v>
      </c>
    </row>
    <row r="671">
      <c r="A671" s="3" t="str">
        <f>IFERROR(__xludf.DUMMYFUNCTION("""COMPUTED_VALUE"""),"altura")</f>
        <v>altura</v>
      </c>
      <c r="B671" s="3" t="str">
        <f>IFERROR(__xludf.DUMMYFUNCTION("""COMPUTED_VALUE"""),"alu")</f>
        <v>alu</v>
      </c>
      <c r="C671" s="3" t="str">
        <f>IFERROR(__xludf.DUMMYFUNCTION("""COMPUTED_VALUE"""),"Altura")</f>
        <v>Altura</v>
      </c>
    </row>
    <row r="672">
      <c r="A672" s="3" t="str">
        <f>IFERROR(__xludf.DUMMYFUNCTION("""COMPUTED_VALUE"""),"aluna")</f>
        <v>aluna</v>
      </c>
      <c r="B672" s="3" t="str">
        <f>IFERROR(__xludf.DUMMYFUNCTION("""COMPUTED_VALUE"""),"aln")</f>
        <v>aln</v>
      </c>
      <c r="C672" s="3" t="str">
        <f>IFERROR(__xludf.DUMMYFUNCTION("""COMPUTED_VALUE"""),"Aluna")</f>
        <v>Aluna</v>
      </c>
    </row>
    <row r="673">
      <c r="A673" s="3" t="str">
        <f>IFERROR(__xludf.DUMMYFUNCTION("""COMPUTED_VALUE"""),"alvey-chain")</f>
        <v>alvey-chain</v>
      </c>
      <c r="B673" s="3" t="str">
        <f>IFERROR(__xludf.DUMMYFUNCTION("""COMPUTED_VALUE"""),"walv")</f>
        <v>walv</v>
      </c>
      <c r="C673" s="3" t="str">
        <f>IFERROR(__xludf.DUMMYFUNCTION("""COMPUTED_VALUE"""),"Alvey Chain")</f>
        <v>Alvey Chain</v>
      </c>
    </row>
    <row r="674">
      <c r="A674" s="3" t="str">
        <f>IFERROR(__xludf.DUMMYFUNCTION("""COMPUTED_VALUE"""),"alyattes")</f>
        <v>alyattes</v>
      </c>
      <c r="B674" s="3" t="str">
        <f>IFERROR(__xludf.DUMMYFUNCTION("""COMPUTED_VALUE"""),"alya")</f>
        <v>alya</v>
      </c>
      <c r="C674" s="3" t="str">
        <f>IFERROR(__xludf.DUMMYFUNCTION("""COMPUTED_VALUE"""),"Alyattes")</f>
        <v>Alyattes</v>
      </c>
    </row>
    <row r="675">
      <c r="A675" s="3" t="str">
        <f>IFERROR(__xludf.DUMMYFUNCTION("""COMPUTED_VALUE"""),"amara-finance")</f>
        <v>amara-finance</v>
      </c>
      <c r="B675" s="3" t="str">
        <f>IFERROR(__xludf.DUMMYFUNCTION("""COMPUTED_VALUE"""),"mara")</f>
        <v>mara</v>
      </c>
      <c r="C675" s="3" t="str">
        <f>IFERROR(__xludf.DUMMYFUNCTION("""COMPUTED_VALUE"""),"Amara Finance")</f>
        <v>Amara Finance</v>
      </c>
    </row>
    <row r="676">
      <c r="A676" s="3" t="str">
        <f>IFERROR(__xludf.DUMMYFUNCTION("""COMPUTED_VALUE"""),"amasa")</f>
        <v>amasa</v>
      </c>
      <c r="B676" s="3" t="str">
        <f>IFERROR(__xludf.DUMMYFUNCTION("""COMPUTED_VALUE"""),"amas")</f>
        <v>amas</v>
      </c>
      <c r="C676" s="3" t="str">
        <f>IFERROR(__xludf.DUMMYFUNCTION("""COMPUTED_VALUE"""),"Amasa")</f>
        <v>Amasa</v>
      </c>
    </row>
    <row r="677">
      <c r="A677" s="3" t="str">
        <f>IFERROR(__xludf.DUMMYFUNCTION("""COMPUTED_VALUE"""),"amaten")</f>
        <v>amaten</v>
      </c>
      <c r="B677" s="3" t="str">
        <f>IFERROR(__xludf.DUMMYFUNCTION("""COMPUTED_VALUE"""),"ama")</f>
        <v>ama</v>
      </c>
      <c r="C677" s="3" t="str">
        <f>IFERROR(__xludf.DUMMYFUNCTION("""COMPUTED_VALUE"""),"Amaten")</f>
        <v>Amaten</v>
      </c>
    </row>
    <row r="678">
      <c r="A678" s="3" t="str">
        <f>IFERROR(__xludf.DUMMYFUNCTION("""COMPUTED_VALUE"""),"amateras")</f>
        <v>amateras</v>
      </c>
      <c r="B678" s="3" t="str">
        <f>IFERROR(__xludf.DUMMYFUNCTION("""COMPUTED_VALUE"""),"amt")</f>
        <v>amt</v>
      </c>
      <c r="C678" s="3" t="str">
        <f>IFERROR(__xludf.DUMMYFUNCTION("""COMPUTED_VALUE"""),"Amateras")</f>
        <v>Amateras</v>
      </c>
    </row>
    <row r="679">
      <c r="A679" s="3" t="str">
        <f>IFERROR(__xludf.DUMMYFUNCTION("""COMPUTED_VALUE"""),"amaterasufi-izanagi")</f>
        <v>amaterasufi-izanagi</v>
      </c>
      <c r="B679" s="3" t="str">
        <f>IFERROR(__xludf.DUMMYFUNCTION("""COMPUTED_VALUE"""),"iza")</f>
        <v>iza</v>
      </c>
      <c r="C679" s="3" t="str">
        <f>IFERROR(__xludf.DUMMYFUNCTION("""COMPUTED_VALUE"""),"AmaterasuFi Izanagi")</f>
        <v>AmaterasuFi Izanagi</v>
      </c>
    </row>
    <row r="680">
      <c r="A680" s="3" t="str">
        <f>IFERROR(__xludf.DUMMYFUNCTION("""COMPUTED_VALUE"""),"amatsu-mikaboshi")</f>
        <v>amatsu-mikaboshi</v>
      </c>
      <c r="B680" s="3" t="str">
        <f>IFERROR(__xludf.DUMMYFUNCTION("""COMPUTED_VALUE"""),"mikaboshi")</f>
        <v>mikaboshi</v>
      </c>
      <c r="C680" s="3" t="str">
        <f>IFERROR(__xludf.DUMMYFUNCTION("""COMPUTED_VALUE"""),"Amatsu-Mikaboshi")</f>
        <v>Amatsu-Mikaboshi</v>
      </c>
    </row>
    <row r="681">
      <c r="A681" s="3" t="str">
        <f>IFERROR(__xludf.DUMMYFUNCTION("""COMPUTED_VALUE"""),"amazingdoge")</f>
        <v>amazingdoge</v>
      </c>
      <c r="B681" s="3" t="str">
        <f>IFERROR(__xludf.DUMMYFUNCTION("""COMPUTED_VALUE"""),"adoge")</f>
        <v>adoge</v>
      </c>
      <c r="C681" s="3" t="str">
        <f>IFERROR(__xludf.DUMMYFUNCTION("""COMPUTED_VALUE"""),"AmazingDoge")</f>
        <v>AmazingDoge</v>
      </c>
    </row>
    <row r="682">
      <c r="A682" s="3" t="str">
        <f>IFERROR(__xludf.DUMMYFUNCTION("""COMPUTED_VALUE"""),"amazingteamdao")</f>
        <v>amazingteamdao</v>
      </c>
      <c r="B682" s="3" t="str">
        <f>IFERROR(__xludf.DUMMYFUNCTION("""COMPUTED_VALUE"""),"amazingteam")</f>
        <v>amazingteam</v>
      </c>
      <c r="C682" s="3" t="str">
        <f>IFERROR(__xludf.DUMMYFUNCTION("""COMPUTED_VALUE"""),"AmazingTeamDAO")</f>
        <v>AmazingTeamDAO</v>
      </c>
    </row>
    <row r="683">
      <c r="A683" s="3" t="str">
        <f>IFERROR(__xludf.DUMMYFUNCTION("""COMPUTED_VALUE"""),"amazonacoin")</f>
        <v>amazonacoin</v>
      </c>
      <c r="B683" s="3" t="str">
        <f>IFERROR(__xludf.DUMMYFUNCTION("""COMPUTED_VALUE"""),"amz")</f>
        <v>amz</v>
      </c>
      <c r="C683" s="3" t="str">
        <f>IFERROR(__xludf.DUMMYFUNCTION("""COMPUTED_VALUE"""),"AmazonasCoin")</f>
        <v>AmazonasCoin</v>
      </c>
    </row>
    <row r="684">
      <c r="A684" s="3" t="str">
        <f>IFERROR(__xludf.DUMMYFUNCTION("""COMPUTED_VALUE"""),"amazon-tokenized-stock-defichain")</f>
        <v>amazon-tokenized-stock-defichain</v>
      </c>
      <c r="B684" s="3" t="str">
        <f>IFERROR(__xludf.DUMMYFUNCTION("""COMPUTED_VALUE"""),"damzn")</f>
        <v>damzn</v>
      </c>
      <c r="C684" s="3" t="str">
        <f>IFERROR(__xludf.DUMMYFUNCTION("""COMPUTED_VALUE"""),"Amazon Tokenized Stock Defichain")</f>
        <v>Amazon Tokenized Stock Defichain</v>
      </c>
    </row>
    <row r="685">
      <c r="A685" s="3" t="str">
        <f>IFERROR(__xludf.DUMMYFUNCTION("""COMPUTED_VALUE"""),"amazon-tokenized-stock-zipmex")</f>
        <v>amazon-tokenized-stock-zipmex</v>
      </c>
      <c r="B685" s="3" t="str">
        <f>IFERROR(__xludf.DUMMYFUNCTION("""COMPUTED_VALUE"""),"amzn")</f>
        <v>amzn</v>
      </c>
      <c r="C685" s="3" t="str">
        <f>IFERROR(__xludf.DUMMYFUNCTION("""COMPUTED_VALUE"""),"Amazon Tokenized Stock Zipmex")</f>
        <v>Amazon Tokenized Stock Zipmex</v>
      </c>
    </row>
    <row r="686">
      <c r="A686" s="3" t="str">
        <f>IFERROR(__xludf.DUMMYFUNCTION("""COMPUTED_VALUE"""),"amazy")</f>
        <v>amazy</v>
      </c>
      <c r="B686" s="3" t="str">
        <f>IFERROR(__xludf.DUMMYFUNCTION("""COMPUTED_VALUE"""),"azy")</f>
        <v>azy</v>
      </c>
      <c r="C686" s="3" t="str">
        <f>IFERROR(__xludf.DUMMYFUNCTION("""COMPUTED_VALUE"""),"Amazy")</f>
        <v>Amazy</v>
      </c>
    </row>
    <row r="687">
      <c r="A687" s="3" t="str">
        <f>IFERROR(__xludf.DUMMYFUNCTION("""COMPUTED_VALUE"""),"amazy-move-token")</f>
        <v>amazy-move-token</v>
      </c>
      <c r="B687" s="3" t="str">
        <f>IFERROR(__xludf.DUMMYFUNCTION("""COMPUTED_VALUE"""),"amt")</f>
        <v>amt</v>
      </c>
      <c r="C687" s="3" t="str">
        <f>IFERROR(__xludf.DUMMYFUNCTION("""COMPUTED_VALUE"""),"Amazy Move Token")</f>
        <v>Amazy Move Token</v>
      </c>
    </row>
    <row r="688">
      <c r="A688" s="3" t="str">
        <f>IFERROR(__xludf.DUMMYFUNCTION("""COMPUTED_VALUE"""),"amber")</f>
        <v>amber</v>
      </c>
      <c r="B688" s="3" t="str">
        <f>IFERROR(__xludf.DUMMYFUNCTION("""COMPUTED_VALUE"""),"amb")</f>
        <v>amb</v>
      </c>
      <c r="C688" s="3" t="str">
        <f>IFERROR(__xludf.DUMMYFUNCTION("""COMPUTED_VALUE"""),"AirDAO")</f>
        <v>AirDAO</v>
      </c>
    </row>
    <row r="689">
      <c r="A689" s="3" t="str">
        <f>IFERROR(__xludf.DUMMYFUNCTION("""COMPUTED_VALUE"""),"ambire-wallet")</f>
        <v>ambire-wallet</v>
      </c>
      <c r="B689" s="3" t="str">
        <f>IFERROR(__xludf.DUMMYFUNCTION("""COMPUTED_VALUE"""),"wallet")</f>
        <v>wallet</v>
      </c>
      <c r="C689" s="3" t="str">
        <f>IFERROR(__xludf.DUMMYFUNCTION("""COMPUTED_VALUE"""),"Ambire Wallet")</f>
        <v>Ambire Wallet</v>
      </c>
    </row>
    <row r="690">
      <c r="A690" s="3" t="str">
        <f>IFERROR(__xludf.DUMMYFUNCTION("""COMPUTED_VALUE"""),"amc-entertainment-preferred-tokenized-stock-on-ftx")</f>
        <v>amc-entertainment-preferred-tokenized-stock-on-ftx</v>
      </c>
      <c r="B690" s="3" t="str">
        <f>IFERROR(__xludf.DUMMYFUNCTION("""COMPUTED_VALUE"""),"apeamc")</f>
        <v>apeamc</v>
      </c>
      <c r="C690" s="3" t="str">
        <f>IFERROR(__xludf.DUMMYFUNCTION("""COMPUTED_VALUE"""),"AMC Entertainment Preferred Tokenized Stock on FTX")</f>
        <v>AMC Entertainment Preferred Tokenized Stock on FTX</v>
      </c>
    </row>
    <row r="691">
      <c r="A691" s="3" t="str">
        <f>IFERROR(__xludf.DUMMYFUNCTION("""COMPUTED_VALUE"""),"amc-fight-night")</f>
        <v>amc-fight-night</v>
      </c>
      <c r="B691" s="3" t="str">
        <f>IFERROR(__xludf.DUMMYFUNCTION("""COMPUTED_VALUE"""),"amc")</f>
        <v>amc</v>
      </c>
      <c r="C691" s="3" t="str">
        <f>IFERROR(__xludf.DUMMYFUNCTION("""COMPUTED_VALUE"""),"AMC Fight Night")</f>
        <v>AMC Fight Night</v>
      </c>
    </row>
    <row r="692">
      <c r="A692" s="3" t="str">
        <f>IFERROR(__xludf.DUMMYFUNCTION("""COMPUTED_VALUE"""),"amdg-token")</f>
        <v>amdg-token</v>
      </c>
      <c r="B692" s="3" t="str">
        <f>IFERROR(__xludf.DUMMYFUNCTION("""COMPUTED_VALUE"""),"amdg")</f>
        <v>amdg</v>
      </c>
      <c r="C692" s="3" t="str">
        <f>IFERROR(__xludf.DUMMYFUNCTION("""COMPUTED_VALUE"""),"AMDG")</f>
        <v>AMDG</v>
      </c>
    </row>
    <row r="693">
      <c r="A693" s="3" t="str">
        <f>IFERROR(__xludf.DUMMYFUNCTION("""COMPUTED_VALUE"""),"amepay")</f>
        <v>amepay</v>
      </c>
      <c r="B693" s="3" t="str">
        <f>IFERROR(__xludf.DUMMYFUNCTION("""COMPUTED_VALUE"""),"ame")</f>
        <v>ame</v>
      </c>
      <c r="C693" s="3" t="str">
        <f>IFERROR(__xludf.DUMMYFUNCTION("""COMPUTED_VALUE"""),"AME Chain")</f>
        <v>AME Chain</v>
      </c>
    </row>
    <row r="694">
      <c r="A694" s="3" t="str">
        <f>IFERROR(__xludf.DUMMYFUNCTION("""COMPUTED_VALUE"""),"american-shiba")</f>
        <v>american-shiba</v>
      </c>
      <c r="B694" s="3" t="str">
        <f>IFERROR(__xludf.DUMMYFUNCTION("""COMPUTED_VALUE"""),"ushiba")</f>
        <v>ushiba</v>
      </c>
      <c r="C694" s="3" t="str">
        <f>IFERROR(__xludf.DUMMYFUNCTION("""COMPUTED_VALUE"""),"American Shiba")</f>
        <v>American Shiba</v>
      </c>
    </row>
    <row r="695">
      <c r="A695" s="3" t="str">
        <f>IFERROR(__xludf.DUMMYFUNCTION("""COMPUTED_VALUE"""),"ameta")</f>
        <v>ameta</v>
      </c>
      <c r="B695" s="3" t="str">
        <f>IFERROR(__xludf.DUMMYFUNCTION("""COMPUTED_VALUE"""),"$aplus")</f>
        <v>$aplus</v>
      </c>
      <c r="C695" s="3" t="str">
        <f>IFERROR(__xludf.DUMMYFUNCTION("""COMPUTED_VALUE"""),"AMETA")</f>
        <v>AMETA</v>
      </c>
    </row>
    <row r="696">
      <c r="A696" s="3" t="str">
        <f>IFERROR(__xludf.DUMMYFUNCTION("""COMPUTED_VALUE"""),"amgen")</f>
        <v>amgen</v>
      </c>
      <c r="B696" s="3" t="str">
        <f>IFERROR(__xludf.DUMMYFUNCTION("""COMPUTED_VALUE"""),"amg")</f>
        <v>amg</v>
      </c>
      <c r="C696" s="3" t="str">
        <f>IFERROR(__xludf.DUMMYFUNCTION("""COMPUTED_VALUE"""),"Amgen")</f>
        <v>Amgen</v>
      </c>
    </row>
    <row r="697">
      <c r="A697" s="3" t="str">
        <f>IFERROR(__xludf.DUMMYFUNCTION("""COMPUTED_VALUE"""),"amis")</f>
        <v>amis</v>
      </c>
      <c r="B697" s="3" t="str">
        <f>IFERROR(__xludf.DUMMYFUNCTION("""COMPUTED_VALUE"""),"amis")</f>
        <v>amis</v>
      </c>
      <c r="C697" s="3" t="str">
        <f>IFERROR(__xludf.DUMMYFUNCTION("""COMPUTED_VALUE"""),"AMIS")</f>
        <v>AMIS</v>
      </c>
    </row>
    <row r="698">
      <c r="A698" s="3" t="str">
        <f>IFERROR(__xludf.DUMMYFUNCTION("""COMPUTED_VALUE"""),"amlp")</f>
        <v>amlp</v>
      </c>
      <c r="B698" s="3" t="str">
        <f>IFERROR(__xludf.DUMMYFUNCTION("""COMPUTED_VALUE"""),"amlp")</f>
        <v>amlp</v>
      </c>
      <c r="C698" s="3" t="str">
        <f>IFERROR(__xludf.DUMMYFUNCTION("""COMPUTED_VALUE"""),"aMLP")</f>
        <v>aMLP</v>
      </c>
    </row>
    <row r="699">
      <c r="A699" s="3" t="str">
        <f>IFERROR(__xludf.DUMMYFUNCTION("""COMPUTED_VALUE"""),"ammf")</f>
        <v>ammf</v>
      </c>
      <c r="B699" s="3" t="str">
        <f>IFERROR(__xludf.DUMMYFUNCTION("""COMPUTED_VALUE"""),"ammf")</f>
        <v>ammf</v>
      </c>
      <c r="C699" s="3" t="str">
        <f>IFERROR(__xludf.DUMMYFUNCTION("""COMPUTED_VALUE"""),"aMMF")</f>
        <v>aMMF</v>
      </c>
    </row>
    <row r="700">
      <c r="A700" s="3" t="str">
        <f>IFERROR(__xludf.DUMMYFUNCTION("""COMPUTED_VALUE"""),"ammyi-coin")</f>
        <v>ammyi-coin</v>
      </c>
      <c r="B700" s="3" t="str">
        <f>IFERROR(__xludf.DUMMYFUNCTION("""COMPUTED_VALUE"""),"ami")</f>
        <v>ami</v>
      </c>
      <c r="C700" s="3" t="str">
        <f>IFERROR(__xludf.DUMMYFUNCTION("""COMPUTED_VALUE"""),"AMMYI Coin")</f>
        <v>AMMYI Coin</v>
      </c>
    </row>
    <row r="701">
      <c r="A701" s="3" t="str">
        <f>IFERROR(__xludf.DUMMYFUNCTION("""COMPUTED_VALUE"""),"amnext")</f>
        <v>amnext</v>
      </c>
      <c r="B701" s="3" t="str">
        <f>IFERROR(__xludf.DUMMYFUNCTION("""COMPUTED_VALUE"""),"amc")</f>
        <v>amc</v>
      </c>
      <c r="C701" s="3" t="str">
        <f>IFERROR(__xludf.DUMMYFUNCTION("""COMPUTED_VALUE"""),"Amnext")</f>
        <v>Amnext</v>
      </c>
    </row>
    <row r="702">
      <c r="A702" s="3" t="str">
        <f>IFERROR(__xludf.DUMMYFUNCTION("""COMPUTED_VALUE"""),"amo")</f>
        <v>amo</v>
      </c>
      <c r="B702" s="3" t="str">
        <f>IFERROR(__xludf.DUMMYFUNCTION("""COMPUTED_VALUE"""),"amo")</f>
        <v>amo</v>
      </c>
      <c r="C702" s="3" t="str">
        <f>IFERROR(__xludf.DUMMYFUNCTION("""COMPUTED_VALUE"""),"AMO Coin")</f>
        <v>AMO Coin</v>
      </c>
    </row>
    <row r="703">
      <c r="A703" s="3" t="str">
        <f>IFERROR(__xludf.DUMMYFUNCTION("""COMPUTED_VALUE"""),"amon")</f>
        <v>amon</v>
      </c>
      <c r="B703" s="3" t="str">
        <f>IFERROR(__xludf.DUMMYFUNCTION("""COMPUTED_VALUE"""),"amn")</f>
        <v>amn</v>
      </c>
      <c r="C703" s="3" t="str">
        <f>IFERROR(__xludf.DUMMYFUNCTION("""COMPUTED_VALUE"""),"Amon")</f>
        <v>Amon</v>
      </c>
    </row>
    <row r="704">
      <c r="A704" s="3" t="str">
        <f>IFERROR(__xludf.DUMMYFUNCTION("""COMPUTED_VALUE"""),"amond")</f>
        <v>amond</v>
      </c>
      <c r="B704" s="3" t="str">
        <f>IFERROR(__xludf.DUMMYFUNCTION("""COMPUTED_VALUE"""),"amon")</f>
        <v>amon</v>
      </c>
      <c r="C704" s="3" t="str">
        <f>IFERROR(__xludf.DUMMYFUNCTION("""COMPUTED_VALUE"""),"AmonD")</f>
        <v>AmonD</v>
      </c>
    </row>
    <row r="705">
      <c r="A705" s="3" t="str">
        <f>IFERROR(__xludf.DUMMYFUNCTION("""COMPUTED_VALUE"""),"amoveo")</f>
        <v>amoveo</v>
      </c>
      <c r="B705" s="3" t="str">
        <f>IFERROR(__xludf.DUMMYFUNCTION("""COMPUTED_VALUE"""),"veo")</f>
        <v>veo</v>
      </c>
      <c r="C705" s="3" t="str">
        <f>IFERROR(__xludf.DUMMYFUNCTION("""COMPUTED_VALUE"""),"Amoveo")</f>
        <v>Amoveo</v>
      </c>
    </row>
    <row r="706">
      <c r="A706" s="3" t="str">
        <f>IFERROR(__xludf.DUMMYFUNCTION("""COMPUTED_VALUE"""),"ampleforth")</f>
        <v>ampleforth</v>
      </c>
      <c r="B706" s="3" t="str">
        <f>IFERROR(__xludf.DUMMYFUNCTION("""COMPUTED_VALUE"""),"ampl")</f>
        <v>ampl</v>
      </c>
      <c r="C706" s="3" t="str">
        <f>IFERROR(__xludf.DUMMYFUNCTION("""COMPUTED_VALUE"""),"Ampleforth")</f>
        <v>Ampleforth</v>
      </c>
    </row>
    <row r="707">
      <c r="A707" s="3" t="str">
        <f>IFERROR(__xludf.DUMMYFUNCTION("""COMPUTED_VALUE"""),"ampleforth-governance-token")</f>
        <v>ampleforth-governance-token</v>
      </c>
      <c r="B707" s="3" t="str">
        <f>IFERROR(__xludf.DUMMYFUNCTION("""COMPUTED_VALUE"""),"forth")</f>
        <v>forth</v>
      </c>
      <c r="C707" s="3" t="str">
        <f>IFERROR(__xludf.DUMMYFUNCTION("""COMPUTED_VALUE"""),"Ampleforth Governance")</f>
        <v>Ampleforth Governance</v>
      </c>
    </row>
    <row r="708">
      <c r="A708" s="3" t="str">
        <f>IFERROR(__xludf.DUMMYFUNCTION("""COMPUTED_VALUE"""),"ampleswap")</f>
        <v>ampleswap</v>
      </c>
      <c r="B708" s="3" t="str">
        <f>IFERROR(__xludf.DUMMYFUNCTION("""COMPUTED_VALUE"""),"ample")</f>
        <v>ample</v>
      </c>
      <c r="C708" s="3" t="str">
        <f>IFERROR(__xludf.DUMMYFUNCTION("""COMPUTED_VALUE"""),"AmpleSwap")</f>
        <v>AmpleSwap</v>
      </c>
    </row>
    <row r="709">
      <c r="A709" s="3" t="str">
        <f>IFERROR(__xludf.DUMMYFUNCTION("""COMPUTED_VALUE"""),"amplifi")</f>
        <v>amplifi</v>
      </c>
      <c r="B709" s="3" t="str">
        <f>IFERROR(__xludf.DUMMYFUNCTION("""COMPUTED_VALUE"""),"amplifi")</f>
        <v>amplifi</v>
      </c>
      <c r="C709" s="3" t="str">
        <f>IFERROR(__xludf.DUMMYFUNCTION("""COMPUTED_VALUE"""),"AmpliFi")</f>
        <v>AmpliFi</v>
      </c>
    </row>
    <row r="710">
      <c r="A710" s="3" t="str">
        <f>IFERROR(__xludf.DUMMYFUNCTION("""COMPUTED_VALUE"""),"amplify")</f>
        <v>amplify</v>
      </c>
      <c r="B710" s="3" t="str">
        <f>IFERROR(__xludf.DUMMYFUNCTION("""COMPUTED_VALUE"""),"ampt")</f>
        <v>ampt</v>
      </c>
      <c r="C710" s="3" t="str">
        <f>IFERROR(__xludf.DUMMYFUNCTION("""COMPUTED_VALUE"""),"Amplify")</f>
        <v>Amplify</v>
      </c>
    </row>
    <row r="711">
      <c r="A711" s="3" t="str">
        <f>IFERROR(__xludf.DUMMYFUNCTION("""COMPUTED_VALUE"""),"amplitude")</f>
        <v>amplitude</v>
      </c>
      <c r="B711" s="3" t="str">
        <f>IFERROR(__xludf.DUMMYFUNCTION("""COMPUTED_VALUE"""),"ampe")</f>
        <v>ampe</v>
      </c>
      <c r="C711" s="3" t="str">
        <f>IFERROR(__xludf.DUMMYFUNCTION("""COMPUTED_VALUE"""),"Amplitude")</f>
        <v>Amplitude</v>
      </c>
    </row>
    <row r="712">
      <c r="A712" s="3" t="str">
        <f>IFERROR(__xludf.DUMMYFUNCTION("""COMPUTED_VALUE"""),"ampnet")</f>
        <v>ampnet</v>
      </c>
      <c r="B712" s="3" t="str">
        <f>IFERROR(__xludf.DUMMYFUNCTION("""COMPUTED_VALUE"""),"aapx")</f>
        <v>aapx</v>
      </c>
      <c r="C712" s="3" t="str">
        <f>IFERROR(__xludf.DUMMYFUNCTION("""COMPUTED_VALUE"""),"AMPnet")</f>
        <v>AMPnet</v>
      </c>
    </row>
    <row r="713">
      <c r="A713" s="3" t="str">
        <f>IFERROR(__xludf.DUMMYFUNCTION("""COMPUTED_VALUE"""),"amp-token")</f>
        <v>amp-token</v>
      </c>
      <c r="B713" s="3" t="str">
        <f>IFERROR(__xludf.DUMMYFUNCTION("""COMPUTED_VALUE"""),"amp")</f>
        <v>amp</v>
      </c>
      <c r="C713" s="3" t="str">
        <f>IFERROR(__xludf.DUMMYFUNCTION("""COMPUTED_VALUE"""),"Amp")</f>
        <v>Amp</v>
      </c>
    </row>
    <row r="714">
      <c r="A714" s="3" t="str">
        <f>IFERROR(__xludf.DUMMYFUNCTION("""COMPUTED_VALUE"""),"amulet-staked-sol")</f>
        <v>amulet-staked-sol</v>
      </c>
      <c r="B714" s="3" t="str">
        <f>IFERROR(__xludf.DUMMYFUNCTION("""COMPUTED_VALUE"""),"amtsol")</f>
        <v>amtsol</v>
      </c>
      <c r="C714" s="3" t="str">
        <f>IFERROR(__xludf.DUMMYFUNCTION("""COMPUTED_VALUE"""),"Amulet Staked SOL")</f>
        <v>Amulet Staked SOL</v>
      </c>
    </row>
    <row r="715">
      <c r="A715" s="3" t="str">
        <f>IFERROR(__xludf.DUMMYFUNCTION("""COMPUTED_VALUE"""),"amun-defi-index")</f>
        <v>amun-defi-index</v>
      </c>
      <c r="B715" s="3" t="str">
        <f>IFERROR(__xludf.DUMMYFUNCTION("""COMPUTED_VALUE"""),"dfi")</f>
        <v>dfi</v>
      </c>
      <c r="C715" s="3" t="str">
        <f>IFERROR(__xludf.DUMMYFUNCTION("""COMPUTED_VALUE"""),"Amun DeFi Index")</f>
        <v>Amun DeFi Index</v>
      </c>
    </row>
    <row r="716">
      <c r="A716" s="3" t="str">
        <f>IFERROR(__xludf.DUMMYFUNCTION("""COMPUTED_VALUE"""),"amz-coin")</f>
        <v>amz-coin</v>
      </c>
      <c r="B716" s="3" t="str">
        <f>IFERROR(__xludf.DUMMYFUNCTION("""COMPUTED_VALUE"""),"amz")</f>
        <v>amz</v>
      </c>
      <c r="C716" s="3" t="str">
        <f>IFERROR(__xludf.DUMMYFUNCTION("""COMPUTED_VALUE"""),"AMZ Coin")</f>
        <v>AMZ Coin</v>
      </c>
    </row>
    <row r="717">
      <c r="A717" s="3" t="str">
        <f>IFERROR(__xludf.DUMMYFUNCTION("""COMPUTED_VALUE"""),"anarchy")</f>
        <v>anarchy</v>
      </c>
      <c r="B717" s="3" t="str">
        <f>IFERROR(__xludf.DUMMYFUNCTION("""COMPUTED_VALUE"""),"anarchy")</f>
        <v>anarchy</v>
      </c>
      <c r="C717" s="3" t="str">
        <f>IFERROR(__xludf.DUMMYFUNCTION("""COMPUTED_VALUE"""),"Anarchy")</f>
        <v>Anarchy</v>
      </c>
    </row>
    <row r="718">
      <c r="A718" s="3" t="str">
        <f>IFERROR(__xludf.DUMMYFUNCTION("""COMPUTED_VALUE"""),"a-nation")</f>
        <v>a-nation</v>
      </c>
      <c r="B718" s="3" t="str">
        <f>IFERROR(__xludf.DUMMYFUNCTION("""COMPUTED_VALUE"""),"anation")</f>
        <v>anation</v>
      </c>
      <c r="C718" s="3" t="str">
        <f>IFERROR(__xludf.DUMMYFUNCTION("""COMPUTED_VALUE"""),"A-Nation")</f>
        <v>A-Nation</v>
      </c>
    </row>
    <row r="719">
      <c r="A719" s="3" t="str">
        <f>IFERROR(__xludf.DUMMYFUNCTION("""COMPUTED_VALUE"""),"anchor-beth-token")</f>
        <v>anchor-beth-token</v>
      </c>
      <c r="B719" s="3" t="str">
        <f>IFERROR(__xludf.DUMMYFUNCTION("""COMPUTED_VALUE"""),"beth")</f>
        <v>beth</v>
      </c>
      <c r="C719" s="3" t="str">
        <f>IFERROR(__xludf.DUMMYFUNCTION("""COMPUTED_VALUE"""),"Anchor bETH Token")</f>
        <v>Anchor bETH Token</v>
      </c>
    </row>
    <row r="720">
      <c r="A720" s="3" t="str">
        <f>IFERROR(__xludf.DUMMYFUNCTION("""COMPUTED_VALUE"""),"anchor-neural-world-token")</f>
        <v>anchor-neural-world-token</v>
      </c>
      <c r="B720" s="3" t="str">
        <f>IFERROR(__xludf.DUMMYFUNCTION("""COMPUTED_VALUE"""),"anw")</f>
        <v>anw</v>
      </c>
      <c r="C720" s="3" t="str">
        <f>IFERROR(__xludf.DUMMYFUNCTION("""COMPUTED_VALUE"""),"Anchor Neural World")</f>
        <v>Anchor Neural World</v>
      </c>
    </row>
    <row r="721">
      <c r="A721" s="3" t="str">
        <f>IFERROR(__xludf.DUMMYFUNCTION("""COMPUTED_VALUE"""),"anchor-protocol")</f>
        <v>anchor-protocol</v>
      </c>
      <c r="B721" s="3" t="str">
        <f>IFERROR(__xludf.DUMMYFUNCTION("""COMPUTED_VALUE"""),"anc")</f>
        <v>anc</v>
      </c>
      <c r="C721" s="3" t="str">
        <f>IFERROR(__xludf.DUMMYFUNCTION("""COMPUTED_VALUE"""),"Anchor Protocol")</f>
        <v>Anchor Protocol</v>
      </c>
    </row>
    <row r="722">
      <c r="A722" s="3" t="str">
        <f>IFERROR(__xludf.DUMMYFUNCTION("""COMPUTED_VALUE"""),"anchorswap")</f>
        <v>anchorswap</v>
      </c>
      <c r="B722" s="3" t="str">
        <f>IFERROR(__xludf.DUMMYFUNCTION("""COMPUTED_VALUE"""),"anchor")</f>
        <v>anchor</v>
      </c>
      <c r="C722" s="3" t="str">
        <f>IFERROR(__xludf.DUMMYFUNCTION("""COMPUTED_VALUE"""),"AnchorSwap")</f>
        <v>AnchorSwap</v>
      </c>
    </row>
    <row r="723">
      <c r="A723" s="3" t="str">
        <f>IFERROR(__xludf.DUMMYFUNCTION("""COMPUTED_VALUE"""),"anchorust")</f>
        <v>anchorust</v>
      </c>
      <c r="B723" s="3" t="str">
        <f>IFERROR(__xludf.DUMMYFUNCTION("""COMPUTED_VALUE"""),"aust")</f>
        <v>aust</v>
      </c>
      <c r="C723" s="3" t="str">
        <f>IFERROR(__xludf.DUMMYFUNCTION("""COMPUTED_VALUE"""),"AnchorUST")</f>
        <v>AnchorUST</v>
      </c>
    </row>
    <row r="724">
      <c r="A724" s="3" t="str">
        <f>IFERROR(__xludf.DUMMYFUNCTION("""COMPUTED_VALUE"""),"ancient-kingdom")</f>
        <v>ancient-kingdom</v>
      </c>
      <c r="B724" s="3" t="str">
        <f>IFERROR(__xludf.DUMMYFUNCTION("""COMPUTED_VALUE"""),"dom")</f>
        <v>dom</v>
      </c>
      <c r="C724" s="3" t="str">
        <f>IFERROR(__xludf.DUMMYFUNCTION("""COMPUTED_VALUE"""),"Ancient Kingdom")</f>
        <v>Ancient Kingdom</v>
      </c>
    </row>
    <row r="725">
      <c r="A725" s="3" t="str">
        <f>IFERROR(__xludf.DUMMYFUNCTION("""COMPUTED_VALUE"""),"ancient-raid")</f>
        <v>ancient-raid</v>
      </c>
      <c r="B725" s="3" t="str">
        <f>IFERROR(__xludf.DUMMYFUNCTION("""COMPUTED_VALUE"""),"raid")</f>
        <v>raid</v>
      </c>
      <c r="C725" s="3" t="str">
        <f>IFERROR(__xludf.DUMMYFUNCTION("""COMPUTED_VALUE"""),"Ancient Raid")</f>
        <v>Ancient Raid</v>
      </c>
    </row>
    <row r="726">
      <c r="A726" s="3" t="str">
        <f>IFERROR(__xludf.DUMMYFUNCTION("""COMPUTED_VALUE"""),"andronodes")</f>
        <v>andronodes</v>
      </c>
      <c r="B726" s="3" t="str">
        <f>IFERROR(__xludf.DUMMYFUNCTION("""COMPUTED_VALUE"""),"andro")</f>
        <v>andro</v>
      </c>
      <c r="C726" s="3" t="str">
        <f>IFERROR(__xludf.DUMMYFUNCTION("""COMPUTED_VALUE"""),"AndroNodes")</f>
        <v>AndroNodes</v>
      </c>
    </row>
    <row r="727">
      <c r="A727" s="3" t="str">
        <f>IFERROR(__xludf.DUMMYFUNCTION("""COMPUTED_VALUE"""),"anduschain")</f>
        <v>anduschain</v>
      </c>
      <c r="B727" s="3" t="str">
        <f>IFERROR(__xludf.DUMMYFUNCTION("""COMPUTED_VALUE"""),"deb")</f>
        <v>deb</v>
      </c>
      <c r="C727" s="3" t="str">
        <f>IFERROR(__xludf.DUMMYFUNCTION("""COMPUTED_VALUE"""),"Anduschain")</f>
        <v>Anduschain</v>
      </c>
    </row>
    <row r="728">
      <c r="A728" s="3" t="str">
        <f>IFERROR(__xludf.DUMMYFUNCTION("""COMPUTED_VALUE"""),"angel-dust")</f>
        <v>angel-dust</v>
      </c>
      <c r="B728" s="3" t="str">
        <f>IFERROR(__xludf.DUMMYFUNCTION("""COMPUTED_VALUE"""),"ad")</f>
        <v>ad</v>
      </c>
      <c r="C728" s="3" t="str">
        <f>IFERROR(__xludf.DUMMYFUNCTION("""COMPUTED_VALUE"""),"Angel Dust")</f>
        <v>Angel Dust</v>
      </c>
    </row>
    <row r="729">
      <c r="A729" s="3" t="str">
        <f>IFERROR(__xludf.DUMMYFUNCTION("""COMPUTED_VALUE"""),"angel-inu")</f>
        <v>angel-inu</v>
      </c>
      <c r="B729" s="3" t="str">
        <f>IFERROR(__xludf.DUMMYFUNCTION("""COMPUTED_VALUE"""),"angel")</f>
        <v>angel</v>
      </c>
      <c r="C729" s="3" t="str">
        <f>IFERROR(__xludf.DUMMYFUNCTION("""COMPUTED_VALUE"""),"Angel Inu")</f>
        <v>Angel Inu</v>
      </c>
    </row>
    <row r="730">
      <c r="A730" s="3" t="str">
        <f>IFERROR(__xludf.DUMMYFUNCTION("""COMPUTED_VALUE"""),"angel-nodes")</f>
        <v>angel-nodes</v>
      </c>
      <c r="B730" s="3" t="str">
        <f>IFERROR(__xludf.DUMMYFUNCTION("""COMPUTED_VALUE"""),"angel")</f>
        <v>angel</v>
      </c>
      <c r="C730" s="3" t="str">
        <f>IFERROR(__xludf.DUMMYFUNCTION("""COMPUTED_VALUE"""),"Angel Nodes")</f>
        <v>Angel Nodes</v>
      </c>
    </row>
    <row r="731">
      <c r="A731" s="3" t="str">
        <f>IFERROR(__xludf.DUMMYFUNCTION("""COMPUTED_VALUE"""),"angelscreed")</f>
        <v>angelscreed</v>
      </c>
      <c r="B731" s="3" t="str">
        <f>IFERROR(__xludf.DUMMYFUNCTION("""COMPUTED_VALUE"""),"angel")</f>
        <v>angel</v>
      </c>
      <c r="C731" s="3" t="str">
        <f>IFERROR(__xludf.DUMMYFUNCTION("""COMPUTED_VALUE"""),"AngelsCreed")</f>
        <v>AngelsCreed</v>
      </c>
    </row>
    <row r="732">
      <c r="A732" s="3" t="str">
        <f>IFERROR(__xludf.DUMMYFUNCTION("""COMPUTED_VALUE"""),"angle-protocol")</f>
        <v>angle-protocol</v>
      </c>
      <c r="B732" s="3" t="str">
        <f>IFERROR(__xludf.DUMMYFUNCTION("""COMPUTED_VALUE"""),"angle")</f>
        <v>angle</v>
      </c>
      <c r="C732" s="3" t="str">
        <f>IFERROR(__xludf.DUMMYFUNCTION("""COMPUTED_VALUE"""),"ANGLE")</f>
        <v>ANGLE</v>
      </c>
    </row>
    <row r="733">
      <c r="A733" s="3" t="str">
        <f>IFERROR(__xludf.DUMMYFUNCTION("""COMPUTED_VALUE"""),"angola")</f>
        <v>angola</v>
      </c>
      <c r="B733" s="3" t="str">
        <f>IFERROR(__xludf.DUMMYFUNCTION("""COMPUTED_VALUE"""),"agla")</f>
        <v>agla</v>
      </c>
      <c r="C733" s="3" t="str">
        <f>IFERROR(__xludf.DUMMYFUNCTION("""COMPUTED_VALUE"""),"Angola")</f>
        <v>Angola</v>
      </c>
    </row>
    <row r="734">
      <c r="A734" s="3" t="str">
        <f>IFERROR(__xludf.DUMMYFUNCTION("""COMPUTED_VALUE"""),"angryb")</f>
        <v>angryb</v>
      </c>
      <c r="B734" s="3" t="str">
        <f>IFERROR(__xludf.DUMMYFUNCTION("""COMPUTED_VALUE"""),"anb")</f>
        <v>anb</v>
      </c>
      <c r="C734" s="3" t="str">
        <f>IFERROR(__xludf.DUMMYFUNCTION("""COMPUTED_VALUE"""),"Angryb")</f>
        <v>Angryb</v>
      </c>
    </row>
    <row r="735">
      <c r="A735" s="3" t="str">
        <f>IFERROR(__xludf.DUMMYFUNCTION("""COMPUTED_VALUE"""),"angry-doge")</f>
        <v>angry-doge</v>
      </c>
      <c r="B735" s="3" t="str">
        <f>IFERROR(__xludf.DUMMYFUNCTION("""COMPUTED_VALUE"""),"anfd")</f>
        <v>anfd</v>
      </c>
      <c r="C735" s="3" t="str">
        <f>IFERROR(__xludf.DUMMYFUNCTION("""COMPUTED_VALUE"""),"Angry Doge")</f>
        <v>Angry Doge</v>
      </c>
    </row>
    <row r="736">
      <c r="A736" s="3" t="str">
        <f>IFERROR(__xludf.DUMMYFUNCTION("""COMPUTED_VALUE"""),"anifi-world")</f>
        <v>anifi-world</v>
      </c>
      <c r="B736" s="3" t="str">
        <f>IFERROR(__xludf.DUMMYFUNCTION("""COMPUTED_VALUE"""),"anifi")</f>
        <v>anifi</v>
      </c>
      <c r="C736" s="3" t="str">
        <f>IFERROR(__xludf.DUMMYFUNCTION("""COMPUTED_VALUE"""),"AniFi World")</f>
        <v>AniFi World</v>
      </c>
    </row>
    <row r="737">
      <c r="A737" s="3" t="str">
        <f>IFERROR(__xludf.DUMMYFUNCTION("""COMPUTED_VALUE"""),"animal-concerts-token")</f>
        <v>animal-concerts-token</v>
      </c>
      <c r="B737" s="3" t="str">
        <f>IFERROR(__xludf.DUMMYFUNCTION("""COMPUTED_VALUE"""),"anml")</f>
        <v>anml</v>
      </c>
      <c r="C737" s="3" t="str">
        <f>IFERROR(__xludf.DUMMYFUNCTION("""COMPUTED_VALUE"""),"Animal Concerts")</f>
        <v>Animal Concerts</v>
      </c>
    </row>
    <row r="738">
      <c r="A738" s="3" t="str">
        <f>IFERROR(__xludf.DUMMYFUNCTION("""COMPUTED_VALUE"""),"animecoin")</f>
        <v>animecoin</v>
      </c>
      <c r="B738" s="3" t="str">
        <f>IFERROR(__xludf.DUMMYFUNCTION("""COMPUTED_VALUE"""),"ani")</f>
        <v>ani</v>
      </c>
      <c r="C738" s="3" t="str">
        <f>IFERROR(__xludf.DUMMYFUNCTION("""COMPUTED_VALUE"""),"Animecoin")</f>
        <v>Animecoin</v>
      </c>
    </row>
    <row r="739">
      <c r="A739" s="3" t="str">
        <f>IFERROR(__xludf.DUMMYFUNCTION("""COMPUTED_VALUE"""),"anime-token")</f>
        <v>anime-token</v>
      </c>
      <c r="B739" s="3" t="str">
        <f>IFERROR(__xludf.DUMMYFUNCTION("""COMPUTED_VALUE"""),"ani")</f>
        <v>ani</v>
      </c>
      <c r="C739" s="3" t="str">
        <f>IFERROR(__xludf.DUMMYFUNCTION("""COMPUTED_VALUE"""),"Anime")</f>
        <v>Anime</v>
      </c>
    </row>
    <row r="740">
      <c r="A740" s="3" t="str">
        <f>IFERROR(__xludf.DUMMYFUNCTION("""COMPUTED_VALUE"""),"animverse")</f>
        <v>animverse</v>
      </c>
      <c r="B740" s="3" t="str">
        <f>IFERROR(__xludf.DUMMYFUNCTION("""COMPUTED_VALUE"""),"anm")</f>
        <v>anm</v>
      </c>
      <c r="C740" s="3" t="str">
        <f>IFERROR(__xludf.DUMMYFUNCTION("""COMPUTED_VALUE"""),"Animverse")</f>
        <v>Animverse</v>
      </c>
    </row>
    <row r="741">
      <c r="A741" s="3" t="str">
        <f>IFERROR(__xludf.DUMMYFUNCTION("""COMPUTED_VALUE"""),"aniverse")</f>
        <v>aniverse</v>
      </c>
      <c r="B741" s="3" t="str">
        <f>IFERROR(__xludf.DUMMYFUNCTION("""COMPUTED_VALUE"""),"anv")</f>
        <v>anv</v>
      </c>
      <c r="C741" s="3" t="str">
        <f>IFERROR(__xludf.DUMMYFUNCTION("""COMPUTED_VALUE"""),"Aniverse")</f>
        <v>Aniverse</v>
      </c>
    </row>
    <row r="742">
      <c r="A742" s="3" t="str">
        <f>IFERROR(__xludf.DUMMYFUNCTION("""COMPUTED_VALUE"""),"anji")</f>
        <v>anji</v>
      </c>
      <c r="B742" s="3" t="str">
        <f>IFERROR(__xludf.DUMMYFUNCTION("""COMPUTED_VALUE"""),"anji")</f>
        <v>anji</v>
      </c>
      <c r="C742" s="3" t="str">
        <f>IFERROR(__xludf.DUMMYFUNCTION("""COMPUTED_VALUE"""),"Anji")</f>
        <v>Anji</v>
      </c>
    </row>
    <row r="743">
      <c r="A743" s="3" t="str">
        <f>IFERROR(__xludf.DUMMYFUNCTION("""COMPUTED_VALUE"""),"ankaragucu-fan-token")</f>
        <v>ankaragucu-fan-token</v>
      </c>
      <c r="B743" s="3" t="str">
        <f>IFERROR(__xludf.DUMMYFUNCTION("""COMPUTED_VALUE"""),"anka")</f>
        <v>anka</v>
      </c>
      <c r="C743" s="3" t="str">
        <f>IFERROR(__xludf.DUMMYFUNCTION("""COMPUTED_VALUE"""),"Ankaragücü Fan Token")</f>
        <v>Ankaragücü Fan Token</v>
      </c>
    </row>
    <row r="744">
      <c r="A744" s="3" t="str">
        <f>IFERROR(__xludf.DUMMYFUNCTION("""COMPUTED_VALUE"""),"ankr")</f>
        <v>ankr</v>
      </c>
      <c r="B744" s="3" t="str">
        <f>IFERROR(__xludf.DUMMYFUNCTION("""COMPUTED_VALUE"""),"ankr")</f>
        <v>ankr</v>
      </c>
      <c r="C744" s="3" t="str">
        <f>IFERROR(__xludf.DUMMYFUNCTION("""COMPUTED_VALUE"""),"Ankr")</f>
        <v>Ankr</v>
      </c>
    </row>
    <row r="745">
      <c r="A745" s="3" t="str">
        <f>IFERROR(__xludf.DUMMYFUNCTION("""COMPUTED_VALUE"""),"ankr-avalanche-reward-earning-bond")</f>
        <v>ankr-avalanche-reward-earning-bond</v>
      </c>
      <c r="B745" s="3" t="str">
        <f>IFERROR(__xludf.DUMMYFUNCTION("""COMPUTED_VALUE"""),"aavaxb")</f>
        <v>aavaxb</v>
      </c>
      <c r="C745" s="3" t="str">
        <f>IFERROR(__xludf.DUMMYFUNCTION("""COMPUTED_VALUE"""),"Ankr Avalanche Reward Earning Bond")</f>
        <v>Ankr Avalanche Reward Earning Bond</v>
      </c>
    </row>
    <row r="746">
      <c r="A746" s="3" t="str">
        <f>IFERROR(__xludf.DUMMYFUNCTION("""COMPUTED_VALUE"""),"ankreth")</f>
        <v>ankreth</v>
      </c>
      <c r="B746" s="3" t="str">
        <f>IFERROR(__xludf.DUMMYFUNCTION("""COMPUTED_VALUE"""),"aethc")</f>
        <v>aethc</v>
      </c>
      <c r="C746" s="3" t="str">
        <f>IFERROR(__xludf.DUMMYFUNCTION("""COMPUTED_VALUE"""),"Ankr Reward-Bearing Staked ETH")</f>
        <v>Ankr Reward-Bearing Staked ETH</v>
      </c>
    </row>
    <row r="747">
      <c r="A747" s="3" t="str">
        <f>IFERROR(__xludf.DUMMYFUNCTION("""COMPUTED_VALUE"""),"ankr-matic-reward-earning-bond")</f>
        <v>ankr-matic-reward-earning-bond</v>
      </c>
      <c r="B747" s="3" t="str">
        <f>IFERROR(__xludf.DUMMYFUNCTION("""COMPUTED_VALUE"""),"amaticb")</f>
        <v>amaticb</v>
      </c>
      <c r="C747" s="3" t="str">
        <f>IFERROR(__xludf.DUMMYFUNCTION("""COMPUTED_VALUE"""),"Ankr MATIC Reward Earning Bond")</f>
        <v>Ankr MATIC Reward Earning Bond</v>
      </c>
    </row>
    <row r="748">
      <c r="A748" s="3" t="str">
        <f>IFERROR(__xludf.DUMMYFUNCTION("""COMPUTED_VALUE"""),"ankr-reward-bearing-avax")</f>
        <v>ankr-reward-bearing-avax</v>
      </c>
      <c r="B748" s="3" t="str">
        <f>IFERROR(__xludf.DUMMYFUNCTION("""COMPUTED_VALUE"""),"aavaxc")</f>
        <v>aavaxc</v>
      </c>
      <c r="C748" s="3" t="str">
        <f>IFERROR(__xludf.DUMMYFUNCTION("""COMPUTED_VALUE"""),"Ankr Reward Bearing AVAX")</f>
        <v>Ankr Reward Bearing AVAX</v>
      </c>
    </row>
    <row r="749">
      <c r="A749" s="3" t="str">
        <f>IFERROR(__xludf.DUMMYFUNCTION("""COMPUTED_VALUE"""),"ankr-reward-bearing-ftm")</f>
        <v>ankr-reward-bearing-ftm</v>
      </c>
      <c r="B749" s="3" t="str">
        <f>IFERROR(__xludf.DUMMYFUNCTION("""COMPUTED_VALUE"""),"aftmc")</f>
        <v>aftmc</v>
      </c>
      <c r="C749" s="3" t="str">
        <f>IFERROR(__xludf.DUMMYFUNCTION("""COMPUTED_VALUE"""),"Ankr Reward Bearing FTM")</f>
        <v>Ankr Reward Bearing FTM</v>
      </c>
    </row>
    <row r="750">
      <c r="A750" s="3" t="str">
        <f>IFERROR(__xludf.DUMMYFUNCTION("""COMPUTED_VALUE"""),"ankr-reward-bearing-stake")</f>
        <v>ankr-reward-bearing-stake</v>
      </c>
      <c r="B750" s="3" t="str">
        <f>IFERROR(__xludf.DUMMYFUNCTION("""COMPUTED_VALUE"""),"abnbc")</f>
        <v>abnbc</v>
      </c>
      <c r="C750" s="3" t="str">
        <f>IFERROR(__xludf.DUMMYFUNCTION("""COMPUTED_VALUE"""),"Ankr Reward Bearing Stake BNB")</f>
        <v>Ankr Reward Bearing Stake BNB</v>
      </c>
    </row>
    <row r="751">
      <c r="A751" s="3" t="str">
        <f>IFERROR(__xludf.DUMMYFUNCTION("""COMPUTED_VALUE"""),"ankr-reward-earning-bnb")</f>
        <v>ankr-reward-earning-bnb</v>
      </c>
      <c r="B751" s="3" t="str">
        <f>IFERROR(__xludf.DUMMYFUNCTION("""COMPUTED_VALUE"""),"abnbb")</f>
        <v>abnbb</v>
      </c>
      <c r="C751" s="3" t="str">
        <f>IFERROR(__xludf.DUMMYFUNCTION("""COMPUTED_VALUE"""),"ANKR Reward Earning BNB")</f>
        <v>ANKR Reward Earning BNB</v>
      </c>
    </row>
    <row r="752">
      <c r="A752" s="3" t="str">
        <f>IFERROR(__xludf.DUMMYFUNCTION("""COMPUTED_VALUE"""),"ankr-reward-earning-dot")</f>
        <v>ankr-reward-earning-dot</v>
      </c>
      <c r="B752" s="3" t="str">
        <f>IFERROR(__xludf.DUMMYFUNCTION("""COMPUTED_VALUE"""),"adotb")</f>
        <v>adotb</v>
      </c>
      <c r="C752" s="3" t="str">
        <f>IFERROR(__xludf.DUMMYFUNCTION("""COMPUTED_VALUE"""),"ANKR Reward Earning DOT")</f>
        <v>ANKR Reward Earning DOT</v>
      </c>
    </row>
    <row r="753">
      <c r="A753" s="3" t="str">
        <f>IFERROR(__xludf.DUMMYFUNCTION("""COMPUTED_VALUE"""),"ankr-reward-earning-ftm")</f>
        <v>ankr-reward-earning-ftm</v>
      </c>
      <c r="B753" s="3" t="str">
        <f>IFERROR(__xludf.DUMMYFUNCTION("""COMPUTED_VALUE"""),"aftmb")</f>
        <v>aftmb</v>
      </c>
      <c r="C753" s="3" t="str">
        <f>IFERROR(__xludf.DUMMYFUNCTION("""COMPUTED_VALUE"""),"ANKR Reward Earning FTM")</f>
        <v>ANKR Reward Earning FTM</v>
      </c>
    </row>
    <row r="754">
      <c r="A754" s="3" t="str">
        <f>IFERROR(__xludf.DUMMYFUNCTION("""COMPUTED_VALUE"""),"ankr-reward-earning-ksm")</f>
        <v>ankr-reward-earning-ksm</v>
      </c>
      <c r="B754" s="3" t="str">
        <f>IFERROR(__xludf.DUMMYFUNCTION("""COMPUTED_VALUE"""),"aksmb")</f>
        <v>aksmb</v>
      </c>
      <c r="C754" s="3" t="str">
        <f>IFERROR(__xludf.DUMMYFUNCTION("""COMPUTED_VALUE"""),"ANKR Reward Earning KSM")</f>
        <v>ANKR Reward Earning KSM</v>
      </c>
    </row>
    <row r="755">
      <c r="A755" s="3" t="str">
        <f>IFERROR(__xludf.DUMMYFUNCTION("""COMPUTED_VALUE"""),"ankr-reward-earning-matic")</f>
        <v>ankr-reward-earning-matic</v>
      </c>
      <c r="B755" s="3" t="str">
        <f>IFERROR(__xludf.DUMMYFUNCTION("""COMPUTED_VALUE"""),"amaticc")</f>
        <v>amaticc</v>
      </c>
      <c r="C755" s="3" t="str">
        <f>IFERROR(__xludf.DUMMYFUNCTION("""COMPUTED_VALUE"""),"Ankr Reward Earning MATIC")</f>
        <v>Ankr Reward Earning MATIC</v>
      </c>
    </row>
    <row r="756">
      <c r="A756" s="3" t="str">
        <f>IFERROR(__xludf.DUMMYFUNCTION("""COMPUTED_VALUE"""),"ankr-reward-earning-staked-eth")</f>
        <v>ankr-reward-earning-staked-eth</v>
      </c>
      <c r="B756" s="3" t="str">
        <f>IFERROR(__xludf.DUMMYFUNCTION("""COMPUTED_VALUE"""),"aethb")</f>
        <v>aethb</v>
      </c>
      <c r="C756" s="3" t="str">
        <f>IFERROR(__xludf.DUMMYFUNCTION("""COMPUTED_VALUE"""),"Ankr Reward-Earning Staked ETH")</f>
        <v>Ankr Reward-Earning Staked ETH</v>
      </c>
    </row>
    <row r="757">
      <c r="A757" s="3" t="str">
        <f>IFERROR(__xludf.DUMMYFUNCTION("""COMPUTED_VALUE"""),"annex")</f>
        <v>annex</v>
      </c>
      <c r="B757" s="3" t="str">
        <f>IFERROR(__xludf.DUMMYFUNCTION("""COMPUTED_VALUE"""),"ann")</f>
        <v>ann</v>
      </c>
      <c r="C757" s="3" t="str">
        <f>IFERROR(__xludf.DUMMYFUNCTION("""COMPUTED_VALUE"""),"Annex Finance")</f>
        <v>Annex Finance</v>
      </c>
    </row>
    <row r="758">
      <c r="A758" s="3" t="str">
        <f>IFERROR(__xludf.DUMMYFUNCTION("""COMPUTED_VALUE"""),"anomus-coin")</f>
        <v>anomus-coin</v>
      </c>
      <c r="B758" s="3" t="str">
        <f>IFERROR(__xludf.DUMMYFUNCTION("""COMPUTED_VALUE"""),"anom")</f>
        <v>anom</v>
      </c>
      <c r="C758" s="3" t="str">
        <f>IFERROR(__xludf.DUMMYFUNCTION("""COMPUTED_VALUE"""),"Anomus Coin")</f>
        <v>Anomus Coin</v>
      </c>
    </row>
    <row r="759">
      <c r="A759" s="3" t="str">
        <f>IFERROR(__xludf.DUMMYFUNCTION("""COMPUTED_VALUE"""),"anon")</f>
        <v>anon</v>
      </c>
      <c r="B759" s="3" t="str">
        <f>IFERROR(__xludf.DUMMYFUNCTION("""COMPUTED_VALUE"""),"anon")</f>
        <v>anon</v>
      </c>
      <c r="C759" s="3" t="str">
        <f>IFERROR(__xludf.DUMMYFUNCTION("""COMPUTED_VALUE"""),"ANON")</f>
        <v>ANON</v>
      </c>
    </row>
    <row r="760">
      <c r="A760" s="3" t="str">
        <f>IFERROR(__xludf.DUMMYFUNCTION("""COMPUTED_VALUE"""),"anonfloki")</f>
        <v>anonfloki</v>
      </c>
      <c r="B760" s="3" t="str">
        <f>IFERROR(__xludf.DUMMYFUNCTION("""COMPUTED_VALUE"""),"anonfloki")</f>
        <v>anonfloki</v>
      </c>
      <c r="C760" s="3" t="str">
        <f>IFERROR(__xludf.DUMMYFUNCTION("""COMPUTED_VALUE"""),"AnonFloki")</f>
        <v>AnonFloki</v>
      </c>
    </row>
    <row r="761">
      <c r="A761" s="3" t="str">
        <f>IFERROR(__xludf.DUMMYFUNCTION("""COMPUTED_VALUE"""),"anon-inu")</f>
        <v>anon-inu</v>
      </c>
      <c r="B761" s="3" t="str">
        <f>IFERROR(__xludf.DUMMYFUNCTION("""COMPUTED_VALUE"""),"ainu")</f>
        <v>ainu</v>
      </c>
      <c r="C761" s="3" t="str">
        <f>IFERROR(__xludf.DUMMYFUNCTION("""COMPUTED_VALUE"""),"Anon Inu")</f>
        <v>Anon Inu</v>
      </c>
    </row>
    <row r="762">
      <c r="A762" s="3" t="str">
        <f>IFERROR(__xludf.DUMMYFUNCTION("""COMPUTED_VALUE"""),"anonpay")</f>
        <v>anonpay</v>
      </c>
      <c r="B762" s="3" t="str">
        <f>IFERROR(__xludf.DUMMYFUNCTION("""COMPUTED_VALUE"""),"apay")</f>
        <v>apay</v>
      </c>
      <c r="C762" s="3" t="str">
        <f>IFERROR(__xludf.DUMMYFUNCTION("""COMPUTED_VALUE"""),"AnonPay")</f>
        <v>AnonPay</v>
      </c>
    </row>
    <row r="763">
      <c r="A763" s="3" t="str">
        <f>IFERROR(__xludf.DUMMYFUNCTION("""COMPUTED_VALUE"""),"anons-network")</f>
        <v>anons-network</v>
      </c>
      <c r="B763" s="3" t="str">
        <f>IFERROR(__xludf.DUMMYFUNCTION("""COMPUTED_VALUE"""),"anons")</f>
        <v>anons</v>
      </c>
      <c r="C763" s="3" t="str">
        <f>IFERROR(__xludf.DUMMYFUNCTION("""COMPUTED_VALUE"""),"Anons Network")</f>
        <v>Anons Network</v>
      </c>
    </row>
    <row r="764">
      <c r="A764" s="3" t="str">
        <f>IFERROR(__xludf.DUMMYFUNCTION("""COMPUTED_VALUE"""),"anonydoxx")</f>
        <v>anonydoxx</v>
      </c>
      <c r="B764" s="3" t="str">
        <f>IFERROR(__xludf.DUMMYFUNCTION("""COMPUTED_VALUE"""),"adxx")</f>
        <v>adxx</v>
      </c>
      <c r="C764" s="3" t="str">
        <f>IFERROR(__xludf.DUMMYFUNCTION("""COMPUTED_VALUE"""),"AnonyDoxx")</f>
        <v>AnonyDoxx</v>
      </c>
    </row>
    <row r="765">
      <c r="A765" s="3" t="str">
        <f>IFERROR(__xludf.DUMMYFUNCTION("""COMPUTED_VALUE"""),"anonymous-bsc")</f>
        <v>anonymous-bsc</v>
      </c>
      <c r="B765" s="3" t="str">
        <f>IFERROR(__xludf.DUMMYFUNCTION("""COMPUTED_VALUE"""),"anon")</f>
        <v>anon</v>
      </c>
      <c r="C765" s="3" t="str">
        <f>IFERROR(__xludf.DUMMYFUNCTION("""COMPUTED_VALUE"""),"Anonymous BSC")</f>
        <v>Anonymous BSC</v>
      </c>
    </row>
    <row r="766">
      <c r="A766" s="3" t="str">
        <f>IFERROR(__xludf.DUMMYFUNCTION("""COMPUTED_VALUE"""),"another-world")</f>
        <v>another-world</v>
      </c>
      <c r="B766" s="3" t="str">
        <f>IFERROR(__xludf.DUMMYFUNCTION("""COMPUTED_VALUE"""),"awm")</f>
        <v>awm</v>
      </c>
      <c r="C766" s="3" t="str">
        <f>IFERROR(__xludf.DUMMYFUNCTION("""COMPUTED_VALUE"""),"Another World")</f>
        <v>Another World</v>
      </c>
    </row>
    <row r="767">
      <c r="A767" s="3" t="str">
        <f>IFERROR(__xludf.DUMMYFUNCTION("""COMPUTED_VALUE"""),"anrkey-x")</f>
        <v>anrkey-x</v>
      </c>
      <c r="B767" s="3" t="str">
        <f>IFERROR(__xludf.DUMMYFUNCTION("""COMPUTED_VALUE"""),"$anrx")</f>
        <v>$anrx</v>
      </c>
      <c r="C767" s="3" t="str">
        <f>IFERROR(__xludf.DUMMYFUNCTION("""COMPUTED_VALUE"""),"AnRKey X")</f>
        <v>AnRKey X</v>
      </c>
    </row>
    <row r="768">
      <c r="A768" s="3" t="str">
        <f>IFERROR(__xludf.DUMMYFUNCTION("""COMPUTED_VALUE"""),"ans-crypto-coin")</f>
        <v>ans-crypto-coin</v>
      </c>
      <c r="B768" s="3" t="str">
        <f>IFERROR(__xludf.DUMMYFUNCTION("""COMPUTED_VALUE"""),"ans")</f>
        <v>ans</v>
      </c>
      <c r="C768" s="3" t="str">
        <f>IFERROR(__xludf.DUMMYFUNCTION("""COMPUTED_VALUE"""),"ANS Crypto Coin")</f>
        <v>ANS Crypto Coin</v>
      </c>
    </row>
    <row r="769">
      <c r="A769" s="3" t="str">
        <f>IFERROR(__xludf.DUMMYFUNCTION("""COMPUTED_VALUE"""),"answer-governance")</f>
        <v>answer-governance</v>
      </c>
      <c r="B769" s="3" t="str">
        <f>IFERROR(__xludf.DUMMYFUNCTION("""COMPUTED_VALUE"""),"agov")</f>
        <v>agov</v>
      </c>
      <c r="C769" s="3" t="str">
        <f>IFERROR(__xludf.DUMMYFUNCTION("""COMPUTED_VALUE"""),"Answer Governance")</f>
        <v>Answer Governance</v>
      </c>
    </row>
    <row r="770">
      <c r="A770" s="3" t="str">
        <f>IFERROR(__xludf.DUMMYFUNCTION("""COMPUTED_VALUE"""),"answerly")</f>
        <v>answerly</v>
      </c>
      <c r="B770" s="3" t="str">
        <f>IFERROR(__xludf.DUMMYFUNCTION("""COMPUTED_VALUE"""),"ansr")</f>
        <v>ansr</v>
      </c>
      <c r="C770" s="3" t="str">
        <f>IFERROR(__xludf.DUMMYFUNCTION("""COMPUTED_VALUE"""),"Answerly")</f>
        <v>Answerly</v>
      </c>
    </row>
    <row r="771">
      <c r="A771" s="3" t="str">
        <f>IFERROR(__xludf.DUMMYFUNCTION("""COMPUTED_VALUE"""),"antalyaspor")</f>
        <v>antalyaspor</v>
      </c>
      <c r="B771" s="3" t="str">
        <f>IFERROR(__xludf.DUMMYFUNCTION("""COMPUTED_VALUE"""),"akrep")</f>
        <v>akrep</v>
      </c>
      <c r="C771" s="3" t="str">
        <f>IFERROR(__xludf.DUMMYFUNCTION("""COMPUTED_VALUE"""),"Antalyaspor")</f>
        <v>Antalyaspor</v>
      </c>
    </row>
    <row r="772">
      <c r="A772" s="3" t="str">
        <f>IFERROR(__xludf.DUMMYFUNCTION("""COMPUTED_VALUE"""),"antedao")</f>
        <v>antedao</v>
      </c>
      <c r="B772" s="3" t="str">
        <f>IFERROR(__xludf.DUMMYFUNCTION("""COMPUTED_VALUE"""),"ante")</f>
        <v>ante</v>
      </c>
      <c r="C772" s="3" t="str">
        <f>IFERROR(__xludf.DUMMYFUNCTION("""COMPUTED_VALUE"""),"AnteDAO")</f>
        <v>AnteDAO</v>
      </c>
    </row>
    <row r="773">
      <c r="A773" s="3" t="str">
        <f>IFERROR(__xludf.DUMMYFUNCTION("""COMPUTED_VALUE"""),"antex")</f>
        <v>antex</v>
      </c>
      <c r="B773" s="3" t="str">
        <f>IFERROR(__xludf.DUMMYFUNCTION("""COMPUTED_VALUE"""),"antex")</f>
        <v>antex</v>
      </c>
      <c r="C773" s="3" t="str">
        <f>IFERROR(__xludf.DUMMYFUNCTION("""COMPUTED_VALUE"""),"Antex")</f>
        <v>Antex</v>
      </c>
    </row>
    <row r="774">
      <c r="A774" s="3" t="str">
        <f>IFERROR(__xludf.DUMMYFUNCTION("""COMPUTED_VALUE"""),"antgold")</f>
        <v>antgold</v>
      </c>
      <c r="B774" s="3" t="str">
        <f>IFERROR(__xludf.DUMMYFUNCTION("""COMPUTED_VALUE"""),"antg")</f>
        <v>antg</v>
      </c>
      <c r="C774" s="3" t="str">
        <f>IFERROR(__xludf.DUMMYFUNCTION("""COMPUTED_VALUE"""),"AntGold")</f>
        <v>AntGold</v>
      </c>
    </row>
    <row r="775">
      <c r="A775" s="3" t="str">
        <f>IFERROR(__xludf.DUMMYFUNCTION("""COMPUTED_VALUE"""),"antiample")</f>
        <v>antiample</v>
      </c>
      <c r="B775" s="3" t="str">
        <f>IFERROR(__xludf.DUMMYFUNCTION("""COMPUTED_VALUE"""),"xamp")</f>
        <v>xamp</v>
      </c>
      <c r="C775" s="3" t="str">
        <f>IFERROR(__xludf.DUMMYFUNCTION("""COMPUTED_VALUE"""),"Antiample")</f>
        <v>Antiample</v>
      </c>
    </row>
    <row r="776">
      <c r="A776" s="3" t="str">
        <f>IFERROR(__xludf.DUMMYFUNCTION("""COMPUTED_VALUE"""),"antimatter")</f>
        <v>antimatter</v>
      </c>
      <c r="B776" s="3" t="str">
        <f>IFERROR(__xludf.DUMMYFUNCTION("""COMPUTED_VALUE"""),"matter")</f>
        <v>matter</v>
      </c>
      <c r="C776" s="3" t="str">
        <f>IFERROR(__xludf.DUMMYFUNCTION("""COMPUTED_VALUE"""),"AntiMatter")</f>
        <v>AntiMatter</v>
      </c>
    </row>
    <row r="777">
      <c r="A777" s="3" t="str">
        <f>IFERROR(__xludf.DUMMYFUNCTION("""COMPUTED_VALUE"""),"antnetworx")</f>
        <v>antnetworx</v>
      </c>
      <c r="B777" s="3" t="str">
        <f>IFERROR(__xludf.DUMMYFUNCTION("""COMPUTED_VALUE"""),"antx")</f>
        <v>antx</v>
      </c>
      <c r="C777" s="3" t="str">
        <f>IFERROR(__xludf.DUMMYFUNCTION("""COMPUTED_VALUE"""),"AntNetworX")</f>
        <v>AntNetworX</v>
      </c>
    </row>
    <row r="778">
      <c r="A778" s="3" t="str">
        <f>IFERROR(__xludf.DUMMYFUNCTION("""COMPUTED_VALUE"""),"any-blocknet")</f>
        <v>any-blocknet</v>
      </c>
      <c r="B778" s="3" t="str">
        <f>IFERROR(__xludf.DUMMYFUNCTION("""COMPUTED_VALUE"""),"ablock")</f>
        <v>ablock</v>
      </c>
      <c r="C778" s="3" t="str">
        <f>IFERROR(__xludf.DUMMYFUNCTION("""COMPUTED_VALUE"""),"ANY Blocknet")</f>
        <v>ANY Blocknet</v>
      </c>
    </row>
    <row r="779">
      <c r="A779" s="3" t="str">
        <f>IFERROR(__xludf.DUMMYFUNCTION("""COMPUTED_VALUE"""),"anypad")</f>
        <v>anypad</v>
      </c>
      <c r="B779" s="3" t="str">
        <f>IFERROR(__xludf.DUMMYFUNCTION("""COMPUTED_VALUE"""),"apad")</f>
        <v>apad</v>
      </c>
      <c r="C779" s="3" t="str">
        <f>IFERROR(__xludf.DUMMYFUNCTION("""COMPUTED_VALUE"""),"Anypad")</f>
        <v>Anypad</v>
      </c>
    </row>
    <row r="780">
      <c r="A780" s="3" t="str">
        <f>IFERROR(__xludf.DUMMYFUNCTION("""COMPUTED_VALUE"""),"anyswap")</f>
        <v>anyswap</v>
      </c>
      <c r="B780" s="3" t="str">
        <f>IFERROR(__xludf.DUMMYFUNCTION("""COMPUTED_VALUE"""),"any")</f>
        <v>any</v>
      </c>
      <c r="C780" s="3" t="str">
        <f>IFERROR(__xludf.DUMMYFUNCTION("""COMPUTED_VALUE"""),"Anyswap")</f>
        <v>Anyswap</v>
      </c>
    </row>
    <row r="781">
      <c r="A781" s="3" t="str">
        <f>IFERROR(__xludf.DUMMYFUNCTION("""COMPUTED_VALUE"""),"aok")</f>
        <v>aok</v>
      </c>
      <c r="B781" s="3" t="str">
        <f>IFERROR(__xludf.DUMMYFUNCTION("""COMPUTED_VALUE"""),"aok")</f>
        <v>aok</v>
      </c>
      <c r="C781" s="3" t="str">
        <f>IFERROR(__xludf.DUMMYFUNCTION("""COMPUTED_VALUE"""),"AOK")</f>
        <v>AOK</v>
      </c>
    </row>
    <row r="782">
      <c r="A782" s="3" t="str">
        <f>IFERROR(__xludf.DUMMYFUNCTION("""COMPUTED_VALUE"""),"aonea-coin")</f>
        <v>aonea-coin</v>
      </c>
      <c r="B782" s="3" t="str">
        <f>IFERROR(__xludf.DUMMYFUNCTION("""COMPUTED_VALUE"""),"a1a")</f>
        <v>a1a</v>
      </c>
      <c r="C782" s="3" t="str">
        <f>IFERROR(__xludf.DUMMYFUNCTION("""COMPUTED_VALUE"""),"Aonea Coin")</f>
        <v>Aonea Coin</v>
      </c>
    </row>
    <row r="783">
      <c r="A783" s="3" t="str">
        <f>IFERROR(__xludf.DUMMYFUNCTION("""COMPUTED_VALUE"""),"aos")</f>
        <v>aos</v>
      </c>
      <c r="B783" s="3" t="str">
        <f>IFERROR(__xludf.DUMMYFUNCTION("""COMPUTED_VALUE"""),"aos")</f>
        <v>aos</v>
      </c>
      <c r="C783" s="3" t="str">
        <f>IFERROR(__xludf.DUMMYFUNCTION("""COMPUTED_VALUE"""),"AOS")</f>
        <v>AOS</v>
      </c>
    </row>
    <row r="784">
      <c r="A784" s="3" t="str">
        <f>IFERROR(__xludf.DUMMYFUNCTION("""COMPUTED_VALUE"""),"apch")</f>
        <v>apch</v>
      </c>
      <c r="B784" s="3" t="str">
        <f>IFERROR(__xludf.DUMMYFUNCTION("""COMPUTED_VALUE"""),"apch")</f>
        <v>apch</v>
      </c>
      <c r="C784" s="3" t="str">
        <f>IFERROR(__xludf.DUMMYFUNCTION("""COMPUTED_VALUE"""),"APCH")</f>
        <v>APCH</v>
      </c>
    </row>
    <row r="785">
      <c r="A785" s="3" t="str">
        <f>IFERROR(__xludf.DUMMYFUNCTION("""COMPUTED_VALUE"""),"ape")</f>
        <v>ape</v>
      </c>
      <c r="B785" s="3" t="str">
        <f>IFERROR(__xludf.DUMMYFUNCTION("""COMPUTED_VALUE"""),"ape")</f>
        <v>ape</v>
      </c>
      <c r="C785" s="3" t="str">
        <f>IFERROR(__xludf.DUMMYFUNCTION("""COMPUTED_VALUE"""),"APE")</f>
        <v>APE</v>
      </c>
    </row>
    <row r="786">
      <c r="A786" s="3" t="str">
        <f>IFERROR(__xludf.DUMMYFUNCTION("""COMPUTED_VALUE"""),"apecoin")</f>
        <v>apecoin</v>
      </c>
      <c r="B786" s="3" t="str">
        <f>IFERROR(__xludf.DUMMYFUNCTION("""COMPUTED_VALUE"""),"ape")</f>
        <v>ape</v>
      </c>
      <c r="C786" s="3" t="str">
        <f>IFERROR(__xludf.DUMMYFUNCTION("""COMPUTED_VALUE"""),"ApeCoin")</f>
        <v>ApeCoin</v>
      </c>
    </row>
    <row r="787">
      <c r="A787" s="3" t="str">
        <f>IFERROR(__xludf.DUMMYFUNCTION("""COMPUTED_VALUE"""),"apedoge")</f>
        <v>apedoge</v>
      </c>
      <c r="B787" s="3" t="str">
        <f>IFERROR(__xludf.DUMMYFUNCTION("""COMPUTED_VALUE"""),"aped")</f>
        <v>aped</v>
      </c>
      <c r="C787" s="3" t="str">
        <f>IFERROR(__xludf.DUMMYFUNCTION("""COMPUTED_VALUE"""),"Apedoge")</f>
        <v>Apedoge</v>
      </c>
    </row>
    <row r="788">
      <c r="A788" s="3" t="str">
        <f>IFERROR(__xludf.DUMMYFUNCTION("""COMPUTED_VALUE"""),"ape-finance")</f>
        <v>ape-finance</v>
      </c>
      <c r="B788" s="3" t="str">
        <f>IFERROR(__xludf.DUMMYFUNCTION("""COMPUTED_VALUE"""),"apefi")</f>
        <v>apefi</v>
      </c>
      <c r="C788" s="3" t="str">
        <f>IFERROR(__xludf.DUMMYFUNCTION("""COMPUTED_VALUE"""),"Ape Finance")</f>
        <v>Ape Finance</v>
      </c>
    </row>
    <row r="789">
      <c r="A789" s="3" t="str">
        <f>IFERROR(__xludf.DUMMYFUNCTION("""COMPUTED_VALUE"""),"apefund")</f>
        <v>apefund</v>
      </c>
      <c r="B789" s="3" t="str">
        <f>IFERROR(__xludf.DUMMYFUNCTION("""COMPUTED_VALUE"""),"apefund")</f>
        <v>apefund</v>
      </c>
      <c r="C789" s="3" t="str">
        <f>IFERROR(__xludf.DUMMYFUNCTION("""COMPUTED_VALUE"""),"ApeFund")</f>
        <v>ApeFund</v>
      </c>
    </row>
    <row r="790">
      <c r="A790" s="3" t="str">
        <f>IFERROR(__xludf.DUMMYFUNCTION("""COMPUTED_VALUE"""),"ape-fun-token")</f>
        <v>ape-fun-token</v>
      </c>
      <c r="B790" s="3" t="str">
        <f>IFERROR(__xludf.DUMMYFUNCTION("""COMPUTED_VALUE"""),"aft")</f>
        <v>aft</v>
      </c>
      <c r="C790" s="3" t="str">
        <f>IFERROR(__xludf.DUMMYFUNCTION("""COMPUTED_VALUE"""),"Ape Fun")</f>
        <v>Ape Fun</v>
      </c>
    </row>
    <row r="791">
      <c r="A791" s="3" t="str">
        <f>IFERROR(__xludf.DUMMYFUNCTION("""COMPUTED_VALUE"""),"apegrow")</f>
        <v>apegrow</v>
      </c>
      <c r="B791" s="3" t="str">
        <f>IFERROR(__xludf.DUMMYFUNCTION("""COMPUTED_VALUE"""),"apegrow")</f>
        <v>apegrow</v>
      </c>
      <c r="C791" s="3" t="str">
        <f>IFERROR(__xludf.DUMMYFUNCTION("""COMPUTED_VALUE"""),"ApeGrow")</f>
        <v>ApeGrow</v>
      </c>
    </row>
    <row r="792">
      <c r="A792" s="3" t="str">
        <f>IFERROR(__xludf.DUMMYFUNCTION("""COMPUTED_VALUE"""),"ape-in")</f>
        <v>ape-in</v>
      </c>
      <c r="B792" s="3" t="str">
        <f>IFERROR(__xludf.DUMMYFUNCTION("""COMPUTED_VALUE"""),"apein")</f>
        <v>apein</v>
      </c>
      <c r="C792" s="3" t="str">
        <f>IFERROR(__xludf.DUMMYFUNCTION("""COMPUTED_VALUE"""),"Ape In")</f>
        <v>Ape In</v>
      </c>
    </row>
    <row r="793">
      <c r="A793" s="3" t="str">
        <f>IFERROR(__xludf.DUMMYFUNCTION("""COMPUTED_VALUE"""),"ape_in_records")</f>
        <v>ape_in_records</v>
      </c>
      <c r="B793" s="3" t="str">
        <f>IFERROR(__xludf.DUMMYFUNCTION("""COMPUTED_VALUE"""),"air")</f>
        <v>air</v>
      </c>
      <c r="C793" s="3" t="str">
        <f>IFERROR(__xludf.DUMMYFUNCTION("""COMPUTED_VALUE"""),"Ape In Records")</f>
        <v>Ape In Records</v>
      </c>
    </row>
    <row r="794">
      <c r="A794" s="3" t="str">
        <f>IFERROR(__xludf.DUMMYFUNCTION("""COMPUTED_VALUE"""),"apejet")</f>
        <v>apejet</v>
      </c>
      <c r="B794" s="3" t="str">
        <f>IFERROR(__xludf.DUMMYFUNCTION("""COMPUTED_VALUE"""),"jet")</f>
        <v>jet</v>
      </c>
      <c r="C794" s="3" t="str">
        <f>IFERROR(__xludf.DUMMYFUNCTION("""COMPUTED_VALUE"""),"ApeJet")</f>
        <v>ApeJet</v>
      </c>
    </row>
    <row r="795">
      <c r="A795" s="3" t="str">
        <f>IFERROR(__xludf.DUMMYFUNCTION("""COMPUTED_VALUE"""),"ape-king")</f>
        <v>ape-king</v>
      </c>
      <c r="B795" s="3" t="str">
        <f>IFERROR(__xludf.DUMMYFUNCTION("""COMPUTED_VALUE"""),"apk")</f>
        <v>apk</v>
      </c>
      <c r="C795" s="3" t="str">
        <f>IFERROR(__xludf.DUMMYFUNCTION("""COMPUTED_VALUE"""),"Ape King")</f>
        <v>Ape King</v>
      </c>
    </row>
    <row r="796">
      <c r="A796" s="3" t="str">
        <f>IFERROR(__xludf.DUMMYFUNCTION("""COMPUTED_VALUE"""),"apemove")</f>
        <v>apemove</v>
      </c>
      <c r="B796" s="3" t="str">
        <f>IFERROR(__xludf.DUMMYFUNCTION("""COMPUTED_VALUE"""),"ape")</f>
        <v>ape</v>
      </c>
      <c r="C796" s="3" t="str">
        <f>IFERROR(__xludf.DUMMYFUNCTION("""COMPUTED_VALUE"""),"APEmove")</f>
        <v>APEmove</v>
      </c>
    </row>
    <row r="797">
      <c r="A797" s="3" t="str">
        <f>IFERROR(__xludf.DUMMYFUNCTION("""COMPUTED_VALUE"""),"apenft")</f>
        <v>apenft</v>
      </c>
      <c r="B797" s="3" t="str">
        <f>IFERROR(__xludf.DUMMYFUNCTION("""COMPUTED_VALUE"""),"nft")</f>
        <v>nft</v>
      </c>
      <c r="C797" s="3" t="str">
        <f>IFERROR(__xludf.DUMMYFUNCTION("""COMPUTED_VALUE"""),"APENFT")</f>
        <v>APENFT</v>
      </c>
    </row>
    <row r="798">
      <c r="A798" s="3" t="str">
        <f>IFERROR(__xludf.DUMMYFUNCTION("""COMPUTED_VALUE"""),"apeparkdao")</f>
        <v>apeparkdao</v>
      </c>
      <c r="B798" s="3" t="str">
        <f>IFERROR(__xludf.DUMMYFUNCTION("""COMPUTED_VALUE"""),"apd")</f>
        <v>apd</v>
      </c>
      <c r="C798" s="3" t="str">
        <f>IFERROR(__xludf.DUMMYFUNCTION("""COMPUTED_VALUE"""),"ApeParkDAO")</f>
        <v>ApeParkDAO</v>
      </c>
    </row>
    <row r="799">
      <c r="A799" s="3" t="str">
        <f>IFERROR(__xludf.DUMMYFUNCTION("""COMPUTED_VALUE"""),"ape-punk")</f>
        <v>ape-punk</v>
      </c>
      <c r="B799" s="3" t="str">
        <f>IFERROR(__xludf.DUMMYFUNCTION("""COMPUTED_VALUE"""),"ape$")</f>
        <v>ape$</v>
      </c>
      <c r="C799" s="3" t="str">
        <f>IFERROR(__xludf.DUMMYFUNCTION("""COMPUTED_VALUE"""),"APE Punk")</f>
        <v>APE Punk</v>
      </c>
    </row>
    <row r="800">
      <c r="A800" s="3" t="str">
        <f>IFERROR(__xludf.DUMMYFUNCTION("""COMPUTED_VALUE"""),"apes-token")</f>
        <v>apes-token</v>
      </c>
      <c r="B800" s="3" t="str">
        <f>IFERROR(__xludf.DUMMYFUNCTION("""COMPUTED_VALUE"""),"apes")</f>
        <v>apes</v>
      </c>
      <c r="C800" s="3" t="str">
        <f>IFERROR(__xludf.DUMMYFUNCTION("""COMPUTED_VALUE"""),"Apes")</f>
        <v>Apes</v>
      </c>
    </row>
    <row r="801">
      <c r="A801" s="3" t="str">
        <f>IFERROR(__xludf.DUMMYFUNCTION("""COMPUTED_VALUE"""),"apeswap-finance")</f>
        <v>apeswap-finance</v>
      </c>
      <c r="B801" s="3" t="str">
        <f>IFERROR(__xludf.DUMMYFUNCTION("""COMPUTED_VALUE"""),"banana")</f>
        <v>banana</v>
      </c>
      <c r="C801" s="3" t="str">
        <f>IFERROR(__xludf.DUMMYFUNCTION("""COMPUTED_VALUE"""),"ApeSwap")</f>
        <v>ApeSwap</v>
      </c>
    </row>
    <row r="802">
      <c r="A802" s="3" t="str">
        <f>IFERROR(__xludf.DUMMYFUNCTION("""COMPUTED_VALUE"""),"ape-universe")</f>
        <v>ape-universe</v>
      </c>
      <c r="B802" s="3" t="str">
        <f>IFERROR(__xludf.DUMMYFUNCTION("""COMPUTED_VALUE"""),"apeu")</f>
        <v>apeu</v>
      </c>
      <c r="C802" s="3" t="str">
        <f>IFERROR(__xludf.DUMMYFUNCTION("""COMPUTED_VALUE"""),"Ape Universe")</f>
        <v>Ape Universe</v>
      </c>
    </row>
    <row r="803">
      <c r="A803" s="3" t="str">
        <f>IFERROR(__xludf.DUMMYFUNCTION("""COMPUTED_VALUE"""),"apeusd")</f>
        <v>apeusd</v>
      </c>
      <c r="B803" s="3" t="str">
        <f>IFERROR(__xludf.DUMMYFUNCTION("""COMPUTED_VALUE"""),"apeusd")</f>
        <v>apeusd</v>
      </c>
      <c r="C803" s="3" t="str">
        <f>IFERROR(__xludf.DUMMYFUNCTION("""COMPUTED_VALUE"""),"ApeUSD")</f>
        <v>ApeUSD</v>
      </c>
    </row>
    <row r="804">
      <c r="A804" s="3" t="str">
        <f>IFERROR(__xludf.DUMMYFUNCTION("""COMPUTED_VALUE"""),"apex-foundation")</f>
        <v>apex-foundation</v>
      </c>
      <c r="B804" s="3" t="str">
        <f>IFERROR(__xludf.DUMMYFUNCTION("""COMPUTED_VALUE"""),"apex")</f>
        <v>apex</v>
      </c>
      <c r="C804" s="3" t="str">
        <f>IFERROR(__xludf.DUMMYFUNCTION("""COMPUTED_VALUE"""),"Apex Foundation")</f>
        <v>Apex Foundation</v>
      </c>
    </row>
    <row r="805">
      <c r="A805" s="3" t="str">
        <f>IFERROR(__xludf.DUMMYFUNCTION("""COMPUTED_VALUE"""),"apexit-finance")</f>
        <v>apexit-finance</v>
      </c>
      <c r="B805" s="3" t="str">
        <f>IFERROR(__xludf.DUMMYFUNCTION("""COMPUTED_VALUE"""),"apex")</f>
        <v>apex</v>
      </c>
      <c r="C805" s="3" t="str">
        <f>IFERROR(__xludf.DUMMYFUNCTION("""COMPUTED_VALUE"""),"ApeXit Finance")</f>
        <v>ApeXit Finance</v>
      </c>
    </row>
    <row r="806">
      <c r="A806" s="3" t="str">
        <f>IFERROR(__xludf.DUMMYFUNCTION("""COMPUTED_VALUE"""),"apex-predator")</f>
        <v>apex-predator</v>
      </c>
      <c r="B806" s="3" t="str">
        <f>IFERROR(__xludf.DUMMYFUNCTION("""COMPUTED_VALUE"""),"apex")</f>
        <v>apex</v>
      </c>
      <c r="C806" s="3" t="str">
        <f>IFERROR(__xludf.DUMMYFUNCTION("""COMPUTED_VALUE"""),"Apex Predator")</f>
        <v>Apex Predator</v>
      </c>
    </row>
    <row r="807">
      <c r="A807" s="3" t="str">
        <f>IFERROR(__xludf.DUMMYFUNCTION("""COMPUTED_VALUE"""),"apex-protocol")</f>
        <v>apex-protocol</v>
      </c>
      <c r="B807" s="3" t="str">
        <f>IFERROR(__xludf.DUMMYFUNCTION("""COMPUTED_VALUE"""),"apxp")</f>
        <v>apxp</v>
      </c>
      <c r="C807" s="3" t="str">
        <f>IFERROR(__xludf.DUMMYFUNCTION("""COMPUTED_VALUE"""),"APEX Protocol")</f>
        <v>APEX Protocol</v>
      </c>
    </row>
    <row r="808">
      <c r="A808" s="3" t="str">
        <f>IFERROR(__xludf.DUMMYFUNCTION("""COMPUTED_VALUE"""),"apex-token-2")</f>
        <v>apex-token-2</v>
      </c>
      <c r="B808" s="3" t="str">
        <f>IFERROR(__xludf.DUMMYFUNCTION("""COMPUTED_VALUE"""),"apex")</f>
        <v>apex</v>
      </c>
      <c r="C808" s="3" t="str">
        <f>IFERROR(__xludf.DUMMYFUNCTION("""COMPUTED_VALUE"""),"ApeX")</f>
        <v>ApeX</v>
      </c>
    </row>
    <row r="809">
      <c r="A809" s="3" t="str">
        <f>IFERROR(__xludf.DUMMYFUNCTION("""COMPUTED_VALUE"""),"api3")</f>
        <v>api3</v>
      </c>
      <c r="B809" s="3" t="str">
        <f>IFERROR(__xludf.DUMMYFUNCTION("""COMPUTED_VALUE"""),"api3")</f>
        <v>api3</v>
      </c>
      <c r="C809" s="3" t="str">
        <f>IFERROR(__xludf.DUMMYFUNCTION("""COMPUTED_VALUE"""),"API3")</f>
        <v>API3</v>
      </c>
    </row>
    <row r="810">
      <c r="A810" s="3" t="str">
        <f>IFERROR(__xludf.DUMMYFUNCTION("""COMPUTED_VALUE"""),"apidae")</f>
        <v>apidae</v>
      </c>
      <c r="B810" s="3" t="str">
        <f>IFERROR(__xludf.DUMMYFUNCTION("""COMPUTED_VALUE"""),"apt")</f>
        <v>apt</v>
      </c>
      <c r="C810" s="3" t="str">
        <f>IFERROR(__xludf.DUMMYFUNCTION("""COMPUTED_VALUE"""),"Apidae")</f>
        <v>Apidae</v>
      </c>
    </row>
    <row r="811">
      <c r="A811" s="3" t="str">
        <f>IFERROR(__xludf.DUMMYFUNCTION("""COMPUTED_VALUE"""),"apish-me")</f>
        <v>apish-me</v>
      </c>
      <c r="B811" s="3" t="str">
        <f>IFERROR(__xludf.DUMMYFUNCTION("""COMPUTED_VALUE"""),"apish")</f>
        <v>apish</v>
      </c>
      <c r="C811" s="3" t="str">
        <f>IFERROR(__xludf.DUMMYFUNCTION("""COMPUTED_VALUE"""),"Apish Me")</f>
        <v>Apish Me</v>
      </c>
    </row>
    <row r="812">
      <c r="A812" s="3" t="str">
        <f>IFERROR(__xludf.DUMMYFUNCTION("""COMPUTED_VALUE"""),"apix")</f>
        <v>apix</v>
      </c>
      <c r="B812" s="3" t="str">
        <f>IFERROR(__xludf.DUMMYFUNCTION("""COMPUTED_VALUE"""),"apix")</f>
        <v>apix</v>
      </c>
      <c r="C812" s="3" t="str">
        <f>IFERROR(__xludf.DUMMYFUNCTION("""COMPUTED_VALUE"""),"APIX")</f>
        <v>APIX</v>
      </c>
    </row>
    <row r="813">
      <c r="A813" s="3" t="str">
        <f>IFERROR(__xludf.DUMMYFUNCTION("""COMPUTED_VALUE"""),"apm-coin")</f>
        <v>apm-coin</v>
      </c>
      <c r="B813" s="3" t="str">
        <f>IFERROR(__xludf.DUMMYFUNCTION("""COMPUTED_VALUE"""),"apm")</f>
        <v>apm</v>
      </c>
      <c r="C813" s="3" t="str">
        <f>IFERROR(__xludf.DUMMYFUNCTION("""COMPUTED_VALUE"""),"apM Coin")</f>
        <v>apM Coin</v>
      </c>
    </row>
    <row r="814">
      <c r="A814" s="3" t="str">
        <f>IFERROR(__xludf.DUMMYFUNCTION("""COMPUTED_VALUE"""),"apocalypse")</f>
        <v>apocalypse</v>
      </c>
      <c r="B814" s="3" t="str">
        <f>IFERROR(__xludf.DUMMYFUNCTION("""COMPUTED_VALUE"""),"apoc")</f>
        <v>apoc</v>
      </c>
      <c r="C814" s="3" t="str">
        <f>IFERROR(__xludf.DUMMYFUNCTION("""COMPUTED_VALUE"""),"Apocalypse")</f>
        <v>Apocalypse</v>
      </c>
    </row>
    <row r="815">
      <c r="A815" s="3" t="str">
        <f>IFERROR(__xludf.DUMMYFUNCTION("""COMPUTED_VALUE"""),"apollo")</f>
        <v>apollo</v>
      </c>
      <c r="B815" s="3" t="str">
        <f>IFERROR(__xludf.DUMMYFUNCTION("""COMPUTED_VALUE"""),"apl")</f>
        <v>apl</v>
      </c>
      <c r="C815" s="3" t="str">
        <f>IFERROR(__xludf.DUMMYFUNCTION("""COMPUTED_VALUE"""),"Apollo")</f>
        <v>Apollo</v>
      </c>
    </row>
    <row r="816">
      <c r="A816" s="3" t="str">
        <f>IFERROR(__xludf.DUMMYFUNCTION("""COMPUTED_VALUE"""),"apollo-coin")</f>
        <v>apollo-coin</v>
      </c>
      <c r="B816" s="3" t="str">
        <f>IFERROR(__xludf.DUMMYFUNCTION("""COMPUTED_VALUE"""),"apx")</f>
        <v>apx</v>
      </c>
      <c r="C816" s="3" t="str">
        <f>IFERROR(__xludf.DUMMYFUNCTION("""COMPUTED_VALUE"""),"Apollo Coin")</f>
        <v>Apollo Coin</v>
      </c>
    </row>
    <row r="817">
      <c r="A817" s="3" t="str">
        <f>IFERROR(__xludf.DUMMYFUNCTION("""COMPUTED_VALUE"""),"apollo-crypto")</f>
        <v>apollo-crypto</v>
      </c>
      <c r="B817" s="3" t="str">
        <f>IFERROR(__xludf.DUMMYFUNCTION("""COMPUTED_VALUE"""),"apollo")</f>
        <v>apollo</v>
      </c>
      <c r="C817" s="3" t="str">
        <f>IFERROR(__xludf.DUMMYFUNCTION("""COMPUTED_VALUE"""),"Apollo Crypto")</f>
        <v>Apollo Crypto</v>
      </c>
    </row>
    <row r="818">
      <c r="A818" s="3" t="str">
        <f>IFERROR(__xludf.DUMMYFUNCTION("""COMPUTED_VALUE"""),"apollofi")</f>
        <v>apollofi</v>
      </c>
      <c r="B818" s="3" t="str">
        <f>IFERROR(__xludf.DUMMYFUNCTION("""COMPUTED_VALUE"""),"apo")</f>
        <v>apo</v>
      </c>
      <c r="C818" s="3" t="str">
        <f>IFERROR(__xludf.DUMMYFUNCTION("""COMPUTED_VALUE"""),"ApolloFi")</f>
        <v>ApolloFi</v>
      </c>
    </row>
    <row r="819">
      <c r="A819" s="3" t="str">
        <f>IFERROR(__xludf.DUMMYFUNCTION("""COMPUTED_VALUE"""),"apollon-limassol")</f>
        <v>apollon-limassol</v>
      </c>
      <c r="B819" s="3" t="str">
        <f>IFERROR(__xludf.DUMMYFUNCTION("""COMPUTED_VALUE"""),"apl")</f>
        <v>apl</v>
      </c>
      <c r="C819" s="3" t="str">
        <f>IFERROR(__xludf.DUMMYFUNCTION("""COMPUTED_VALUE"""),"Apollon Limassol Fan Token")</f>
        <v>Apollon Limassol Fan Token</v>
      </c>
    </row>
    <row r="820">
      <c r="A820" s="3" t="str">
        <f>IFERROR(__xludf.DUMMYFUNCTION("""COMPUTED_VALUE"""),"apollo-protocol")</f>
        <v>apollo-protocol</v>
      </c>
      <c r="B820" s="3" t="str">
        <f>IFERROR(__xludf.DUMMYFUNCTION("""COMPUTED_VALUE"""),"apollo")</f>
        <v>apollo</v>
      </c>
      <c r="C820" s="3" t="str">
        <f>IFERROR(__xludf.DUMMYFUNCTION("""COMPUTED_VALUE"""),"Apollo Protocol")</f>
        <v>Apollo Protocol</v>
      </c>
    </row>
    <row r="821">
      <c r="A821" s="3" t="str">
        <f>IFERROR(__xludf.DUMMYFUNCTION("""COMPUTED_VALUE"""),"apollox-2")</f>
        <v>apollox-2</v>
      </c>
      <c r="B821" s="3" t="str">
        <f>IFERROR(__xludf.DUMMYFUNCTION("""COMPUTED_VALUE"""),"apx")</f>
        <v>apx</v>
      </c>
      <c r="C821" s="3" t="str">
        <f>IFERROR(__xludf.DUMMYFUNCTION("""COMPUTED_VALUE"""),"ApolloX")</f>
        <v>ApolloX</v>
      </c>
    </row>
    <row r="822">
      <c r="A822" s="3" t="str">
        <f>IFERROR(__xludf.DUMMYFUNCTION("""COMPUTED_VALUE"""),"apoyield")</f>
        <v>apoyield</v>
      </c>
      <c r="B822" s="3" t="str">
        <f>IFERROR(__xludf.DUMMYFUNCTION("""COMPUTED_VALUE"""),"soul")</f>
        <v>soul</v>
      </c>
      <c r="C822" s="3" t="str">
        <f>IFERROR(__xludf.DUMMYFUNCTION("""COMPUTED_VALUE"""),"APOyield")</f>
        <v>APOyield</v>
      </c>
    </row>
    <row r="823">
      <c r="A823" s="3" t="str">
        <f>IFERROR(__xludf.DUMMYFUNCTION("""COMPUTED_VALUE"""),"appcoins")</f>
        <v>appcoins</v>
      </c>
      <c r="B823" s="3" t="str">
        <f>IFERROR(__xludf.DUMMYFUNCTION("""COMPUTED_VALUE"""),"appc")</f>
        <v>appc</v>
      </c>
      <c r="C823" s="3" t="str">
        <f>IFERROR(__xludf.DUMMYFUNCTION("""COMPUTED_VALUE"""),"AppCoins")</f>
        <v>AppCoins</v>
      </c>
    </row>
    <row r="824">
      <c r="A824" s="3" t="str">
        <f>IFERROR(__xludf.DUMMYFUNCTION("""COMPUTED_VALUE"""),"appics")</f>
        <v>appics</v>
      </c>
      <c r="B824" s="3" t="str">
        <f>IFERROR(__xludf.DUMMYFUNCTION("""COMPUTED_VALUE"""),"apx")</f>
        <v>apx</v>
      </c>
      <c r="C824" s="3" t="str">
        <f>IFERROR(__xludf.DUMMYFUNCTION("""COMPUTED_VALUE"""),"Appics")</f>
        <v>Appics</v>
      </c>
    </row>
    <row r="825">
      <c r="A825" s="3" t="str">
        <f>IFERROR(__xludf.DUMMYFUNCTION("""COMPUTED_VALUE"""),"apple")</f>
        <v>apple</v>
      </c>
      <c r="B825" s="3" t="str">
        <f>IFERROR(__xludf.DUMMYFUNCTION("""COMPUTED_VALUE"""),"apple")</f>
        <v>apple</v>
      </c>
      <c r="C825" s="3" t="str">
        <f>IFERROR(__xludf.DUMMYFUNCTION("""COMPUTED_VALUE"""),"Apple")</f>
        <v>Apple</v>
      </c>
    </row>
    <row r="826">
      <c r="A826" s="3" t="str">
        <f>IFERROR(__xludf.DUMMYFUNCTION("""COMPUTED_VALUE"""),"apple-binemon")</f>
        <v>apple-binemon</v>
      </c>
      <c r="B826" s="3" t="str">
        <f>IFERROR(__xludf.DUMMYFUNCTION("""COMPUTED_VALUE"""),"amb")</f>
        <v>amb</v>
      </c>
      <c r="C826" s="3" t="str">
        <f>IFERROR(__xludf.DUMMYFUNCTION("""COMPUTED_VALUE"""),"Apple (Binemon)")</f>
        <v>Apple (Binemon)</v>
      </c>
    </row>
    <row r="827">
      <c r="A827" s="3" t="str">
        <f>IFERROR(__xludf.DUMMYFUNCTION("""COMPUTED_VALUE"""),"apple-fruit")</f>
        <v>apple-fruit</v>
      </c>
      <c r="B827" s="3" t="str">
        <f>IFERROR(__xludf.DUMMYFUNCTION("""COMPUTED_VALUE"""),"apple")</f>
        <v>apple</v>
      </c>
      <c r="C827" s="3" t="str">
        <f>IFERROR(__xludf.DUMMYFUNCTION("""COMPUTED_VALUE"""),"Apple Fruit")</f>
        <v>Apple Fruit</v>
      </c>
    </row>
    <row r="828">
      <c r="A828" s="3" t="str">
        <f>IFERROR(__xludf.DUMMYFUNCTION("""COMPUTED_VALUE"""),"apple-protocol-token")</f>
        <v>apple-protocol-token</v>
      </c>
      <c r="B828" s="3" t="str">
        <f>IFERROR(__xludf.DUMMYFUNCTION("""COMPUTED_VALUE"""),"aapl")</f>
        <v>aapl</v>
      </c>
      <c r="C828" s="3" t="str">
        <f>IFERROR(__xludf.DUMMYFUNCTION("""COMPUTED_VALUE"""),"Apple Protocol")</f>
        <v>Apple Protocol</v>
      </c>
    </row>
    <row r="829">
      <c r="A829" s="3" t="str">
        <f>IFERROR(__xludf.DUMMYFUNCTION("""COMPUTED_VALUE"""),"applepye")</f>
        <v>applepye</v>
      </c>
      <c r="B829" s="3" t="str">
        <f>IFERROR(__xludf.DUMMYFUNCTION("""COMPUTED_VALUE"""),"applepye")</f>
        <v>applepye</v>
      </c>
      <c r="C829" s="3" t="str">
        <f>IFERROR(__xludf.DUMMYFUNCTION("""COMPUTED_VALUE"""),"APPLEPYE")</f>
        <v>APPLEPYE</v>
      </c>
    </row>
    <row r="830">
      <c r="A830" s="3" t="str">
        <f>IFERROR(__xludf.DUMMYFUNCTION("""COMPUTED_VALUE"""),"appleswap")</f>
        <v>appleswap</v>
      </c>
      <c r="B830" s="3" t="str">
        <f>IFERROR(__xludf.DUMMYFUNCTION("""COMPUTED_VALUE"""),"apple")</f>
        <v>apple</v>
      </c>
      <c r="C830" s="3" t="str">
        <f>IFERROR(__xludf.DUMMYFUNCTION("""COMPUTED_VALUE"""),"AppleSwap")</f>
        <v>AppleSwap</v>
      </c>
    </row>
    <row r="831">
      <c r="A831" s="3" t="str">
        <f>IFERROR(__xludf.DUMMYFUNCTION("""COMPUTED_VALUE"""),"apple-tokenized-stock-defichain")</f>
        <v>apple-tokenized-stock-defichain</v>
      </c>
      <c r="B831" s="3" t="str">
        <f>IFERROR(__xludf.DUMMYFUNCTION("""COMPUTED_VALUE"""),"daapl")</f>
        <v>daapl</v>
      </c>
      <c r="C831" s="3" t="str">
        <f>IFERROR(__xludf.DUMMYFUNCTION("""COMPUTED_VALUE"""),"Apple Tokenized Stock Defichain")</f>
        <v>Apple Tokenized Stock Defichain</v>
      </c>
    </row>
    <row r="832">
      <c r="A832" s="3" t="str">
        <f>IFERROR(__xludf.DUMMYFUNCTION("""COMPUTED_VALUE"""),"apr-coin")</f>
        <v>apr-coin</v>
      </c>
      <c r="B832" s="3" t="str">
        <f>IFERROR(__xludf.DUMMYFUNCTION("""COMPUTED_VALUE"""),"apr")</f>
        <v>apr</v>
      </c>
      <c r="C832" s="3" t="str">
        <f>IFERROR(__xludf.DUMMYFUNCTION("""COMPUTED_VALUE"""),"APR Coin")</f>
        <v>APR Coin</v>
      </c>
    </row>
    <row r="833">
      <c r="A833" s="3" t="str">
        <f>IFERROR(__xludf.DUMMYFUNCTION("""COMPUTED_VALUE"""),"apricot")</f>
        <v>apricot</v>
      </c>
      <c r="B833" s="3" t="str">
        <f>IFERROR(__xludf.DUMMYFUNCTION("""COMPUTED_VALUE"""),"aprt")</f>
        <v>aprt</v>
      </c>
      <c r="C833" s="3" t="str">
        <f>IFERROR(__xludf.DUMMYFUNCTION("""COMPUTED_VALUE"""),"Apricot")</f>
        <v>Apricot</v>
      </c>
    </row>
    <row r="834">
      <c r="A834" s="3" t="str">
        <f>IFERROR(__xludf.DUMMYFUNCTION("""COMPUTED_VALUE"""),"april")</f>
        <v>april</v>
      </c>
      <c r="B834" s="3" t="str">
        <f>IFERROR(__xludf.DUMMYFUNCTION("""COMPUTED_VALUE"""),"april")</f>
        <v>april</v>
      </c>
      <c r="C834" s="3" t="str">
        <f>IFERROR(__xludf.DUMMYFUNCTION("""COMPUTED_VALUE"""),"April")</f>
        <v>April</v>
      </c>
    </row>
    <row r="835">
      <c r="A835" s="3" t="str">
        <f>IFERROR(__xludf.DUMMYFUNCTION("""COMPUTED_VALUE"""),"aprobit")</f>
        <v>aprobit</v>
      </c>
      <c r="B835" s="3" t="str">
        <f>IFERROR(__xludf.DUMMYFUNCTION("""COMPUTED_VALUE"""),"abt")</f>
        <v>abt</v>
      </c>
      <c r="C835" s="3" t="str">
        <f>IFERROR(__xludf.DUMMYFUNCTION("""COMPUTED_VALUE"""),"Aprobit")</f>
        <v>Aprobit</v>
      </c>
    </row>
    <row r="836">
      <c r="A836" s="3" t="str">
        <f>IFERROR(__xludf.DUMMYFUNCTION("""COMPUTED_VALUE"""),"apron")</f>
        <v>apron</v>
      </c>
      <c r="B836" s="3" t="str">
        <f>IFERROR(__xludf.DUMMYFUNCTION("""COMPUTED_VALUE"""),"apn")</f>
        <v>apn</v>
      </c>
      <c r="C836" s="3" t="str">
        <f>IFERROR(__xludf.DUMMYFUNCTION("""COMPUTED_VALUE"""),"Apron")</f>
        <v>Apron</v>
      </c>
    </row>
    <row r="837">
      <c r="A837" s="3" t="str">
        <f>IFERROR(__xludf.DUMMYFUNCTION("""COMPUTED_VALUE"""),"aptoge")</f>
        <v>aptoge</v>
      </c>
      <c r="B837" s="3" t="str">
        <f>IFERROR(__xludf.DUMMYFUNCTION("""COMPUTED_VALUE"""),"aptoge")</f>
        <v>aptoge</v>
      </c>
      <c r="C837" s="3" t="str">
        <f>IFERROR(__xludf.DUMMYFUNCTION("""COMPUTED_VALUE"""),"Aptoge")</f>
        <v>Aptoge</v>
      </c>
    </row>
    <row r="838">
      <c r="A838" s="3" t="str">
        <f>IFERROR(__xludf.DUMMYFUNCTION("""COMPUTED_VALUE"""),"aptos")</f>
        <v>aptos</v>
      </c>
      <c r="B838" s="3" t="str">
        <f>IFERROR(__xludf.DUMMYFUNCTION("""COMPUTED_VALUE"""),"apt")</f>
        <v>apt</v>
      </c>
      <c r="C838" s="3" t="str">
        <f>IFERROR(__xludf.DUMMYFUNCTION("""COMPUTED_VALUE"""),"Aptos")</f>
        <v>Aptos</v>
      </c>
    </row>
    <row r="839">
      <c r="A839" s="3" t="str">
        <f>IFERROR(__xludf.DUMMYFUNCTION("""COMPUTED_VALUE"""),"aptos-launch-token")</f>
        <v>aptos-launch-token</v>
      </c>
      <c r="B839" s="3" t="str">
        <f>IFERROR(__xludf.DUMMYFUNCTION("""COMPUTED_VALUE"""),"alt")</f>
        <v>alt</v>
      </c>
      <c r="C839" s="3" t="str">
        <f>IFERROR(__xludf.DUMMYFUNCTION("""COMPUTED_VALUE"""),"AptosLaunch Token")</f>
        <v>AptosLaunch Token</v>
      </c>
    </row>
    <row r="840">
      <c r="A840" s="3" t="str">
        <f>IFERROR(__xludf.DUMMYFUNCTION("""COMPUTED_VALUE"""),"apwine")</f>
        <v>apwine</v>
      </c>
      <c r="B840" s="3" t="str">
        <f>IFERROR(__xludf.DUMMYFUNCTION("""COMPUTED_VALUE"""),"apw")</f>
        <v>apw</v>
      </c>
      <c r="C840" s="3" t="str">
        <f>IFERROR(__xludf.DUMMYFUNCTION("""COMPUTED_VALUE"""),"APWine")</f>
        <v>APWine</v>
      </c>
    </row>
    <row r="841">
      <c r="A841" s="3" t="str">
        <f>IFERROR(__xludf.DUMMYFUNCTION("""COMPUTED_VALUE"""),"apy-finance")</f>
        <v>apy-finance</v>
      </c>
      <c r="B841" s="3" t="str">
        <f>IFERROR(__xludf.DUMMYFUNCTION("""COMPUTED_VALUE"""),"apy")</f>
        <v>apy</v>
      </c>
      <c r="C841" s="3" t="str">
        <f>IFERROR(__xludf.DUMMYFUNCTION("""COMPUTED_VALUE"""),"APY.Finance")</f>
        <v>APY.Finance</v>
      </c>
    </row>
    <row r="842">
      <c r="A842" s="3" t="str">
        <f>IFERROR(__xludf.DUMMYFUNCTION("""COMPUTED_VALUE"""),"apyswap")</f>
        <v>apyswap</v>
      </c>
      <c r="B842" s="3" t="str">
        <f>IFERROR(__xludf.DUMMYFUNCTION("""COMPUTED_VALUE"""),"apys")</f>
        <v>apys</v>
      </c>
      <c r="C842" s="3" t="str">
        <f>IFERROR(__xludf.DUMMYFUNCTION("""COMPUTED_VALUE"""),"APYSwap")</f>
        <v>APYSwap</v>
      </c>
    </row>
    <row r="843">
      <c r="A843" s="3" t="str">
        <f>IFERROR(__xludf.DUMMYFUNCTION("""COMPUTED_VALUE"""),"apy-vision")</f>
        <v>apy-vision</v>
      </c>
      <c r="B843" s="3" t="str">
        <f>IFERROR(__xludf.DUMMYFUNCTION("""COMPUTED_VALUE"""),"vision")</f>
        <v>vision</v>
      </c>
      <c r="C843" s="3" t="str">
        <f>IFERROR(__xludf.DUMMYFUNCTION("""COMPUTED_VALUE"""),"APY.vision")</f>
        <v>APY.vision</v>
      </c>
    </row>
    <row r="844">
      <c r="A844" s="3" t="str">
        <f>IFERROR(__xludf.DUMMYFUNCTION("""COMPUTED_VALUE"""),"aqar-chain")</f>
        <v>aqar-chain</v>
      </c>
      <c r="B844" s="3" t="str">
        <f>IFERROR(__xludf.DUMMYFUNCTION("""COMPUTED_VALUE"""),"aqr")</f>
        <v>aqr</v>
      </c>
      <c r="C844" s="3" t="str">
        <f>IFERROR(__xludf.DUMMYFUNCTION("""COMPUTED_VALUE"""),"Aqar Chain")</f>
        <v>Aqar Chain</v>
      </c>
    </row>
    <row r="845">
      <c r="A845" s="3" t="str">
        <f>IFERROR(__xludf.DUMMYFUNCTION("""COMPUTED_VALUE"""),"aqua-goat")</f>
        <v>aqua-goat</v>
      </c>
      <c r="B845" s="3" t="str">
        <f>IFERROR(__xludf.DUMMYFUNCTION("""COMPUTED_VALUE"""),"aquagoat")</f>
        <v>aquagoat</v>
      </c>
      <c r="C845" s="3" t="str">
        <f>IFERROR(__xludf.DUMMYFUNCTION("""COMPUTED_VALUE"""),"Aqua Goat")</f>
        <v>Aqua Goat</v>
      </c>
    </row>
    <row r="846">
      <c r="A846" s="3" t="str">
        <f>IFERROR(__xludf.DUMMYFUNCTION("""COMPUTED_VALUE"""),"aquanee")</f>
        <v>aquanee</v>
      </c>
      <c r="B846" s="3" t="str">
        <f>IFERROR(__xludf.DUMMYFUNCTION("""COMPUTED_VALUE"""),"aqdc")</f>
        <v>aqdc</v>
      </c>
      <c r="C846" s="3" t="str">
        <f>IFERROR(__xludf.DUMMYFUNCTION("""COMPUTED_VALUE"""),"Aquanee")</f>
        <v>Aquanee</v>
      </c>
    </row>
    <row r="847">
      <c r="A847" s="3" t="str">
        <f>IFERROR(__xludf.DUMMYFUNCTION("""COMPUTED_VALUE"""),"aquari")</f>
        <v>aquari</v>
      </c>
      <c r="B847" s="3" t="str">
        <f>IFERROR(__xludf.DUMMYFUNCTION("""COMPUTED_VALUE"""),"aquari")</f>
        <v>aquari</v>
      </c>
      <c r="C847" s="3" t="str">
        <f>IFERROR(__xludf.DUMMYFUNCTION("""COMPUTED_VALUE"""),"Aquari")</f>
        <v>Aquari</v>
      </c>
    </row>
    <row r="848">
      <c r="A848" s="3" t="str">
        <f>IFERROR(__xludf.DUMMYFUNCTION("""COMPUTED_VALUE"""),"aquarius")</f>
        <v>aquarius</v>
      </c>
      <c r="B848" s="3" t="str">
        <f>IFERROR(__xludf.DUMMYFUNCTION("""COMPUTED_VALUE"""),"aqua")</f>
        <v>aqua</v>
      </c>
      <c r="C848" s="3" t="str">
        <f>IFERROR(__xludf.DUMMYFUNCTION("""COMPUTED_VALUE"""),"Aquarius")</f>
        <v>Aquarius</v>
      </c>
    </row>
    <row r="849">
      <c r="A849" s="3" t="str">
        <f>IFERROR(__xludf.DUMMYFUNCTION("""COMPUTED_VALUE"""),"aquariuscoin")</f>
        <v>aquariuscoin</v>
      </c>
      <c r="B849" s="3" t="str">
        <f>IFERROR(__xludf.DUMMYFUNCTION("""COMPUTED_VALUE"""),"arco")</f>
        <v>arco</v>
      </c>
      <c r="C849" s="3" t="str">
        <f>IFERROR(__xludf.DUMMYFUNCTION("""COMPUTED_VALUE"""),"AquariusCoin")</f>
        <v>AquariusCoin</v>
      </c>
    </row>
    <row r="850">
      <c r="A850" s="3" t="str">
        <f>IFERROR(__xludf.DUMMYFUNCTION("""COMPUTED_VALUE"""),"aquarius-fi")</f>
        <v>aquarius-fi</v>
      </c>
      <c r="B850" s="3" t="str">
        <f>IFERROR(__xludf.DUMMYFUNCTION("""COMPUTED_VALUE"""),"aqu")</f>
        <v>aqu</v>
      </c>
      <c r="C850" s="4" t="str">
        <f>IFERROR(__xludf.DUMMYFUNCTION("""COMPUTED_VALUE"""),"Aquarius.Fi")</f>
        <v>Aquarius.Fi</v>
      </c>
    </row>
    <row r="851">
      <c r="A851" s="3" t="str">
        <f>IFERROR(__xludf.DUMMYFUNCTION("""COMPUTED_VALUE"""),"aquatank")</f>
        <v>aquatank</v>
      </c>
      <c r="B851" s="3" t="str">
        <f>IFERROR(__xludf.DUMMYFUNCTION("""COMPUTED_VALUE"""),"aqua")</f>
        <v>aqua</v>
      </c>
      <c r="C851" s="3" t="str">
        <f>IFERROR(__xludf.DUMMYFUNCTION("""COMPUTED_VALUE"""),"AquaTank")</f>
        <v>AquaTank</v>
      </c>
    </row>
    <row r="852">
      <c r="A852" s="3" t="str">
        <f>IFERROR(__xludf.DUMMYFUNCTION("""COMPUTED_VALUE"""),"aqua-unicorn")</f>
        <v>aqua-unicorn</v>
      </c>
      <c r="B852" s="3" t="str">
        <f>IFERROR(__xludf.DUMMYFUNCTION("""COMPUTED_VALUE"""),"auni")</f>
        <v>auni</v>
      </c>
      <c r="C852" s="3" t="str">
        <f>IFERROR(__xludf.DUMMYFUNCTION("""COMPUTED_VALUE"""),"Aqua Unicorn")</f>
        <v>Aqua Unicorn</v>
      </c>
    </row>
    <row r="853">
      <c r="A853" s="3" t="str">
        <f>IFERROR(__xludf.DUMMYFUNCTION("""COMPUTED_VALUE"""),"arabella")</f>
        <v>arabella</v>
      </c>
      <c r="B853" s="3" t="str">
        <f>IFERROR(__xludf.DUMMYFUNCTION("""COMPUTED_VALUE"""),"ablc")</f>
        <v>ablc</v>
      </c>
      <c r="C853" s="3" t="str">
        <f>IFERROR(__xludf.DUMMYFUNCTION("""COMPUTED_VALUE"""),"ARABELLA")</f>
        <v>ARABELLA</v>
      </c>
    </row>
    <row r="854">
      <c r="A854" s="3" t="str">
        <f>IFERROR(__xludf.DUMMYFUNCTION("""COMPUTED_VALUE"""),"arabian-doge")</f>
        <v>arabian-doge</v>
      </c>
      <c r="B854" s="3" t="str">
        <f>IFERROR(__xludf.DUMMYFUNCTION("""COMPUTED_VALUE"""),"$adoge")</f>
        <v>$adoge</v>
      </c>
      <c r="C854" s="3" t="str">
        <f>IFERROR(__xludf.DUMMYFUNCTION("""COMPUTED_VALUE"""),"Arabian Doge")</f>
        <v>Arabian Doge</v>
      </c>
    </row>
    <row r="855">
      <c r="A855" s="3" t="str">
        <f>IFERROR(__xludf.DUMMYFUNCTION("""COMPUTED_VALUE"""),"arabic")</f>
        <v>arabic</v>
      </c>
      <c r="B855" s="3" t="str">
        <f>IFERROR(__xludf.DUMMYFUNCTION("""COMPUTED_VALUE"""),"abic")</f>
        <v>abic</v>
      </c>
      <c r="C855" s="3" t="str">
        <f>IFERROR(__xludf.DUMMYFUNCTION("""COMPUTED_VALUE"""),"Arabic")</f>
        <v>Arabic</v>
      </c>
    </row>
    <row r="856">
      <c r="A856" s="3" t="str">
        <f>IFERROR(__xludf.DUMMYFUNCTION("""COMPUTED_VALUE"""),"arable-protocol")</f>
        <v>arable-protocol</v>
      </c>
      <c r="B856" s="3" t="str">
        <f>IFERROR(__xludf.DUMMYFUNCTION("""COMPUTED_VALUE"""),"acre")</f>
        <v>acre</v>
      </c>
      <c r="C856" s="3" t="str">
        <f>IFERROR(__xludf.DUMMYFUNCTION("""COMPUTED_VALUE"""),"Arable Protocol")</f>
        <v>Arable Protocol</v>
      </c>
    </row>
    <row r="857">
      <c r="A857" s="3" t="str">
        <f>IFERROR(__xludf.DUMMYFUNCTION("""COMPUTED_VALUE"""),"arable-usd")</f>
        <v>arable-usd</v>
      </c>
      <c r="B857" s="3" t="str">
        <f>IFERROR(__xludf.DUMMYFUNCTION("""COMPUTED_VALUE"""),"arusd")</f>
        <v>arusd</v>
      </c>
      <c r="C857" s="3" t="str">
        <f>IFERROR(__xludf.DUMMYFUNCTION("""COMPUTED_VALUE"""),"Arable USD")</f>
        <v>Arable USD</v>
      </c>
    </row>
    <row r="858">
      <c r="A858" s="3" t="str">
        <f>IFERROR(__xludf.DUMMYFUNCTION("""COMPUTED_VALUE"""),"aragon")</f>
        <v>aragon</v>
      </c>
      <c r="B858" s="3" t="str">
        <f>IFERROR(__xludf.DUMMYFUNCTION("""COMPUTED_VALUE"""),"ant")</f>
        <v>ant</v>
      </c>
      <c r="C858" s="3" t="str">
        <f>IFERROR(__xludf.DUMMYFUNCTION("""COMPUTED_VALUE"""),"Aragon")</f>
        <v>Aragon</v>
      </c>
    </row>
    <row r="859">
      <c r="A859" s="3" t="str">
        <f>IFERROR(__xludf.DUMMYFUNCTION("""COMPUTED_VALUE"""),"arata")</f>
        <v>arata</v>
      </c>
      <c r="B859" s="3" t="str">
        <f>IFERROR(__xludf.DUMMYFUNCTION("""COMPUTED_VALUE"""),"arata")</f>
        <v>arata</v>
      </c>
      <c r="C859" s="3" t="str">
        <f>IFERROR(__xludf.DUMMYFUNCTION("""COMPUTED_VALUE"""),"Arata")</f>
        <v>Arata</v>
      </c>
    </row>
    <row r="860">
      <c r="A860" s="3" t="str">
        <f>IFERROR(__xludf.DUMMYFUNCTION("""COMPUTED_VALUE"""),"ara-token")</f>
        <v>ara-token</v>
      </c>
      <c r="B860" s="3" t="str">
        <f>IFERROR(__xludf.DUMMYFUNCTION("""COMPUTED_VALUE"""),"ara")</f>
        <v>ara</v>
      </c>
      <c r="C860" s="3" t="str">
        <f>IFERROR(__xludf.DUMMYFUNCTION("""COMPUTED_VALUE"""),"Ara")</f>
        <v>Ara</v>
      </c>
    </row>
    <row r="861">
      <c r="A861" s="3" t="str">
        <f>IFERROR(__xludf.DUMMYFUNCTION("""COMPUTED_VALUE"""),"araw-token")</f>
        <v>araw-token</v>
      </c>
      <c r="B861" s="3" t="str">
        <f>IFERROR(__xludf.DUMMYFUNCTION("""COMPUTED_VALUE"""),"araw")</f>
        <v>araw</v>
      </c>
      <c r="C861" s="3" t="str">
        <f>IFERROR(__xludf.DUMMYFUNCTION("""COMPUTED_VALUE"""),"ARAW")</f>
        <v>ARAW</v>
      </c>
    </row>
    <row r="862">
      <c r="A862" s="3" t="str">
        <f>IFERROR(__xludf.DUMMYFUNCTION("""COMPUTED_VALUE"""),"arbidex")</f>
        <v>arbidex</v>
      </c>
      <c r="B862" s="3" t="str">
        <f>IFERROR(__xludf.DUMMYFUNCTION("""COMPUTED_VALUE"""),"abx")</f>
        <v>abx</v>
      </c>
      <c r="C862" s="3" t="str">
        <f>IFERROR(__xludf.DUMMYFUNCTION("""COMPUTED_VALUE"""),"Arbidex")</f>
        <v>Arbidex</v>
      </c>
    </row>
    <row r="863">
      <c r="A863" s="3" t="str">
        <f>IFERROR(__xludf.DUMMYFUNCTION("""COMPUTED_VALUE"""),"arbidoge")</f>
        <v>arbidoge</v>
      </c>
      <c r="B863" s="3" t="str">
        <f>IFERROR(__xludf.DUMMYFUNCTION("""COMPUTED_VALUE"""),"adoge")</f>
        <v>adoge</v>
      </c>
      <c r="C863" s="3" t="str">
        <f>IFERROR(__xludf.DUMMYFUNCTION("""COMPUTED_VALUE"""),"ArbiDoge")</f>
        <v>ArbiDoge</v>
      </c>
    </row>
    <row r="864">
      <c r="A864" s="3" t="str">
        <f>IFERROR(__xludf.DUMMYFUNCTION("""COMPUTED_VALUE"""),"arbinyan")</f>
        <v>arbinyan</v>
      </c>
      <c r="B864" s="3" t="str">
        <f>IFERROR(__xludf.DUMMYFUNCTION("""COMPUTED_VALUE"""),"nyan")</f>
        <v>nyan</v>
      </c>
      <c r="C864" s="3" t="str">
        <f>IFERROR(__xludf.DUMMYFUNCTION("""COMPUTED_VALUE"""),"ArbiNYAN")</f>
        <v>ArbiNYAN</v>
      </c>
    </row>
    <row r="865">
      <c r="A865" s="3" t="str">
        <f>IFERROR(__xludf.DUMMYFUNCTION("""COMPUTED_VALUE"""),"arbis-finance")</f>
        <v>arbis-finance</v>
      </c>
      <c r="B865" s="3" t="str">
        <f>IFERROR(__xludf.DUMMYFUNCTION("""COMPUTED_VALUE"""),"arbis")</f>
        <v>arbis</v>
      </c>
      <c r="C865" s="3" t="str">
        <f>IFERROR(__xludf.DUMMYFUNCTION("""COMPUTED_VALUE"""),"Arbis Finance")</f>
        <v>Arbis Finance</v>
      </c>
    </row>
    <row r="866">
      <c r="A866" s="3" t="str">
        <f>IFERROR(__xludf.DUMMYFUNCTION("""COMPUTED_VALUE"""),"arbismart-token")</f>
        <v>arbismart-token</v>
      </c>
      <c r="B866" s="3" t="str">
        <f>IFERROR(__xludf.DUMMYFUNCTION("""COMPUTED_VALUE"""),"rbis")</f>
        <v>rbis</v>
      </c>
      <c r="C866" s="3" t="str">
        <f>IFERROR(__xludf.DUMMYFUNCTION("""COMPUTED_VALUE"""),"ArbiSmart")</f>
        <v>ArbiSmart</v>
      </c>
    </row>
    <row r="867">
      <c r="A867" s="3" t="str">
        <f>IFERROR(__xludf.DUMMYFUNCTION("""COMPUTED_VALUE"""),"arbitrage-token")</f>
        <v>arbitrage-token</v>
      </c>
      <c r="B867" s="3" t="str">
        <f>IFERROR(__xludf.DUMMYFUNCTION("""COMPUTED_VALUE"""),"rbtr")</f>
        <v>rbtr</v>
      </c>
      <c r="C867" s="3" t="str">
        <f>IFERROR(__xludf.DUMMYFUNCTION("""COMPUTED_VALUE"""),"Arbitrage Token")</f>
        <v>Arbitrage Token</v>
      </c>
    </row>
    <row r="868">
      <c r="A868" s="3" t="str">
        <f>IFERROR(__xludf.DUMMYFUNCTION("""COMPUTED_VALUE"""),"arb-protocol")</f>
        <v>arb-protocol</v>
      </c>
      <c r="B868" s="3" t="str">
        <f>IFERROR(__xludf.DUMMYFUNCTION("""COMPUTED_VALUE"""),"arb")</f>
        <v>arb</v>
      </c>
      <c r="C868" s="3" t="str">
        <f>IFERROR(__xludf.DUMMYFUNCTION("""COMPUTED_VALUE"""),"ARB Protocol")</f>
        <v>ARB Protocol</v>
      </c>
    </row>
    <row r="869">
      <c r="A869" s="3" t="str">
        <f>IFERROR(__xludf.DUMMYFUNCTION("""COMPUTED_VALUE"""),"arbucks")</f>
        <v>arbucks</v>
      </c>
      <c r="B869" s="3" t="str">
        <f>IFERROR(__xludf.DUMMYFUNCTION("""COMPUTED_VALUE"""),"buck")</f>
        <v>buck</v>
      </c>
      <c r="C869" s="3" t="str">
        <f>IFERROR(__xludf.DUMMYFUNCTION("""COMPUTED_VALUE"""),"Arbucks")</f>
        <v>Arbucks</v>
      </c>
    </row>
    <row r="870">
      <c r="A870" s="3" t="str">
        <f>IFERROR(__xludf.DUMMYFUNCTION("""COMPUTED_VALUE"""),"arbys")</f>
        <v>arbys</v>
      </c>
      <c r="B870" s="3" t="str">
        <f>IFERROR(__xludf.DUMMYFUNCTION("""COMPUTED_VALUE"""),"arbys")</f>
        <v>arbys</v>
      </c>
      <c r="C870" s="3" t="str">
        <f>IFERROR(__xludf.DUMMYFUNCTION("""COMPUTED_VALUE"""),"Arbys")</f>
        <v>Arbys</v>
      </c>
    </row>
    <row r="871">
      <c r="A871" s="3" t="str">
        <f>IFERROR(__xludf.DUMMYFUNCTION("""COMPUTED_VALUE"""),"arc")</f>
        <v>arc</v>
      </c>
      <c r="B871" s="3" t="str">
        <f>IFERROR(__xludf.DUMMYFUNCTION("""COMPUTED_VALUE"""),"arc")</f>
        <v>arc</v>
      </c>
      <c r="C871" s="3" t="str">
        <f>IFERROR(__xludf.DUMMYFUNCTION("""COMPUTED_VALUE"""),"Arc")</f>
        <v>Arc</v>
      </c>
    </row>
    <row r="872">
      <c r="A872" s="3" t="str">
        <f>IFERROR(__xludf.DUMMYFUNCTION("""COMPUTED_VALUE"""),"arcade")</f>
        <v>arcade</v>
      </c>
      <c r="B872" s="3" t="str">
        <f>IFERROR(__xludf.DUMMYFUNCTION("""COMPUTED_VALUE"""),"arc")</f>
        <v>arc</v>
      </c>
      <c r="C872" s="3" t="str">
        <f>IFERROR(__xludf.DUMMYFUNCTION("""COMPUTED_VALUE"""),"Arcade")</f>
        <v>Arcade</v>
      </c>
    </row>
    <row r="873">
      <c r="A873" s="3" t="str">
        <f>IFERROR(__xludf.DUMMYFUNCTION("""COMPUTED_VALUE"""),"arcade2earn")</f>
        <v>arcade2earn</v>
      </c>
      <c r="B873" s="3" t="str">
        <f>IFERROR(__xludf.DUMMYFUNCTION("""COMPUTED_VALUE"""),"arcade")</f>
        <v>arcade</v>
      </c>
      <c r="C873" s="3" t="str">
        <f>IFERROR(__xludf.DUMMYFUNCTION("""COMPUTED_VALUE"""),"Arcade2Earn")</f>
        <v>Arcade2Earn</v>
      </c>
    </row>
    <row r="874">
      <c r="A874" s="3" t="str">
        <f>IFERROR(__xludf.DUMMYFUNCTION("""COMPUTED_VALUE"""),"arcade-canine")</f>
        <v>arcade-canine</v>
      </c>
      <c r="B874" s="3" t="str">
        <f>IFERROR(__xludf.DUMMYFUNCTION("""COMPUTED_VALUE"""),"okinu")</f>
        <v>okinu</v>
      </c>
      <c r="C874" s="3" t="str">
        <f>IFERROR(__xludf.DUMMYFUNCTION("""COMPUTED_VALUE"""),"Arcade Canine")</f>
        <v>Arcade Canine</v>
      </c>
    </row>
    <row r="875">
      <c r="A875" s="3" t="str">
        <f>IFERROR(__xludf.DUMMYFUNCTION("""COMPUTED_VALUE"""),"arcade-kingdoms")</f>
        <v>arcade-kingdoms</v>
      </c>
      <c r="B875" s="3" t="str">
        <f>IFERROR(__xludf.DUMMYFUNCTION("""COMPUTED_VALUE"""),"ack")</f>
        <v>ack</v>
      </c>
      <c r="C875" s="3" t="str">
        <f>IFERROR(__xludf.DUMMYFUNCTION("""COMPUTED_VALUE"""),"Arcade Kingdoms")</f>
        <v>Arcade Kingdoms</v>
      </c>
    </row>
    <row r="876">
      <c r="A876" s="3" t="str">
        <f>IFERROR(__xludf.DUMMYFUNCTION("""COMPUTED_VALUE"""),"arcadenetwork")</f>
        <v>arcadenetwork</v>
      </c>
      <c r="B876" s="3" t="str">
        <f>IFERROR(__xludf.DUMMYFUNCTION("""COMPUTED_VALUE"""),"arc")</f>
        <v>arc</v>
      </c>
      <c r="C876" s="3" t="str">
        <f>IFERROR(__xludf.DUMMYFUNCTION("""COMPUTED_VALUE"""),"ArcadeNetwork")</f>
        <v>ArcadeNetwork</v>
      </c>
    </row>
    <row r="877">
      <c r="A877" s="3" t="str">
        <f>IFERROR(__xludf.DUMMYFUNCTION("""COMPUTED_VALUE"""),"arcadia-token")</f>
        <v>arcadia-token</v>
      </c>
      <c r="B877" s="3" t="str">
        <f>IFERROR(__xludf.DUMMYFUNCTION("""COMPUTED_VALUE"""),"$arc")</f>
        <v>$arc</v>
      </c>
      <c r="C877" s="3" t="str">
        <f>IFERROR(__xludf.DUMMYFUNCTION("""COMPUTED_VALUE"""),"Arcadia Token")</f>
        <v>Arcadia Token</v>
      </c>
    </row>
    <row r="878">
      <c r="A878" s="3" t="str">
        <f>IFERROR(__xludf.DUMMYFUNCTION("""COMPUTED_VALUE"""),"arcadium")</f>
        <v>arcadium</v>
      </c>
      <c r="B878" s="3" t="str">
        <f>IFERROR(__xludf.DUMMYFUNCTION("""COMPUTED_VALUE"""),"arcadium")</f>
        <v>arcadium</v>
      </c>
      <c r="C878" s="3" t="str">
        <f>IFERROR(__xludf.DUMMYFUNCTION("""COMPUTED_VALUE"""),"Arcadium")</f>
        <v>Arcadium</v>
      </c>
    </row>
    <row r="879">
      <c r="A879" s="3" t="str">
        <f>IFERROR(__xludf.DUMMYFUNCTION("""COMPUTED_VALUE"""),"arcaneleague")</f>
        <v>arcaneleague</v>
      </c>
      <c r="B879" s="3" t="str">
        <f>IFERROR(__xludf.DUMMYFUNCTION("""COMPUTED_VALUE"""),"arcaneleague")</f>
        <v>arcaneleague</v>
      </c>
      <c r="C879" s="3" t="str">
        <f>IFERROR(__xludf.DUMMYFUNCTION("""COMPUTED_VALUE"""),"ArcaneLeague")</f>
        <v>ArcaneLeague</v>
      </c>
    </row>
    <row r="880">
      <c r="A880" s="3" t="str">
        <f>IFERROR(__xludf.DUMMYFUNCTION("""COMPUTED_VALUE"""),"arcane-token")</f>
        <v>arcane-token</v>
      </c>
      <c r="B880" s="3" t="str">
        <f>IFERROR(__xludf.DUMMYFUNCTION("""COMPUTED_VALUE"""),"arcane")</f>
        <v>arcane</v>
      </c>
      <c r="C880" s="3" t="str">
        <f>IFERROR(__xludf.DUMMYFUNCTION("""COMPUTED_VALUE"""),"Arcane Token")</f>
        <v>Arcane Token</v>
      </c>
    </row>
    <row r="881">
      <c r="A881" s="3" t="str">
        <f>IFERROR(__xludf.DUMMYFUNCTION("""COMPUTED_VALUE"""),"arcblock")</f>
        <v>arcblock</v>
      </c>
      <c r="B881" s="3" t="str">
        <f>IFERROR(__xludf.DUMMYFUNCTION("""COMPUTED_VALUE"""),"abt")</f>
        <v>abt</v>
      </c>
      <c r="C881" s="3" t="str">
        <f>IFERROR(__xludf.DUMMYFUNCTION("""COMPUTED_VALUE"""),"Arcblock")</f>
        <v>Arcblock</v>
      </c>
    </row>
    <row r="882">
      <c r="A882" s="3" t="str">
        <f>IFERROR(__xludf.DUMMYFUNCTION("""COMPUTED_VALUE"""),"arcc")</f>
        <v>arcc</v>
      </c>
      <c r="B882" s="3" t="str">
        <f>IFERROR(__xludf.DUMMYFUNCTION("""COMPUTED_VALUE"""),"arcc")</f>
        <v>arcc</v>
      </c>
      <c r="C882" s="3" t="str">
        <f>IFERROR(__xludf.DUMMYFUNCTION("""COMPUTED_VALUE"""),"ARCC")</f>
        <v>ARCC</v>
      </c>
    </row>
    <row r="883">
      <c r="A883" s="3" t="str">
        <f>IFERROR(__xludf.DUMMYFUNCTION("""COMPUTED_VALUE"""),"arc-finance")</f>
        <v>arc-finance</v>
      </c>
      <c r="B883" s="3" t="str">
        <f>IFERROR(__xludf.DUMMYFUNCTION("""COMPUTED_VALUE"""),"arc")</f>
        <v>arc</v>
      </c>
      <c r="C883" s="3" t="str">
        <f>IFERROR(__xludf.DUMMYFUNCTION("""COMPUTED_VALUE"""),"Arc Finance")</f>
        <v>Arc Finance</v>
      </c>
    </row>
    <row r="884">
      <c r="A884" s="3" t="str">
        <f>IFERROR(__xludf.DUMMYFUNCTION("""COMPUTED_VALUE"""),"arc-governance")</f>
        <v>arc-governance</v>
      </c>
      <c r="B884" s="3" t="str">
        <f>IFERROR(__xludf.DUMMYFUNCTION("""COMPUTED_VALUE"""),"arcx")</f>
        <v>arcx</v>
      </c>
      <c r="C884" s="3" t="str">
        <f>IFERROR(__xludf.DUMMYFUNCTION("""COMPUTED_VALUE"""),"ARC Governance")</f>
        <v>ARC Governance</v>
      </c>
    </row>
    <row r="885">
      <c r="A885" s="3" t="str">
        <f>IFERROR(__xludf.DUMMYFUNCTION("""COMPUTED_VALUE"""),"archangel-token")</f>
        <v>archangel-token</v>
      </c>
      <c r="B885" s="3" t="str">
        <f>IFERROR(__xludf.DUMMYFUNCTION("""COMPUTED_VALUE"""),"archa")</f>
        <v>archa</v>
      </c>
      <c r="C885" s="3" t="str">
        <f>IFERROR(__xludf.DUMMYFUNCTION("""COMPUTED_VALUE"""),"ArchAngel")</f>
        <v>ArchAngel</v>
      </c>
    </row>
    <row r="886">
      <c r="A886" s="3" t="str">
        <f>IFERROR(__xludf.DUMMYFUNCTION("""COMPUTED_VALUE"""),"arch-blockchains")</f>
        <v>arch-blockchains</v>
      </c>
      <c r="B886" s="3" t="str">
        <f>IFERROR(__xludf.DUMMYFUNCTION("""COMPUTED_VALUE"""),"chain")</f>
        <v>chain</v>
      </c>
      <c r="C886" s="3" t="str">
        <f>IFERROR(__xludf.DUMMYFUNCTION("""COMPUTED_VALUE"""),"Arch Blockchains")</f>
        <v>Arch Blockchains</v>
      </c>
    </row>
    <row r="887">
      <c r="A887" s="3" t="str">
        <f>IFERROR(__xludf.DUMMYFUNCTION("""COMPUTED_VALUE"""),"archer-dao-governance-token")</f>
        <v>archer-dao-governance-token</v>
      </c>
      <c r="B887" s="3" t="str">
        <f>IFERROR(__xludf.DUMMYFUNCTION("""COMPUTED_VALUE"""),"arch")</f>
        <v>arch</v>
      </c>
      <c r="C887" s="3" t="str">
        <f>IFERROR(__xludf.DUMMYFUNCTION("""COMPUTED_VALUE"""),"Archer DAO Governance")</f>
        <v>Archer DAO Governance</v>
      </c>
    </row>
    <row r="888">
      <c r="A888" s="3" t="str">
        <f>IFERROR(__xludf.DUMMYFUNCTION("""COMPUTED_VALUE"""),"arch-ethereum-web3")</f>
        <v>arch-ethereum-web3</v>
      </c>
      <c r="B888" s="3" t="str">
        <f>IFERROR(__xludf.DUMMYFUNCTION("""COMPUTED_VALUE"""),"web3")</f>
        <v>web3</v>
      </c>
      <c r="C888" s="3" t="str">
        <f>IFERROR(__xludf.DUMMYFUNCTION("""COMPUTED_VALUE"""),"Arch Ethereum Web3")</f>
        <v>Arch Ethereum Web3</v>
      </c>
    </row>
    <row r="889">
      <c r="A889" s="3" t="str">
        <f>IFERROR(__xludf.DUMMYFUNCTION("""COMPUTED_VALUE"""),"archethic")</f>
        <v>archethic</v>
      </c>
      <c r="B889" s="3" t="str">
        <f>IFERROR(__xludf.DUMMYFUNCTION("""COMPUTED_VALUE"""),"uco")</f>
        <v>uco</v>
      </c>
      <c r="C889" s="3" t="str">
        <f>IFERROR(__xludf.DUMMYFUNCTION("""COMPUTED_VALUE"""),"Archethic")</f>
        <v>Archethic</v>
      </c>
    </row>
    <row r="890">
      <c r="A890" s="3" t="str">
        <f>IFERROR(__xludf.DUMMYFUNCTION("""COMPUTED_VALUE"""),"archetypal-network")</f>
        <v>archetypal-network</v>
      </c>
      <c r="B890" s="3" t="str">
        <f>IFERROR(__xludf.DUMMYFUNCTION("""COMPUTED_VALUE"""),"actp")</f>
        <v>actp</v>
      </c>
      <c r="C890" s="3" t="str">
        <f>IFERROR(__xludf.DUMMYFUNCTION("""COMPUTED_VALUE"""),"Archetypal Network")</f>
        <v>Archetypal Network</v>
      </c>
    </row>
    <row r="891">
      <c r="A891" s="3" t="str">
        <f>IFERROR(__xludf.DUMMYFUNCTION("""COMPUTED_VALUE"""),"arcona")</f>
        <v>arcona</v>
      </c>
      <c r="B891" s="3" t="str">
        <f>IFERROR(__xludf.DUMMYFUNCTION("""COMPUTED_VALUE"""),"arcona")</f>
        <v>arcona</v>
      </c>
      <c r="C891" s="3" t="str">
        <f>IFERROR(__xludf.DUMMYFUNCTION("""COMPUTED_VALUE"""),"Arcona")</f>
        <v>Arcona</v>
      </c>
    </row>
    <row r="892">
      <c r="A892" s="3" t="str">
        <f>IFERROR(__xludf.DUMMYFUNCTION("""COMPUTED_VALUE"""),"arcs")</f>
        <v>arcs</v>
      </c>
      <c r="B892" s="3" t="str">
        <f>IFERROR(__xludf.DUMMYFUNCTION("""COMPUTED_VALUE"""),"arx")</f>
        <v>arx</v>
      </c>
      <c r="C892" s="3" t="str">
        <f>IFERROR(__xludf.DUMMYFUNCTION("""COMPUTED_VALUE"""),"ARCS")</f>
        <v>ARCS</v>
      </c>
    </row>
    <row r="893">
      <c r="A893" s="3" t="str">
        <f>IFERROR(__xludf.DUMMYFUNCTION("""COMPUTED_VALUE"""),"arcticcoin")</f>
        <v>arcticcoin</v>
      </c>
      <c r="B893" s="3" t="str">
        <f>IFERROR(__xludf.DUMMYFUNCTION("""COMPUTED_VALUE"""),"arc")</f>
        <v>arc</v>
      </c>
      <c r="C893" s="3" t="str">
        <f>IFERROR(__xludf.DUMMYFUNCTION("""COMPUTED_VALUE"""),"Advanced Technology Coin")</f>
        <v>Advanced Technology Coin</v>
      </c>
    </row>
    <row r="894">
      <c r="A894" s="3" t="str">
        <f>IFERROR(__xludf.DUMMYFUNCTION("""COMPUTED_VALUE"""),"arc-token")</f>
        <v>arc-token</v>
      </c>
      <c r="B894" s="3" t="str">
        <f>IFERROR(__xludf.DUMMYFUNCTION("""COMPUTED_VALUE"""),"arc")</f>
        <v>arc</v>
      </c>
      <c r="C894" s="3" t="str">
        <f>IFERROR(__xludf.DUMMYFUNCTION("""COMPUTED_VALUE"""),"Arc Protocol")</f>
        <v>Arc Protocol</v>
      </c>
    </row>
    <row r="895">
      <c r="A895" s="3" t="str">
        <f>IFERROR(__xludf.DUMMYFUNCTION("""COMPUTED_VALUE"""),"ardana")</f>
        <v>ardana</v>
      </c>
      <c r="B895" s="3" t="str">
        <f>IFERROR(__xludf.DUMMYFUNCTION("""COMPUTED_VALUE"""),"dana")</f>
        <v>dana</v>
      </c>
      <c r="C895" s="3" t="str">
        <f>IFERROR(__xludf.DUMMYFUNCTION("""COMPUTED_VALUE"""),"Ardana")</f>
        <v>Ardana</v>
      </c>
    </row>
    <row r="896">
      <c r="A896" s="3" t="str">
        <f>IFERROR(__xludf.DUMMYFUNCTION("""COMPUTED_VALUE"""),"ardcoin")</f>
        <v>ardcoin</v>
      </c>
      <c r="B896" s="3" t="str">
        <f>IFERROR(__xludf.DUMMYFUNCTION("""COMPUTED_VALUE"""),"ardx")</f>
        <v>ardx</v>
      </c>
      <c r="C896" s="3" t="str">
        <f>IFERROR(__xludf.DUMMYFUNCTION("""COMPUTED_VALUE"""),"ArdCoin")</f>
        <v>ArdCoin</v>
      </c>
    </row>
    <row r="897">
      <c r="A897" s="3" t="str">
        <f>IFERROR(__xludf.DUMMYFUNCTION("""COMPUTED_VALUE"""),"ardor")</f>
        <v>ardor</v>
      </c>
      <c r="B897" s="3" t="str">
        <f>IFERROR(__xludf.DUMMYFUNCTION("""COMPUTED_VALUE"""),"ardr")</f>
        <v>ardr</v>
      </c>
      <c r="C897" s="3" t="str">
        <f>IFERROR(__xludf.DUMMYFUNCTION("""COMPUTED_VALUE"""),"Ardor")</f>
        <v>Ardor</v>
      </c>
    </row>
    <row r="898">
      <c r="A898" s="3" t="str">
        <f>IFERROR(__xludf.DUMMYFUNCTION("""COMPUTED_VALUE"""),"aree-shards")</f>
        <v>aree-shards</v>
      </c>
      <c r="B898" s="3" t="str">
        <f>IFERROR(__xludf.DUMMYFUNCTION("""COMPUTED_VALUE"""),"aes")</f>
        <v>aes</v>
      </c>
      <c r="C898" s="3" t="str">
        <f>IFERROR(__xludf.DUMMYFUNCTION("""COMPUTED_VALUE"""),"Aree Shards")</f>
        <v>Aree Shards</v>
      </c>
    </row>
    <row r="899">
      <c r="A899" s="3" t="str">
        <f>IFERROR(__xludf.DUMMYFUNCTION("""COMPUTED_VALUE"""),"arenaplay")</f>
        <v>arenaplay</v>
      </c>
      <c r="B899" s="3" t="str">
        <f>IFERROR(__xludf.DUMMYFUNCTION("""COMPUTED_VALUE"""),"apc")</f>
        <v>apc</v>
      </c>
      <c r="C899" s="3" t="str">
        <f>IFERROR(__xludf.DUMMYFUNCTION("""COMPUTED_VALUE"""),"ArenaPlay")</f>
        <v>ArenaPlay</v>
      </c>
    </row>
    <row r="900">
      <c r="A900" s="3" t="str">
        <f>IFERROR(__xludf.DUMMYFUNCTION("""COMPUTED_VALUE"""),"arena-token")</f>
        <v>arena-token</v>
      </c>
      <c r="B900" s="3" t="str">
        <f>IFERROR(__xludf.DUMMYFUNCTION("""COMPUTED_VALUE"""),"arena")</f>
        <v>arena</v>
      </c>
      <c r="C900" s="3" t="str">
        <f>IFERROR(__xludf.DUMMYFUNCTION("""COMPUTED_VALUE"""),"ArenaSwap")</f>
        <v>ArenaSwap</v>
      </c>
    </row>
    <row r="901">
      <c r="A901" s="3" t="str">
        <f>IFERROR(__xludf.DUMMYFUNCTION("""COMPUTED_VALUE"""),"arenum")</f>
        <v>arenum</v>
      </c>
      <c r="B901" s="3" t="str">
        <f>IFERROR(__xludf.DUMMYFUNCTION("""COMPUTED_VALUE"""),"arnm")</f>
        <v>arnm</v>
      </c>
      <c r="C901" s="3" t="str">
        <f>IFERROR(__xludf.DUMMYFUNCTION("""COMPUTED_VALUE"""),"Arenum")</f>
        <v>Arenum</v>
      </c>
    </row>
    <row r="902">
      <c r="A902" s="3" t="str">
        <f>IFERROR(__xludf.DUMMYFUNCTION("""COMPUTED_VALUE"""),"ares-protocol")</f>
        <v>ares-protocol</v>
      </c>
      <c r="B902" s="3" t="str">
        <f>IFERROR(__xludf.DUMMYFUNCTION("""COMPUTED_VALUE"""),"ares")</f>
        <v>ares</v>
      </c>
      <c r="C902" s="3" t="str">
        <f>IFERROR(__xludf.DUMMYFUNCTION("""COMPUTED_VALUE"""),"Ares Protocol")</f>
        <v>Ares Protocol</v>
      </c>
    </row>
    <row r="903">
      <c r="A903" s="3" t="str">
        <f>IFERROR(__xludf.DUMMYFUNCTION("""COMPUTED_VALUE"""),"argentine-football-association-fan-token")</f>
        <v>argentine-football-association-fan-token</v>
      </c>
      <c r="B903" s="3" t="str">
        <f>IFERROR(__xludf.DUMMYFUNCTION("""COMPUTED_VALUE"""),"arg")</f>
        <v>arg</v>
      </c>
      <c r="C903" s="3" t="str">
        <f>IFERROR(__xludf.DUMMYFUNCTION("""COMPUTED_VALUE"""),"Argentine Football Association Fan Token")</f>
        <v>Argentine Football Association Fan Token</v>
      </c>
    </row>
    <row r="904">
      <c r="A904" s="3" t="str">
        <f>IFERROR(__xludf.DUMMYFUNCTION("""COMPUTED_VALUE"""),"argo")</f>
        <v>argo</v>
      </c>
      <c r="B904" s="3" t="str">
        <f>IFERROR(__xludf.DUMMYFUNCTION("""COMPUTED_VALUE"""),"argo")</f>
        <v>argo</v>
      </c>
      <c r="C904" s="3" t="str">
        <f>IFERROR(__xludf.DUMMYFUNCTION("""COMPUTED_VALUE"""),"ArGoApp")</f>
        <v>ArGoApp</v>
      </c>
    </row>
    <row r="905">
      <c r="A905" s="3" t="str">
        <f>IFERROR(__xludf.DUMMYFUNCTION("""COMPUTED_VALUE"""),"argo-2")</f>
        <v>argo-2</v>
      </c>
      <c r="B905" s="3" t="str">
        <f>IFERROR(__xludf.DUMMYFUNCTION("""COMPUTED_VALUE"""),"argo")</f>
        <v>argo</v>
      </c>
      <c r="C905" s="3" t="str">
        <f>IFERROR(__xludf.DUMMYFUNCTION("""COMPUTED_VALUE"""),"Argo")</f>
        <v>Argo</v>
      </c>
    </row>
    <row r="906">
      <c r="A906" s="3" t="str">
        <f>IFERROR(__xludf.DUMMYFUNCTION("""COMPUTED_VALUE"""),"argo-finance")</f>
        <v>argo-finance</v>
      </c>
      <c r="B906" s="3" t="str">
        <f>IFERROR(__xludf.DUMMYFUNCTION("""COMPUTED_VALUE"""),"argo")</f>
        <v>argo</v>
      </c>
      <c r="C906" s="3" t="str">
        <f>IFERROR(__xludf.DUMMYFUNCTION("""COMPUTED_VALUE"""),"Argo Finance")</f>
        <v>Argo Finance</v>
      </c>
    </row>
    <row r="907">
      <c r="A907" s="3" t="str">
        <f>IFERROR(__xludf.DUMMYFUNCTION("""COMPUTED_VALUE"""),"argon")</f>
        <v>argon</v>
      </c>
      <c r="B907" s="3" t="str">
        <f>IFERROR(__xludf.DUMMYFUNCTION("""COMPUTED_VALUE"""),"argon")</f>
        <v>argon</v>
      </c>
      <c r="C907" s="3" t="str">
        <f>IFERROR(__xludf.DUMMYFUNCTION("""COMPUTED_VALUE"""),"Argon")</f>
        <v>Argon</v>
      </c>
    </row>
    <row r="908">
      <c r="A908" s="3" t="str">
        <f>IFERROR(__xludf.DUMMYFUNCTION("""COMPUTED_VALUE"""),"argonon-helium")</f>
        <v>argonon-helium</v>
      </c>
      <c r="B908" s="3" t="str">
        <f>IFERROR(__xludf.DUMMYFUNCTION("""COMPUTED_VALUE"""),"arg")</f>
        <v>arg</v>
      </c>
      <c r="C908" s="3" t="str">
        <f>IFERROR(__xludf.DUMMYFUNCTION("""COMPUTED_VALUE"""),"Argonon Helium")</f>
        <v>Argonon Helium</v>
      </c>
    </row>
    <row r="909">
      <c r="A909" s="3" t="str">
        <f>IFERROR(__xludf.DUMMYFUNCTION("""COMPUTED_VALUE"""),"ari10")</f>
        <v>ari10</v>
      </c>
      <c r="B909" s="3" t="str">
        <f>IFERROR(__xludf.DUMMYFUNCTION("""COMPUTED_VALUE"""),"ari10")</f>
        <v>ari10</v>
      </c>
      <c r="C909" s="3" t="str">
        <f>IFERROR(__xludf.DUMMYFUNCTION("""COMPUTED_VALUE"""),"Ari10")</f>
        <v>Ari10</v>
      </c>
    </row>
    <row r="910">
      <c r="A910" s="3" t="str">
        <f>IFERROR(__xludf.DUMMYFUNCTION("""COMPUTED_VALUE"""),"aria-currency")</f>
        <v>aria-currency</v>
      </c>
      <c r="B910" s="3" t="str">
        <f>IFERROR(__xludf.DUMMYFUNCTION("""COMPUTED_VALUE"""),"ria")</f>
        <v>ria</v>
      </c>
      <c r="C910" s="3" t="str">
        <f>IFERROR(__xludf.DUMMYFUNCTION("""COMPUTED_VALUE"""),"aRIA Currency")</f>
        <v>aRIA Currency</v>
      </c>
    </row>
    <row r="911">
      <c r="A911" s="3" t="str">
        <f>IFERROR(__xludf.DUMMYFUNCTION("""COMPUTED_VALUE"""),"ariadne")</f>
        <v>ariadne</v>
      </c>
      <c r="B911" s="3" t="str">
        <f>IFERROR(__xludf.DUMMYFUNCTION("""COMPUTED_VALUE"""),"ardn")</f>
        <v>ardn</v>
      </c>
      <c r="C911" s="3" t="str">
        <f>IFERROR(__xludf.DUMMYFUNCTION("""COMPUTED_VALUE"""),"Ariadne")</f>
        <v>Ariadne</v>
      </c>
    </row>
    <row r="912">
      <c r="A912" s="3" t="str">
        <f>IFERROR(__xludf.DUMMYFUNCTION("""COMPUTED_VALUE"""),"arianee")</f>
        <v>arianee</v>
      </c>
      <c r="B912" s="3" t="str">
        <f>IFERROR(__xludf.DUMMYFUNCTION("""COMPUTED_VALUE"""),"aria20")</f>
        <v>aria20</v>
      </c>
      <c r="C912" s="3" t="str">
        <f>IFERROR(__xludf.DUMMYFUNCTION("""COMPUTED_VALUE"""),"Arianee")</f>
        <v>Arianee</v>
      </c>
    </row>
    <row r="913">
      <c r="A913" s="3" t="str">
        <f>IFERROR(__xludf.DUMMYFUNCTION("""COMPUTED_VALUE"""),"aries-financial-token")</f>
        <v>aries-financial-token</v>
      </c>
      <c r="B913" s="3" t="str">
        <f>IFERROR(__xludf.DUMMYFUNCTION("""COMPUTED_VALUE"""),"afib")</f>
        <v>afib</v>
      </c>
      <c r="C913" s="3" t="str">
        <f>IFERROR(__xludf.DUMMYFUNCTION("""COMPUTED_VALUE"""),"Aries Financial")</f>
        <v>Aries Financial</v>
      </c>
    </row>
    <row r="914">
      <c r="A914" s="3" t="str">
        <f>IFERROR(__xludf.DUMMYFUNCTION("""COMPUTED_VALUE"""),"arion")</f>
        <v>arion</v>
      </c>
      <c r="B914" s="3" t="str">
        <f>IFERROR(__xludf.DUMMYFUNCTION("""COMPUTED_VALUE"""),"arion")</f>
        <v>arion</v>
      </c>
      <c r="C914" s="3" t="str">
        <f>IFERROR(__xludf.DUMMYFUNCTION("""COMPUTED_VALUE"""),"Arion")</f>
        <v>Arion</v>
      </c>
    </row>
    <row r="915">
      <c r="A915" s="3" t="str">
        <f>IFERROR(__xludf.DUMMYFUNCTION("""COMPUTED_VALUE"""),"arionum")</f>
        <v>arionum</v>
      </c>
      <c r="B915" s="3" t="str">
        <f>IFERROR(__xludf.DUMMYFUNCTION("""COMPUTED_VALUE"""),"aro")</f>
        <v>aro</v>
      </c>
      <c r="C915" s="3" t="str">
        <f>IFERROR(__xludf.DUMMYFUNCTION("""COMPUTED_VALUE"""),"Arionum")</f>
        <v>Arionum</v>
      </c>
    </row>
    <row r="916">
      <c r="A916" s="3" t="str">
        <f>IFERROR(__xludf.DUMMYFUNCTION("""COMPUTED_VALUE"""),"ari-swap")</f>
        <v>ari-swap</v>
      </c>
      <c r="B916" s="3" t="str">
        <f>IFERROR(__xludf.DUMMYFUNCTION("""COMPUTED_VALUE"""),"ari")</f>
        <v>ari</v>
      </c>
      <c r="C916" s="3" t="str">
        <f>IFERROR(__xludf.DUMMYFUNCTION("""COMPUTED_VALUE"""),"Ari Swap")</f>
        <v>Ari Swap</v>
      </c>
    </row>
    <row r="917">
      <c r="A917" s="3" t="str">
        <f>IFERROR(__xludf.DUMMYFUNCTION("""COMPUTED_VALUE"""),"ariva")</f>
        <v>ariva</v>
      </c>
      <c r="B917" s="3" t="str">
        <f>IFERROR(__xludf.DUMMYFUNCTION("""COMPUTED_VALUE"""),"arv")</f>
        <v>arv</v>
      </c>
      <c r="C917" s="3" t="str">
        <f>IFERROR(__xludf.DUMMYFUNCTION("""COMPUTED_VALUE"""),"Ariva")</f>
        <v>Ariva</v>
      </c>
    </row>
    <row r="918">
      <c r="A918" s="3" t="str">
        <f>IFERROR(__xludf.DUMMYFUNCTION("""COMPUTED_VALUE"""),"arix")</f>
        <v>arix</v>
      </c>
      <c r="B918" s="3" t="str">
        <f>IFERROR(__xludf.DUMMYFUNCTION("""COMPUTED_VALUE"""),"arix")</f>
        <v>arix</v>
      </c>
      <c r="C918" s="3" t="str">
        <f>IFERROR(__xludf.DUMMYFUNCTION("""COMPUTED_VALUE"""),"Arix")</f>
        <v>Arix</v>
      </c>
    </row>
    <row r="919">
      <c r="A919" s="3" t="str">
        <f>IFERROR(__xludf.DUMMYFUNCTION("""COMPUTED_VALUE"""),"arize")</f>
        <v>arize</v>
      </c>
      <c r="B919" s="3" t="str">
        <f>IFERROR(__xludf.DUMMYFUNCTION("""COMPUTED_VALUE"""),"arz")</f>
        <v>arz</v>
      </c>
      <c r="C919" s="3" t="str">
        <f>IFERROR(__xludf.DUMMYFUNCTION("""COMPUTED_VALUE"""),"ARize")</f>
        <v>ARize</v>
      </c>
    </row>
    <row r="920">
      <c r="A920" s="3" t="str">
        <f>IFERROR(__xludf.DUMMYFUNCTION("""COMPUTED_VALUE"""),"ark")</f>
        <v>ark</v>
      </c>
      <c r="B920" s="3" t="str">
        <f>IFERROR(__xludf.DUMMYFUNCTION("""COMPUTED_VALUE"""),"ark")</f>
        <v>ark</v>
      </c>
      <c r="C920" s="3" t="str">
        <f>IFERROR(__xludf.DUMMYFUNCTION("""COMPUTED_VALUE"""),"Ark")</f>
        <v>Ark</v>
      </c>
    </row>
    <row r="921">
      <c r="A921" s="3" t="str">
        <f>IFERROR(__xludf.DUMMYFUNCTION("""COMPUTED_VALUE"""),"arkadiko-protocol")</f>
        <v>arkadiko-protocol</v>
      </c>
      <c r="B921" s="3" t="str">
        <f>IFERROR(__xludf.DUMMYFUNCTION("""COMPUTED_VALUE"""),"diko")</f>
        <v>diko</v>
      </c>
      <c r="C921" s="3" t="str">
        <f>IFERROR(__xludf.DUMMYFUNCTION("""COMPUTED_VALUE"""),"Arkadiko")</f>
        <v>Arkadiko</v>
      </c>
    </row>
    <row r="922">
      <c r="A922" s="3" t="str">
        <f>IFERROR(__xludf.DUMMYFUNCTION("""COMPUTED_VALUE"""),"arkadiko-usda")</f>
        <v>arkadiko-usda</v>
      </c>
      <c r="B922" s="3" t="str">
        <f>IFERROR(__xludf.DUMMYFUNCTION("""COMPUTED_VALUE"""),"usda")</f>
        <v>usda</v>
      </c>
      <c r="C922" s="3" t="str">
        <f>IFERROR(__xludf.DUMMYFUNCTION("""COMPUTED_VALUE"""),"Arkadiko USDA")</f>
        <v>Arkadiko USDA</v>
      </c>
    </row>
    <row r="923">
      <c r="A923" s="3" t="str">
        <f>IFERROR(__xludf.DUMMYFUNCTION("""COMPUTED_VALUE"""),"arkania-protocol")</f>
        <v>arkania-protocol</v>
      </c>
      <c r="B923" s="3" t="str">
        <f>IFERROR(__xludf.DUMMYFUNCTION("""COMPUTED_VALUE"""),"ania")</f>
        <v>ania</v>
      </c>
      <c r="C923" s="3" t="str">
        <f>IFERROR(__xludf.DUMMYFUNCTION("""COMPUTED_VALUE"""),"Arkania Protocol")</f>
        <v>Arkania Protocol</v>
      </c>
    </row>
    <row r="924">
      <c r="A924" s="3" t="str">
        <f>IFERROR(__xludf.DUMMYFUNCTION("""COMPUTED_VALUE"""),"arkarus")</f>
        <v>arkarus</v>
      </c>
      <c r="B924" s="3" t="str">
        <f>IFERROR(__xludf.DUMMYFUNCTION("""COMPUTED_VALUE"""),"aks")</f>
        <v>aks</v>
      </c>
      <c r="C924" s="3" t="str">
        <f>IFERROR(__xludf.DUMMYFUNCTION("""COMPUTED_VALUE"""),"Arkarus")</f>
        <v>Arkarus</v>
      </c>
    </row>
    <row r="925">
      <c r="A925" s="3" t="str">
        <f>IFERROR(__xludf.DUMMYFUNCTION("""COMPUTED_VALUE"""),"arken-finance")</f>
        <v>arken-finance</v>
      </c>
      <c r="B925" s="3" t="str">
        <f>IFERROR(__xludf.DUMMYFUNCTION("""COMPUTED_VALUE"""),"$arken")</f>
        <v>$arken</v>
      </c>
      <c r="C925" s="3" t="str">
        <f>IFERROR(__xludf.DUMMYFUNCTION("""COMPUTED_VALUE"""),"Arken Finance")</f>
        <v>Arken Finance</v>
      </c>
    </row>
    <row r="926">
      <c r="A926" s="3" t="str">
        <f>IFERROR(__xludf.DUMMYFUNCTION("""COMPUTED_VALUE"""),"arker-2")</f>
        <v>arker-2</v>
      </c>
      <c r="B926" s="3" t="str">
        <f>IFERROR(__xludf.DUMMYFUNCTION("""COMPUTED_VALUE"""),"arker")</f>
        <v>arker</v>
      </c>
      <c r="C926" s="3" t="str">
        <f>IFERROR(__xludf.DUMMYFUNCTION("""COMPUTED_VALUE"""),"Arker")</f>
        <v>Arker</v>
      </c>
    </row>
    <row r="927">
      <c r="A927" s="3" t="str">
        <f>IFERROR(__xludf.DUMMYFUNCTION("""COMPUTED_VALUE"""),"ark-innovation-etf-defichain")</f>
        <v>ark-innovation-etf-defichain</v>
      </c>
      <c r="B927" s="3" t="str">
        <f>IFERROR(__xludf.DUMMYFUNCTION("""COMPUTED_VALUE"""),"darkk")</f>
        <v>darkk</v>
      </c>
      <c r="C927" s="3" t="str">
        <f>IFERROR(__xludf.DUMMYFUNCTION("""COMPUTED_VALUE"""),"ARK Innovation ETF Defichain")</f>
        <v>ARK Innovation ETF Defichain</v>
      </c>
    </row>
    <row r="928">
      <c r="A928" s="3" t="str">
        <f>IFERROR(__xludf.DUMMYFUNCTION("""COMPUTED_VALUE"""),"ark-of-the-universe")</f>
        <v>ark-of-the-universe</v>
      </c>
      <c r="B928" s="3" t="str">
        <f>IFERROR(__xludf.DUMMYFUNCTION("""COMPUTED_VALUE"""),"arks")</f>
        <v>arks</v>
      </c>
      <c r="C928" s="3" t="str">
        <f>IFERROR(__xludf.DUMMYFUNCTION("""COMPUTED_VALUE"""),"Ark Of The Universe")</f>
        <v>Ark Of The Universe</v>
      </c>
    </row>
    <row r="929">
      <c r="A929" s="3" t="str">
        <f>IFERROR(__xludf.DUMMYFUNCTION("""COMPUTED_VALUE"""),"ark-rivals")</f>
        <v>ark-rivals</v>
      </c>
      <c r="B929" s="3" t="str">
        <f>IFERROR(__xludf.DUMMYFUNCTION("""COMPUTED_VALUE"""),"arkn")</f>
        <v>arkn</v>
      </c>
      <c r="C929" s="3" t="str">
        <f>IFERROR(__xludf.DUMMYFUNCTION("""COMPUTED_VALUE"""),"Ark Rivals")</f>
        <v>Ark Rivals</v>
      </c>
    </row>
    <row r="930">
      <c r="A930" s="3" t="str">
        <f>IFERROR(__xludf.DUMMYFUNCTION("""COMPUTED_VALUE"""),"arkworld")</f>
        <v>arkworld</v>
      </c>
      <c r="B930" s="3" t="str">
        <f>IFERROR(__xludf.DUMMYFUNCTION("""COMPUTED_VALUE"""),"akw")</f>
        <v>akw</v>
      </c>
      <c r="C930" s="3" t="str">
        <f>IFERROR(__xludf.DUMMYFUNCTION("""COMPUTED_VALUE"""),"ArkWorld")</f>
        <v>ArkWorld</v>
      </c>
    </row>
    <row r="931">
      <c r="A931" s="3" t="str">
        <f>IFERROR(__xludf.DUMMYFUNCTION("""COMPUTED_VALUE"""),"armor")</f>
        <v>armor</v>
      </c>
      <c r="B931" s="3" t="str">
        <f>IFERROR(__xludf.DUMMYFUNCTION("""COMPUTED_VALUE"""),"armor")</f>
        <v>armor</v>
      </c>
      <c r="C931" s="3" t="str">
        <f>IFERROR(__xludf.DUMMYFUNCTION("""COMPUTED_VALUE"""),"ARMOR")</f>
        <v>ARMOR</v>
      </c>
    </row>
    <row r="932">
      <c r="A932" s="3" t="str">
        <f>IFERROR(__xludf.DUMMYFUNCTION("""COMPUTED_VALUE"""),"armor-nxm")</f>
        <v>armor-nxm</v>
      </c>
      <c r="B932" s="3" t="str">
        <f>IFERROR(__xludf.DUMMYFUNCTION("""COMPUTED_VALUE"""),"arnxm")</f>
        <v>arnxm</v>
      </c>
      <c r="C932" s="3" t="str">
        <f>IFERROR(__xludf.DUMMYFUNCTION("""COMPUTED_VALUE"""),"Armor NXM")</f>
        <v>Armor NXM</v>
      </c>
    </row>
    <row r="933">
      <c r="A933" s="3" t="str">
        <f>IFERROR(__xludf.DUMMYFUNCTION("""COMPUTED_VALUE"""),"army-node-finance")</f>
        <v>army-node-finance</v>
      </c>
      <c r="B933" s="3" t="str">
        <f>IFERROR(__xludf.DUMMYFUNCTION("""COMPUTED_VALUE"""),"army")</f>
        <v>army</v>
      </c>
      <c r="C933" s="3" t="str">
        <f>IFERROR(__xludf.DUMMYFUNCTION("""COMPUTED_VALUE"""),"Army Node Finance")</f>
        <v>Army Node Finance</v>
      </c>
    </row>
    <row r="934">
      <c r="A934" s="3" t="str">
        <f>IFERROR(__xludf.DUMMYFUNCTION("""COMPUTED_VALUE"""),"arnoya-classic")</f>
        <v>arnoya-classic</v>
      </c>
      <c r="B934" s="3" t="str">
        <f>IFERROR(__xludf.DUMMYFUNCTION("""COMPUTED_VALUE"""),"arnc")</f>
        <v>arnc</v>
      </c>
      <c r="C934" s="3" t="str">
        <f>IFERROR(__xludf.DUMMYFUNCTION("""COMPUTED_VALUE"""),"Arnoya classic")</f>
        <v>Arnoya classic</v>
      </c>
    </row>
    <row r="935">
      <c r="A935" s="3" t="str">
        <f>IFERROR(__xludf.DUMMYFUNCTION("""COMPUTED_VALUE"""),"around-network-2")</f>
        <v>around-network-2</v>
      </c>
      <c r="B935" s="3" t="str">
        <f>IFERROR(__xludf.DUMMYFUNCTION("""COMPUTED_VALUE"""),"art")</f>
        <v>art</v>
      </c>
      <c r="C935" s="3" t="str">
        <f>IFERROR(__xludf.DUMMYFUNCTION("""COMPUTED_VALUE"""),"Around Network")</f>
        <v>Around Network</v>
      </c>
    </row>
    <row r="936">
      <c r="A936" s="3" t="str">
        <f>IFERROR(__xludf.DUMMYFUNCTION("""COMPUTED_VALUE"""),"arowana-token")</f>
        <v>arowana-token</v>
      </c>
      <c r="B936" s="3" t="str">
        <f>IFERROR(__xludf.DUMMYFUNCTION("""COMPUTED_VALUE"""),"arw")</f>
        <v>arw</v>
      </c>
      <c r="C936" s="3" t="str">
        <f>IFERROR(__xludf.DUMMYFUNCTION("""COMPUTED_VALUE"""),"Arowana")</f>
        <v>Arowana</v>
      </c>
    </row>
    <row r="937">
      <c r="A937" s="3" t="str">
        <f>IFERROR(__xludf.DUMMYFUNCTION("""COMPUTED_VALUE"""),"arpa")</f>
        <v>arpa</v>
      </c>
      <c r="B937" s="3" t="str">
        <f>IFERROR(__xludf.DUMMYFUNCTION("""COMPUTED_VALUE"""),"arpa")</f>
        <v>arpa</v>
      </c>
      <c r="C937" s="3" t="str">
        <f>IFERROR(__xludf.DUMMYFUNCTION("""COMPUTED_VALUE"""),"ARPA")</f>
        <v>ARPA</v>
      </c>
    </row>
    <row r="938">
      <c r="A938" s="3" t="str">
        <f>IFERROR(__xludf.DUMMYFUNCTION("""COMPUTED_VALUE"""),"arqma")</f>
        <v>arqma</v>
      </c>
      <c r="B938" s="3" t="str">
        <f>IFERROR(__xludf.DUMMYFUNCTION("""COMPUTED_VALUE"""),"arq")</f>
        <v>arq</v>
      </c>
      <c r="C938" s="3" t="str">
        <f>IFERROR(__xludf.DUMMYFUNCTION("""COMPUTED_VALUE"""),"ArQmA")</f>
        <v>ArQmA</v>
      </c>
    </row>
    <row r="939">
      <c r="A939" s="3" t="str">
        <f>IFERROR(__xludf.DUMMYFUNCTION("""COMPUTED_VALUE"""),"arrow")</f>
        <v>arrow</v>
      </c>
      <c r="B939" s="3" t="str">
        <f>IFERROR(__xludf.DUMMYFUNCTION("""COMPUTED_VALUE"""),"arw")</f>
        <v>arw</v>
      </c>
      <c r="C939" s="3" t="str">
        <f>IFERROR(__xludf.DUMMYFUNCTION("""COMPUTED_VALUE"""),"Arrow")</f>
        <v>Arrow</v>
      </c>
    </row>
    <row r="940">
      <c r="A940" s="3" t="str">
        <f>IFERROR(__xludf.DUMMYFUNCTION("""COMPUTED_VALUE"""),"arsenal-fan-token")</f>
        <v>arsenal-fan-token</v>
      </c>
      <c r="B940" s="3" t="str">
        <f>IFERROR(__xludf.DUMMYFUNCTION("""COMPUTED_VALUE"""),"afc")</f>
        <v>afc</v>
      </c>
      <c r="C940" s="3" t="str">
        <f>IFERROR(__xludf.DUMMYFUNCTION("""COMPUTED_VALUE"""),"Arsenal Fan Token")</f>
        <v>Arsenal Fan Token</v>
      </c>
    </row>
    <row r="941">
      <c r="A941" s="3" t="str">
        <f>IFERROR(__xludf.DUMMYFUNCTION("""COMPUTED_VALUE"""),"artax")</f>
        <v>artax</v>
      </c>
      <c r="B941" s="3" t="str">
        <f>IFERROR(__xludf.DUMMYFUNCTION("""COMPUTED_VALUE"""),"xax")</f>
        <v>xax</v>
      </c>
      <c r="C941" s="3" t="str">
        <f>IFERROR(__xludf.DUMMYFUNCTION("""COMPUTED_VALUE"""),"ARTAX")</f>
        <v>ARTAX</v>
      </c>
    </row>
    <row r="942">
      <c r="A942" s="3" t="str">
        <f>IFERROR(__xludf.DUMMYFUNCTION("""COMPUTED_VALUE"""),"artbyte")</f>
        <v>artbyte</v>
      </c>
      <c r="B942" s="3" t="str">
        <f>IFERROR(__xludf.DUMMYFUNCTION("""COMPUTED_VALUE"""),"aby")</f>
        <v>aby</v>
      </c>
      <c r="C942" s="3" t="str">
        <f>IFERROR(__xludf.DUMMYFUNCTION("""COMPUTED_VALUE"""),"ArtByte")</f>
        <v>ArtByte</v>
      </c>
    </row>
    <row r="943">
      <c r="A943" s="3" t="str">
        <f>IFERROR(__xludf.DUMMYFUNCTION("""COMPUTED_VALUE"""),"artcoin")</f>
        <v>artcoin</v>
      </c>
      <c r="B943" s="3" t="str">
        <f>IFERROR(__xludf.DUMMYFUNCTION("""COMPUTED_VALUE"""),"ac")</f>
        <v>ac</v>
      </c>
      <c r="C943" s="3" t="str">
        <f>IFERROR(__xludf.DUMMYFUNCTION("""COMPUTED_VALUE"""),"ArtCoin")</f>
        <v>ArtCoin</v>
      </c>
    </row>
    <row r="944">
      <c r="A944" s="3" t="str">
        <f>IFERROR(__xludf.DUMMYFUNCTION("""COMPUTED_VALUE"""),"arte")</f>
        <v>arte</v>
      </c>
      <c r="B944" s="3" t="str">
        <f>IFERROR(__xludf.DUMMYFUNCTION("""COMPUTED_VALUE"""),"arte")</f>
        <v>arte</v>
      </c>
      <c r="C944" s="3" t="str">
        <f>IFERROR(__xludf.DUMMYFUNCTION("""COMPUTED_VALUE"""),"ARTE")</f>
        <v>ARTE</v>
      </c>
    </row>
    <row r="945">
      <c r="A945" s="3" t="str">
        <f>IFERROR(__xludf.DUMMYFUNCTION("""COMPUTED_VALUE"""),"artem")</f>
        <v>artem</v>
      </c>
      <c r="B945" s="3" t="str">
        <f>IFERROR(__xludf.DUMMYFUNCTION("""COMPUTED_VALUE"""),"artem")</f>
        <v>artem</v>
      </c>
      <c r="C945" s="3" t="str">
        <f>IFERROR(__xludf.DUMMYFUNCTION("""COMPUTED_VALUE"""),"Artem")</f>
        <v>Artem</v>
      </c>
    </row>
    <row r="946">
      <c r="A946" s="3" t="str">
        <f>IFERROR(__xludf.DUMMYFUNCTION("""COMPUTED_VALUE"""),"artemis")</f>
        <v>artemis</v>
      </c>
      <c r="B946" s="3" t="str">
        <f>IFERROR(__xludf.DUMMYFUNCTION("""COMPUTED_VALUE"""),"mis")</f>
        <v>mis</v>
      </c>
      <c r="C946" s="3" t="str">
        <f>IFERROR(__xludf.DUMMYFUNCTION("""COMPUTED_VALUE"""),"Artemis")</f>
        <v>Artemis</v>
      </c>
    </row>
    <row r="947">
      <c r="A947" s="3" t="str">
        <f>IFERROR(__xludf.DUMMYFUNCTION("""COMPUTED_VALUE"""),"artemis-vision")</f>
        <v>artemis-vision</v>
      </c>
      <c r="B947" s="3" t="str">
        <f>IFERROR(__xludf.DUMMYFUNCTION("""COMPUTED_VALUE"""),"arv")</f>
        <v>arv</v>
      </c>
      <c r="C947" s="3" t="str">
        <f>IFERROR(__xludf.DUMMYFUNCTION("""COMPUTED_VALUE"""),"Artemis Vision")</f>
        <v>Artemis Vision</v>
      </c>
    </row>
    <row r="948">
      <c r="A948" s="3" t="str">
        <f>IFERROR(__xludf.DUMMYFUNCTION("""COMPUTED_VALUE"""),"arteq-nft-investment-fund")</f>
        <v>arteq-nft-investment-fund</v>
      </c>
      <c r="B948" s="3" t="str">
        <f>IFERROR(__xludf.DUMMYFUNCTION("""COMPUTED_VALUE"""),"arteq")</f>
        <v>arteq</v>
      </c>
      <c r="C948" s="3" t="str">
        <f>IFERROR(__xludf.DUMMYFUNCTION("""COMPUTED_VALUE"""),"artèQ NFT Investment Fund")</f>
        <v>artèQ NFT Investment Fund</v>
      </c>
    </row>
    <row r="949">
      <c r="A949" s="3" t="str">
        <f>IFERROR(__xludf.DUMMYFUNCTION("""COMPUTED_VALUE"""),"artery")</f>
        <v>artery</v>
      </c>
      <c r="B949" s="3" t="str">
        <f>IFERROR(__xludf.DUMMYFUNCTION("""COMPUTED_VALUE"""),"artr")</f>
        <v>artr</v>
      </c>
      <c r="C949" s="3" t="str">
        <f>IFERROR(__xludf.DUMMYFUNCTION("""COMPUTED_VALUE"""),"Artery")</f>
        <v>Artery</v>
      </c>
    </row>
    <row r="950">
      <c r="A950" s="3" t="str">
        <f>IFERROR(__xludf.DUMMYFUNCTION("""COMPUTED_VALUE"""),"artfinity-token")</f>
        <v>artfinity-token</v>
      </c>
      <c r="B950" s="3" t="str">
        <f>IFERROR(__xludf.DUMMYFUNCTION("""COMPUTED_VALUE"""),"at")</f>
        <v>at</v>
      </c>
      <c r="C950" s="3" t="str">
        <f>IFERROR(__xludf.DUMMYFUNCTION("""COMPUTED_VALUE"""),"Artfinity")</f>
        <v>Artfinity</v>
      </c>
    </row>
    <row r="951">
      <c r="A951" s="3" t="str">
        <f>IFERROR(__xludf.DUMMYFUNCTION("""COMPUTED_VALUE"""),"art-gobblers-goo")</f>
        <v>art-gobblers-goo</v>
      </c>
      <c r="B951" s="3" t="str">
        <f>IFERROR(__xludf.DUMMYFUNCTION("""COMPUTED_VALUE"""),"goo")</f>
        <v>goo</v>
      </c>
      <c r="C951" s="3" t="str">
        <f>IFERROR(__xludf.DUMMYFUNCTION("""COMPUTED_VALUE"""),"Art Gobblers Goo")</f>
        <v>Art Gobblers Goo</v>
      </c>
    </row>
    <row r="952">
      <c r="A952" s="3" t="str">
        <f>IFERROR(__xludf.DUMMYFUNCTION("""COMPUTED_VALUE"""),"arth")</f>
        <v>arth</v>
      </c>
      <c r="B952" s="3" t="str">
        <f>IFERROR(__xludf.DUMMYFUNCTION("""COMPUTED_VALUE"""),"arth")</f>
        <v>arth</v>
      </c>
      <c r="C952" s="3" t="str">
        <f>IFERROR(__xludf.DUMMYFUNCTION("""COMPUTED_VALUE"""),"ARTH")</f>
        <v>ARTH</v>
      </c>
    </row>
    <row r="953">
      <c r="A953" s="3" t="str">
        <f>IFERROR(__xludf.DUMMYFUNCTION("""COMPUTED_VALUE"""),"arthswap")</f>
        <v>arthswap</v>
      </c>
      <c r="B953" s="3" t="str">
        <f>IFERROR(__xludf.DUMMYFUNCTION("""COMPUTED_VALUE"""),"arsw")</f>
        <v>arsw</v>
      </c>
      <c r="C953" s="3" t="str">
        <f>IFERROR(__xludf.DUMMYFUNCTION("""COMPUTED_VALUE"""),"ArthSwap")</f>
        <v>ArthSwap</v>
      </c>
    </row>
    <row r="954">
      <c r="A954" s="3" t="str">
        <f>IFERROR(__xludf.DUMMYFUNCTION("""COMPUTED_VALUE"""),"artic-foundation")</f>
        <v>artic-foundation</v>
      </c>
      <c r="B954" s="3" t="str">
        <f>IFERROR(__xludf.DUMMYFUNCTION("""COMPUTED_VALUE"""),"artic")</f>
        <v>artic</v>
      </c>
      <c r="C954" s="3" t="str">
        <f>IFERROR(__xludf.DUMMYFUNCTION("""COMPUTED_VALUE"""),"ARTIC Foundation")</f>
        <v>ARTIC Foundation</v>
      </c>
    </row>
    <row r="955">
      <c r="A955" s="3" t="str">
        <f>IFERROR(__xludf.DUMMYFUNCTION("""COMPUTED_VALUE"""),"articoin")</f>
        <v>articoin</v>
      </c>
      <c r="B955" s="3" t="str">
        <f>IFERROR(__xludf.DUMMYFUNCTION("""COMPUTED_VALUE"""),"atc")</f>
        <v>atc</v>
      </c>
      <c r="C955" s="3" t="str">
        <f>IFERROR(__xludf.DUMMYFUNCTION("""COMPUTED_VALUE"""),"ArtiCoin")</f>
        <v>ArtiCoin</v>
      </c>
    </row>
    <row r="956">
      <c r="A956" s="3" t="str">
        <f>IFERROR(__xludf.DUMMYFUNCTION("""COMPUTED_VALUE"""),"artificial-intelligence")</f>
        <v>artificial-intelligence</v>
      </c>
      <c r="B956" s="3" t="str">
        <f>IFERROR(__xludf.DUMMYFUNCTION("""COMPUTED_VALUE"""),"ai")</f>
        <v>ai</v>
      </c>
      <c r="C956" s="3" t="str">
        <f>IFERROR(__xludf.DUMMYFUNCTION("""COMPUTED_VALUE"""),"Artificial Intelligence")</f>
        <v>Artificial Intelligence</v>
      </c>
    </row>
    <row r="957">
      <c r="A957" s="3" t="str">
        <f>IFERROR(__xludf.DUMMYFUNCTION("""COMPUTED_VALUE"""),"artificial-intelligence-technology-network")</f>
        <v>artificial-intelligence-technology-network</v>
      </c>
      <c r="B957" s="3" t="str">
        <f>IFERROR(__xludf.DUMMYFUNCTION("""COMPUTED_VALUE"""),"aitn")</f>
        <v>aitn</v>
      </c>
      <c r="C957" s="3" t="str">
        <f>IFERROR(__xludf.DUMMYFUNCTION("""COMPUTED_VALUE"""),"Artificial Intelligence Technology Network")</f>
        <v>Artificial Intelligence Technology Network</v>
      </c>
    </row>
    <row r="958">
      <c r="A958" s="3" t="str">
        <f>IFERROR(__xludf.DUMMYFUNCTION("""COMPUTED_VALUE"""),"artii-token")</f>
        <v>artii-token</v>
      </c>
      <c r="B958" s="3" t="str">
        <f>IFERROR(__xludf.DUMMYFUNCTION("""COMPUTED_VALUE"""),"artii")</f>
        <v>artii</v>
      </c>
      <c r="C958" s="3" t="str">
        <f>IFERROR(__xludf.DUMMYFUNCTION("""COMPUTED_VALUE"""),"ARTII")</f>
        <v>ARTII</v>
      </c>
    </row>
    <row r="959">
      <c r="A959" s="3" t="str">
        <f>IFERROR(__xludf.DUMMYFUNCTION("""COMPUTED_VALUE"""),"artik")</f>
        <v>artik</v>
      </c>
      <c r="B959" s="3" t="str">
        <f>IFERROR(__xludf.DUMMYFUNCTION("""COMPUTED_VALUE"""),"artk")</f>
        <v>artk</v>
      </c>
      <c r="C959" s="3" t="str">
        <f>IFERROR(__xludf.DUMMYFUNCTION("""COMPUTED_VALUE"""),"Artik")</f>
        <v>Artik</v>
      </c>
    </row>
    <row r="960">
      <c r="A960" s="3" t="str">
        <f>IFERROR(__xludf.DUMMYFUNCTION("""COMPUTED_VALUE"""),"arti-project")</f>
        <v>arti-project</v>
      </c>
      <c r="B960" s="3" t="str">
        <f>IFERROR(__xludf.DUMMYFUNCTION("""COMPUTED_VALUE"""),"arti")</f>
        <v>arti</v>
      </c>
      <c r="C960" s="3" t="str">
        <f>IFERROR(__xludf.DUMMYFUNCTION("""COMPUTED_VALUE"""),"Arti Project")</f>
        <v>Arti Project</v>
      </c>
    </row>
    <row r="961">
      <c r="A961" s="3" t="str">
        <f>IFERROR(__xludf.DUMMYFUNCTION("""COMPUTED_VALUE"""),"artizen")</f>
        <v>artizen</v>
      </c>
      <c r="B961" s="3" t="str">
        <f>IFERROR(__xludf.DUMMYFUNCTION("""COMPUTED_VALUE"""),"atnt")</f>
        <v>atnt</v>
      </c>
      <c r="C961" s="3" t="str">
        <f>IFERROR(__xludf.DUMMYFUNCTION("""COMPUTED_VALUE"""),"Artizen")</f>
        <v>Artizen</v>
      </c>
    </row>
    <row r="962">
      <c r="A962" s="3" t="str">
        <f>IFERROR(__xludf.DUMMYFUNCTION("""COMPUTED_VALUE"""),"artkit")</f>
        <v>artkit</v>
      </c>
      <c r="B962" s="3" t="str">
        <f>IFERROR(__xludf.DUMMYFUNCTION("""COMPUTED_VALUE"""),"arti")</f>
        <v>arti</v>
      </c>
      <c r="C962" s="3" t="str">
        <f>IFERROR(__xludf.DUMMYFUNCTION("""COMPUTED_VALUE"""),"ArtKit")</f>
        <v>ArtKit</v>
      </c>
    </row>
    <row r="963">
      <c r="A963" s="3" t="str">
        <f>IFERROR(__xludf.DUMMYFUNCTION("""COMPUTED_VALUE"""),"artl")</f>
        <v>artl</v>
      </c>
      <c r="B963" s="3" t="str">
        <f>IFERROR(__xludf.DUMMYFUNCTION("""COMPUTED_VALUE"""),"artl")</f>
        <v>artl</v>
      </c>
      <c r="C963" s="3" t="str">
        <f>IFERROR(__xludf.DUMMYFUNCTION("""COMPUTED_VALUE"""),"ARTL")</f>
        <v>ARTL</v>
      </c>
    </row>
    <row r="964">
      <c r="A964" s="3" t="str">
        <f>IFERROR(__xludf.DUMMYFUNCTION("""COMPUTED_VALUE"""),"artm")</f>
        <v>artm</v>
      </c>
      <c r="B964" s="3" t="str">
        <f>IFERROR(__xludf.DUMMYFUNCTION("""COMPUTED_VALUE"""),"artm")</f>
        <v>artm</v>
      </c>
      <c r="C964" s="3" t="str">
        <f>IFERROR(__xludf.DUMMYFUNCTION("""COMPUTED_VALUE"""),"ARTM")</f>
        <v>ARTM</v>
      </c>
    </row>
    <row r="965">
      <c r="A965" s="3" t="str">
        <f>IFERROR(__xludf.DUMMYFUNCTION("""COMPUTED_VALUE"""),"artmeta")</f>
        <v>artmeta</v>
      </c>
      <c r="B965" s="3" t="str">
        <f>IFERROR(__xludf.DUMMYFUNCTION("""COMPUTED_VALUE"""),"$mart")</f>
        <v>$mart</v>
      </c>
      <c r="C965" s="3" t="str">
        <f>IFERROR(__xludf.DUMMYFUNCTION("""COMPUTED_VALUE"""),"ArtMeta")</f>
        <v>ArtMeta</v>
      </c>
    </row>
    <row r="966">
      <c r="A966" s="3" t="str">
        <f>IFERROR(__xludf.DUMMYFUNCTION("""COMPUTED_VALUE"""),"artonline")</f>
        <v>artonline</v>
      </c>
      <c r="B966" s="3" t="str">
        <f>IFERROR(__xludf.DUMMYFUNCTION("""COMPUTED_VALUE"""),"art")</f>
        <v>art</v>
      </c>
      <c r="C966" s="3" t="str">
        <f>IFERROR(__xludf.DUMMYFUNCTION("""COMPUTED_VALUE"""),"ArtOnline")</f>
        <v>ArtOnline</v>
      </c>
    </row>
    <row r="967">
      <c r="A967" s="3" t="str">
        <f>IFERROR(__xludf.DUMMYFUNCTION("""COMPUTED_VALUE"""),"artrade")</f>
        <v>artrade</v>
      </c>
      <c r="B967" s="3" t="str">
        <f>IFERROR(__xludf.DUMMYFUNCTION("""COMPUTED_VALUE"""),"atr")</f>
        <v>atr</v>
      </c>
      <c r="C967" s="3" t="str">
        <f>IFERROR(__xludf.DUMMYFUNCTION("""COMPUTED_VALUE"""),"Artrade")</f>
        <v>Artrade</v>
      </c>
    </row>
    <row r="968">
      <c r="A968" s="3" t="str">
        <f>IFERROR(__xludf.DUMMYFUNCTION("""COMPUTED_VALUE"""),"art-rino")</f>
        <v>art-rino</v>
      </c>
      <c r="B968" s="3" t="str">
        <f>IFERROR(__xludf.DUMMYFUNCTION("""COMPUTED_VALUE"""),"artrino")</f>
        <v>artrino</v>
      </c>
      <c r="C968" s="3" t="str">
        <f>IFERROR(__xludf.DUMMYFUNCTION("""COMPUTED_VALUE"""),"Art Rino")</f>
        <v>Art Rino</v>
      </c>
    </row>
    <row r="969">
      <c r="A969" s="3" t="str">
        <f>IFERROR(__xludf.DUMMYFUNCTION("""COMPUTED_VALUE"""),"artube")</f>
        <v>artube</v>
      </c>
      <c r="B969" s="3" t="str">
        <f>IFERROR(__xludf.DUMMYFUNCTION("""COMPUTED_VALUE"""),"att")</f>
        <v>att</v>
      </c>
      <c r="C969" s="3" t="str">
        <f>IFERROR(__xludf.DUMMYFUNCTION("""COMPUTED_VALUE"""),"Artube")</f>
        <v>Artube</v>
      </c>
    </row>
    <row r="970">
      <c r="A970" s="3" t="str">
        <f>IFERROR(__xludf.DUMMYFUNCTION("""COMPUTED_VALUE"""),"artverse-token")</f>
        <v>artverse-token</v>
      </c>
      <c r="B970" s="3" t="str">
        <f>IFERROR(__xludf.DUMMYFUNCTION("""COMPUTED_VALUE"""),"avt")</f>
        <v>avt</v>
      </c>
      <c r="C970" s="3" t="str">
        <f>IFERROR(__xludf.DUMMYFUNCTION("""COMPUTED_VALUE"""),"Artverse")</f>
        <v>Artverse</v>
      </c>
    </row>
    <row r="971">
      <c r="A971" s="3" t="str">
        <f>IFERROR(__xludf.DUMMYFUNCTION("""COMPUTED_VALUE"""),"artwork-nft")</f>
        <v>artwork-nft</v>
      </c>
      <c r="B971" s="3" t="str">
        <f>IFERROR(__xludf.DUMMYFUNCTION("""COMPUTED_VALUE"""),"anft")</f>
        <v>anft</v>
      </c>
      <c r="C971" s="3" t="str">
        <f>IFERROR(__xludf.DUMMYFUNCTION("""COMPUTED_VALUE"""),"Artwork NFT")</f>
        <v>Artwork NFT</v>
      </c>
    </row>
    <row r="972">
      <c r="A972" s="3" t="str">
        <f>IFERROR(__xludf.DUMMYFUNCTION("""COMPUTED_VALUE"""),"artx")</f>
        <v>artx</v>
      </c>
      <c r="B972" s="3" t="str">
        <f>IFERROR(__xludf.DUMMYFUNCTION("""COMPUTED_VALUE"""),"artx")</f>
        <v>artx</v>
      </c>
      <c r="C972" s="3" t="str">
        <f>IFERROR(__xludf.DUMMYFUNCTION("""COMPUTED_VALUE"""),"ARTX")</f>
        <v>ARTX</v>
      </c>
    </row>
    <row r="973">
      <c r="A973" s="3" t="str">
        <f>IFERROR(__xludf.DUMMYFUNCTION("""COMPUTED_VALUE"""),"arweave")</f>
        <v>arweave</v>
      </c>
      <c r="B973" s="3" t="str">
        <f>IFERROR(__xludf.DUMMYFUNCTION("""COMPUTED_VALUE"""),"ar")</f>
        <v>ar</v>
      </c>
      <c r="C973" s="3" t="str">
        <f>IFERROR(__xludf.DUMMYFUNCTION("""COMPUTED_VALUE"""),"Arweave")</f>
        <v>Arweave</v>
      </c>
    </row>
    <row r="974">
      <c r="A974" s="3" t="str">
        <f>IFERROR(__xludf.DUMMYFUNCTION("""COMPUTED_VALUE"""),"aryacoin")</f>
        <v>aryacoin</v>
      </c>
      <c r="B974" s="3" t="str">
        <f>IFERROR(__xludf.DUMMYFUNCTION("""COMPUTED_VALUE"""),"aya")</f>
        <v>aya</v>
      </c>
      <c r="C974" s="3" t="str">
        <f>IFERROR(__xludf.DUMMYFUNCTION("""COMPUTED_VALUE"""),"Aryacoin")</f>
        <v>Aryacoin</v>
      </c>
    </row>
    <row r="975">
      <c r="A975" s="3" t="str">
        <f>IFERROR(__xludf.DUMMYFUNCTION("""COMPUTED_VALUE"""),"asan-verse")</f>
        <v>asan-verse</v>
      </c>
      <c r="B975" s="3" t="str">
        <f>IFERROR(__xludf.DUMMYFUNCTION("""COMPUTED_VALUE"""),"asan")</f>
        <v>asan</v>
      </c>
      <c r="C975" s="3" t="str">
        <f>IFERROR(__xludf.DUMMYFUNCTION("""COMPUTED_VALUE"""),"ASAN VERSE")</f>
        <v>ASAN VERSE</v>
      </c>
    </row>
    <row r="976">
      <c r="A976" s="3" t="str">
        <f>IFERROR(__xludf.DUMMYFUNCTION("""COMPUTED_VALUE"""),"ascension")</f>
        <v>ascension</v>
      </c>
      <c r="B976" s="3" t="str">
        <f>IFERROR(__xludf.DUMMYFUNCTION("""COMPUTED_VALUE"""),"asn")</f>
        <v>asn</v>
      </c>
      <c r="C976" s="3" t="str">
        <f>IFERROR(__xludf.DUMMYFUNCTION("""COMPUTED_VALUE"""),"Ascension")</f>
        <v>Ascension</v>
      </c>
    </row>
    <row r="977">
      <c r="A977" s="3" t="str">
        <f>IFERROR(__xludf.DUMMYFUNCTION("""COMPUTED_VALUE"""),"ascension-protocol")</f>
        <v>ascension-protocol</v>
      </c>
      <c r="B977" s="3" t="str">
        <f>IFERROR(__xludf.DUMMYFUNCTION("""COMPUTED_VALUE"""),"ascend")</f>
        <v>ascend</v>
      </c>
      <c r="C977" s="3" t="str">
        <f>IFERROR(__xludf.DUMMYFUNCTION("""COMPUTED_VALUE"""),"Ascension Protocol")</f>
        <v>Ascension Protocol</v>
      </c>
    </row>
    <row r="978">
      <c r="A978" s="3" t="str">
        <f>IFERROR(__xludf.DUMMYFUNCTION("""COMPUTED_VALUE"""),"ascentpad")</f>
        <v>ascentpad</v>
      </c>
      <c r="B978" s="3" t="str">
        <f>IFERROR(__xludf.DUMMYFUNCTION("""COMPUTED_VALUE"""),"asp")</f>
        <v>asp</v>
      </c>
      <c r="C978" s="3" t="str">
        <f>IFERROR(__xludf.DUMMYFUNCTION("""COMPUTED_VALUE"""),"AscentPad")</f>
        <v>AscentPad</v>
      </c>
    </row>
    <row r="979">
      <c r="A979" s="3" t="str">
        <f>IFERROR(__xludf.DUMMYFUNCTION("""COMPUTED_VALUE"""),"asd")</f>
        <v>asd</v>
      </c>
      <c r="B979" s="3" t="str">
        <f>IFERROR(__xludf.DUMMYFUNCTION("""COMPUTED_VALUE"""),"asd")</f>
        <v>asd</v>
      </c>
      <c r="C979" s="3" t="str">
        <f>IFERROR(__xludf.DUMMYFUNCTION("""COMPUTED_VALUE"""),"AscendEx")</f>
        <v>AscendEx</v>
      </c>
    </row>
    <row r="980">
      <c r="A980" s="3" t="str">
        <f>IFERROR(__xludf.DUMMYFUNCTION("""COMPUTED_VALUE"""),"asec-frontier")</f>
        <v>asec-frontier</v>
      </c>
      <c r="B980" s="3" t="str">
        <f>IFERROR(__xludf.DUMMYFUNCTION("""COMPUTED_VALUE"""),"asec")</f>
        <v>asec</v>
      </c>
      <c r="C980" s="3" t="str">
        <f>IFERROR(__xludf.DUMMYFUNCTION("""COMPUTED_VALUE"""),"ASEC Frontier")</f>
        <v>ASEC Frontier</v>
      </c>
    </row>
    <row r="981">
      <c r="A981" s="3" t="str">
        <f>IFERROR(__xludf.DUMMYFUNCTION("""COMPUTED_VALUE"""),"asgard-games")</f>
        <v>asgard-games</v>
      </c>
      <c r="B981" s="3" t="str">
        <f>IFERROR(__xludf.DUMMYFUNCTION("""COMPUTED_VALUE"""),"asg")</f>
        <v>asg</v>
      </c>
      <c r="C981" s="3" t="str">
        <f>IFERROR(__xludf.DUMMYFUNCTION("""COMPUTED_VALUE"""),"Asgard Games")</f>
        <v>Asgard Games</v>
      </c>
    </row>
    <row r="982">
      <c r="A982" s="3" t="str">
        <f>IFERROR(__xludf.DUMMYFUNCTION("""COMPUTED_VALUE"""),"asgardian-aereus")</f>
        <v>asgardian-aereus</v>
      </c>
      <c r="B982" s="3" t="str">
        <f>IFERROR(__xludf.DUMMYFUNCTION("""COMPUTED_VALUE"""),"volt")</f>
        <v>volt</v>
      </c>
      <c r="C982" s="3" t="str">
        <f>IFERROR(__xludf.DUMMYFUNCTION("""COMPUTED_VALUE"""),"Asgardian Aereus")</f>
        <v>Asgardian Aereus</v>
      </c>
    </row>
    <row r="983">
      <c r="A983" s="3" t="str">
        <f>IFERROR(__xludf.DUMMYFUNCTION("""COMPUTED_VALUE"""),"ash")</f>
        <v>ash</v>
      </c>
      <c r="B983" s="3" t="str">
        <f>IFERROR(__xludf.DUMMYFUNCTION("""COMPUTED_VALUE"""),"ash")</f>
        <v>ash</v>
      </c>
      <c r="C983" s="3" t="str">
        <f>IFERROR(__xludf.DUMMYFUNCTION("""COMPUTED_VALUE"""),"ASH")</f>
        <v>ASH</v>
      </c>
    </row>
    <row r="984">
      <c r="A984" s="3" t="str">
        <f>IFERROR(__xludf.DUMMYFUNCTION("""COMPUTED_VALUE"""),"ashera")</f>
        <v>ashera</v>
      </c>
      <c r="B984" s="3" t="str">
        <f>IFERROR(__xludf.DUMMYFUNCTION("""COMPUTED_VALUE"""),"ash")</f>
        <v>ash</v>
      </c>
      <c r="C984" s="3" t="str">
        <f>IFERROR(__xludf.DUMMYFUNCTION("""COMPUTED_VALUE"""),"Ashera")</f>
        <v>Ashera</v>
      </c>
    </row>
    <row r="985">
      <c r="A985" s="3" t="str">
        <f>IFERROR(__xludf.DUMMYFUNCTION("""COMPUTED_VALUE"""),"ashswap")</f>
        <v>ashswap</v>
      </c>
      <c r="B985" s="3" t="str">
        <f>IFERROR(__xludf.DUMMYFUNCTION("""COMPUTED_VALUE"""),"ash")</f>
        <v>ash</v>
      </c>
      <c r="C985" s="3" t="str">
        <f>IFERROR(__xludf.DUMMYFUNCTION("""COMPUTED_VALUE"""),"AshSwap")</f>
        <v>AshSwap</v>
      </c>
    </row>
    <row r="986">
      <c r="A986" s="3" t="str">
        <f>IFERROR(__xludf.DUMMYFUNCTION("""COMPUTED_VALUE"""),"ash-token")</f>
        <v>ash-token</v>
      </c>
      <c r="B986" s="3" t="str">
        <f>IFERROR(__xludf.DUMMYFUNCTION("""COMPUTED_VALUE"""),"ash")</f>
        <v>ash</v>
      </c>
      <c r="C986" s="3" t="str">
        <f>IFERROR(__xludf.DUMMYFUNCTION("""COMPUTED_VALUE"""),"Ash Token")</f>
        <v>Ash Token</v>
      </c>
    </row>
    <row r="987">
      <c r="A987" s="3" t="str">
        <f>IFERROR(__xludf.DUMMYFUNCTION("""COMPUTED_VALUE"""),"asia-coin")</f>
        <v>asia-coin</v>
      </c>
      <c r="B987" s="3" t="str">
        <f>IFERROR(__xludf.DUMMYFUNCTION("""COMPUTED_VALUE"""),"asia")</f>
        <v>asia</v>
      </c>
      <c r="C987" s="3" t="str">
        <f>IFERROR(__xludf.DUMMYFUNCTION("""COMPUTED_VALUE"""),"Asia Coin")</f>
        <v>Asia Coin</v>
      </c>
    </row>
    <row r="988">
      <c r="A988" s="3" t="str">
        <f>IFERROR(__xludf.DUMMYFUNCTION("""COMPUTED_VALUE"""),"asic-token")</f>
        <v>asic-token</v>
      </c>
      <c r="B988" s="3" t="str">
        <f>IFERROR(__xludf.DUMMYFUNCTION("""COMPUTED_VALUE"""),"asic")</f>
        <v>asic</v>
      </c>
      <c r="C988" s="3" t="str">
        <f>IFERROR(__xludf.DUMMYFUNCTION("""COMPUTED_VALUE"""),"ASIC Token")</f>
        <v>ASIC Token</v>
      </c>
    </row>
    <row r="989">
      <c r="A989" s="3" t="str">
        <f>IFERROR(__xludf.DUMMYFUNCTION("""COMPUTED_VALUE"""),"asimi")</f>
        <v>asimi</v>
      </c>
      <c r="B989" s="3" t="str">
        <f>IFERROR(__xludf.DUMMYFUNCTION("""COMPUTED_VALUE"""),"asimi")</f>
        <v>asimi</v>
      </c>
      <c r="C989" s="3" t="str">
        <f>IFERROR(__xludf.DUMMYFUNCTION("""COMPUTED_VALUE"""),"ASIMI")</f>
        <v>ASIMI</v>
      </c>
    </row>
    <row r="990">
      <c r="A990" s="3" t="str">
        <f>IFERROR(__xludf.DUMMYFUNCTION("""COMPUTED_VALUE"""),"asix")</f>
        <v>asix</v>
      </c>
      <c r="B990" s="3" t="str">
        <f>IFERROR(__xludf.DUMMYFUNCTION("""COMPUTED_VALUE"""),"asix")</f>
        <v>asix</v>
      </c>
      <c r="C990" s="3" t="str">
        <f>IFERROR(__xludf.DUMMYFUNCTION("""COMPUTED_VALUE"""),"ASIX")</f>
        <v>ASIX</v>
      </c>
    </row>
    <row r="991">
      <c r="A991" s="3" t="str">
        <f>IFERROR(__xludf.DUMMYFUNCTION("""COMPUTED_VALUE"""),"asixplus")</f>
        <v>asixplus</v>
      </c>
      <c r="B991" s="3" t="str">
        <f>IFERROR(__xludf.DUMMYFUNCTION("""COMPUTED_VALUE"""),"asix+")</f>
        <v>asix+</v>
      </c>
      <c r="C991" s="3" t="str">
        <f>IFERROR(__xludf.DUMMYFUNCTION("""COMPUTED_VALUE"""),"AsixPlus")</f>
        <v>AsixPlus</v>
      </c>
    </row>
    <row r="992">
      <c r="A992" s="3" t="str">
        <f>IFERROR(__xludf.DUMMYFUNCTION("""COMPUTED_VALUE"""),"askobar-network")</f>
        <v>askobar-network</v>
      </c>
      <c r="B992" s="3" t="str">
        <f>IFERROR(__xludf.DUMMYFUNCTION("""COMPUTED_VALUE"""),"asko")</f>
        <v>asko</v>
      </c>
      <c r="C992" s="3" t="str">
        <f>IFERROR(__xludf.DUMMYFUNCTION("""COMPUTED_VALUE"""),"Asko")</f>
        <v>Asko</v>
      </c>
    </row>
    <row r="993">
      <c r="A993" s="3" t="str">
        <f>IFERROR(__xludf.DUMMYFUNCTION("""COMPUTED_VALUE"""),"as-monaco-fan-token")</f>
        <v>as-monaco-fan-token</v>
      </c>
      <c r="B993" s="3" t="str">
        <f>IFERROR(__xludf.DUMMYFUNCTION("""COMPUTED_VALUE"""),"asm")</f>
        <v>asm</v>
      </c>
      <c r="C993" s="3" t="str">
        <f>IFERROR(__xludf.DUMMYFUNCTION("""COMPUTED_VALUE"""),"AS Monaco Fan Token")</f>
        <v>AS Monaco Fan Token</v>
      </c>
    </row>
    <row r="994">
      <c r="A994" s="3" t="str">
        <f>IFERROR(__xludf.DUMMYFUNCTION("""COMPUTED_VALUE"""),"aspire")</f>
        <v>aspire</v>
      </c>
      <c r="B994" s="3" t="str">
        <f>IFERROR(__xludf.DUMMYFUNCTION("""COMPUTED_VALUE"""),"asp")</f>
        <v>asp</v>
      </c>
      <c r="C994" s="3" t="str">
        <f>IFERROR(__xludf.DUMMYFUNCTION("""COMPUTED_VALUE"""),"Aspire")</f>
        <v>Aspire</v>
      </c>
    </row>
    <row r="995">
      <c r="A995" s="3" t="str">
        <f>IFERROR(__xludf.DUMMYFUNCTION("""COMPUTED_VALUE"""),"aspo-world")</f>
        <v>aspo-world</v>
      </c>
      <c r="B995" s="3" t="str">
        <f>IFERROR(__xludf.DUMMYFUNCTION("""COMPUTED_VALUE"""),"aspo")</f>
        <v>aspo</v>
      </c>
      <c r="C995" s="3" t="str">
        <f>IFERROR(__xludf.DUMMYFUNCTION("""COMPUTED_VALUE"""),"ASPO World")</f>
        <v>ASPO World</v>
      </c>
    </row>
    <row r="996">
      <c r="A996" s="3" t="str">
        <f>IFERROR(__xludf.DUMMYFUNCTION("""COMPUTED_VALUE"""),"as-roma-fan-token")</f>
        <v>as-roma-fan-token</v>
      </c>
      <c r="B996" s="3" t="str">
        <f>IFERROR(__xludf.DUMMYFUNCTION("""COMPUTED_VALUE"""),"asr")</f>
        <v>asr</v>
      </c>
      <c r="C996" s="3" t="str">
        <f>IFERROR(__xludf.DUMMYFUNCTION("""COMPUTED_VALUE"""),"AS Roma Fan Token")</f>
        <v>AS Roma Fan Token</v>
      </c>
    </row>
    <row r="997">
      <c r="A997" s="3" t="str">
        <f>IFERROR(__xludf.DUMMYFUNCTION("""COMPUTED_VALUE"""),"assangedao")</f>
        <v>assangedao</v>
      </c>
      <c r="B997" s="3" t="str">
        <f>IFERROR(__xludf.DUMMYFUNCTION("""COMPUTED_VALUE"""),"justice")</f>
        <v>justice</v>
      </c>
      <c r="C997" s="3" t="str">
        <f>IFERROR(__xludf.DUMMYFUNCTION("""COMPUTED_VALUE"""),"AssangeDAO")</f>
        <v>AssangeDAO</v>
      </c>
    </row>
    <row r="998">
      <c r="A998" s="3" t="str">
        <f>IFERROR(__xludf.DUMMYFUNCTION("""COMPUTED_VALUE"""),"assaplay")</f>
        <v>assaplay</v>
      </c>
      <c r="B998" s="3" t="str">
        <f>IFERROR(__xludf.DUMMYFUNCTION("""COMPUTED_VALUE"""),"assa")</f>
        <v>assa</v>
      </c>
      <c r="C998" s="3" t="str">
        <f>IFERROR(__xludf.DUMMYFUNCTION("""COMPUTED_VALUE"""),"AssaPlay")</f>
        <v>AssaPlay</v>
      </c>
    </row>
    <row r="999">
      <c r="A999" s="3" t="str">
        <f>IFERROR(__xludf.DUMMYFUNCTION("""COMPUTED_VALUE"""),"assara")</f>
        <v>assara</v>
      </c>
      <c r="B999" s="3" t="str">
        <f>IFERROR(__xludf.DUMMYFUNCTION("""COMPUTED_VALUE"""),"assa")</f>
        <v>assa</v>
      </c>
      <c r="C999" s="3" t="str">
        <f>IFERROR(__xludf.DUMMYFUNCTION("""COMPUTED_VALUE"""),"ASSARA")</f>
        <v>ASSARA</v>
      </c>
    </row>
    <row r="1000">
      <c r="A1000" s="3" t="str">
        <f>IFERROR(__xludf.DUMMYFUNCTION("""COMPUTED_VALUE"""),"assemble-protocol")</f>
        <v>assemble-protocol</v>
      </c>
      <c r="B1000" s="3" t="str">
        <f>IFERROR(__xludf.DUMMYFUNCTION("""COMPUTED_VALUE"""),"asm")</f>
        <v>asm</v>
      </c>
      <c r="C1000" s="3" t="str">
        <f>IFERROR(__xludf.DUMMYFUNCTION("""COMPUTED_VALUE"""),"Assemble Protocol")</f>
        <v>Assemble Protocol</v>
      </c>
    </row>
    <row r="1001">
      <c r="A1001" s="3" t="str">
        <f>IFERROR(__xludf.DUMMYFUNCTION("""COMPUTED_VALUE"""),"assent-protocol")</f>
        <v>assent-protocol</v>
      </c>
      <c r="B1001" s="3" t="str">
        <f>IFERROR(__xludf.DUMMYFUNCTION("""COMPUTED_VALUE"""),"asnt")</f>
        <v>asnt</v>
      </c>
      <c r="C1001" s="3" t="str">
        <f>IFERROR(__xludf.DUMMYFUNCTION("""COMPUTED_VALUE"""),"Assent Protocol")</f>
        <v>Assent Protocol</v>
      </c>
    </row>
    <row r="1002">
      <c r="A1002" s="3" t="str">
        <f>IFERROR(__xludf.DUMMYFUNCTION("""COMPUTED_VALUE"""),"assetmantle")</f>
        <v>assetmantle</v>
      </c>
      <c r="B1002" s="3" t="str">
        <f>IFERROR(__xludf.DUMMYFUNCTION("""COMPUTED_VALUE"""),"mntl")</f>
        <v>mntl</v>
      </c>
      <c r="C1002" s="3" t="str">
        <f>IFERROR(__xludf.DUMMYFUNCTION("""COMPUTED_VALUE"""),"AssetMantle")</f>
        <v>AssetMantle</v>
      </c>
    </row>
    <row r="1003">
      <c r="A1003" s="3" t="str">
        <f>IFERROR(__xludf.DUMMYFUNCTION("""COMPUTED_VALUE"""),"asta")</f>
        <v>asta</v>
      </c>
      <c r="B1003" s="3" t="str">
        <f>IFERROR(__xludf.DUMMYFUNCTION("""COMPUTED_VALUE"""),"asta")</f>
        <v>asta</v>
      </c>
      <c r="C1003" s="3" t="str">
        <f>IFERROR(__xludf.DUMMYFUNCTION("""COMPUTED_VALUE"""),"ASTA")</f>
        <v>ASTA</v>
      </c>
    </row>
    <row r="1004">
      <c r="A1004" s="3" t="str">
        <f>IFERROR(__xludf.DUMMYFUNCTION("""COMPUTED_VALUE"""),"astar")</f>
        <v>astar</v>
      </c>
      <c r="B1004" s="3" t="str">
        <f>IFERROR(__xludf.DUMMYFUNCTION("""COMPUTED_VALUE"""),"astr")</f>
        <v>astr</v>
      </c>
      <c r="C1004" s="3" t="str">
        <f>IFERROR(__xludf.DUMMYFUNCTION("""COMPUTED_VALUE"""),"Astar")</f>
        <v>Astar</v>
      </c>
    </row>
    <row r="1005">
      <c r="A1005" s="3" t="str">
        <f>IFERROR(__xludf.DUMMYFUNCTION("""COMPUTED_VALUE"""),"aster")</f>
        <v>aster</v>
      </c>
      <c r="B1005" s="3" t="str">
        <f>IFERROR(__xludf.DUMMYFUNCTION("""COMPUTED_VALUE"""),"atc")</f>
        <v>atc</v>
      </c>
      <c r="C1005" s="3" t="str">
        <f>IFERROR(__xludf.DUMMYFUNCTION("""COMPUTED_VALUE"""),"Aster")</f>
        <v>Aster</v>
      </c>
    </row>
    <row r="1006">
      <c r="A1006" s="3" t="str">
        <f>IFERROR(__xludf.DUMMYFUNCTION("""COMPUTED_VALUE"""),"ast-finance")</f>
        <v>ast-finance</v>
      </c>
      <c r="B1006" s="3" t="str">
        <f>IFERROR(__xludf.DUMMYFUNCTION("""COMPUTED_VALUE"""),"ast")</f>
        <v>ast</v>
      </c>
      <c r="C1006" s="3" t="str">
        <f>IFERROR(__xludf.DUMMYFUNCTION("""COMPUTED_VALUE"""),"AST.finance")</f>
        <v>AST.finance</v>
      </c>
    </row>
    <row r="1007">
      <c r="A1007" s="3" t="str">
        <f>IFERROR(__xludf.DUMMYFUNCTION("""COMPUTED_VALUE"""),"aston-martin-cognizant-fan-token")</f>
        <v>aston-martin-cognizant-fan-token</v>
      </c>
      <c r="B1007" s="3" t="str">
        <f>IFERROR(__xludf.DUMMYFUNCTION("""COMPUTED_VALUE"""),"am")</f>
        <v>am</v>
      </c>
      <c r="C1007" s="3" t="str">
        <f>IFERROR(__xludf.DUMMYFUNCTION("""COMPUTED_VALUE"""),"Aston Martin Cognizant Fan Token")</f>
        <v>Aston Martin Cognizant Fan Token</v>
      </c>
    </row>
    <row r="1008">
      <c r="A1008" s="3" t="str">
        <f>IFERROR(__xludf.DUMMYFUNCTION("""COMPUTED_VALUE"""),"aston-villa-fan-token")</f>
        <v>aston-villa-fan-token</v>
      </c>
      <c r="B1008" s="3" t="str">
        <f>IFERROR(__xludf.DUMMYFUNCTION("""COMPUTED_VALUE"""),"avl")</f>
        <v>avl</v>
      </c>
      <c r="C1008" s="3" t="str">
        <f>IFERROR(__xludf.DUMMYFUNCTION("""COMPUTED_VALUE"""),"Aston Villa Fan Token")</f>
        <v>Aston Villa Fan Token</v>
      </c>
    </row>
    <row r="1009">
      <c r="A1009" s="3" t="str">
        <f>IFERROR(__xludf.DUMMYFUNCTION("""COMPUTED_VALUE"""),"astra-dao")</f>
        <v>astra-dao</v>
      </c>
      <c r="B1009" s="3" t="str">
        <f>IFERROR(__xludf.DUMMYFUNCTION("""COMPUTED_VALUE"""),"astra")</f>
        <v>astra</v>
      </c>
      <c r="C1009" s="3" t="str">
        <f>IFERROR(__xludf.DUMMYFUNCTION("""COMPUTED_VALUE"""),"Astra DAO")</f>
        <v>Astra DAO</v>
      </c>
    </row>
    <row r="1010">
      <c r="A1010" s="3" t="str">
        <f>IFERROR(__xludf.DUMMYFUNCTION("""COMPUTED_VALUE"""),"astrafer")</f>
        <v>astrafer</v>
      </c>
      <c r="B1010" s="3" t="str">
        <f>IFERROR(__xludf.DUMMYFUNCTION("""COMPUTED_VALUE"""),"astrafer")</f>
        <v>astrafer</v>
      </c>
      <c r="C1010" s="3" t="str">
        <f>IFERROR(__xludf.DUMMYFUNCTION("""COMPUTED_VALUE"""),"Astrafer")</f>
        <v>Astrafer</v>
      </c>
    </row>
    <row r="1011">
      <c r="A1011" s="3" t="str">
        <f>IFERROR(__xludf.DUMMYFUNCTION("""COMPUTED_VALUE"""),"astra-guild-ventures")</f>
        <v>astra-guild-ventures</v>
      </c>
      <c r="B1011" s="3" t="str">
        <f>IFERROR(__xludf.DUMMYFUNCTION("""COMPUTED_VALUE"""),"agv")</f>
        <v>agv</v>
      </c>
      <c r="C1011" s="3" t="str">
        <f>IFERROR(__xludf.DUMMYFUNCTION("""COMPUTED_VALUE"""),"Astra Guild Ventures")</f>
        <v>Astra Guild Ventures</v>
      </c>
    </row>
    <row r="1012">
      <c r="A1012" s="3" t="str">
        <f>IFERROR(__xludf.DUMMYFUNCTION("""COMPUTED_VALUE"""),"astralis")</f>
        <v>astralis</v>
      </c>
      <c r="B1012" s="3" t="str">
        <f>IFERROR(__xludf.DUMMYFUNCTION("""COMPUTED_VALUE"""),"star")</f>
        <v>star</v>
      </c>
      <c r="C1012" s="3" t="str">
        <f>IFERROR(__xludf.DUMMYFUNCTION("""COMPUTED_VALUE"""),"Astralis")</f>
        <v>Astralis</v>
      </c>
    </row>
    <row r="1013">
      <c r="A1013" s="3" t="str">
        <f>IFERROR(__xludf.DUMMYFUNCTION("""COMPUTED_VALUE"""),"astrals-glxy")</f>
        <v>astrals-glxy</v>
      </c>
      <c r="B1013" s="3" t="str">
        <f>IFERROR(__xludf.DUMMYFUNCTION("""COMPUTED_VALUE"""),"glxy")</f>
        <v>glxy</v>
      </c>
      <c r="C1013" s="3" t="str">
        <f>IFERROR(__xludf.DUMMYFUNCTION("""COMPUTED_VALUE"""),"Astrals GLXY")</f>
        <v>Astrals GLXY</v>
      </c>
    </row>
    <row r="1014">
      <c r="A1014" s="3" t="str">
        <f>IFERROR(__xludf.DUMMYFUNCTION("""COMPUTED_VALUE"""),"astrapad")</f>
        <v>astrapad</v>
      </c>
      <c r="B1014" s="3" t="str">
        <f>IFERROR(__xludf.DUMMYFUNCTION("""COMPUTED_VALUE"""),"astra")</f>
        <v>astra</v>
      </c>
      <c r="C1014" s="3" t="str">
        <f>IFERROR(__xludf.DUMMYFUNCTION("""COMPUTED_VALUE"""),"AstraPad")</f>
        <v>AstraPad</v>
      </c>
    </row>
    <row r="1015">
      <c r="A1015" s="3" t="str">
        <f>IFERROR(__xludf.DUMMYFUNCTION("""COMPUTED_VALUE"""),"astrazion")</f>
        <v>astrazion</v>
      </c>
      <c r="B1015" s="3" t="str">
        <f>IFERROR(__xludf.DUMMYFUNCTION("""COMPUTED_VALUE"""),"aznt")</f>
        <v>aznt</v>
      </c>
      <c r="C1015" s="3" t="str">
        <f>IFERROR(__xludf.DUMMYFUNCTION("""COMPUTED_VALUE"""),"AstraZion")</f>
        <v>AstraZion</v>
      </c>
    </row>
    <row r="1016">
      <c r="A1016" s="3" t="str">
        <f>IFERROR(__xludf.DUMMYFUNCTION("""COMPUTED_VALUE"""),"astriddao-token")</f>
        <v>astriddao-token</v>
      </c>
      <c r="B1016" s="3" t="str">
        <f>IFERROR(__xludf.DUMMYFUNCTION("""COMPUTED_VALUE"""),"atid")</f>
        <v>atid</v>
      </c>
      <c r="C1016" s="3" t="str">
        <f>IFERROR(__xludf.DUMMYFUNCTION("""COMPUTED_VALUE"""),"AstridDAO")</f>
        <v>AstridDAO</v>
      </c>
    </row>
    <row r="1017">
      <c r="A1017" s="3" t="str">
        <f>IFERROR(__xludf.DUMMYFUNCTION("""COMPUTED_VALUE"""),"astro-babies")</f>
        <v>astro-babies</v>
      </c>
      <c r="B1017" s="3" t="str">
        <f>IFERROR(__xludf.DUMMYFUNCTION("""COMPUTED_VALUE"""),"abb")</f>
        <v>abb</v>
      </c>
      <c r="C1017" s="3" t="str">
        <f>IFERROR(__xludf.DUMMYFUNCTION("""COMPUTED_VALUE"""),"Astro Babies")</f>
        <v>Astro Babies</v>
      </c>
    </row>
    <row r="1018">
      <c r="A1018" s="3" t="str">
        <f>IFERROR(__xludf.DUMMYFUNCTION("""COMPUTED_VALUE"""),"astrobirdz")</f>
        <v>astrobirdz</v>
      </c>
      <c r="B1018" s="3" t="str">
        <f>IFERROR(__xludf.DUMMYFUNCTION("""COMPUTED_VALUE"""),"abz")</f>
        <v>abz</v>
      </c>
      <c r="C1018" s="3" t="str">
        <f>IFERROR(__xludf.DUMMYFUNCTION("""COMPUTED_VALUE"""),"AstroBirdz")</f>
        <v>AstroBirdz</v>
      </c>
    </row>
    <row r="1019">
      <c r="A1019" s="3" t="str">
        <f>IFERROR(__xludf.DUMMYFUNCTION("""COMPUTED_VALUE"""),"astro-cash")</f>
        <v>astro-cash</v>
      </c>
      <c r="B1019" s="3" t="str">
        <f>IFERROR(__xludf.DUMMYFUNCTION("""COMPUTED_VALUE"""),"astro")</f>
        <v>astro</v>
      </c>
      <c r="C1019" s="3" t="str">
        <f>IFERROR(__xludf.DUMMYFUNCTION("""COMPUTED_VALUE"""),"Astro Cash")</f>
        <v>Astro Cash</v>
      </c>
    </row>
    <row r="1020">
      <c r="A1020" s="3" t="str">
        <f>IFERROR(__xludf.DUMMYFUNCTION("""COMPUTED_VALUE"""),"astrodonkey")</f>
        <v>astrodonkey</v>
      </c>
      <c r="B1020" s="3" t="str">
        <f>IFERROR(__xludf.DUMMYFUNCTION("""COMPUTED_VALUE"""),"dnky")</f>
        <v>dnky</v>
      </c>
      <c r="C1020" s="3" t="str">
        <f>IFERROR(__xludf.DUMMYFUNCTION("""COMPUTED_VALUE"""),"AstroDonkey")</f>
        <v>AstroDonkey</v>
      </c>
    </row>
    <row r="1021">
      <c r="A1021" s="3" t="str">
        <f>IFERROR(__xludf.DUMMYFUNCTION("""COMPUTED_VALUE"""),"astroelon")</f>
        <v>astroelon</v>
      </c>
      <c r="B1021" s="3" t="str">
        <f>IFERROR(__xludf.DUMMYFUNCTION("""COMPUTED_VALUE"""),"elonone")</f>
        <v>elonone</v>
      </c>
      <c r="C1021" s="3" t="str">
        <f>IFERROR(__xludf.DUMMYFUNCTION("""COMPUTED_VALUE"""),"AstroElon")</f>
        <v>AstroElon</v>
      </c>
    </row>
    <row r="1022">
      <c r="A1022" s="3" t="str">
        <f>IFERROR(__xludf.DUMMYFUNCTION("""COMPUTED_VALUE"""),"astrogrow")</f>
        <v>astrogrow</v>
      </c>
      <c r="B1022" s="3" t="str">
        <f>IFERROR(__xludf.DUMMYFUNCTION("""COMPUTED_VALUE"""),"atg")</f>
        <v>atg</v>
      </c>
      <c r="C1022" s="3" t="str">
        <f>IFERROR(__xludf.DUMMYFUNCTION("""COMPUTED_VALUE"""),"AstroGrow")</f>
        <v>AstroGrow</v>
      </c>
    </row>
    <row r="1023">
      <c r="A1023" s="3" t="str">
        <f>IFERROR(__xludf.DUMMYFUNCTION("""COMPUTED_VALUE"""),"astronaut")</f>
        <v>astronaut</v>
      </c>
      <c r="B1023" s="3" t="str">
        <f>IFERROR(__xludf.DUMMYFUNCTION("""COMPUTED_VALUE"""),"naut")</f>
        <v>naut</v>
      </c>
      <c r="C1023" s="3" t="str">
        <f>IFERROR(__xludf.DUMMYFUNCTION("""COMPUTED_VALUE"""),"Astronaut")</f>
        <v>Astronaut</v>
      </c>
    </row>
    <row r="1024">
      <c r="A1024" s="3" t="str">
        <f>IFERROR(__xludf.DUMMYFUNCTION("""COMPUTED_VALUE"""),"astroport")</f>
        <v>astroport</v>
      </c>
      <c r="B1024" s="3" t="str">
        <f>IFERROR(__xludf.DUMMYFUNCTION("""COMPUTED_VALUE"""),"astroc")</f>
        <v>astroc</v>
      </c>
      <c r="C1024" s="3" t="str">
        <f>IFERROR(__xludf.DUMMYFUNCTION("""COMPUTED_VALUE"""),"Astroport Classic")</f>
        <v>Astroport Classic</v>
      </c>
    </row>
    <row r="1025">
      <c r="A1025" s="3" t="str">
        <f>IFERROR(__xludf.DUMMYFUNCTION("""COMPUTED_VALUE"""),"astroport-fi")</f>
        <v>astroport-fi</v>
      </c>
      <c r="B1025" s="3" t="str">
        <f>IFERROR(__xludf.DUMMYFUNCTION("""COMPUTED_VALUE"""),"astro")</f>
        <v>astro</v>
      </c>
      <c r="C1025" s="4" t="str">
        <f>IFERROR(__xludf.DUMMYFUNCTION("""COMPUTED_VALUE"""),"Astroport.fi")</f>
        <v>Astroport.fi</v>
      </c>
    </row>
    <row r="1026">
      <c r="A1026" s="3" t="str">
        <f>IFERROR(__xludf.DUMMYFUNCTION("""COMPUTED_VALUE"""),"astrosanta")</f>
        <v>astrosanta</v>
      </c>
      <c r="B1026" s="3" t="str">
        <f>IFERROR(__xludf.DUMMYFUNCTION("""COMPUTED_VALUE"""),"asa")</f>
        <v>asa</v>
      </c>
      <c r="C1026" s="3" t="str">
        <f>IFERROR(__xludf.DUMMYFUNCTION("""COMPUTED_VALUE"""),"AstroSanta")</f>
        <v>AstroSanta</v>
      </c>
    </row>
    <row r="1027">
      <c r="A1027" s="3" t="str">
        <f>IFERROR(__xludf.DUMMYFUNCTION("""COMPUTED_VALUE"""),"astrospaces-io")</f>
        <v>astrospaces-io</v>
      </c>
      <c r="B1027" s="3" t="str">
        <f>IFERROR(__xludf.DUMMYFUNCTION("""COMPUTED_VALUE"""),"spaces")</f>
        <v>spaces</v>
      </c>
      <c r="C1027" s="4" t="str">
        <f>IFERROR(__xludf.DUMMYFUNCTION("""COMPUTED_VALUE"""),"AstroSpaces.io")</f>
        <v>AstroSpaces.io</v>
      </c>
    </row>
    <row r="1028">
      <c r="A1028" s="3" t="str">
        <f>IFERROR(__xludf.DUMMYFUNCTION("""COMPUTED_VALUE"""),"astroswap")</f>
        <v>astroswap</v>
      </c>
      <c r="B1028" s="3" t="str">
        <f>IFERROR(__xludf.DUMMYFUNCTION("""COMPUTED_VALUE"""),"astro")</f>
        <v>astro</v>
      </c>
      <c r="C1028" s="3" t="str">
        <f>IFERROR(__xludf.DUMMYFUNCTION("""COMPUTED_VALUE"""),"AstroSwap")</f>
        <v>AstroSwap</v>
      </c>
    </row>
    <row r="1029">
      <c r="A1029" s="3" t="str">
        <f>IFERROR(__xludf.DUMMYFUNCTION("""COMPUTED_VALUE"""),"astrotools")</f>
        <v>astrotools</v>
      </c>
      <c r="B1029" s="3" t="str">
        <f>IFERROR(__xludf.DUMMYFUNCTION("""COMPUTED_VALUE"""),"astro")</f>
        <v>astro</v>
      </c>
      <c r="C1029" s="3" t="str">
        <f>IFERROR(__xludf.DUMMYFUNCTION("""COMPUTED_VALUE"""),"AstroTools")</f>
        <v>AstroTools</v>
      </c>
    </row>
    <row r="1030">
      <c r="A1030" s="3" t="str">
        <f>IFERROR(__xludf.DUMMYFUNCTION("""COMPUTED_VALUE"""),"astro-verse")</f>
        <v>astro-verse</v>
      </c>
      <c r="B1030" s="3" t="str">
        <f>IFERROR(__xludf.DUMMYFUNCTION("""COMPUTED_VALUE"""),"asv")</f>
        <v>asv</v>
      </c>
      <c r="C1030" s="3" t="str">
        <f>IFERROR(__xludf.DUMMYFUNCTION("""COMPUTED_VALUE"""),"Astro Verse")</f>
        <v>Astro Verse</v>
      </c>
    </row>
    <row r="1031">
      <c r="A1031" s="3" t="str">
        <f>IFERROR(__xludf.DUMMYFUNCTION("""COMPUTED_VALUE"""),"asuna-inu")</f>
        <v>asuna-inu</v>
      </c>
      <c r="B1031" s="3" t="str">
        <f>IFERROR(__xludf.DUMMYFUNCTION("""COMPUTED_VALUE"""),"asunainu")</f>
        <v>asunainu</v>
      </c>
      <c r="C1031" s="3" t="str">
        <f>IFERROR(__xludf.DUMMYFUNCTION("""COMPUTED_VALUE"""),"Asuna Inu")</f>
        <v>Asuna Inu</v>
      </c>
    </row>
    <row r="1032">
      <c r="A1032" s="3" t="str">
        <f>IFERROR(__xludf.DUMMYFUNCTION("""COMPUTED_VALUE"""),"asva")</f>
        <v>asva</v>
      </c>
      <c r="B1032" s="3" t="str">
        <f>IFERROR(__xludf.DUMMYFUNCTION("""COMPUTED_VALUE"""),"asva")</f>
        <v>asva</v>
      </c>
      <c r="C1032" s="3" t="str">
        <f>IFERROR(__xludf.DUMMYFUNCTION("""COMPUTED_VALUE"""),"Asva Labs")</f>
        <v>Asva Labs</v>
      </c>
    </row>
    <row r="1033">
      <c r="A1033" s="3" t="str">
        <f>IFERROR(__xludf.DUMMYFUNCTION("""COMPUTED_VALUE"""),"asward-coin")</f>
        <v>asward-coin</v>
      </c>
      <c r="B1033" s="3" t="str">
        <f>IFERROR(__xludf.DUMMYFUNCTION("""COMPUTED_VALUE"""),"asc")</f>
        <v>asc</v>
      </c>
      <c r="C1033" s="3" t="str">
        <f>IFERROR(__xludf.DUMMYFUNCTION("""COMPUTED_VALUE"""),"Ashward Coin")</f>
        <v>Ashward Coin</v>
      </c>
    </row>
    <row r="1034">
      <c r="A1034" s="3" t="str">
        <f>IFERROR(__xludf.DUMMYFUNCTION("""COMPUTED_VALUE"""),"asyagro")</f>
        <v>asyagro</v>
      </c>
      <c r="B1034" s="3" t="str">
        <f>IFERROR(__xludf.DUMMYFUNCTION("""COMPUTED_VALUE"""),"asy")</f>
        <v>asy</v>
      </c>
      <c r="C1034" s="3" t="str">
        <f>IFERROR(__xludf.DUMMYFUNCTION("""COMPUTED_VALUE"""),"ASYAGRO")</f>
        <v>ASYAGRO</v>
      </c>
    </row>
    <row r="1035">
      <c r="A1035" s="3" t="str">
        <f>IFERROR(__xludf.DUMMYFUNCTION("""COMPUTED_VALUE"""),"atari")</f>
        <v>atari</v>
      </c>
      <c r="B1035" s="3" t="str">
        <f>IFERROR(__xludf.DUMMYFUNCTION("""COMPUTED_VALUE"""),"atri")</f>
        <v>atri</v>
      </c>
      <c r="C1035" s="3" t="str">
        <f>IFERROR(__xludf.DUMMYFUNCTION("""COMPUTED_VALUE"""),"Atari")</f>
        <v>Atari</v>
      </c>
    </row>
    <row r="1036">
      <c r="A1036" s="3" t="str">
        <f>IFERROR(__xludf.DUMMYFUNCTION("""COMPUTED_VALUE"""),"atauro")</f>
        <v>atauro</v>
      </c>
      <c r="B1036" s="3" t="str">
        <f>IFERROR(__xludf.DUMMYFUNCTION("""COMPUTED_VALUE"""),"atr")</f>
        <v>atr</v>
      </c>
      <c r="C1036" s="3" t="str">
        <f>IFERROR(__xludf.DUMMYFUNCTION("""COMPUTED_VALUE"""),"Atauro")</f>
        <v>Atauro</v>
      </c>
    </row>
    <row r="1037">
      <c r="A1037" s="3" t="str">
        <f>IFERROR(__xludf.DUMMYFUNCTION("""COMPUTED_VALUE"""),"atbcoin")</f>
        <v>atbcoin</v>
      </c>
      <c r="B1037" s="3" t="str">
        <f>IFERROR(__xludf.DUMMYFUNCTION("""COMPUTED_VALUE"""),"atb")</f>
        <v>atb</v>
      </c>
      <c r="C1037" s="3" t="str">
        <f>IFERROR(__xludf.DUMMYFUNCTION("""COMPUTED_VALUE"""),"ATBCoin")</f>
        <v>ATBCoin</v>
      </c>
    </row>
    <row r="1038">
      <c r="A1038" s="3" t="str">
        <f>IFERROR(__xludf.DUMMYFUNCTION("""COMPUTED_VALUE"""),"atheios")</f>
        <v>atheios</v>
      </c>
      <c r="B1038" s="3" t="str">
        <f>IFERROR(__xludf.DUMMYFUNCTION("""COMPUTED_VALUE"""),"ath")</f>
        <v>ath</v>
      </c>
      <c r="C1038" s="3" t="str">
        <f>IFERROR(__xludf.DUMMYFUNCTION("""COMPUTED_VALUE"""),"Atheios")</f>
        <v>Atheios</v>
      </c>
    </row>
    <row r="1039">
      <c r="A1039" s="3" t="str">
        <f>IFERROR(__xludf.DUMMYFUNCTION("""COMPUTED_VALUE"""),"athena-crypto-bank")</f>
        <v>athena-crypto-bank</v>
      </c>
      <c r="B1039" s="3" t="str">
        <f>IFERROR(__xludf.DUMMYFUNCTION("""COMPUTED_VALUE"""),"ath")</f>
        <v>ath</v>
      </c>
      <c r="C1039" s="3" t="str">
        <f>IFERROR(__xludf.DUMMYFUNCTION("""COMPUTED_VALUE"""),"Athena Crypto Bank")</f>
        <v>Athena Crypto Bank</v>
      </c>
    </row>
    <row r="1040">
      <c r="A1040" s="3" t="str">
        <f>IFERROR(__xludf.DUMMYFUNCTION("""COMPUTED_VALUE"""),"athena-money-owl")</f>
        <v>athena-money-owl</v>
      </c>
      <c r="B1040" s="3" t="str">
        <f>IFERROR(__xludf.DUMMYFUNCTION("""COMPUTED_VALUE"""),"owl")</f>
        <v>owl</v>
      </c>
      <c r="C1040" s="3" t="str">
        <f>IFERROR(__xludf.DUMMYFUNCTION("""COMPUTED_VALUE"""),"Athena Money Owl")</f>
        <v>Athena Money Owl</v>
      </c>
    </row>
    <row r="1041">
      <c r="A1041" s="3" t="str">
        <f>IFERROR(__xludf.DUMMYFUNCTION("""COMPUTED_VALUE"""),"athenas")</f>
        <v>athenas</v>
      </c>
      <c r="B1041" s="3" t="str">
        <f>IFERROR(__xludf.DUMMYFUNCTION("""COMPUTED_VALUE"""),"athenasv2")</f>
        <v>athenasv2</v>
      </c>
      <c r="C1041" s="3" t="str">
        <f>IFERROR(__xludf.DUMMYFUNCTION("""COMPUTED_VALUE"""),"Athenas")</f>
        <v>Athenas</v>
      </c>
    </row>
    <row r="1042">
      <c r="A1042" s="3" t="str">
        <f>IFERROR(__xludf.DUMMYFUNCTION("""COMPUTED_VALUE"""),"atheneum")</f>
        <v>atheneum</v>
      </c>
      <c r="B1042" s="3" t="str">
        <f>IFERROR(__xludf.DUMMYFUNCTION("""COMPUTED_VALUE"""),"aem")</f>
        <v>aem</v>
      </c>
      <c r="C1042" s="3" t="str">
        <f>IFERROR(__xludf.DUMMYFUNCTION("""COMPUTED_VALUE"""),"Atheneum")</f>
        <v>Atheneum</v>
      </c>
    </row>
    <row r="1043">
      <c r="A1043" s="3" t="str">
        <f>IFERROR(__xludf.DUMMYFUNCTION("""COMPUTED_VALUE"""),"athens")</f>
        <v>athens</v>
      </c>
      <c r="B1043" s="3" t="str">
        <f>IFERROR(__xludf.DUMMYFUNCTION("""COMPUTED_VALUE"""),"ath")</f>
        <v>ath</v>
      </c>
      <c r="C1043" s="3" t="str">
        <f>IFERROR(__xludf.DUMMYFUNCTION("""COMPUTED_VALUE"""),"Athens")</f>
        <v>Athens</v>
      </c>
    </row>
    <row r="1044">
      <c r="A1044" s="3" t="str">
        <f>IFERROR(__xludf.DUMMYFUNCTION("""COMPUTED_VALUE"""),"ath-games")</f>
        <v>ath-games</v>
      </c>
      <c r="B1044" s="3" t="str">
        <f>IFERROR(__xludf.DUMMYFUNCTION("""COMPUTED_VALUE"""),"athd")</f>
        <v>athd</v>
      </c>
      <c r="C1044" s="3" t="str">
        <f>IFERROR(__xludf.DUMMYFUNCTION("""COMPUTED_VALUE"""),"ATH Games")</f>
        <v>ATH Games</v>
      </c>
    </row>
    <row r="1045">
      <c r="A1045" s="3" t="str">
        <f>IFERROR(__xludf.DUMMYFUNCTION("""COMPUTED_VALUE"""),"athletex")</f>
        <v>athletex</v>
      </c>
      <c r="B1045" s="3" t="str">
        <f>IFERROR(__xludf.DUMMYFUNCTION("""COMPUTED_VALUE"""),"ax")</f>
        <v>ax</v>
      </c>
      <c r="C1045" s="3" t="str">
        <f>IFERROR(__xludf.DUMMYFUNCTION("""COMPUTED_VALUE"""),"AthleteX")</f>
        <v>AthleteX</v>
      </c>
    </row>
    <row r="1046">
      <c r="A1046" s="3" t="str">
        <f>IFERROR(__xludf.DUMMYFUNCTION("""COMPUTED_VALUE"""),"athos-finance")</f>
        <v>athos-finance</v>
      </c>
      <c r="B1046" s="3" t="str">
        <f>IFERROR(__xludf.DUMMYFUNCTION("""COMPUTED_VALUE"""),"ath")</f>
        <v>ath</v>
      </c>
      <c r="C1046" s="3" t="str">
        <f>IFERROR(__xludf.DUMMYFUNCTION("""COMPUTED_VALUE"""),"Athos Finance")</f>
        <v>Athos Finance</v>
      </c>
    </row>
    <row r="1047">
      <c r="A1047" s="3" t="str">
        <f>IFERROR(__xludf.DUMMYFUNCTION("""COMPUTED_VALUE"""),"athos-meta")</f>
        <v>athos-meta</v>
      </c>
      <c r="B1047" s="3" t="str">
        <f>IFERROR(__xludf.DUMMYFUNCTION("""COMPUTED_VALUE"""),"atm")</f>
        <v>atm</v>
      </c>
      <c r="C1047" s="3" t="str">
        <f>IFERROR(__xludf.DUMMYFUNCTION("""COMPUTED_VALUE"""),"Athos Meta")</f>
        <v>Athos Meta</v>
      </c>
    </row>
    <row r="1048">
      <c r="A1048" s="3" t="str">
        <f>IFERROR(__xludf.DUMMYFUNCTION("""COMPUTED_VALUE"""),"atlantis")</f>
        <v>atlantis</v>
      </c>
      <c r="B1048" s="3" t="str">
        <f>IFERROR(__xludf.DUMMYFUNCTION("""COMPUTED_VALUE"""),"atlas")</f>
        <v>atlas</v>
      </c>
      <c r="C1048" s="3" t="str">
        <f>IFERROR(__xludf.DUMMYFUNCTION("""COMPUTED_VALUE"""),"Atlantis")</f>
        <v>Atlantis</v>
      </c>
    </row>
    <row r="1049">
      <c r="A1049" s="3" t="str">
        <f>IFERROR(__xludf.DUMMYFUNCTION("""COMPUTED_VALUE"""),"atlantis-coin")</f>
        <v>atlantis-coin</v>
      </c>
      <c r="B1049" s="3" t="str">
        <f>IFERROR(__xludf.DUMMYFUNCTION("""COMPUTED_VALUE"""),"atc")</f>
        <v>atc</v>
      </c>
      <c r="C1049" s="3" t="str">
        <f>IFERROR(__xludf.DUMMYFUNCTION("""COMPUTED_VALUE"""),"Atlantis Coin")</f>
        <v>Atlantis Coin</v>
      </c>
    </row>
    <row r="1050">
      <c r="A1050" s="3" t="str">
        <f>IFERROR(__xludf.DUMMYFUNCTION("""COMPUTED_VALUE"""),"atlantis-finance")</f>
        <v>atlantis-finance</v>
      </c>
      <c r="B1050" s="3" t="str">
        <f>IFERROR(__xludf.DUMMYFUNCTION("""COMPUTED_VALUE"""),"atls")</f>
        <v>atls</v>
      </c>
      <c r="C1050" s="3" t="str">
        <f>IFERROR(__xludf.DUMMYFUNCTION("""COMPUTED_VALUE"""),"Atlantis Finance")</f>
        <v>Atlantis Finance</v>
      </c>
    </row>
    <row r="1051">
      <c r="A1051" s="3" t="str">
        <f>IFERROR(__xludf.DUMMYFUNCTION("""COMPUTED_VALUE"""),"atlantis-loans")</f>
        <v>atlantis-loans</v>
      </c>
      <c r="B1051" s="3" t="str">
        <f>IFERROR(__xludf.DUMMYFUNCTION("""COMPUTED_VALUE"""),"atl")</f>
        <v>atl</v>
      </c>
      <c r="C1051" s="3" t="str">
        <f>IFERROR(__xludf.DUMMYFUNCTION("""COMPUTED_VALUE"""),"Atlantis Loans")</f>
        <v>Atlantis Loans</v>
      </c>
    </row>
    <row r="1052">
      <c r="A1052" s="3" t="str">
        <f>IFERROR(__xludf.DUMMYFUNCTION("""COMPUTED_VALUE"""),"atlantis-loans-polygon")</f>
        <v>atlantis-loans-polygon</v>
      </c>
      <c r="B1052" s="3" t="str">
        <f>IFERROR(__xludf.DUMMYFUNCTION("""COMPUTED_VALUE"""),"atlx")</f>
        <v>atlx</v>
      </c>
      <c r="C1052" s="3" t="str">
        <f>IFERROR(__xludf.DUMMYFUNCTION("""COMPUTED_VALUE"""),"Atlantis Loans Polygon")</f>
        <v>Atlantis Loans Polygon</v>
      </c>
    </row>
    <row r="1053">
      <c r="A1053" s="3" t="str">
        <f>IFERROR(__xludf.DUMMYFUNCTION("""COMPUTED_VALUE"""),"atlantis-metaverse")</f>
        <v>atlantis-metaverse</v>
      </c>
      <c r="B1053" s="3" t="str">
        <f>IFERROR(__xludf.DUMMYFUNCTION("""COMPUTED_VALUE"""),"tau")</f>
        <v>tau</v>
      </c>
      <c r="C1053" s="3" t="str">
        <f>IFERROR(__xludf.DUMMYFUNCTION("""COMPUTED_VALUE"""),"Atlantis Metaverse")</f>
        <v>Atlantis Metaverse</v>
      </c>
    </row>
    <row r="1054">
      <c r="A1054" s="3" t="str">
        <f>IFERROR(__xludf.DUMMYFUNCTION("""COMPUTED_VALUE"""),"atlantis-token")</f>
        <v>atlantis-token</v>
      </c>
      <c r="B1054" s="3" t="str">
        <f>IFERROR(__xludf.DUMMYFUNCTION("""COMPUTED_VALUE"""),"atis")</f>
        <v>atis</v>
      </c>
      <c r="C1054" s="3" t="str">
        <f>IFERROR(__xludf.DUMMYFUNCTION("""COMPUTED_VALUE"""),"Atlantis ATIS")</f>
        <v>Atlantis ATIS</v>
      </c>
    </row>
    <row r="1055">
      <c r="A1055" s="3" t="str">
        <f>IFERROR(__xludf.DUMMYFUNCTION("""COMPUTED_VALUE"""),"atlantis-universe-money")</f>
        <v>atlantis-universe-money</v>
      </c>
      <c r="B1055" s="3" t="str">
        <f>IFERROR(__xludf.DUMMYFUNCTION("""COMPUTED_VALUE"""),"aum")</f>
        <v>aum</v>
      </c>
      <c r="C1055" s="3" t="str">
        <f>IFERROR(__xludf.DUMMYFUNCTION("""COMPUTED_VALUE"""),"Atlantis Universe Money")</f>
        <v>Atlantis Universe Money</v>
      </c>
    </row>
    <row r="1056">
      <c r="A1056" s="3" t="str">
        <f>IFERROR(__xludf.DUMMYFUNCTION("""COMPUTED_VALUE"""),"atlas-dex")</f>
        <v>atlas-dex</v>
      </c>
      <c r="B1056" s="3" t="str">
        <f>IFERROR(__xludf.DUMMYFUNCTION("""COMPUTED_VALUE"""),"ats")</f>
        <v>ats</v>
      </c>
      <c r="C1056" s="3" t="str">
        <f>IFERROR(__xludf.DUMMYFUNCTION("""COMPUTED_VALUE"""),"Atlas DEX")</f>
        <v>Atlas DEX</v>
      </c>
    </row>
    <row r="1057">
      <c r="A1057" s="3" t="str">
        <f>IFERROR(__xludf.DUMMYFUNCTION("""COMPUTED_VALUE"""),"atlas-fc-fan-token")</f>
        <v>atlas-fc-fan-token</v>
      </c>
      <c r="B1057" s="3" t="str">
        <f>IFERROR(__xludf.DUMMYFUNCTION("""COMPUTED_VALUE"""),"atlas")</f>
        <v>atlas</v>
      </c>
      <c r="C1057" s="3" t="str">
        <f>IFERROR(__xludf.DUMMYFUNCTION("""COMPUTED_VALUE"""),"Atlas FC Fan Token")</f>
        <v>Atlas FC Fan Token</v>
      </c>
    </row>
    <row r="1058">
      <c r="A1058" s="3" t="str">
        <f>IFERROR(__xludf.DUMMYFUNCTION("""COMPUTED_VALUE"""),"atlas-protocol")</f>
        <v>atlas-protocol</v>
      </c>
      <c r="B1058" s="3" t="str">
        <f>IFERROR(__xludf.DUMMYFUNCTION("""COMPUTED_VALUE"""),"atp")</f>
        <v>atp</v>
      </c>
      <c r="C1058" s="3" t="str">
        <f>IFERROR(__xludf.DUMMYFUNCTION("""COMPUTED_VALUE"""),"Atlas Protocol")</f>
        <v>Atlas Protocol</v>
      </c>
    </row>
    <row r="1059">
      <c r="A1059" s="3" t="str">
        <f>IFERROR(__xludf.DUMMYFUNCTION("""COMPUTED_VALUE"""),"atlas-usv")</f>
        <v>atlas-usv</v>
      </c>
      <c r="B1059" s="3" t="str">
        <f>IFERROR(__xludf.DUMMYFUNCTION("""COMPUTED_VALUE"""),"usv")</f>
        <v>usv</v>
      </c>
      <c r="C1059" s="3" t="str">
        <f>IFERROR(__xludf.DUMMYFUNCTION("""COMPUTED_VALUE"""),"Atlas USV")</f>
        <v>Atlas USV</v>
      </c>
    </row>
    <row r="1060">
      <c r="A1060" s="3" t="str">
        <f>IFERROR(__xludf.DUMMYFUNCTION("""COMPUTED_VALUE"""),"atletico-madrid")</f>
        <v>atletico-madrid</v>
      </c>
      <c r="B1060" s="3" t="str">
        <f>IFERROR(__xludf.DUMMYFUNCTION("""COMPUTED_VALUE"""),"atm")</f>
        <v>atm</v>
      </c>
      <c r="C1060" s="3" t="str">
        <f>IFERROR(__xludf.DUMMYFUNCTION("""COMPUTED_VALUE"""),"Atletico Madrid Fan Token")</f>
        <v>Atletico Madrid Fan Token</v>
      </c>
    </row>
    <row r="1061">
      <c r="A1061" s="3" t="str">
        <f>IFERROR(__xludf.DUMMYFUNCTION("""COMPUTED_VALUE"""),"atmos")</f>
        <v>atmos</v>
      </c>
      <c r="B1061" s="3" t="str">
        <f>IFERROR(__xludf.DUMMYFUNCTION("""COMPUTED_VALUE"""),"atmos")</f>
        <v>atmos</v>
      </c>
      <c r="C1061" s="3" t="str">
        <f>IFERROR(__xludf.DUMMYFUNCTION("""COMPUTED_VALUE"""),"Atmos")</f>
        <v>Atmos</v>
      </c>
    </row>
    <row r="1062">
      <c r="A1062" s="3" t="str">
        <f>IFERROR(__xludf.DUMMYFUNCTION("""COMPUTED_VALUE"""),"atocha-coin")</f>
        <v>atocha-coin</v>
      </c>
      <c r="B1062" s="3" t="str">
        <f>IFERROR(__xludf.DUMMYFUNCTION("""COMPUTED_VALUE"""),"ato")</f>
        <v>ato</v>
      </c>
      <c r="C1062" s="3" t="str">
        <f>IFERROR(__xludf.DUMMYFUNCTION("""COMPUTED_VALUE"""),"Atocha Protocol")</f>
        <v>Atocha Protocol</v>
      </c>
    </row>
    <row r="1063">
      <c r="A1063" s="3" t="str">
        <f>IFERROR(__xludf.DUMMYFUNCTION("""COMPUTED_VALUE"""),"atomic-wallet-coin")</f>
        <v>atomic-wallet-coin</v>
      </c>
      <c r="B1063" s="3" t="str">
        <f>IFERROR(__xludf.DUMMYFUNCTION("""COMPUTED_VALUE"""),"awc")</f>
        <v>awc</v>
      </c>
      <c r="C1063" s="3" t="str">
        <f>IFERROR(__xludf.DUMMYFUNCTION("""COMPUTED_VALUE"""),"Atomic Wallet Coin")</f>
        <v>Atomic Wallet Coin</v>
      </c>
    </row>
    <row r="1064">
      <c r="A1064" s="3" t="str">
        <f>IFERROR(__xludf.DUMMYFUNCTION("""COMPUTED_VALUE"""),"atompad")</f>
        <v>atompad</v>
      </c>
      <c r="B1064" s="3" t="str">
        <f>IFERROR(__xludf.DUMMYFUNCTION("""COMPUTED_VALUE"""),"atpad")</f>
        <v>atpad</v>
      </c>
      <c r="C1064" s="3" t="str">
        <f>IFERROR(__xludf.DUMMYFUNCTION("""COMPUTED_VALUE"""),"AtomPad")</f>
        <v>AtomPad</v>
      </c>
    </row>
    <row r="1065">
      <c r="A1065" s="3" t="str">
        <f>IFERROR(__xludf.DUMMYFUNCTION("""COMPUTED_VALUE"""),"atpay")</f>
        <v>atpay</v>
      </c>
      <c r="B1065" s="3" t="str">
        <f>IFERROR(__xludf.DUMMYFUNCTION("""COMPUTED_VALUE"""),"atpay")</f>
        <v>atpay</v>
      </c>
      <c r="C1065" s="3" t="str">
        <f>IFERROR(__xludf.DUMMYFUNCTION("""COMPUTED_VALUE"""),"AtPay")</f>
        <v>AtPay</v>
      </c>
    </row>
    <row r="1066">
      <c r="A1066" s="3" t="str">
        <f>IFERROR(__xludf.DUMMYFUNCTION("""COMPUTED_VALUE"""),"atrollcity")</f>
        <v>atrollcity</v>
      </c>
      <c r="B1066" s="3" t="str">
        <f>IFERROR(__xludf.DUMMYFUNCTION("""COMPUTED_VALUE"""),"pine")</f>
        <v>pine</v>
      </c>
      <c r="C1066" s="3" t="str">
        <f>IFERROR(__xludf.DUMMYFUNCTION("""COMPUTED_VALUE"""),"Atrollcity")</f>
        <v>Atrollcity</v>
      </c>
    </row>
    <row r="1067">
      <c r="A1067" s="3" t="str">
        <f>IFERROR(__xludf.DUMMYFUNCTION("""COMPUTED_VALUE"""),"atromg8")</f>
        <v>atromg8</v>
      </c>
      <c r="B1067" s="3" t="str">
        <f>IFERROR(__xludf.DUMMYFUNCTION("""COMPUTED_VALUE"""),"ag8")</f>
        <v>ag8</v>
      </c>
      <c r="C1067" s="3" t="str">
        <f>IFERROR(__xludf.DUMMYFUNCTION("""COMPUTED_VALUE"""),"ATROMG8")</f>
        <v>ATROMG8</v>
      </c>
    </row>
    <row r="1068">
      <c r="A1068" s="3" t="str">
        <f>IFERROR(__xludf.DUMMYFUNCTION("""COMPUTED_VALUE"""),"attack-wagon")</f>
        <v>attack-wagon</v>
      </c>
      <c r="B1068" s="3" t="str">
        <f>IFERROR(__xludf.DUMMYFUNCTION("""COMPUTED_VALUE"""),"atk")</f>
        <v>atk</v>
      </c>
      <c r="C1068" s="3" t="str">
        <f>IFERROR(__xludf.DUMMYFUNCTION("""COMPUTED_VALUE"""),"Attack Wagon")</f>
        <v>Attack Wagon</v>
      </c>
    </row>
    <row r="1069">
      <c r="A1069" s="3" t="str">
        <f>IFERROR(__xludf.DUMMYFUNCTION("""COMPUTED_VALUE"""),"attila")</f>
        <v>attila</v>
      </c>
      <c r="B1069" s="3" t="str">
        <f>IFERROR(__xludf.DUMMYFUNCTION("""COMPUTED_VALUE"""),"att")</f>
        <v>att</v>
      </c>
      <c r="C1069" s="3" t="str">
        <f>IFERROR(__xludf.DUMMYFUNCTION("""COMPUTED_VALUE"""),"Attila")</f>
        <v>Attila</v>
      </c>
    </row>
    <row r="1070">
      <c r="A1070" s="3" t="str">
        <f>IFERROR(__xludf.DUMMYFUNCTION("""COMPUTED_VALUE"""),"attrace")</f>
        <v>attrace</v>
      </c>
      <c r="B1070" s="3" t="str">
        <f>IFERROR(__xludf.DUMMYFUNCTION("""COMPUTED_VALUE"""),"attr")</f>
        <v>attr</v>
      </c>
      <c r="C1070" s="3" t="str">
        <f>IFERROR(__xludf.DUMMYFUNCTION("""COMPUTED_VALUE"""),"Attrace")</f>
        <v>Attrace</v>
      </c>
    </row>
    <row r="1071">
      <c r="A1071" s="3" t="str">
        <f>IFERROR(__xludf.DUMMYFUNCTION("""COMPUTED_VALUE"""),"auction")</f>
        <v>auction</v>
      </c>
      <c r="B1071" s="3" t="str">
        <f>IFERROR(__xludf.DUMMYFUNCTION("""COMPUTED_VALUE"""),"auction")</f>
        <v>auction</v>
      </c>
      <c r="C1071" s="3" t="str">
        <f>IFERROR(__xludf.DUMMYFUNCTION("""COMPUTED_VALUE"""),"Bounce")</f>
        <v>Bounce</v>
      </c>
    </row>
    <row r="1072">
      <c r="A1072" s="3" t="str">
        <f>IFERROR(__xludf.DUMMYFUNCTION("""COMPUTED_VALUE"""),"auctus")</f>
        <v>auctus</v>
      </c>
      <c r="B1072" s="3" t="str">
        <f>IFERROR(__xludf.DUMMYFUNCTION("""COMPUTED_VALUE"""),"auc")</f>
        <v>auc</v>
      </c>
      <c r="C1072" s="3" t="str">
        <f>IFERROR(__xludf.DUMMYFUNCTION("""COMPUTED_VALUE"""),"Auctus")</f>
        <v>Auctus</v>
      </c>
    </row>
    <row r="1073">
      <c r="A1073" s="3" t="str">
        <f>IFERROR(__xludf.DUMMYFUNCTION("""COMPUTED_VALUE"""),"audax")</f>
        <v>audax</v>
      </c>
      <c r="B1073" s="3" t="str">
        <f>IFERROR(__xludf.DUMMYFUNCTION("""COMPUTED_VALUE"""),"audax")</f>
        <v>audax</v>
      </c>
      <c r="C1073" s="3" t="str">
        <f>IFERROR(__xludf.DUMMYFUNCTION("""COMPUTED_VALUE"""),"Audax")</f>
        <v>Audax</v>
      </c>
    </row>
    <row r="1074">
      <c r="A1074" s="3" t="str">
        <f>IFERROR(__xludf.DUMMYFUNCTION("""COMPUTED_VALUE"""),"audiocoin")</f>
        <v>audiocoin</v>
      </c>
      <c r="B1074" s="3" t="str">
        <f>IFERROR(__xludf.DUMMYFUNCTION("""COMPUTED_VALUE"""),"adc")</f>
        <v>adc</v>
      </c>
      <c r="C1074" s="3" t="str">
        <f>IFERROR(__xludf.DUMMYFUNCTION("""COMPUTED_VALUE"""),"AudioCoin")</f>
        <v>AudioCoin</v>
      </c>
    </row>
    <row r="1075">
      <c r="A1075" s="3" t="str">
        <f>IFERROR(__xludf.DUMMYFUNCTION("""COMPUTED_VALUE"""),"auditchain")</f>
        <v>auditchain</v>
      </c>
      <c r="B1075" s="3" t="str">
        <f>IFERROR(__xludf.DUMMYFUNCTION("""COMPUTED_VALUE"""),"audt")</f>
        <v>audt</v>
      </c>
      <c r="C1075" s="3" t="str">
        <f>IFERROR(__xludf.DUMMYFUNCTION("""COMPUTED_VALUE"""),"Auditchain")</f>
        <v>Auditchain</v>
      </c>
    </row>
    <row r="1076">
      <c r="A1076" s="3" t="str">
        <f>IFERROR(__xludf.DUMMYFUNCTION("""COMPUTED_VALUE"""),"audius")</f>
        <v>audius</v>
      </c>
      <c r="B1076" s="3" t="str">
        <f>IFERROR(__xludf.DUMMYFUNCTION("""COMPUTED_VALUE"""),"audio")</f>
        <v>audio</v>
      </c>
      <c r="C1076" s="3" t="str">
        <f>IFERROR(__xludf.DUMMYFUNCTION("""COMPUTED_VALUE"""),"Audius")</f>
        <v>Audius</v>
      </c>
    </row>
    <row r="1077">
      <c r="A1077" s="3" t="str">
        <f>IFERROR(__xludf.DUMMYFUNCTION("""COMPUTED_VALUE"""),"audius-wormhole")</f>
        <v>audius-wormhole</v>
      </c>
      <c r="B1077" s="3" t="str">
        <f>IFERROR(__xludf.DUMMYFUNCTION("""COMPUTED_VALUE"""),"audio")</f>
        <v>audio</v>
      </c>
      <c r="C1077" s="3" t="str">
        <f>IFERROR(__xludf.DUMMYFUNCTION("""COMPUTED_VALUE"""),"Audius (Wormhole)")</f>
        <v>Audius (Wormhole)</v>
      </c>
    </row>
    <row r="1078">
      <c r="A1078" s="3" t="str">
        <f>IFERROR(__xludf.DUMMYFUNCTION("""COMPUTED_VALUE"""),"augmented-finance")</f>
        <v>augmented-finance</v>
      </c>
      <c r="B1078" s="3" t="str">
        <f>IFERROR(__xludf.DUMMYFUNCTION("""COMPUTED_VALUE"""),"agf")</f>
        <v>agf</v>
      </c>
      <c r="C1078" s="3" t="str">
        <f>IFERROR(__xludf.DUMMYFUNCTION("""COMPUTED_VALUE"""),"Augmented Finance")</f>
        <v>Augmented Finance</v>
      </c>
    </row>
    <row r="1079">
      <c r="A1079" s="3" t="str">
        <f>IFERROR(__xludf.DUMMYFUNCTION("""COMPUTED_VALUE"""),"augur")</f>
        <v>augur</v>
      </c>
      <c r="B1079" s="3" t="str">
        <f>IFERROR(__xludf.DUMMYFUNCTION("""COMPUTED_VALUE"""),"rep")</f>
        <v>rep</v>
      </c>
      <c r="C1079" s="3" t="str">
        <f>IFERROR(__xludf.DUMMYFUNCTION("""COMPUTED_VALUE"""),"Augur")</f>
        <v>Augur</v>
      </c>
    </row>
    <row r="1080">
      <c r="A1080" s="3" t="str">
        <f>IFERROR(__xludf.DUMMYFUNCTION("""COMPUTED_VALUE"""),"augury-finance")</f>
        <v>augury-finance</v>
      </c>
      <c r="B1080" s="3" t="str">
        <f>IFERROR(__xludf.DUMMYFUNCTION("""COMPUTED_VALUE"""),"omen")</f>
        <v>omen</v>
      </c>
      <c r="C1080" s="3" t="str">
        <f>IFERROR(__xludf.DUMMYFUNCTION("""COMPUTED_VALUE"""),"Augury Finance")</f>
        <v>Augury Finance</v>
      </c>
    </row>
    <row r="1081">
      <c r="A1081" s="3" t="str">
        <f>IFERROR(__xludf.DUMMYFUNCTION("""COMPUTED_VALUE"""),"aura-bal")</f>
        <v>aura-bal</v>
      </c>
      <c r="B1081" s="3" t="str">
        <f>IFERROR(__xludf.DUMMYFUNCTION("""COMPUTED_VALUE"""),"aurabal")</f>
        <v>aurabal</v>
      </c>
      <c r="C1081" s="3" t="str">
        <f>IFERROR(__xludf.DUMMYFUNCTION("""COMPUTED_VALUE"""),"Aura BAL")</f>
        <v>Aura BAL</v>
      </c>
    </row>
    <row r="1082">
      <c r="A1082" s="3" t="str">
        <f>IFERROR(__xludf.DUMMYFUNCTION("""COMPUTED_VALUE"""),"aura-finance")</f>
        <v>aura-finance</v>
      </c>
      <c r="B1082" s="3" t="str">
        <f>IFERROR(__xludf.DUMMYFUNCTION("""COMPUTED_VALUE"""),"aura")</f>
        <v>aura</v>
      </c>
      <c r="C1082" s="3" t="str">
        <f>IFERROR(__xludf.DUMMYFUNCTION("""COMPUTED_VALUE"""),"Aura Finance")</f>
        <v>Aura Finance</v>
      </c>
    </row>
    <row r="1083">
      <c r="A1083" s="3" t="str">
        <f>IFERROR(__xludf.DUMMYFUNCTION("""COMPUTED_VALUE"""),"aura-network")</f>
        <v>aura-network</v>
      </c>
      <c r="B1083" s="3" t="str">
        <f>IFERROR(__xludf.DUMMYFUNCTION("""COMPUTED_VALUE"""),"aura")</f>
        <v>aura</v>
      </c>
      <c r="C1083" s="3" t="str">
        <f>IFERROR(__xludf.DUMMYFUNCTION("""COMPUTED_VALUE"""),"Aura Network")</f>
        <v>Aura Network</v>
      </c>
    </row>
    <row r="1084">
      <c r="A1084" s="3" t="str">
        <f>IFERROR(__xludf.DUMMYFUNCTION("""COMPUTED_VALUE"""),"auraswap")</f>
        <v>auraswap</v>
      </c>
      <c r="B1084" s="3" t="str">
        <f>IFERROR(__xludf.DUMMYFUNCTION("""COMPUTED_VALUE"""),"aura")</f>
        <v>aura</v>
      </c>
      <c r="C1084" s="3" t="str">
        <f>IFERROR(__xludf.DUMMYFUNCTION("""COMPUTED_VALUE"""),"AuraSwap")</f>
        <v>AuraSwap</v>
      </c>
    </row>
    <row r="1085">
      <c r="A1085" s="3" t="str">
        <f>IFERROR(__xludf.DUMMYFUNCTION("""COMPUTED_VALUE"""),"aureo")</f>
        <v>aureo</v>
      </c>
      <c r="B1085" s="3" t="str">
        <f>IFERROR(__xludf.DUMMYFUNCTION("""COMPUTED_VALUE"""),"aur")</f>
        <v>aur</v>
      </c>
      <c r="C1085" s="3" t="str">
        <f>IFERROR(__xludf.DUMMYFUNCTION("""COMPUTED_VALUE"""),"AUREO")</f>
        <v>AUREO</v>
      </c>
    </row>
    <row r="1086">
      <c r="A1086" s="3" t="str">
        <f>IFERROR(__xludf.DUMMYFUNCTION("""COMPUTED_VALUE"""),"aureus-nummus-gold")</f>
        <v>aureus-nummus-gold</v>
      </c>
      <c r="B1086" s="3" t="str">
        <f>IFERROR(__xludf.DUMMYFUNCTION("""COMPUTED_VALUE"""),"ang")</f>
        <v>ang</v>
      </c>
      <c r="C1086" s="3" t="str">
        <f>IFERROR(__xludf.DUMMYFUNCTION("""COMPUTED_VALUE"""),"Aureus Nummus Gold")</f>
        <v>Aureus Nummus Gold</v>
      </c>
    </row>
    <row r="1087">
      <c r="A1087" s="3" t="str">
        <f>IFERROR(__xludf.DUMMYFUNCTION("""COMPUTED_VALUE"""),"auric-network")</f>
        <v>auric-network</v>
      </c>
      <c r="B1087" s="3" t="str">
        <f>IFERROR(__xludf.DUMMYFUNCTION("""COMPUTED_VALUE"""),"auscm")</f>
        <v>auscm</v>
      </c>
      <c r="C1087" s="3" t="str">
        <f>IFERROR(__xludf.DUMMYFUNCTION("""COMPUTED_VALUE"""),"Auric Network")</f>
        <v>Auric Network</v>
      </c>
    </row>
    <row r="1088">
      <c r="A1088" s="3" t="str">
        <f>IFERROR(__xludf.DUMMYFUNCTION("""COMPUTED_VALUE"""),"aurigami")</f>
        <v>aurigami</v>
      </c>
      <c r="B1088" s="3" t="str">
        <f>IFERROR(__xludf.DUMMYFUNCTION("""COMPUTED_VALUE"""),"ply")</f>
        <v>ply</v>
      </c>
      <c r="C1088" s="3" t="str">
        <f>IFERROR(__xludf.DUMMYFUNCTION("""COMPUTED_VALUE"""),"Aurigami")</f>
        <v>Aurigami</v>
      </c>
    </row>
    <row r="1089">
      <c r="A1089" s="3" t="str">
        <f>IFERROR(__xludf.DUMMYFUNCTION("""COMPUTED_VALUE"""),"aurix")</f>
        <v>aurix</v>
      </c>
      <c r="B1089" s="3" t="str">
        <f>IFERROR(__xludf.DUMMYFUNCTION("""COMPUTED_VALUE"""),"aur")</f>
        <v>aur</v>
      </c>
      <c r="C1089" s="3" t="str">
        <f>IFERROR(__xludf.DUMMYFUNCTION("""COMPUTED_VALUE"""),"Aurix")</f>
        <v>Aurix</v>
      </c>
    </row>
    <row r="1090">
      <c r="A1090" s="3" t="str">
        <f>IFERROR(__xludf.DUMMYFUNCTION("""COMPUTED_VALUE"""),"aurora")</f>
        <v>aurora</v>
      </c>
      <c r="B1090" s="3" t="str">
        <f>IFERROR(__xludf.DUMMYFUNCTION("""COMPUTED_VALUE"""),"aoa")</f>
        <v>aoa</v>
      </c>
      <c r="C1090" s="3" t="str">
        <f>IFERROR(__xludf.DUMMYFUNCTION("""COMPUTED_VALUE"""),"Aurora Chain")</f>
        <v>Aurora Chain</v>
      </c>
    </row>
    <row r="1091">
      <c r="A1091" s="3" t="str">
        <f>IFERROR(__xludf.DUMMYFUNCTION("""COMPUTED_VALUE"""),"auroracoin")</f>
        <v>auroracoin</v>
      </c>
      <c r="B1091" s="3" t="str">
        <f>IFERROR(__xludf.DUMMYFUNCTION("""COMPUTED_VALUE"""),"aur")</f>
        <v>aur</v>
      </c>
      <c r="C1091" s="3" t="str">
        <f>IFERROR(__xludf.DUMMYFUNCTION("""COMPUTED_VALUE"""),"Auroracoin")</f>
        <v>Auroracoin</v>
      </c>
    </row>
    <row r="1092">
      <c r="A1092" s="3" t="str">
        <f>IFERROR(__xludf.DUMMYFUNCTION("""COMPUTED_VALUE"""),"aurora-dao")</f>
        <v>aurora-dao</v>
      </c>
      <c r="B1092" s="3" t="str">
        <f>IFERROR(__xludf.DUMMYFUNCTION("""COMPUTED_VALUE"""),"idex")</f>
        <v>idex</v>
      </c>
      <c r="C1092" s="3" t="str">
        <f>IFERROR(__xludf.DUMMYFUNCTION("""COMPUTED_VALUE"""),"IDEX")</f>
        <v>IDEX</v>
      </c>
    </row>
    <row r="1093">
      <c r="A1093" s="3" t="str">
        <f>IFERROR(__xludf.DUMMYFUNCTION("""COMPUTED_VALUE"""),"aurora-finance")</f>
        <v>aurora-finance</v>
      </c>
      <c r="B1093" s="3" t="str">
        <f>IFERROR(__xludf.DUMMYFUNCTION("""COMPUTED_VALUE"""),"aura")</f>
        <v>aura</v>
      </c>
      <c r="C1093" s="3" t="str">
        <f>IFERROR(__xludf.DUMMYFUNCTION("""COMPUTED_VALUE"""),"Aurora Finance")</f>
        <v>Aurora Finance</v>
      </c>
    </row>
    <row r="1094">
      <c r="A1094" s="3" t="str">
        <f>IFERROR(__xludf.DUMMYFUNCTION("""COMPUTED_VALUE"""),"aurora-near")</f>
        <v>aurora-near</v>
      </c>
      <c r="B1094" s="3" t="str">
        <f>IFERROR(__xludf.DUMMYFUNCTION("""COMPUTED_VALUE"""),"aurora")</f>
        <v>aurora</v>
      </c>
      <c r="C1094" s="3" t="str">
        <f>IFERROR(__xludf.DUMMYFUNCTION("""COMPUTED_VALUE"""),"Aurora")</f>
        <v>Aurora</v>
      </c>
    </row>
    <row r="1095">
      <c r="A1095" s="3" t="str">
        <f>IFERROR(__xludf.DUMMYFUNCTION("""COMPUTED_VALUE"""),"auroratoken")</f>
        <v>auroratoken</v>
      </c>
      <c r="B1095" s="3" t="str">
        <f>IFERROR(__xludf.DUMMYFUNCTION("""COMPUTED_VALUE"""),"aurora")</f>
        <v>aurora</v>
      </c>
      <c r="C1095" s="3" t="str">
        <f>IFERROR(__xludf.DUMMYFUNCTION("""COMPUTED_VALUE"""),"AuroraToken")</f>
        <v>AuroraToken</v>
      </c>
    </row>
    <row r="1096">
      <c r="A1096" s="3" t="str">
        <f>IFERROR(__xludf.DUMMYFUNCTION("""COMPUTED_VALUE"""),"aurora-token")</f>
        <v>aurora-token</v>
      </c>
      <c r="B1096" s="3" t="str">
        <f>IFERROR(__xludf.DUMMYFUNCTION("""COMPUTED_VALUE"""),"$adtx")</f>
        <v>$adtx</v>
      </c>
      <c r="C1096" s="3" t="str">
        <f>IFERROR(__xludf.DUMMYFUNCTION("""COMPUTED_VALUE"""),"Aurora Dimension")</f>
        <v>Aurora Dimension</v>
      </c>
    </row>
    <row r="1097">
      <c r="A1097" s="3" t="str">
        <f>IFERROR(__xludf.DUMMYFUNCTION("""COMPUTED_VALUE"""),"aurory")</f>
        <v>aurory</v>
      </c>
      <c r="B1097" s="3" t="str">
        <f>IFERROR(__xludf.DUMMYFUNCTION("""COMPUTED_VALUE"""),"aury")</f>
        <v>aury</v>
      </c>
      <c r="C1097" s="3" t="str">
        <f>IFERROR(__xludf.DUMMYFUNCTION("""COMPUTED_VALUE"""),"Aurory")</f>
        <v>Aurory</v>
      </c>
    </row>
    <row r="1098">
      <c r="A1098" s="3" t="str">
        <f>IFERROR(__xludf.DUMMYFUNCTION("""COMPUTED_VALUE"""),"auruscoin")</f>
        <v>auruscoin</v>
      </c>
      <c r="B1098" s="3" t="str">
        <f>IFERROR(__xludf.DUMMYFUNCTION("""COMPUTED_VALUE"""),"awx")</f>
        <v>awx</v>
      </c>
      <c r="C1098" s="3" t="str">
        <f>IFERROR(__xludf.DUMMYFUNCTION("""COMPUTED_VALUE"""),"AurusDeFi")</f>
        <v>AurusDeFi</v>
      </c>
    </row>
    <row r="1099">
      <c r="A1099" s="3" t="str">
        <f>IFERROR(__xludf.DUMMYFUNCTION("""COMPUTED_VALUE"""),"aurusgold")</f>
        <v>aurusgold</v>
      </c>
      <c r="B1099" s="3" t="str">
        <f>IFERROR(__xludf.DUMMYFUNCTION("""COMPUTED_VALUE"""),"awg")</f>
        <v>awg</v>
      </c>
      <c r="C1099" s="3" t="str">
        <f>IFERROR(__xludf.DUMMYFUNCTION("""COMPUTED_VALUE"""),"AurusGOLD")</f>
        <v>AurusGOLD</v>
      </c>
    </row>
    <row r="1100">
      <c r="A1100" s="3" t="str">
        <f>IFERROR(__xludf.DUMMYFUNCTION("""COMPUTED_VALUE"""),"aurus-silver")</f>
        <v>aurus-silver</v>
      </c>
      <c r="B1100" s="3" t="str">
        <f>IFERROR(__xludf.DUMMYFUNCTION("""COMPUTED_VALUE"""),"aws")</f>
        <v>aws</v>
      </c>
      <c r="C1100" s="3" t="str">
        <f>IFERROR(__xludf.DUMMYFUNCTION("""COMPUTED_VALUE"""),"AurusSILVER")</f>
        <v>AurusSILVER</v>
      </c>
    </row>
    <row r="1101">
      <c r="A1101" s="3" t="str">
        <f>IFERROR(__xludf.DUMMYFUNCTION("""COMPUTED_VALUE"""),"aurusx")</f>
        <v>aurusx</v>
      </c>
      <c r="B1101" s="3" t="str">
        <f>IFERROR(__xludf.DUMMYFUNCTION("""COMPUTED_VALUE"""),"ax")</f>
        <v>ax</v>
      </c>
      <c r="C1101" s="3" t="str">
        <f>IFERROR(__xludf.DUMMYFUNCTION("""COMPUTED_VALUE"""),"AurusX")</f>
        <v>AurusX</v>
      </c>
    </row>
    <row r="1102">
      <c r="A1102" s="3" t="str">
        <f>IFERROR(__xludf.DUMMYFUNCTION("""COMPUTED_VALUE"""),"australian-crypto-coin-green")</f>
        <v>australian-crypto-coin-green</v>
      </c>
      <c r="B1102" s="3" t="str">
        <f>IFERROR(__xludf.DUMMYFUNCTION("""COMPUTED_VALUE"""),"accg")</f>
        <v>accg</v>
      </c>
      <c r="C1102" s="3" t="str">
        <f>IFERROR(__xludf.DUMMYFUNCTION("""COMPUTED_VALUE"""),"Australian Crypto Coin Green")</f>
        <v>Australian Crypto Coin Green</v>
      </c>
    </row>
    <row r="1103">
      <c r="A1103" s="3" t="str">
        <f>IFERROR(__xludf.DUMMYFUNCTION("""COMPUTED_VALUE"""),"australian-safe-shepherd")</f>
        <v>australian-safe-shepherd</v>
      </c>
      <c r="B1103" s="3" t="str">
        <f>IFERROR(__xludf.DUMMYFUNCTION("""COMPUTED_VALUE"""),"ass")</f>
        <v>ass</v>
      </c>
      <c r="C1103" s="3" t="str">
        <f>IFERROR(__xludf.DUMMYFUNCTION("""COMPUTED_VALUE"""),"Australian Safe Shepherd")</f>
        <v>Australian Safe Shepherd</v>
      </c>
    </row>
    <row r="1104">
      <c r="A1104" s="3" t="str">
        <f>IFERROR(__xludf.DUMMYFUNCTION("""COMPUTED_VALUE"""),"autentica")</f>
        <v>autentica</v>
      </c>
      <c r="B1104" s="3" t="str">
        <f>IFERROR(__xludf.DUMMYFUNCTION("""COMPUTED_VALUE"""),"aut")</f>
        <v>aut</v>
      </c>
      <c r="C1104" s="3" t="str">
        <f>IFERROR(__xludf.DUMMYFUNCTION("""COMPUTED_VALUE"""),"Autentica")</f>
        <v>Autentica</v>
      </c>
    </row>
    <row r="1105">
      <c r="A1105" s="3" t="str">
        <f>IFERROR(__xludf.DUMMYFUNCTION("""COMPUTED_VALUE"""),"authencity")</f>
        <v>authencity</v>
      </c>
      <c r="B1105" s="3" t="str">
        <f>IFERROR(__xludf.DUMMYFUNCTION("""COMPUTED_VALUE"""),"auth")</f>
        <v>auth</v>
      </c>
      <c r="C1105" s="3" t="str">
        <f>IFERROR(__xludf.DUMMYFUNCTION("""COMPUTED_VALUE"""),"Authencity")</f>
        <v>Authencity</v>
      </c>
    </row>
    <row r="1106">
      <c r="A1106" s="3" t="str">
        <f>IFERROR(__xludf.DUMMYFUNCTION("""COMPUTED_VALUE"""),"auto")</f>
        <v>auto</v>
      </c>
      <c r="B1106" s="3" t="str">
        <f>IFERROR(__xludf.DUMMYFUNCTION("""COMPUTED_VALUE"""),"auto")</f>
        <v>auto</v>
      </c>
      <c r="C1106" s="3" t="str">
        <f>IFERROR(__xludf.DUMMYFUNCTION("""COMPUTED_VALUE"""),"Auto")</f>
        <v>Auto</v>
      </c>
    </row>
    <row r="1107">
      <c r="A1107" s="3" t="str">
        <f>IFERROR(__xludf.DUMMYFUNCTION("""COMPUTED_VALUE"""),"autobahn-network")</f>
        <v>autobahn-network</v>
      </c>
      <c r="B1107" s="3" t="str">
        <f>IFERROR(__xludf.DUMMYFUNCTION("""COMPUTED_VALUE"""),"txl")</f>
        <v>txl</v>
      </c>
      <c r="C1107" s="3" t="str">
        <f>IFERROR(__xludf.DUMMYFUNCTION("""COMPUTED_VALUE"""),"Autobahn Network")</f>
        <v>Autobahn Network</v>
      </c>
    </row>
    <row r="1108">
      <c r="A1108" s="3" t="str">
        <f>IFERROR(__xludf.DUMMYFUNCTION("""COMPUTED_VALUE"""),"autobusd")</f>
        <v>autobusd</v>
      </c>
      <c r="B1108" s="3" t="str">
        <f>IFERROR(__xludf.DUMMYFUNCTION("""COMPUTED_VALUE"""),"abs")</f>
        <v>abs</v>
      </c>
      <c r="C1108" s="3" t="str">
        <f>IFERROR(__xludf.DUMMYFUNCTION("""COMPUTED_VALUE"""),"Autobusd")</f>
        <v>Autobusd</v>
      </c>
    </row>
    <row r="1109">
      <c r="A1109" s="3" t="str">
        <f>IFERROR(__xludf.DUMMYFUNCTION("""COMPUTED_VALUE"""),"autocrypto")</f>
        <v>autocrypto</v>
      </c>
      <c r="B1109" s="3" t="str">
        <f>IFERROR(__xludf.DUMMYFUNCTION("""COMPUTED_VALUE"""),"au")</f>
        <v>au</v>
      </c>
      <c r="C1109" s="3" t="str">
        <f>IFERROR(__xludf.DUMMYFUNCTION("""COMPUTED_VALUE"""),"AutoCrypto")</f>
        <v>AutoCrypto</v>
      </c>
    </row>
    <row r="1110">
      <c r="A1110" s="3" t="str">
        <f>IFERROR(__xludf.DUMMYFUNCTION("""COMPUTED_VALUE"""),"automata")</f>
        <v>automata</v>
      </c>
      <c r="B1110" s="3" t="str">
        <f>IFERROR(__xludf.DUMMYFUNCTION("""COMPUTED_VALUE"""),"ata")</f>
        <v>ata</v>
      </c>
      <c r="C1110" s="3" t="str">
        <f>IFERROR(__xludf.DUMMYFUNCTION("""COMPUTED_VALUE"""),"Automata")</f>
        <v>Automata</v>
      </c>
    </row>
    <row r="1111">
      <c r="A1111" s="3" t="str">
        <f>IFERROR(__xludf.DUMMYFUNCTION("""COMPUTED_VALUE"""),"automaticup")</f>
        <v>automaticup</v>
      </c>
      <c r="B1111" s="3" t="str">
        <f>IFERROR(__xludf.DUMMYFUNCTION("""COMPUTED_VALUE"""),"atmup")</f>
        <v>atmup</v>
      </c>
      <c r="C1111" s="3" t="str">
        <f>IFERROR(__xludf.DUMMYFUNCTION("""COMPUTED_VALUE"""),"AutoMaticUp")</f>
        <v>AutoMaticUp</v>
      </c>
    </row>
    <row r="1112">
      <c r="A1112" s="3" t="str">
        <f>IFERROR(__xludf.DUMMYFUNCTION("""COMPUTED_VALUE"""),"autonio")</f>
        <v>autonio</v>
      </c>
      <c r="B1112" s="3" t="str">
        <f>IFERROR(__xludf.DUMMYFUNCTION("""COMPUTED_VALUE"""),"niox")</f>
        <v>niox</v>
      </c>
      <c r="C1112" s="3" t="str">
        <f>IFERROR(__xludf.DUMMYFUNCTION("""COMPUTED_VALUE"""),"Autonio")</f>
        <v>Autonio</v>
      </c>
    </row>
    <row r="1113">
      <c r="A1113" s="3" t="str">
        <f>IFERROR(__xludf.DUMMYFUNCTION("""COMPUTED_VALUE"""),"autoshark")</f>
        <v>autoshark</v>
      </c>
      <c r="B1113" s="3" t="str">
        <f>IFERROR(__xludf.DUMMYFUNCTION("""COMPUTED_VALUE"""),"jaws")</f>
        <v>jaws</v>
      </c>
      <c r="C1113" s="3" t="str">
        <f>IFERROR(__xludf.DUMMYFUNCTION("""COMPUTED_VALUE"""),"AutoShark")</f>
        <v>AutoShark</v>
      </c>
    </row>
    <row r="1114">
      <c r="A1114" s="3" t="str">
        <f>IFERROR(__xludf.DUMMYFUNCTION("""COMPUTED_VALUE"""),"autosingle")</f>
        <v>autosingle</v>
      </c>
      <c r="B1114" s="3" t="str">
        <f>IFERROR(__xludf.DUMMYFUNCTION("""COMPUTED_VALUE"""),"autos")</f>
        <v>autos</v>
      </c>
      <c r="C1114" s="3" t="str">
        <f>IFERROR(__xludf.DUMMYFUNCTION("""COMPUTED_VALUE"""),"AutoSingle")</f>
        <v>AutoSingle</v>
      </c>
    </row>
    <row r="1115">
      <c r="A1115" s="3" t="str">
        <f>IFERROR(__xludf.DUMMYFUNCTION("""COMPUTED_VALUE"""),"auto-staked-alex")</f>
        <v>auto-staked-alex</v>
      </c>
      <c r="B1115" s="3" t="str">
        <f>IFERROR(__xludf.DUMMYFUNCTION("""COMPUTED_VALUE"""),"atalex")</f>
        <v>atalex</v>
      </c>
      <c r="C1115" s="3" t="str">
        <f>IFERROR(__xludf.DUMMYFUNCTION("""COMPUTED_VALUE"""),"Auto Staked ALEX")</f>
        <v>Auto Staked ALEX</v>
      </c>
    </row>
    <row r="1116">
      <c r="A1116" s="3" t="str">
        <f>IFERROR(__xludf.DUMMYFUNCTION("""COMPUTED_VALUE"""),"autumn")</f>
        <v>autumn</v>
      </c>
      <c r="B1116" s="3" t="str">
        <f>IFERROR(__xludf.DUMMYFUNCTION("""COMPUTED_VALUE"""),"autumn")</f>
        <v>autumn</v>
      </c>
      <c r="C1116" s="3" t="str">
        <f>IFERROR(__xludf.DUMMYFUNCTION("""COMPUTED_VALUE"""),"Autumn")</f>
        <v>Autumn</v>
      </c>
    </row>
    <row r="1117">
      <c r="A1117" s="3" t="str">
        <f>IFERROR(__xludf.DUMMYFUNCTION("""COMPUTED_VALUE"""),"auxilium")</f>
        <v>auxilium</v>
      </c>
      <c r="B1117" s="3" t="str">
        <f>IFERROR(__xludf.DUMMYFUNCTION("""COMPUTED_VALUE"""),"aux")</f>
        <v>aux</v>
      </c>
      <c r="C1117" s="3" t="str">
        <f>IFERROR(__xludf.DUMMYFUNCTION("""COMPUTED_VALUE"""),"Auxilium")</f>
        <v>Auxilium</v>
      </c>
    </row>
    <row r="1118">
      <c r="A1118" s="3" t="str">
        <f>IFERROR(__xludf.DUMMYFUNCTION("""COMPUTED_VALUE"""),"avakus")</f>
        <v>avakus</v>
      </c>
      <c r="B1118" s="3" t="str">
        <f>IFERROR(__xludf.DUMMYFUNCTION("""COMPUTED_VALUE"""),"avak")</f>
        <v>avak</v>
      </c>
      <c r="C1118" s="3" t="str">
        <f>IFERROR(__xludf.DUMMYFUNCTION("""COMPUTED_VALUE"""),"Avakus")</f>
        <v>Avakus</v>
      </c>
    </row>
    <row r="1119">
      <c r="A1119" s="3" t="str">
        <f>IFERROR(__xludf.DUMMYFUNCTION("""COMPUTED_VALUE"""),"avalanche-2")</f>
        <v>avalanche-2</v>
      </c>
      <c r="B1119" s="3" t="str">
        <f>IFERROR(__xludf.DUMMYFUNCTION("""COMPUTED_VALUE"""),"avax")</f>
        <v>avax</v>
      </c>
      <c r="C1119" s="3" t="str">
        <f>IFERROR(__xludf.DUMMYFUNCTION("""COMPUTED_VALUE"""),"Avalanche")</f>
        <v>Avalanche</v>
      </c>
    </row>
    <row r="1120">
      <c r="A1120" s="3" t="str">
        <f>IFERROR(__xludf.DUMMYFUNCTION("""COMPUTED_VALUE"""),"avalanche-wormhole")</f>
        <v>avalanche-wormhole</v>
      </c>
      <c r="B1120" s="3" t="str">
        <f>IFERROR(__xludf.DUMMYFUNCTION("""COMPUTED_VALUE"""),"avax")</f>
        <v>avax</v>
      </c>
      <c r="C1120" s="3" t="str">
        <f>IFERROR(__xludf.DUMMYFUNCTION("""COMPUTED_VALUE"""),"Avalanche (Wormhole)")</f>
        <v>Avalanche (Wormhole)</v>
      </c>
    </row>
    <row r="1121">
      <c r="A1121" s="3" t="str">
        <f>IFERROR(__xludf.DUMMYFUNCTION("""COMPUTED_VALUE"""),"avalaunch")</f>
        <v>avalaunch</v>
      </c>
      <c r="B1121" s="3" t="str">
        <f>IFERROR(__xludf.DUMMYFUNCTION("""COMPUTED_VALUE"""),"xava")</f>
        <v>xava</v>
      </c>
      <c r="C1121" s="3" t="str">
        <f>IFERROR(__xludf.DUMMYFUNCTION("""COMPUTED_VALUE"""),"Avalaunch")</f>
        <v>Avalaunch</v>
      </c>
    </row>
    <row r="1122">
      <c r="A1122" s="3" t="str">
        <f>IFERROR(__xludf.DUMMYFUNCTION("""COMPUTED_VALUE"""),"avaocado-dao")</f>
        <v>avaocado-dao</v>
      </c>
      <c r="B1122" s="3" t="str">
        <f>IFERROR(__xludf.DUMMYFUNCTION("""COMPUTED_VALUE"""),"avg")</f>
        <v>avg</v>
      </c>
      <c r="C1122" s="3" t="str">
        <f>IFERROR(__xludf.DUMMYFUNCTION("""COMPUTED_VALUE"""),"Avocado DAO")</f>
        <v>Avocado DAO</v>
      </c>
    </row>
    <row r="1123">
      <c r="A1123" s="3" t="str">
        <f>IFERROR(__xludf.DUMMYFUNCTION("""COMPUTED_VALUE"""),"avapay")</f>
        <v>avapay</v>
      </c>
      <c r="B1123" s="3" t="str">
        <f>IFERROR(__xludf.DUMMYFUNCTION("""COMPUTED_VALUE"""),"avapay")</f>
        <v>avapay</v>
      </c>
      <c r="C1123" s="3" t="str">
        <f>IFERROR(__xludf.DUMMYFUNCTION("""COMPUTED_VALUE"""),"AvaPay")</f>
        <v>AvaPay</v>
      </c>
    </row>
    <row r="1124">
      <c r="A1124" s="3" t="str">
        <f>IFERROR(__xludf.DUMMYFUNCTION("""COMPUTED_VALUE"""),"avara")</f>
        <v>avara</v>
      </c>
      <c r="B1124" s="3" t="str">
        <f>IFERROR(__xludf.DUMMYFUNCTION("""COMPUTED_VALUE"""),"avr")</f>
        <v>avr</v>
      </c>
      <c r="C1124" s="3" t="str">
        <f>IFERROR(__xludf.DUMMYFUNCTION("""COMPUTED_VALUE"""),"AVARA")</f>
        <v>AVARA</v>
      </c>
    </row>
    <row r="1125">
      <c r="A1125" s="3" t="str">
        <f>IFERROR(__xludf.DUMMYFUNCTION("""COMPUTED_VALUE"""),"avastr-vault-nftx")</f>
        <v>avastr-vault-nftx</v>
      </c>
      <c r="B1125" s="3" t="str">
        <f>IFERROR(__xludf.DUMMYFUNCTION("""COMPUTED_VALUE"""),"avastr")</f>
        <v>avastr</v>
      </c>
      <c r="C1125" s="3" t="str">
        <f>IFERROR(__xludf.DUMMYFUNCTION("""COMPUTED_VALUE"""),"AVASTR Vault (NFTX)")</f>
        <v>AVASTR Vault (NFTX)</v>
      </c>
    </row>
    <row r="1126">
      <c r="A1126" s="3" t="str">
        <f>IFERROR(__xludf.DUMMYFUNCTION("""COMPUTED_VALUE"""),"avata-network")</f>
        <v>avata-network</v>
      </c>
      <c r="B1126" s="3" t="str">
        <f>IFERROR(__xludf.DUMMYFUNCTION("""COMPUTED_VALUE"""),"avat")</f>
        <v>avat</v>
      </c>
      <c r="C1126" s="3" t="str">
        <f>IFERROR(__xludf.DUMMYFUNCTION("""COMPUTED_VALUE"""),"AVATA Network")</f>
        <v>AVATA Network</v>
      </c>
    </row>
    <row r="1127">
      <c r="A1127" s="3" t="str">
        <f>IFERROR(__xludf.DUMMYFUNCTION("""COMPUTED_VALUE"""),"avaterra")</f>
        <v>avaterra</v>
      </c>
      <c r="B1127" s="3" t="str">
        <f>IFERROR(__xludf.DUMMYFUNCTION("""COMPUTED_VALUE"""),"terra")</f>
        <v>terra</v>
      </c>
      <c r="C1127" s="3" t="str">
        <f>IFERROR(__xludf.DUMMYFUNCTION("""COMPUTED_VALUE"""),"Avaterra")</f>
        <v>Avaterra</v>
      </c>
    </row>
    <row r="1128">
      <c r="A1128" s="3" t="str">
        <f>IFERROR(__xludf.DUMMYFUNCTION("""COMPUTED_VALUE"""),"avaware")</f>
        <v>avaware</v>
      </c>
      <c r="B1128" s="3" t="str">
        <f>IFERROR(__xludf.DUMMYFUNCTION("""COMPUTED_VALUE"""),"ave")</f>
        <v>ave</v>
      </c>
      <c r="C1128" s="3" t="str">
        <f>IFERROR(__xludf.DUMMYFUNCTION("""COMPUTED_VALUE"""),"Avaware")</f>
        <v>Avaware</v>
      </c>
    </row>
    <row r="1129">
      <c r="A1129" s="3" t="str">
        <f>IFERROR(__xludf.DUMMYFUNCTION("""COMPUTED_VALUE"""),"avaxfi")</f>
        <v>avaxfi</v>
      </c>
      <c r="B1129" s="3" t="str">
        <f>IFERROR(__xludf.DUMMYFUNCTION("""COMPUTED_VALUE"""),"avfi")</f>
        <v>avfi</v>
      </c>
      <c r="C1129" s="3" t="str">
        <f>IFERROR(__xludf.DUMMYFUNCTION("""COMPUTED_VALUE"""),"AvaxFi")</f>
        <v>AvaxFi</v>
      </c>
    </row>
    <row r="1130">
      <c r="A1130" s="3" t="str">
        <f>IFERROR(__xludf.DUMMYFUNCTION("""COMPUTED_VALUE"""),"avaxlauncher")</f>
        <v>avaxlauncher</v>
      </c>
      <c r="B1130" s="3" t="str">
        <f>IFERROR(__xludf.DUMMYFUNCTION("""COMPUTED_VALUE"""),"avxl")</f>
        <v>avxl</v>
      </c>
      <c r="C1130" s="3" t="str">
        <f>IFERROR(__xludf.DUMMYFUNCTION("""COMPUTED_VALUE"""),"Avaxlauncher")</f>
        <v>Avaxlauncher</v>
      </c>
    </row>
    <row r="1131">
      <c r="A1131" s="3" t="str">
        <f>IFERROR(__xludf.DUMMYFUNCTION("""COMPUTED_VALUE"""),"avax-nodes")</f>
        <v>avax-nodes</v>
      </c>
      <c r="B1131" s="3" t="str">
        <f>IFERROR(__xludf.DUMMYFUNCTION("""COMPUTED_VALUE"""),"anode")</f>
        <v>anode</v>
      </c>
      <c r="C1131" s="3" t="str">
        <f>IFERROR(__xludf.DUMMYFUNCTION("""COMPUTED_VALUE"""),"Avax Nodes")</f>
        <v>Avax Nodes</v>
      </c>
    </row>
    <row r="1132">
      <c r="A1132" s="3" t="str">
        <f>IFERROR(__xludf.DUMMYFUNCTION("""COMPUTED_VALUE"""),"avaxtars")</f>
        <v>avaxtars</v>
      </c>
      <c r="B1132" s="3" t="str">
        <f>IFERROR(__xludf.DUMMYFUNCTION("""COMPUTED_VALUE"""),"avxt")</f>
        <v>avxt</v>
      </c>
      <c r="C1132" s="3" t="str">
        <f>IFERROR(__xludf.DUMMYFUNCTION("""COMPUTED_VALUE"""),"Avaxtars")</f>
        <v>Avaxtars</v>
      </c>
    </row>
    <row r="1133">
      <c r="A1133" s="3" t="str">
        <f>IFERROR(__xludf.DUMMYFUNCTION("""COMPUTED_VALUE"""),"avefarm")</f>
        <v>avefarm</v>
      </c>
      <c r="B1133" s="3" t="str">
        <f>IFERROR(__xludf.DUMMYFUNCTION("""COMPUTED_VALUE"""),"ave")</f>
        <v>ave</v>
      </c>
      <c r="C1133" s="3" t="str">
        <f>IFERROR(__xludf.DUMMYFUNCTION("""COMPUTED_VALUE"""),"AveFarm")</f>
        <v>AveFarm</v>
      </c>
    </row>
    <row r="1134">
      <c r="A1134" s="3" t="str">
        <f>IFERROR(__xludf.DUMMYFUNCTION("""COMPUTED_VALUE"""),"aventus")</f>
        <v>aventus</v>
      </c>
      <c r="B1134" s="3" t="str">
        <f>IFERROR(__xludf.DUMMYFUNCTION("""COMPUTED_VALUE"""),"avt")</f>
        <v>avt</v>
      </c>
      <c r="C1134" s="3" t="str">
        <f>IFERROR(__xludf.DUMMYFUNCTION("""COMPUTED_VALUE"""),"Aventus")</f>
        <v>Aventus</v>
      </c>
    </row>
    <row r="1135">
      <c r="A1135" s="3" t="str">
        <f>IFERROR(__xludf.DUMMYFUNCTION("""COMPUTED_VALUE"""),"avenue-hamilton-token")</f>
        <v>avenue-hamilton-token</v>
      </c>
      <c r="B1135" s="3" t="str">
        <f>IFERROR(__xludf.DUMMYFUNCTION("""COMPUTED_VALUE"""),"aht")</f>
        <v>aht</v>
      </c>
      <c r="C1135" s="3" t="str">
        <f>IFERROR(__xludf.DUMMYFUNCTION("""COMPUTED_VALUE"""),"Avenue Hamilton Token")</f>
        <v>Avenue Hamilton Token</v>
      </c>
    </row>
    <row r="1136">
      <c r="A1136" s="3" t="str">
        <f>IFERROR(__xludf.DUMMYFUNCTION("""COMPUTED_VALUE"""),"avenue-university-token")</f>
        <v>avenue-university-token</v>
      </c>
      <c r="B1136" s="3" t="str">
        <f>IFERROR(__xludf.DUMMYFUNCTION("""COMPUTED_VALUE"""),"aut")</f>
        <v>aut</v>
      </c>
      <c r="C1136" s="3" t="str">
        <f>IFERROR(__xludf.DUMMYFUNCTION("""COMPUTED_VALUE"""),"Avenue University Token")</f>
        <v>Avenue University Token</v>
      </c>
    </row>
    <row r="1137">
      <c r="A1137" s="3" t="str">
        <f>IFERROR(__xludf.DUMMYFUNCTION("""COMPUTED_VALUE"""),"avian-network")</f>
        <v>avian-network</v>
      </c>
      <c r="B1137" s="3" t="str">
        <f>IFERROR(__xludf.DUMMYFUNCTION("""COMPUTED_VALUE"""),"avn")</f>
        <v>avn</v>
      </c>
      <c r="C1137" s="3" t="str">
        <f>IFERROR(__xludf.DUMMYFUNCTION("""COMPUTED_VALUE"""),"AVIAN")</f>
        <v>AVIAN</v>
      </c>
    </row>
    <row r="1138">
      <c r="A1138" s="3" t="str">
        <f>IFERROR(__xludf.DUMMYFUNCTION("""COMPUTED_VALUE"""),"avinoc")</f>
        <v>avinoc</v>
      </c>
      <c r="B1138" s="3" t="str">
        <f>IFERROR(__xludf.DUMMYFUNCTION("""COMPUTED_VALUE"""),"avinoc")</f>
        <v>avinoc</v>
      </c>
      <c r="C1138" s="3" t="str">
        <f>IFERROR(__xludf.DUMMYFUNCTION("""COMPUTED_VALUE"""),"AVINOC")</f>
        <v>AVINOC</v>
      </c>
    </row>
    <row r="1139">
      <c r="A1139" s="3" t="str">
        <f>IFERROR(__xludf.DUMMYFUNCTION("""COMPUTED_VALUE"""),"avme")</f>
        <v>avme</v>
      </c>
      <c r="B1139" s="3" t="str">
        <f>IFERROR(__xludf.DUMMYFUNCTION("""COMPUTED_VALUE"""),"avme")</f>
        <v>avme</v>
      </c>
      <c r="C1139" s="3" t="str">
        <f>IFERROR(__xludf.DUMMYFUNCTION("""COMPUTED_VALUE"""),"AVME")</f>
        <v>AVME</v>
      </c>
    </row>
    <row r="1140">
      <c r="A1140" s="3" t="str">
        <f>IFERROR(__xludf.DUMMYFUNCTION("""COMPUTED_VALUE"""),"avnrich")</f>
        <v>avnrich</v>
      </c>
      <c r="B1140" s="3" t="str">
        <f>IFERROR(__xludf.DUMMYFUNCTION("""COMPUTED_VALUE"""),"avn")</f>
        <v>avn</v>
      </c>
      <c r="C1140" s="3" t="str">
        <f>IFERROR(__xludf.DUMMYFUNCTION("""COMPUTED_VALUE"""),"AVNRich")</f>
        <v>AVNRich</v>
      </c>
    </row>
    <row r="1141">
      <c r="A1141" s="3" t="str">
        <f>IFERROR(__xludf.DUMMYFUNCTION("""COMPUTED_VALUE"""),"avocado")</f>
        <v>avocado</v>
      </c>
      <c r="B1141" s="3" t="str">
        <f>IFERROR(__xludf.DUMMYFUNCTION("""COMPUTED_VALUE"""),"avo")</f>
        <v>avo</v>
      </c>
      <c r="C1141" s="3" t="str">
        <f>IFERROR(__xludf.DUMMYFUNCTION("""COMPUTED_VALUE"""),"Avocado")</f>
        <v>Avocado</v>
      </c>
    </row>
    <row r="1142">
      <c r="A1142" s="3" t="str">
        <f>IFERROR(__xludf.DUMMYFUNCTION("""COMPUTED_VALUE"""),"avocadocoin")</f>
        <v>avocadocoin</v>
      </c>
      <c r="B1142" s="3" t="str">
        <f>IFERROR(__xludf.DUMMYFUNCTION("""COMPUTED_VALUE"""),"avdo")</f>
        <v>avdo</v>
      </c>
      <c r="C1142" s="3" t="str">
        <f>IFERROR(__xludf.DUMMYFUNCTION("""COMPUTED_VALUE"""),"AvocadoCoin")</f>
        <v>AvocadoCoin</v>
      </c>
    </row>
    <row r="1143">
      <c r="A1143" s="3" t="str">
        <f>IFERROR(__xludf.DUMMYFUNCTION("""COMPUTED_VALUE"""),"avoteo")</f>
        <v>avoteo</v>
      </c>
      <c r="B1143" s="3" t="str">
        <f>IFERROR(__xludf.DUMMYFUNCTION("""COMPUTED_VALUE"""),"avo")</f>
        <v>avo</v>
      </c>
      <c r="C1143" s="3" t="str">
        <f>IFERROR(__xludf.DUMMYFUNCTION("""COMPUTED_VALUE"""),"Avoteo")</f>
        <v>Avoteo</v>
      </c>
    </row>
    <row r="1144">
      <c r="A1144" s="3" t="str">
        <f>IFERROR(__xludf.DUMMYFUNCTION("""COMPUTED_VALUE"""),"avwbtc")</f>
        <v>avwbtc</v>
      </c>
      <c r="B1144" s="3" t="str">
        <f>IFERROR(__xludf.DUMMYFUNCTION("""COMPUTED_VALUE"""),"avwbtc")</f>
        <v>avwbtc</v>
      </c>
      <c r="C1144" s="3" t="str">
        <f>IFERROR(__xludf.DUMMYFUNCTION("""COMPUTED_VALUE"""),"avWBTC")</f>
        <v>avWBTC</v>
      </c>
    </row>
    <row r="1145">
      <c r="A1145" s="3" t="str">
        <f>IFERROR(__xludf.DUMMYFUNCTION("""COMPUTED_VALUE"""),"avweth")</f>
        <v>avweth</v>
      </c>
      <c r="B1145" s="3" t="str">
        <f>IFERROR(__xludf.DUMMYFUNCTION("""COMPUTED_VALUE"""),"avweth")</f>
        <v>avweth</v>
      </c>
      <c r="C1145" s="3" t="str">
        <f>IFERROR(__xludf.DUMMYFUNCTION("""COMPUTED_VALUE"""),"avWETH")</f>
        <v>avWETH</v>
      </c>
    </row>
    <row r="1146">
      <c r="A1146" s="3" t="str">
        <f>IFERROR(__xludf.DUMMYFUNCTION("""COMPUTED_VALUE"""),"axe")</f>
        <v>axe</v>
      </c>
      <c r="B1146" s="3" t="str">
        <f>IFERROR(__xludf.DUMMYFUNCTION("""COMPUTED_VALUE"""),"axe")</f>
        <v>axe</v>
      </c>
      <c r="C1146" s="3" t="str">
        <f>IFERROR(__xludf.DUMMYFUNCTION("""COMPUTED_VALUE"""),"Axe")</f>
        <v>Axe</v>
      </c>
    </row>
    <row r="1147">
      <c r="A1147" s="3" t="str">
        <f>IFERROR(__xludf.DUMMYFUNCTION("""COMPUTED_VALUE"""),"axel")</f>
        <v>axel</v>
      </c>
      <c r="B1147" s="3" t="str">
        <f>IFERROR(__xludf.DUMMYFUNCTION("""COMPUTED_VALUE"""),"axel")</f>
        <v>axel</v>
      </c>
      <c r="C1147" s="3" t="str">
        <f>IFERROR(__xludf.DUMMYFUNCTION("""COMPUTED_VALUE"""),"AXEL")</f>
        <v>AXEL</v>
      </c>
    </row>
    <row r="1148">
      <c r="A1148" s="3" t="str">
        <f>IFERROR(__xludf.DUMMYFUNCTION("""COMPUTED_VALUE"""),"axelar")</f>
        <v>axelar</v>
      </c>
      <c r="B1148" s="3" t="str">
        <f>IFERROR(__xludf.DUMMYFUNCTION("""COMPUTED_VALUE"""),"axl")</f>
        <v>axl</v>
      </c>
      <c r="C1148" s="3" t="str">
        <f>IFERROR(__xludf.DUMMYFUNCTION("""COMPUTED_VALUE"""),"Axelar")</f>
        <v>Axelar</v>
      </c>
    </row>
    <row r="1149">
      <c r="A1149" s="3" t="str">
        <f>IFERROR(__xludf.DUMMYFUNCTION("""COMPUTED_VALUE"""),"axia")</f>
        <v>axia</v>
      </c>
      <c r="B1149" s="3" t="str">
        <f>IFERROR(__xludf.DUMMYFUNCTION("""COMPUTED_VALUE"""),"axiav3")</f>
        <v>axiav3</v>
      </c>
      <c r="C1149" s="3" t="str">
        <f>IFERROR(__xludf.DUMMYFUNCTION("""COMPUTED_VALUE"""),"Axia")</f>
        <v>Axia</v>
      </c>
    </row>
    <row r="1150">
      <c r="A1150" s="3" t="str">
        <f>IFERROR(__xludf.DUMMYFUNCTION("""COMPUTED_VALUE"""),"axial-token")</f>
        <v>axial-token</v>
      </c>
      <c r="B1150" s="3" t="str">
        <f>IFERROR(__xludf.DUMMYFUNCTION("""COMPUTED_VALUE"""),"axial")</f>
        <v>axial</v>
      </c>
      <c r="C1150" s="3" t="str">
        <f>IFERROR(__xludf.DUMMYFUNCTION("""COMPUTED_VALUE"""),"Axial Token")</f>
        <v>Axial Token</v>
      </c>
    </row>
    <row r="1151">
      <c r="A1151" s="3" t="str">
        <f>IFERROR(__xludf.DUMMYFUNCTION("""COMPUTED_VALUE"""),"axie-infinity")</f>
        <v>axie-infinity</v>
      </c>
      <c r="B1151" s="3" t="str">
        <f>IFERROR(__xludf.DUMMYFUNCTION("""COMPUTED_VALUE"""),"axs")</f>
        <v>axs</v>
      </c>
      <c r="C1151" s="3" t="str">
        <f>IFERROR(__xludf.DUMMYFUNCTION("""COMPUTED_VALUE"""),"Axie Infinity")</f>
        <v>Axie Infinity</v>
      </c>
    </row>
    <row r="1152">
      <c r="A1152" s="3" t="str">
        <f>IFERROR(__xludf.DUMMYFUNCTION("""COMPUTED_VALUE"""),"axie-infinity-shard-wormhole")</f>
        <v>axie-infinity-shard-wormhole</v>
      </c>
      <c r="B1152" s="3" t="str">
        <f>IFERROR(__xludf.DUMMYFUNCTION("""COMPUTED_VALUE"""),"axset")</f>
        <v>axset</v>
      </c>
      <c r="C1152" s="3" t="str">
        <f>IFERROR(__xludf.DUMMYFUNCTION("""COMPUTED_VALUE"""),"Axie Infinity Shard (Wormhole)")</f>
        <v>Axie Infinity Shard (Wormhole)</v>
      </c>
    </row>
    <row r="1153">
      <c r="A1153" s="3" t="str">
        <f>IFERROR(__xludf.DUMMYFUNCTION("""COMPUTED_VALUE"""),"axioms")</f>
        <v>axioms</v>
      </c>
      <c r="B1153" s="3" t="str">
        <f>IFERROR(__xludf.DUMMYFUNCTION("""COMPUTED_VALUE"""),"axi")</f>
        <v>axi</v>
      </c>
      <c r="C1153" s="3" t="str">
        <f>IFERROR(__xludf.DUMMYFUNCTION("""COMPUTED_VALUE"""),"Axioms")</f>
        <v>Axioms</v>
      </c>
    </row>
    <row r="1154">
      <c r="A1154" s="3" t="str">
        <f>IFERROR(__xludf.DUMMYFUNCTION("""COMPUTED_VALUE"""),"axion")</f>
        <v>axion</v>
      </c>
      <c r="B1154" s="3" t="str">
        <f>IFERROR(__xludf.DUMMYFUNCTION("""COMPUTED_VALUE"""),"axn")</f>
        <v>axn</v>
      </c>
      <c r="C1154" s="3" t="str">
        <f>IFERROR(__xludf.DUMMYFUNCTION("""COMPUTED_VALUE"""),"Axion")</f>
        <v>Axion</v>
      </c>
    </row>
    <row r="1155">
      <c r="A1155" s="3" t="str">
        <f>IFERROR(__xludf.DUMMYFUNCTION("""COMPUTED_VALUE"""),"axis-defi")</f>
        <v>axis-defi</v>
      </c>
      <c r="B1155" s="3" t="str">
        <f>IFERROR(__xludf.DUMMYFUNCTION("""COMPUTED_VALUE"""),"axis")</f>
        <v>axis</v>
      </c>
      <c r="C1155" s="3" t="str">
        <f>IFERROR(__xludf.DUMMYFUNCTION("""COMPUTED_VALUE"""),"Axis DeFi")</f>
        <v>Axis DeFi</v>
      </c>
    </row>
    <row r="1156">
      <c r="A1156" s="3" t="str">
        <f>IFERROR(__xludf.DUMMYFUNCTION("""COMPUTED_VALUE"""),"axis-token")</f>
        <v>axis-token</v>
      </c>
      <c r="B1156" s="3" t="str">
        <f>IFERROR(__xludf.DUMMYFUNCTION("""COMPUTED_VALUE"""),"axis")</f>
        <v>axis</v>
      </c>
      <c r="C1156" s="3" t="str">
        <f>IFERROR(__xludf.DUMMYFUNCTION("""COMPUTED_VALUE"""),"AXIS")</f>
        <v>AXIS</v>
      </c>
    </row>
    <row r="1157">
      <c r="A1157" s="3" t="str">
        <f>IFERROR(__xludf.DUMMYFUNCTION("""COMPUTED_VALUE"""),"axl-inu")</f>
        <v>axl-inu</v>
      </c>
      <c r="B1157" s="3" t="str">
        <f>IFERROR(__xludf.DUMMYFUNCTION("""COMPUTED_VALUE"""),"axl")</f>
        <v>axl</v>
      </c>
      <c r="C1157" s="3" t="str">
        <f>IFERROR(__xludf.DUMMYFUNCTION("""COMPUTED_VALUE"""),"AXL INU")</f>
        <v>AXL INU</v>
      </c>
    </row>
    <row r="1158">
      <c r="A1158" s="3" t="str">
        <f>IFERROR(__xludf.DUMMYFUNCTION("""COMPUTED_VALUE"""),"axlusdc")</f>
        <v>axlusdc</v>
      </c>
      <c r="B1158" s="3" t="str">
        <f>IFERROR(__xludf.DUMMYFUNCTION("""COMPUTED_VALUE"""),"axlusdc")</f>
        <v>axlusdc</v>
      </c>
      <c r="C1158" s="3" t="str">
        <f>IFERROR(__xludf.DUMMYFUNCTION("""COMPUTED_VALUE"""),"axlUSDC")</f>
        <v>axlUSDC</v>
      </c>
    </row>
    <row r="1159">
      <c r="A1159" s="3" t="str">
        <f>IFERROR(__xludf.DUMMYFUNCTION("""COMPUTED_VALUE"""),"axlwbtc")</f>
        <v>axlwbtc</v>
      </c>
      <c r="B1159" s="3" t="str">
        <f>IFERROR(__xludf.DUMMYFUNCTION("""COMPUTED_VALUE"""),"axlwbtc")</f>
        <v>axlwbtc</v>
      </c>
      <c r="C1159" s="3" t="str">
        <f>IFERROR(__xludf.DUMMYFUNCTION("""COMPUTED_VALUE"""),"axlWBTC")</f>
        <v>axlWBTC</v>
      </c>
    </row>
    <row r="1160">
      <c r="A1160" s="3" t="str">
        <f>IFERROR(__xludf.DUMMYFUNCTION("""COMPUTED_VALUE"""),"axlweth")</f>
        <v>axlweth</v>
      </c>
      <c r="B1160" s="3" t="str">
        <f>IFERROR(__xludf.DUMMYFUNCTION("""COMPUTED_VALUE"""),"axlweth")</f>
        <v>axlweth</v>
      </c>
      <c r="C1160" s="3" t="str">
        <f>IFERROR(__xludf.DUMMYFUNCTION("""COMPUTED_VALUE"""),"axlWETH")</f>
        <v>axlWETH</v>
      </c>
    </row>
    <row r="1161">
      <c r="A1161" s="3" t="str">
        <f>IFERROR(__xludf.DUMMYFUNCTION("""COMPUTED_VALUE"""),"axpire")</f>
        <v>axpire</v>
      </c>
      <c r="B1161" s="3" t="str">
        <f>IFERROR(__xludf.DUMMYFUNCTION("""COMPUTED_VALUE"""),"axpr")</f>
        <v>axpr</v>
      </c>
      <c r="C1161" s="3" t="str">
        <f>IFERROR(__xludf.DUMMYFUNCTION("""COMPUTED_VALUE"""),"Moola")</f>
        <v>Moola</v>
      </c>
    </row>
    <row r="1162">
      <c r="A1162" s="3" t="str">
        <f>IFERROR(__xludf.DUMMYFUNCTION("""COMPUTED_VALUE"""),"axus-coin")</f>
        <v>axus-coin</v>
      </c>
      <c r="B1162" s="3" t="str">
        <f>IFERROR(__xludf.DUMMYFUNCTION("""COMPUTED_VALUE"""),"axus")</f>
        <v>axus</v>
      </c>
      <c r="C1162" s="3" t="str">
        <f>IFERROR(__xludf.DUMMYFUNCTION("""COMPUTED_VALUE"""),"Axus Coin")</f>
        <v>Axus Coin</v>
      </c>
    </row>
    <row r="1163">
      <c r="A1163" s="3" t="str">
        <f>IFERROR(__xludf.DUMMYFUNCTION("""COMPUTED_VALUE"""),"azbit")</f>
        <v>azbit</v>
      </c>
      <c r="B1163" s="3" t="str">
        <f>IFERROR(__xludf.DUMMYFUNCTION("""COMPUTED_VALUE"""),"az")</f>
        <v>az</v>
      </c>
      <c r="C1163" s="3" t="str">
        <f>IFERROR(__xludf.DUMMYFUNCTION("""COMPUTED_VALUE"""),"Azbit")</f>
        <v>Azbit</v>
      </c>
    </row>
    <row r="1164">
      <c r="A1164" s="3" t="str">
        <f>IFERROR(__xludf.DUMMYFUNCTION("""COMPUTED_VALUE"""),"azit")</f>
        <v>azit</v>
      </c>
      <c r="B1164" s="3" t="str">
        <f>IFERROR(__xludf.DUMMYFUNCTION("""COMPUTED_VALUE"""),"azit")</f>
        <v>azit</v>
      </c>
      <c r="C1164" s="3" t="str">
        <f>IFERROR(__xludf.DUMMYFUNCTION("""COMPUTED_VALUE"""),"Azit")</f>
        <v>Azit</v>
      </c>
    </row>
    <row r="1165">
      <c r="A1165" s="3" t="str">
        <f>IFERROR(__xludf.DUMMYFUNCTION("""COMPUTED_VALUE"""),"aztec-nodes-sun")</f>
        <v>aztec-nodes-sun</v>
      </c>
      <c r="B1165" s="3" t="str">
        <f>IFERROR(__xludf.DUMMYFUNCTION("""COMPUTED_VALUE"""),"sun")</f>
        <v>sun</v>
      </c>
      <c r="C1165" s="3" t="str">
        <f>IFERROR(__xludf.DUMMYFUNCTION("""COMPUTED_VALUE"""),"Aztec Nodes SUN")</f>
        <v>Aztec Nodes SUN</v>
      </c>
    </row>
    <row r="1166">
      <c r="A1166" s="3" t="str">
        <f>IFERROR(__xludf.DUMMYFUNCTION("""COMPUTED_VALUE"""),"azuki")</f>
        <v>azuki</v>
      </c>
      <c r="B1166" s="3" t="str">
        <f>IFERROR(__xludf.DUMMYFUNCTION("""COMPUTED_VALUE"""),"azuki")</f>
        <v>azuki</v>
      </c>
      <c r="C1166" s="3" t="str">
        <f>IFERROR(__xludf.DUMMYFUNCTION("""COMPUTED_VALUE"""),"Azuki")</f>
        <v>Azuki</v>
      </c>
    </row>
    <row r="1167">
      <c r="A1167" s="3" t="str">
        <f>IFERROR(__xludf.DUMMYFUNCTION("""COMPUTED_VALUE"""),"azuma-coin")</f>
        <v>azuma-coin</v>
      </c>
      <c r="B1167" s="3" t="str">
        <f>IFERROR(__xludf.DUMMYFUNCTION("""COMPUTED_VALUE"""),"azum")</f>
        <v>azum</v>
      </c>
      <c r="C1167" s="3" t="str">
        <f>IFERROR(__xludf.DUMMYFUNCTION("""COMPUTED_VALUE"""),"Azuma Coin")</f>
        <v>Azuma Coin</v>
      </c>
    </row>
    <row r="1168">
      <c r="A1168" s="3" t="str">
        <f>IFERROR(__xludf.DUMMYFUNCTION("""COMPUTED_VALUE"""),"azuras")</f>
        <v>azuras</v>
      </c>
      <c r="B1168" s="3" t="str">
        <f>IFERROR(__xludf.DUMMYFUNCTION("""COMPUTED_VALUE"""),"uzz")</f>
        <v>uzz</v>
      </c>
      <c r="C1168" s="3" t="str">
        <f>IFERROR(__xludf.DUMMYFUNCTION("""COMPUTED_VALUE"""),"UZURAS")</f>
        <v>UZURAS</v>
      </c>
    </row>
    <row r="1169">
      <c r="A1169" s="3" t="str">
        <f>IFERROR(__xludf.DUMMYFUNCTION("""COMPUTED_VALUE"""),"azuray")</f>
        <v>azuray</v>
      </c>
      <c r="B1169" s="3" t="str">
        <f>IFERROR(__xludf.DUMMYFUNCTION("""COMPUTED_VALUE"""),"azy")</f>
        <v>azy</v>
      </c>
      <c r="C1169" s="3" t="str">
        <f>IFERROR(__xludf.DUMMYFUNCTION("""COMPUTED_VALUE"""),"Azuray")</f>
        <v>Azuray</v>
      </c>
    </row>
    <row r="1170">
      <c r="A1170" s="3" t="str">
        <f>IFERROR(__xludf.DUMMYFUNCTION("""COMPUTED_VALUE"""),"az-world-socialfi")</f>
        <v>az-world-socialfi</v>
      </c>
      <c r="B1170" s="3" t="str">
        <f>IFERROR(__xludf.DUMMYFUNCTION("""COMPUTED_VALUE"""),"azw")</f>
        <v>azw</v>
      </c>
      <c r="C1170" s="3" t="str">
        <f>IFERROR(__xludf.DUMMYFUNCTION("""COMPUTED_VALUE"""),"AZ World SocialFi")</f>
        <v>AZ World SocialFi</v>
      </c>
    </row>
    <row r="1171">
      <c r="A1171" s="3" t="str">
        <f>IFERROR(__xludf.DUMMYFUNCTION("""COMPUTED_VALUE"""),"b20")</f>
        <v>b20</v>
      </c>
      <c r="B1171" s="3" t="str">
        <f>IFERROR(__xludf.DUMMYFUNCTION("""COMPUTED_VALUE"""),"b20")</f>
        <v>b20</v>
      </c>
      <c r="C1171" s="3" t="str">
        <f>IFERROR(__xludf.DUMMYFUNCTION("""COMPUTED_VALUE"""),"B20")</f>
        <v>B20</v>
      </c>
    </row>
    <row r="1172">
      <c r="A1172" s="3" t="str">
        <f>IFERROR(__xludf.DUMMYFUNCTION("""COMPUTED_VALUE"""),"b21")</f>
        <v>b21</v>
      </c>
      <c r="B1172" s="3" t="str">
        <f>IFERROR(__xludf.DUMMYFUNCTION("""COMPUTED_VALUE"""),"b21")</f>
        <v>b21</v>
      </c>
      <c r="C1172" s="3" t="str">
        <f>IFERROR(__xludf.DUMMYFUNCTION("""COMPUTED_VALUE"""),"B21")</f>
        <v>B21</v>
      </c>
    </row>
    <row r="1173">
      <c r="A1173" s="3" t="str">
        <f>IFERROR(__xludf.DUMMYFUNCTION("""COMPUTED_VALUE"""),"b2bcoin-2")</f>
        <v>b2bcoin-2</v>
      </c>
      <c r="B1173" s="3" t="str">
        <f>IFERROR(__xludf.DUMMYFUNCTION("""COMPUTED_VALUE"""),"b2b")</f>
        <v>b2b</v>
      </c>
      <c r="C1173" s="3" t="str">
        <f>IFERROR(__xludf.DUMMYFUNCTION("""COMPUTED_VALUE"""),"B2Bcoin")</f>
        <v>B2Bcoin</v>
      </c>
    </row>
    <row r="1174">
      <c r="A1174" s="3" t="str">
        <f>IFERROR(__xludf.DUMMYFUNCTION("""COMPUTED_VALUE"""),"b8dex")</f>
        <v>b8dex</v>
      </c>
      <c r="B1174" s="3" t="str">
        <f>IFERROR(__xludf.DUMMYFUNCTION("""COMPUTED_VALUE"""),"b8t")</f>
        <v>b8t</v>
      </c>
      <c r="C1174" s="3" t="str">
        <f>IFERROR(__xludf.DUMMYFUNCTION("""COMPUTED_VALUE"""),"B8DEX")</f>
        <v>B8DEX</v>
      </c>
    </row>
    <row r="1175">
      <c r="A1175" s="3" t="str">
        <f>IFERROR(__xludf.DUMMYFUNCTION("""COMPUTED_VALUE"""),"baanx")</f>
        <v>baanx</v>
      </c>
      <c r="B1175" s="3" t="str">
        <f>IFERROR(__xludf.DUMMYFUNCTION("""COMPUTED_VALUE"""),"bxx")</f>
        <v>bxx</v>
      </c>
      <c r="C1175" s="3" t="str">
        <f>IFERROR(__xludf.DUMMYFUNCTION("""COMPUTED_VALUE"""),"Baanx")</f>
        <v>Baanx</v>
      </c>
    </row>
    <row r="1176">
      <c r="A1176" s="3" t="str">
        <f>IFERROR(__xludf.DUMMYFUNCTION("""COMPUTED_VALUE"""),"baasid")</f>
        <v>baasid</v>
      </c>
      <c r="B1176" s="3" t="str">
        <f>IFERROR(__xludf.DUMMYFUNCTION("""COMPUTED_VALUE"""),"baas")</f>
        <v>baas</v>
      </c>
      <c r="C1176" s="3" t="str">
        <f>IFERROR(__xludf.DUMMYFUNCTION("""COMPUTED_VALUE"""),"BaaSid")</f>
        <v>BaaSid</v>
      </c>
    </row>
    <row r="1177">
      <c r="A1177" s="3" t="str">
        <f>IFERROR(__xludf.DUMMYFUNCTION("""COMPUTED_VALUE"""),"babacoin")</f>
        <v>babacoin</v>
      </c>
      <c r="B1177" s="3" t="str">
        <f>IFERROR(__xludf.DUMMYFUNCTION("""COMPUTED_VALUE"""),"bbc")</f>
        <v>bbc</v>
      </c>
      <c r="C1177" s="3" t="str">
        <f>IFERROR(__xludf.DUMMYFUNCTION("""COMPUTED_VALUE"""),"Babacoin")</f>
        <v>Babacoin</v>
      </c>
    </row>
    <row r="1178">
      <c r="A1178" s="3" t="str">
        <f>IFERROR(__xludf.DUMMYFUNCTION("""COMPUTED_VALUE"""),"babb")</f>
        <v>babb</v>
      </c>
      <c r="B1178" s="3" t="str">
        <f>IFERROR(__xludf.DUMMYFUNCTION("""COMPUTED_VALUE"""),"bax")</f>
        <v>bax</v>
      </c>
      <c r="C1178" s="3" t="str">
        <f>IFERROR(__xludf.DUMMYFUNCTION("""COMPUTED_VALUE"""),"BABB")</f>
        <v>BABB</v>
      </c>
    </row>
    <row r="1179">
      <c r="A1179" s="3" t="str">
        <f>IFERROR(__xludf.DUMMYFUNCTION("""COMPUTED_VALUE"""),"babelfish")</f>
        <v>babelfish</v>
      </c>
      <c r="B1179" s="3" t="str">
        <f>IFERROR(__xludf.DUMMYFUNCTION("""COMPUTED_VALUE"""),"babel")</f>
        <v>babel</v>
      </c>
      <c r="C1179" s="3" t="str">
        <f>IFERROR(__xludf.DUMMYFUNCTION("""COMPUTED_VALUE"""),"BabelFish")</f>
        <v>BabelFish</v>
      </c>
    </row>
    <row r="1180">
      <c r="A1180" s="3" t="str">
        <f>IFERROR(__xludf.DUMMYFUNCTION("""COMPUTED_VALUE"""),"babil-token")</f>
        <v>babil-token</v>
      </c>
      <c r="B1180" s="3" t="str">
        <f>IFERROR(__xludf.DUMMYFUNCTION("""COMPUTED_VALUE"""),"babil")</f>
        <v>babil</v>
      </c>
      <c r="C1180" s="3" t="str">
        <f>IFERROR(__xludf.DUMMYFUNCTION("""COMPUTED_VALUE"""),"BABIL TOKEN")</f>
        <v>BABIL TOKEN</v>
      </c>
    </row>
    <row r="1181">
      <c r="A1181" s="3" t="str">
        <f>IFERROR(__xludf.DUMMYFUNCTION("""COMPUTED_VALUE"""),"baboon-financial")</f>
        <v>baboon-financial</v>
      </c>
      <c r="B1181" s="3" t="str">
        <f>IFERROR(__xludf.DUMMYFUNCTION("""COMPUTED_VALUE"""),"boon")</f>
        <v>boon</v>
      </c>
      <c r="C1181" s="3" t="str">
        <f>IFERROR(__xludf.DUMMYFUNCTION("""COMPUTED_VALUE"""),"Baboon Financial")</f>
        <v>Baboon Financial</v>
      </c>
    </row>
    <row r="1182">
      <c r="A1182" s="3" t="str">
        <f>IFERROR(__xludf.DUMMYFUNCTION("""COMPUTED_VALUE"""),"baby-ada")</f>
        <v>baby-ada</v>
      </c>
      <c r="B1182" s="3" t="str">
        <f>IFERROR(__xludf.DUMMYFUNCTION("""COMPUTED_VALUE"""),"babyada")</f>
        <v>babyada</v>
      </c>
      <c r="C1182" s="3" t="str">
        <f>IFERROR(__xludf.DUMMYFUNCTION("""COMPUTED_VALUE"""),"Baby ADA")</f>
        <v>Baby ADA</v>
      </c>
    </row>
    <row r="1183">
      <c r="A1183" s="3" t="str">
        <f>IFERROR(__xludf.DUMMYFUNCTION("""COMPUTED_VALUE"""),"baby-aetherius")</f>
        <v>baby-aetherius</v>
      </c>
      <c r="B1183" s="3" t="str">
        <f>IFERROR(__xludf.DUMMYFUNCTION("""COMPUTED_VALUE"""),"babyaeth")</f>
        <v>babyaeth</v>
      </c>
      <c r="C1183" s="3" t="str">
        <f>IFERROR(__xludf.DUMMYFUNCTION("""COMPUTED_VALUE"""),"Baby Aetherius")</f>
        <v>Baby Aetherius</v>
      </c>
    </row>
    <row r="1184">
      <c r="A1184" s="3" t="str">
        <f>IFERROR(__xludf.DUMMYFUNCTION("""COMPUTED_VALUE"""),"babyapefunclub")</f>
        <v>babyapefunclub</v>
      </c>
      <c r="B1184" s="3" t="str">
        <f>IFERROR(__xludf.DUMMYFUNCTION("""COMPUTED_VALUE"""),"bafc")</f>
        <v>bafc</v>
      </c>
      <c r="C1184" s="3" t="str">
        <f>IFERROR(__xludf.DUMMYFUNCTION("""COMPUTED_VALUE"""),"BabyApeFunClub")</f>
        <v>BabyApeFunClub</v>
      </c>
    </row>
    <row r="1185">
      <c r="A1185" s="3" t="str">
        <f>IFERROR(__xludf.DUMMYFUNCTION("""COMPUTED_VALUE"""),"baby-bali")</f>
        <v>baby-bali</v>
      </c>
      <c r="B1185" s="3" t="str">
        <f>IFERROR(__xludf.DUMMYFUNCTION("""COMPUTED_VALUE"""),"bb")</f>
        <v>bb</v>
      </c>
      <c r="C1185" s="3" t="str">
        <f>IFERROR(__xludf.DUMMYFUNCTION("""COMPUTED_VALUE"""),"Baby Bali")</f>
        <v>Baby Bali</v>
      </c>
    </row>
    <row r="1186">
      <c r="A1186" s="3" t="str">
        <f>IFERROR(__xludf.DUMMYFUNCTION("""COMPUTED_VALUE"""),"baby-bitburnreflect")</f>
        <v>baby-bitburnreflect</v>
      </c>
      <c r="B1186" s="3" t="str">
        <f>IFERROR(__xludf.DUMMYFUNCTION("""COMPUTED_VALUE"""),"bbbr")</f>
        <v>bbbr</v>
      </c>
      <c r="C1186" s="3" t="str">
        <f>IFERROR(__xludf.DUMMYFUNCTION("""COMPUTED_VALUE"""),"Baby BitBurnReflect")</f>
        <v>Baby BitBurnReflect</v>
      </c>
    </row>
    <row r="1187">
      <c r="A1187" s="3" t="str">
        <f>IFERROR(__xludf.DUMMYFUNCTION("""COMPUTED_VALUE"""),"baby-bitcoin")</f>
        <v>baby-bitcoin</v>
      </c>
      <c r="B1187" s="3" t="str">
        <f>IFERROR(__xludf.DUMMYFUNCTION("""COMPUTED_VALUE"""),"bbtc")</f>
        <v>bbtc</v>
      </c>
      <c r="C1187" s="3" t="str">
        <f>IFERROR(__xludf.DUMMYFUNCTION("""COMPUTED_VALUE"""),"Baby Bitcoin")</f>
        <v>Baby Bitcoin</v>
      </c>
    </row>
    <row r="1188">
      <c r="A1188" s="3" t="str">
        <f>IFERROR(__xludf.DUMMYFUNCTION("""COMPUTED_VALUE"""),"babybnb")</f>
        <v>babybnb</v>
      </c>
      <c r="B1188" s="3" t="str">
        <f>IFERROR(__xludf.DUMMYFUNCTION("""COMPUTED_VALUE"""),"babybnb")</f>
        <v>babybnb</v>
      </c>
      <c r="C1188" s="3" t="str">
        <f>IFERROR(__xludf.DUMMYFUNCTION("""COMPUTED_VALUE"""),"BabyBNB")</f>
        <v>BabyBNB</v>
      </c>
    </row>
    <row r="1189">
      <c r="A1189" s="3" t="str">
        <f>IFERROR(__xludf.DUMMYFUNCTION("""COMPUTED_VALUE"""),"babyboo")</f>
        <v>babyboo</v>
      </c>
      <c r="B1189" s="3" t="str">
        <f>IFERROR(__xludf.DUMMYFUNCTION("""COMPUTED_VALUE"""),"babyboo")</f>
        <v>babyboo</v>
      </c>
      <c r="C1189" s="3" t="str">
        <f>IFERROR(__xludf.DUMMYFUNCTION("""COMPUTED_VALUE"""),"BabyBoo")</f>
        <v>BabyBoo</v>
      </c>
    </row>
    <row r="1190">
      <c r="A1190" s="3" t="str">
        <f>IFERROR(__xludf.DUMMYFUNCTION("""COMPUTED_VALUE"""),"baby-boxer")</f>
        <v>baby-boxer</v>
      </c>
      <c r="B1190" s="3" t="str">
        <f>IFERROR(__xludf.DUMMYFUNCTION("""COMPUTED_VALUE"""),"bboxer")</f>
        <v>bboxer</v>
      </c>
      <c r="C1190" s="3" t="str">
        <f>IFERROR(__xludf.DUMMYFUNCTION("""COMPUTED_VALUE"""),"Baby Boxer")</f>
        <v>Baby Boxer</v>
      </c>
    </row>
    <row r="1191">
      <c r="A1191" s="3" t="str">
        <f>IFERROR(__xludf.DUMMYFUNCTION("""COMPUTED_VALUE"""),"babybusd")</f>
        <v>babybusd</v>
      </c>
      <c r="B1191" s="3" t="str">
        <f>IFERROR(__xludf.DUMMYFUNCTION("""COMPUTED_VALUE"""),"babybusd")</f>
        <v>babybusd</v>
      </c>
      <c r="C1191" s="3" t="str">
        <f>IFERROR(__xludf.DUMMYFUNCTION("""COMPUTED_VALUE"""),"BabyBUSD")</f>
        <v>BabyBUSD</v>
      </c>
    </row>
    <row r="1192">
      <c r="A1192" s="3" t="str">
        <f>IFERROR(__xludf.DUMMYFUNCTION("""COMPUTED_VALUE"""),"baby-cake")</f>
        <v>baby-cake</v>
      </c>
      <c r="B1192" s="3" t="str">
        <f>IFERROR(__xludf.DUMMYFUNCTION("""COMPUTED_VALUE"""),"babycake")</f>
        <v>babycake</v>
      </c>
      <c r="C1192" s="3" t="str">
        <f>IFERROR(__xludf.DUMMYFUNCTION("""COMPUTED_VALUE"""),"Baby Cake")</f>
        <v>Baby Cake</v>
      </c>
    </row>
    <row r="1193">
      <c r="A1193" s="3" t="str">
        <f>IFERROR(__xludf.DUMMYFUNCTION("""COMPUTED_VALUE"""),"baby-catcoin")</f>
        <v>baby-catcoin</v>
      </c>
      <c r="B1193" s="3" t="str">
        <f>IFERROR(__xludf.DUMMYFUNCTION("""COMPUTED_VALUE"""),"babycats")</f>
        <v>babycats</v>
      </c>
      <c r="C1193" s="3" t="str">
        <f>IFERROR(__xludf.DUMMYFUNCTION("""COMPUTED_VALUE"""),"Baby Catcoin")</f>
        <v>Baby Catcoin</v>
      </c>
    </row>
    <row r="1194">
      <c r="A1194" s="3" t="str">
        <f>IFERROR(__xludf.DUMMYFUNCTION("""COMPUTED_VALUE"""),"babycatgirl")</f>
        <v>babycatgirl</v>
      </c>
      <c r="B1194" s="3" t="str">
        <f>IFERROR(__xludf.DUMMYFUNCTION("""COMPUTED_VALUE"""),"babycatgirl")</f>
        <v>babycatgirl</v>
      </c>
      <c r="C1194" s="3" t="str">
        <f>IFERROR(__xludf.DUMMYFUNCTION("""COMPUTED_VALUE"""),"BabyCatGirl")</f>
        <v>BabyCatGirl</v>
      </c>
    </row>
    <row r="1195">
      <c r="A1195" s="3" t="str">
        <f>IFERROR(__xludf.DUMMYFUNCTION("""COMPUTED_VALUE"""),"baby-chedda")</f>
        <v>baby-chedda</v>
      </c>
      <c r="B1195" s="3" t="str">
        <f>IFERROR(__xludf.DUMMYFUNCTION("""COMPUTED_VALUE"""),"babychedda")</f>
        <v>babychedda</v>
      </c>
      <c r="C1195" s="3" t="str">
        <f>IFERROR(__xludf.DUMMYFUNCTION("""COMPUTED_VALUE"""),"Baby Chedda")</f>
        <v>Baby Chedda</v>
      </c>
    </row>
    <row r="1196">
      <c r="A1196" s="3" t="str">
        <f>IFERROR(__xludf.DUMMYFUNCTION("""COMPUTED_VALUE"""),"baby-cheems-inu")</f>
        <v>baby-cheems-inu</v>
      </c>
      <c r="B1196" s="3" t="str">
        <f>IFERROR(__xludf.DUMMYFUNCTION("""COMPUTED_VALUE"""),"bci")</f>
        <v>bci</v>
      </c>
      <c r="C1196" s="3" t="str">
        <f>IFERROR(__xludf.DUMMYFUNCTION("""COMPUTED_VALUE"""),"Baby Cheems Inu")</f>
        <v>Baby Cheems Inu</v>
      </c>
    </row>
    <row r="1197">
      <c r="A1197" s="3" t="str">
        <f>IFERROR(__xludf.DUMMYFUNCTION("""COMPUTED_VALUE"""),"babydogecake")</f>
        <v>babydogecake</v>
      </c>
      <c r="B1197" s="3" t="str">
        <f>IFERROR(__xludf.DUMMYFUNCTION("""COMPUTED_VALUE"""),"bdc")</f>
        <v>bdc</v>
      </c>
      <c r="C1197" s="3" t="str">
        <f>IFERROR(__xludf.DUMMYFUNCTION("""COMPUTED_VALUE"""),"BabyDogeCake")</f>
        <v>BabyDogeCake</v>
      </c>
    </row>
    <row r="1198">
      <c r="A1198" s="3" t="str">
        <f>IFERROR(__xludf.DUMMYFUNCTION("""COMPUTED_VALUE"""),"baby-doge-cash")</f>
        <v>baby-doge-cash</v>
      </c>
      <c r="B1198" s="3" t="str">
        <f>IFERROR(__xludf.DUMMYFUNCTION("""COMPUTED_VALUE"""),"babydogecash")</f>
        <v>babydogecash</v>
      </c>
      <c r="C1198" s="3" t="str">
        <f>IFERROR(__xludf.DUMMYFUNCTION("""COMPUTED_VALUE"""),"Baby Doge Cash")</f>
        <v>Baby Doge Cash</v>
      </c>
    </row>
    <row r="1199">
      <c r="A1199" s="3" t="str">
        <f>IFERROR(__xludf.DUMMYFUNCTION("""COMPUTED_VALUE"""),"baby-doge-coin")</f>
        <v>baby-doge-coin</v>
      </c>
      <c r="B1199" s="3" t="str">
        <f>IFERROR(__xludf.DUMMYFUNCTION("""COMPUTED_VALUE"""),"babydoge")</f>
        <v>babydoge</v>
      </c>
      <c r="C1199" s="3" t="str">
        <f>IFERROR(__xludf.DUMMYFUNCTION("""COMPUTED_VALUE"""),"Baby Doge Coin")</f>
        <v>Baby Doge Coin</v>
      </c>
    </row>
    <row r="1200">
      <c r="A1200" s="3" t="str">
        <f>IFERROR(__xludf.DUMMYFUNCTION("""COMPUTED_VALUE"""),"babydoge-coin-eth")</f>
        <v>babydoge-coin-eth</v>
      </c>
      <c r="B1200" s="3" t="str">
        <f>IFERROR(__xludf.DUMMYFUNCTION("""COMPUTED_VALUE"""),"babydoge")</f>
        <v>babydoge</v>
      </c>
      <c r="C1200" s="3" t="str">
        <f>IFERROR(__xludf.DUMMYFUNCTION("""COMPUTED_VALUE"""),"BabyDoge ETH")</f>
        <v>BabyDoge ETH</v>
      </c>
    </row>
    <row r="1201">
      <c r="A1201" s="3" t="str">
        <f>IFERROR(__xludf.DUMMYFUNCTION("""COMPUTED_VALUE"""),"baby-doge-inu")</f>
        <v>baby-doge-inu</v>
      </c>
      <c r="B1201" s="3" t="str">
        <f>IFERROR(__xludf.DUMMYFUNCTION("""COMPUTED_VALUE"""),"$babydogeinu")</f>
        <v>$babydogeinu</v>
      </c>
      <c r="C1201" s="3" t="str">
        <f>IFERROR(__xludf.DUMMYFUNCTION("""COMPUTED_VALUE"""),"Baby Doge Inu")</f>
        <v>Baby Doge Inu</v>
      </c>
    </row>
    <row r="1202">
      <c r="A1202" s="3" t="str">
        <f>IFERROR(__xludf.DUMMYFUNCTION("""COMPUTED_VALUE"""),"baby-doge-money-maker")</f>
        <v>baby-doge-money-maker</v>
      </c>
      <c r="B1202" s="3" t="str">
        <f>IFERROR(__xludf.DUMMYFUNCTION("""COMPUTED_VALUE"""),"babydogemm")</f>
        <v>babydogemm</v>
      </c>
      <c r="C1202" s="3" t="str">
        <f>IFERROR(__xludf.DUMMYFUNCTION("""COMPUTED_VALUE"""),"Baby Doge Money Maker")</f>
        <v>Baby Doge Money Maker</v>
      </c>
    </row>
    <row r="1203">
      <c r="A1203" s="3" t="str">
        <f>IFERROR(__xludf.DUMMYFUNCTION("""COMPUTED_VALUE"""),"babydogezilla")</f>
        <v>babydogezilla</v>
      </c>
      <c r="B1203" s="3" t="str">
        <f>IFERROR(__xludf.DUMMYFUNCTION("""COMPUTED_VALUE"""),"babydogezilla")</f>
        <v>babydogezilla</v>
      </c>
      <c r="C1203" s="3" t="str">
        <f>IFERROR(__xludf.DUMMYFUNCTION("""COMPUTED_VALUE"""),"BabyDogeZilla")</f>
        <v>BabyDogeZilla</v>
      </c>
    </row>
    <row r="1204">
      <c r="A1204" s="3" t="str">
        <f>IFERROR(__xludf.DUMMYFUNCTION("""COMPUTED_VALUE"""),"baby-dogo-coin")</f>
        <v>baby-dogo-coin</v>
      </c>
      <c r="B1204" s="3" t="str">
        <f>IFERROR(__xludf.DUMMYFUNCTION("""COMPUTED_VALUE"""),"babydogo")</f>
        <v>babydogo</v>
      </c>
      <c r="C1204" s="3" t="str">
        <f>IFERROR(__xludf.DUMMYFUNCTION("""COMPUTED_VALUE"""),"Baby Dogo Coin")</f>
        <v>Baby Dogo Coin</v>
      </c>
    </row>
    <row r="1205">
      <c r="A1205" s="3" t="str">
        <f>IFERROR(__xludf.DUMMYFUNCTION("""COMPUTED_VALUE"""),"babydot")</f>
        <v>babydot</v>
      </c>
      <c r="B1205" s="3" t="str">
        <f>IFERROR(__xludf.DUMMYFUNCTION("""COMPUTED_VALUE"""),"bdot")</f>
        <v>bdot</v>
      </c>
      <c r="C1205" s="3" t="str">
        <f>IFERROR(__xludf.DUMMYFUNCTION("""COMPUTED_VALUE"""),"BabyDot")</f>
        <v>BabyDot</v>
      </c>
    </row>
    <row r="1206">
      <c r="A1206" s="3" t="str">
        <f>IFERROR(__xludf.DUMMYFUNCTION("""COMPUTED_VALUE"""),"baby-doug")</f>
        <v>baby-doug</v>
      </c>
      <c r="B1206" s="3" t="str">
        <f>IFERROR(__xludf.DUMMYFUNCTION("""COMPUTED_VALUE"""),"babydoug")</f>
        <v>babydoug</v>
      </c>
      <c r="C1206" s="3" t="str">
        <f>IFERROR(__xludf.DUMMYFUNCTION("""COMPUTED_VALUE"""),"Baby Doug")</f>
        <v>Baby Doug</v>
      </c>
    </row>
    <row r="1207">
      <c r="A1207" s="3" t="str">
        <f>IFERROR(__xludf.DUMMYFUNCTION("""COMPUTED_VALUE"""),"babyeth")</f>
        <v>babyeth</v>
      </c>
      <c r="B1207" s="3" t="str">
        <f>IFERROR(__xludf.DUMMYFUNCTION("""COMPUTED_VALUE"""),"babyeth")</f>
        <v>babyeth</v>
      </c>
      <c r="C1207" s="3" t="str">
        <f>IFERROR(__xludf.DUMMYFUNCTION("""COMPUTED_VALUE"""),"BabyEth")</f>
        <v>BabyEth</v>
      </c>
    </row>
    <row r="1208">
      <c r="A1208" s="3" t="str">
        <f>IFERROR(__xludf.DUMMYFUNCTION("""COMPUTED_VALUE"""),"babyethereum")</f>
        <v>babyethereum</v>
      </c>
      <c r="B1208" s="3" t="str">
        <f>IFERROR(__xludf.DUMMYFUNCTION("""COMPUTED_VALUE"""),"bbeth")</f>
        <v>bbeth</v>
      </c>
      <c r="C1208" s="3" t="str">
        <f>IFERROR(__xludf.DUMMYFUNCTION("""COMPUTED_VALUE"""),"BabyEthereum")</f>
        <v>BabyEthereum</v>
      </c>
    </row>
    <row r="1209">
      <c r="A1209" s="3" t="str">
        <f>IFERROR(__xludf.DUMMYFUNCTION("""COMPUTED_VALUE"""),"babyeth-v2")</f>
        <v>babyeth-v2</v>
      </c>
      <c r="B1209" s="3" t="str">
        <f>IFERROR(__xludf.DUMMYFUNCTION("""COMPUTED_VALUE"""),"babyethv2")</f>
        <v>babyethv2</v>
      </c>
      <c r="C1209" s="3" t="str">
        <f>IFERROR(__xludf.DUMMYFUNCTION("""COMPUTED_VALUE"""),"BabyETH V2")</f>
        <v>BabyETH V2</v>
      </c>
    </row>
    <row r="1210">
      <c r="A1210" s="3" t="str">
        <f>IFERROR(__xludf.DUMMYFUNCTION("""COMPUTED_VALUE"""),"baby-everdoge")</f>
        <v>baby-everdoge</v>
      </c>
      <c r="B1210" s="3" t="str">
        <f>IFERROR(__xludf.DUMMYFUNCTION("""COMPUTED_VALUE"""),"baby everdoge")</f>
        <v>baby everdoge</v>
      </c>
      <c r="C1210" s="3" t="str">
        <f>IFERROR(__xludf.DUMMYFUNCTION("""COMPUTED_VALUE"""),"Baby EverDoge")</f>
        <v>Baby EverDoge</v>
      </c>
    </row>
    <row r="1211">
      <c r="A1211" s="3" t="str">
        <f>IFERROR(__xludf.DUMMYFUNCTION("""COMPUTED_VALUE"""),"babyfeg")</f>
        <v>babyfeg</v>
      </c>
      <c r="B1211" s="3" t="str">
        <f>IFERROR(__xludf.DUMMYFUNCTION("""COMPUTED_VALUE"""),"bbfeg")</f>
        <v>bbfeg</v>
      </c>
      <c r="C1211" s="3" t="str">
        <f>IFERROR(__xludf.DUMMYFUNCTION("""COMPUTED_VALUE"""),"Babyfeg")</f>
        <v>Babyfeg</v>
      </c>
    </row>
    <row r="1212">
      <c r="A1212" s="3" t="str">
        <f>IFERROR(__xludf.DUMMYFUNCTION("""COMPUTED_VALUE"""),"babyfloki")</f>
        <v>babyfloki</v>
      </c>
      <c r="B1212" s="3" t="str">
        <f>IFERROR(__xludf.DUMMYFUNCTION("""COMPUTED_VALUE"""),"babyfloki")</f>
        <v>babyfloki</v>
      </c>
      <c r="C1212" s="3" t="str">
        <f>IFERROR(__xludf.DUMMYFUNCTION("""COMPUTED_VALUE"""),"BabyFloki")</f>
        <v>BabyFloki</v>
      </c>
    </row>
    <row r="1213">
      <c r="A1213" s="3" t="str">
        <f>IFERROR(__xludf.DUMMYFUNCTION("""COMPUTED_VALUE"""),"baby-floki")</f>
        <v>baby-floki</v>
      </c>
      <c r="B1213" s="3" t="str">
        <f>IFERROR(__xludf.DUMMYFUNCTION("""COMPUTED_VALUE"""),"babyfloki")</f>
        <v>babyfloki</v>
      </c>
      <c r="C1213" s="3" t="str">
        <f>IFERROR(__xludf.DUMMYFUNCTION("""COMPUTED_VALUE"""),"Baby Floki")</f>
        <v>Baby Floki</v>
      </c>
    </row>
    <row r="1214">
      <c r="A1214" s="3" t="str">
        <f>IFERROR(__xludf.DUMMYFUNCTION("""COMPUTED_VALUE"""),"baby-floki-coin")</f>
        <v>baby-floki-coin</v>
      </c>
      <c r="B1214" s="3" t="str">
        <f>IFERROR(__xludf.DUMMYFUNCTION("""COMPUTED_VALUE"""),"babyflokicoin")</f>
        <v>babyflokicoin</v>
      </c>
      <c r="C1214" s="3" t="str">
        <f>IFERROR(__xludf.DUMMYFUNCTION("""COMPUTED_VALUE"""),"Baby Floki Coin")</f>
        <v>Baby Floki Coin</v>
      </c>
    </row>
    <row r="1215">
      <c r="A1215" s="3" t="str">
        <f>IFERROR(__xludf.DUMMYFUNCTION("""COMPUTED_VALUE"""),"baby-floki-doge")</f>
        <v>baby-floki-doge</v>
      </c>
      <c r="B1215" s="3" t="str">
        <f>IFERROR(__xludf.DUMMYFUNCTION("""COMPUTED_VALUE"""),"babyfd")</f>
        <v>babyfd</v>
      </c>
      <c r="C1215" s="3" t="str">
        <f>IFERROR(__xludf.DUMMYFUNCTION("""COMPUTED_VALUE"""),"Baby Floki Doge")</f>
        <v>Baby Floki Doge</v>
      </c>
    </row>
    <row r="1216">
      <c r="A1216" s="3" t="str">
        <f>IFERROR(__xludf.DUMMYFUNCTION("""COMPUTED_VALUE"""),"baby-floki-inu")</f>
        <v>baby-floki-inu</v>
      </c>
      <c r="B1216" s="3" t="str">
        <f>IFERROR(__xludf.DUMMYFUNCTION("""COMPUTED_VALUE"""),"bfloki")</f>
        <v>bfloki</v>
      </c>
      <c r="C1216" s="3" t="str">
        <f>IFERROR(__xludf.DUMMYFUNCTION("""COMPUTED_VALUE"""),"Baby Floki Inu")</f>
        <v>Baby Floki Inu</v>
      </c>
    </row>
    <row r="1217">
      <c r="A1217" s="3" t="str">
        <f>IFERROR(__xludf.DUMMYFUNCTION("""COMPUTED_VALUE"""),"baby-fps-token")</f>
        <v>baby-fps-token</v>
      </c>
      <c r="B1217" s="3" t="str">
        <f>IFERROR(__xludf.DUMMYFUNCTION("""COMPUTED_VALUE"""),"bfps")</f>
        <v>bfps</v>
      </c>
      <c r="C1217" s="3" t="str">
        <f>IFERROR(__xludf.DUMMYFUNCTION("""COMPUTED_VALUE"""),"Baby FPS")</f>
        <v>Baby FPS</v>
      </c>
    </row>
    <row r="1218">
      <c r="A1218" s="3" t="str">
        <f>IFERROR(__xludf.DUMMYFUNCTION("""COMPUTED_VALUE"""),"babyharmony")</f>
        <v>babyharmony</v>
      </c>
      <c r="B1218" s="3" t="str">
        <f>IFERROR(__xludf.DUMMYFUNCTION("""COMPUTED_VALUE"""),"babyharmony")</f>
        <v>babyharmony</v>
      </c>
      <c r="C1218" s="3" t="str">
        <f>IFERROR(__xludf.DUMMYFUNCTION("""COMPUTED_VALUE"""),"BabyHarmony")</f>
        <v>BabyHarmony</v>
      </c>
    </row>
    <row r="1219">
      <c r="A1219" s="3" t="str">
        <f>IFERROR(__xludf.DUMMYFUNCTION("""COMPUTED_VALUE"""),"baby-kishu")</f>
        <v>baby-kishu</v>
      </c>
      <c r="B1219" s="3" t="str">
        <f>IFERROR(__xludf.DUMMYFUNCTION("""COMPUTED_VALUE"""),"babykishu")</f>
        <v>babykishu</v>
      </c>
      <c r="C1219" s="3" t="str">
        <f>IFERROR(__xludf.DUMMYFUNCTION("""COMPUTED_VALUE"""),"Baby Kishu")</f>
        <v>Baby Kishu</v>
      </c>
    </row>
    <row r="1220">
      <c r="A1220" s="3" t="str">
        <f>IFERROR(__xludf.DUMMYFUNCTION("""COMPUTED_VALUE"""),"babykitty")</f>
        <v>babykitty</v>
      </c>
      <c r="B1220" s="3" t="str">
        <f>IFERROR(__xludf.DUMMYFUNCTION("""COMPUTED_VALUE"""),"babykitty")</f>
        <v>babykitty</v>
      </c>
      <c r="C1220" s="3" t="str">
        <f>IFERROR(__xludf.DUMMYFUNCTION("""COMPUTED_VALUE"""),"BabyKitty")</f>
        <v>BabyKitty</v>
      </c>
    </row>
    <row r="1221">
      <c r="A1221" s="3" t="str">
        <f>IFERROR(__xludf.DUMMYFUNCTION("""COMPUTED_VALUE"""),"babykraken")</f>
        <v>babykraken</v>
      </c>
      <c r="B1221" s="3" t="str">
        <f>IFERROR(__xludf.DUMMYFUNCTION("""COMPUTED_VALUE"""),"krakbaby")</f>
        <v>krakbaby</v>
      </c>
      <c r="C1221" s="3" t="str">
        <f>IFERROR(__xludf.DUMMYFUNCTION("""COMPUTED_VALUE"""),"BabyKraken")</f>
        <v>BabyKraken</v>
      </c>
    </row>
    <row r="1222">
      <c r="A1222" s="3" t="str">
        <f>IFERROR(__xludf.DUMMYFUNCTION("""COMPUTED_VALUE"""),"baby-kshark")</f>
        <v>baby-kshark</v>
      </c>
      <c r="B1222" s="3" t="str">
        <f>IFERROR(__xludf.DUMMYFUNCTION("""COMPUTED_VALUE"""),"bks")</f>
        <v>bks</v>
      </c>
      <c r="C1222" s="3" t="str">
        <f>IFERROR(__xludf.DUMMYFUNCTION("""COMPUTED_VALUE"""),"Baby KShark")</f>
        <v>Baby KShark</v>
      </c>
    </row>
    <row r="1223">
      <c r="A1223" s="3" t="str">
        <f>IFERROR(__xludf.DUMMYFUNCTION("""COMPUTED_VALUE"""),"baby-lambo-inu")</f>
        <v>baby-lambo-inu</v>
      </c>
      <c r="B1223" s="3" t="str">
        <f>IFERROR(__xludf.DUMMYFUNCTION("""COMPUTED_VALUE"""),"blinu")</f>
        <v>blinu</v>
      </c>
      <c r="C1223" s="3" t="str">
        <f>IFERROR(__xludf.DUMMYFUNCTION("""COMPUTED_VALUE"""),"Baby Lambo Inu")</f>
        <v>Baby Lambo Inu</v>
      </c>
    </row>
    <row r="1224">
      <c r="A1224" s="3" t="str">
        <f>IFERROR(__xludf.DUMMYFUNCTION("""COMPUTED_VALUE"""),"babyllama")</f>
        <v>babyllama</v>
      </c>
      <c r="B1224" s="3" t="str">
        <f>IFERROR(__xludf.DUMMYFUNCTION("""COMPUTED_VALUE"""),"babyllama")</f>
        <v>babyllama</v>
      </c>
      <c r="C1224" s="3" t="str">
        <f>IFERROR(__xludf.DUMMYFUNCTION("""COMPUTED_VALUE"""),"Babyllama")</f>
        <v>Babyllama</v>
      </c>
    </row>
    <row r="1225">
      <c r="A1225" s="3" t="str">
        <f>IFERROR(__xludf.DUMMYFUNCTION("""COMPUTED_VALUE"""),"babylondao")</f>
        <v>babylondao</v>
      </c>
      <c r="B1225" s="3" t="str">
        <f>IFERROR(__xludf.DUMMYFUNCTION("""COMPUTED_VALUE"""),"bby")</f>
        <v>bby</v>
      </c>
      <c r="C1225" s="3" t="str">
        <f>IFERROR(__xludf.DUMMYFUNCTION("""COMPUTED_VALUE"""),"BabylonDAO")</f>
        <v>BabylonDAO</v>
      </c>
    </row>
    <row r="1226">
      <c r="A1226" s="3" t="str">
        <f>IFERROR(__xludf.DUMMYFUNCTION("""COMPUTED_VALUE"""),"babylon-finance")</f>
        <v>babylon-finance</v>
      </c>
      <c r="B1226" s="3" t="str">
        <f>IFERROR(__xludf.DUMMYFUNCTION("""COMPUTED_VALUE"""),"babl")</f>
        <v>babl</v>
      </c>
      <c r="C1226" s="3" t="str">
        <f>IFERROR(__xludf.DUMMYFUNCTION("""COMPUTED_VALUE"""),"Babylon Finance")</f>
        <v>Babylon Finance</v>
      </c>
    </row>
    <row r="1227">
      <c r="A1227" s="3" t="str">
        <f>IFERROR(__xludf.DUMMYFUNCTION("""COMPUTED_VALUE"""),"babylonia")</f>
        <v>babylonia</v>
      </c>
      <c r="B1227" s="3" t="str">
        <f>IFERROR(__xludf.DUMMYFUNCTION("""COMPUTED_VALUE"""),"baby")</f>
        <v>baby</v>
      </c>
      <c r="C1227" s="3" t="str">
        <f>IFERROR(__xludf.DUMMYFUNCTION("""COMPUTED_VALUE"""),"Babylonia")</f>
        <v>Babylonia</v>
      </c>
    </row>
    <row r="1228">
      <c r="A1228" s="3" t="str">
        <f>IFERROR(__xludf.DUMMYFUNCTION("""COMPUTED_VALUE"""),"babylons")</f>
        <v>babylons</v>
      </c>
      <c r="B1228" s="3" t="str">
        <f>IFERROR(__xludf.DUMMYFUNCTION("""COMPUTED_VALUE"""),"babi")</f>
        <v>babi</v>
      </c>
      <c r="C1228" s="3" t="str">
        <f>IFERROR(__xludf.DUMMYFUNCTION("""COMPUTED_VALUE"""),"Babylons")</f>
        <v>Babylons</v>
      </c>
    </row>
    <row r="1229">
      <c r="A1229" s="3" t="str">
        <f>IFERROR(__xludf.DUMMYFUNCTION("""COMPUTED_VALUE"""),"baby-loop")</f>
        <v>baby-loop</v>
      </c>
      <c r="B1229" s="3" t="str">
        <f>IFERROR(__xludf.DUMMYFUNCTION("""COMPUTED_VALUE"""),"bloop")</f>
        <v>bloop</v>
      </c>
      <c r="C1229" s="3" t="str">
        <f>IFERROR(__xludf.DUMMYFUNCTION("""COMPUTED_VALUE"""),"Baby Loop")</f>
        <v>Baby Loop</v>
      </c>
    </row>
    <row r="1230">
      <c r="A1230" s="3" t="str">
        <f>IFERROR(__xludf.DUMMYFUNCTION("""COMPUTED_VALUE"""),"baby-lovely-inu")</f>
        <v>baby-lovely-inu</v>
      </c>
      <c r="B1230" s="3" t="str">
        <f>IFERROR(__xludf.DUMMYFUNCTION("""COMPUTED_VALUE"""),"blovely")</f>
        <v>blovely</v>
      </c>
      <c r="C1230" s="3" t="str">
        <f>IFERROR(__xludf.DUMMYFUNCTION("""COMPUTED_VALUE"""),"Baby Lovely Inu")</f>
        <v>Baby Lovely Inu</v>
      </c>
    </row>
    <row r="1231">
      <c r="A1231" s="3" t="str">
        <f>IFERROR(__xludf.DUMMYFUNCTION("""COMPUTED_VALUE"""),"baby-meta")</f>
        <v>baby-meta</v>
      </c>
      <c r="B1231" s="3" t="str">
        <f>IFERROR(__xludf.DUMMYFUNCTION("""COMPUTED_VALUE"""),"babymeta")</f>
        <v>babymeta</v>
      </c>
      <c r="C1231" s="3" t="str">
        <f>IFERROR(__xludf.DUMMYFUNCTION("""COMPUTED_VALUE"""),"Baby Meta")</f>
        <v>Baby Meta</v>
      </c>
    </row>
    <row r="1232">
      <c r="A1232" s="3" t="str">
        <f>IFERROR(__xludf.DUMMYFUNCTION("""COMPUTED_VALUE"""),"baby-mind")</f>
        <v>baby-mind</v>
      </c>
      <c r="B1232" s="3" t="str">
        <f>IFERROR(__xludf.DUMMYFUNCTION("""COMPUTED_VALUE"""),"bmnd")</f>
        <v>bmnd</v>
      </c>
      <c r="C1232" s="3" t="str">
        <f>IFERROR(__xludf.DUMMYFUNCTION("""COMPUTED_VALUE"""),"Baby Mind")</f>
        <v>Baby Mind</v>
      </c>
    </row>
    <row r="1233">
      <c r="A1233" s="3" t="str">
        <f>IFERROR(__xludf.DUMMYFUNCTION("""COMPUTED_VALUE"""),"baby-moon-floki")</f>
        <v>baby-moon-floki</v>
      </c>
      <c r="B1233" s="3" t="str">
        <f>IFERROR(__xludf.DUMMYFUNCTION("""COMPUTED_VALUE"""),"floki")</f>
        <v>floki</v>
      </c>
      <c r="C1233" s="3" t="str">
        <f>IFERROR(__xludf.DUMMYFUNCTION("""COMPUTED_VALUE"""),"Baby Moon Floki")</f>
        <v>Baby Moon Floki</v>
      </c>
    </row>
    <row r="1234">
      <c r="A1234" s="3" t="str">
        <f>IFERROR(__xludf.DUMMYFUNCTION("""COMPUTED_VALUE"""),"babyokx")</f>
        <v>babyokx</v>
      </c>
      <c r="B1234" s="3" t="str">
        <f>IFERROR(__xludf.DUMMYFUNCTION("""COMPUTED_VALUE"""),"babyokx")</f>
        <v>babyokx</v>
      </c>
      <c r="C1234" s="3" t="str">
        <f>IFERROR(__xludf.DUMMYFUNCTION("""COMPUTED_VALUE"""),"BABYOKX (BSC)")</f>
        <v>BABYOKX (BSC)</v>
      </c>
    </row>
    <row r="1235">
      <c r="A1235" s="3" t="str">
        <f>IFERROR(__xludf.DUMMYFUNCTION("""COMPUTED_VALUE"""),"babyokx-2")</f>
        <v>babyokx-2</v>
      </c>
      <c r="B1235" s="3" t="str">
        <f>IFERROR(__xludf.DUMMYFUNCTION("""COMPUTED_VALUE"""),"babyokx")</f>
        <v>babyokx</v>
      </c>
      <c r="C1235" s="3" t="str">
        <f>IFERROR(__xludf.DUMMYFUNCTION("""COMPUTED_VALUE"""),"BABYOKX")</f>
        <v>BABYOKX</v>
      </c>
    </row>
    <row r="1236">
      <c r="A1236" s="3" t="str">
        <f>IFERROR(__xludf.DUMMYFUNCTION("""COMPUTED_VALUE"""),"baby-panda")</f>
        <v>baby-panda</v>
      </c>
      <c r="B1236" s="3" t="str">
        <f>IFERROR(__xludf.DUMMYFUNCTION("""COMPUTED_VALUE"""),"bpanda")</f>
        <v>bpanda</v>
      </c>
      <c r="C1236" s="3" t="str">
        <f>IFERROR(__xludf.DUMMYFUNCTION("""COMPUTED_VALUE"""),"Baby Panda")</f>
        <v>Baby Panda</v>
      </c>
    </row>
    <row r="1237">
      <c r="A1237" s="3" t="str">
        <f>IFERROR(__xludf.DUMMYFUNCTION("""COMPUTED_VALUE"""),"baby-pig-token")</f>
        <v>baby-pig-token</v>
      </c>
      <c r="B1237" s="3" t="str">
        <f>IFERROR(__xludf.DUMMYFUNCTION("""COMPUTED_VALUE"""),"babypig")</f>
        <v>babypig</v>
      </c>
      <c r="C1237" s="3" t="str">
        <f>IFERROR(__xludf.DUMMYFUNCTION("""COMPUTED_VALUE"""),"Baby Pig")</f>
        <v>Baby Pig</v>
      </c>
    </row>
    <row r="1238">
      <c r="A1238" s="3" t="str">
        <f>IFERROR(__xludf.DUMMYFUNCTION("""COMPUTED_VALUE"""),"baby-pokemoon")</f>
        <v>baby-pokemoon</v>
      </c>
      <c r="B1238" s="3" t="str">
        <f>IFERROR(__xludf.DUMMYFUNCTION("""COMPUTED_VALUE"""),"bpm")</f>
        <v>bpm</v>
      </c>
      <c r="C1238" s="3" t="str">
        <f>IFERROR(__xludf.DUMMYFUNCTION("""COMPUTED_VALUE"""),"Baby Pokemoon")</f>
        <v>Baby Pokemoon</v>
      </c>
    </row>
    <row r="1239">
      <c r="A1239" s="3" t="str">
        <f>IFERROR(__xludf.DUMMYFUNCTION("""COMPUTED_VALUE"""),"babypumpkin-finance")</f>
        <v>babypumpkin-finance</v>
      </c>
      <c r="B1239" s="3" t="str">
        <f>IFERROR(__xludf.DUMMYFUNCTION("""COMPUTED_VALUE"""),"bump")</f>
        <v>bump</v>
      </c>
      <c r="C1239" s="3" t="str">
        <f>IFERROR(__xludf.DUMMYFUNCTION("""COMPUTED_VALUE"""),"BabyPumpkin Finance")</f>
        <v>BabyPumpkin Finance</v>
      </c>
    </row>
    <row r="1240">
      <c r="A1240" s="3" t="str">
        <f>IFERROR(__xludf.DUMMYFUNCTION("""COMPUTED_VALUE"""),"babyquick")</f>
        <v>babyquick</v>
      </c>
      <c r="B1240" s="3" t="str">
        <f>IFERROR(__xludf.DUMMYFUNCTION("""COMPUTED_VALUE"""),"babyquick")</f>
        <v>babyquick</v>
      </c>
      <c r="C1240" s="3" t="str">
        <f>IFERROR(__xludf.DUMMYFUNCTION("""COMPUTED_VALUE"""),"BabyQuick")</f>
        <v>BabyQuick</v>
      </c>
    </row>
    <row r="1241">
      <c r="A1241" s="3" t="str">
        <f>IFERROR(__xludf.DUMMYFUNCTION("""COMPUTED_VALUE"""),"baby-ripple")</f>
        <v>baby-ripple</v>
      </c>
      <c r="B1241" s="3" t="str">
        <f>IFERROR(__xludf.DUMMYFUNCTION("""COMPUTED_VALUE"""),"babyxrp")</f>
        <v>babyxrp</v>
      </c>
      <c r="C1241" s="3" t="str">
        <f>IFERROR(__xludf.DUMMYFUNCTION("""COMPUTED_VALUE"""),"Baby Ripple")</f>
        <v>Baby Ripple</v>
      </c>
    </row>
    <row r="1242">
      <c r="A1242" s="3" t="str">
        <f>IFERROR(__xludf.DUMMYFUNCTION("""COMPUTED_VALUE"""),"baby-saitama")</f>
        <v>baby-saitama</v>
      </c>
      <c r="B1242" s="3" t="str">
        <f>IFERROR(__xludf.DUMMYFUNCTION("""COMPUTED_VALUE"""),"babysaitama")</f>
        <v>babysaitama</v>
      </c>
      <c r="C1242" s="3" t="str">
        <f>IFERROR(__xludf.DUMMYFUNCTION("""COMPUTED_VALUE"""),"Baby Saitama")</f>
        <v>Baby Saitama</v>
      </c>
    </row>
    <row r="1243">
      <c r="A1243" s="3" t="str">
        <f>IFERROR(__xludf.DUMMYFUNCTION("""COMPUTED_VALUE"""),"baby-samo-coin")</f>
        <v>baby-samo-coin</v>
      </c>
      <c r="B1243" s="3" t="str">
        <f>IFERROR(__xludf.DUMMYFUNCTION("""COMPUTED_VALUE"""),"baby")</f>
        <v>baby</v>
      </c>
      <c r="C1243" s="3" t="str">
        <f>IFERROR(__xludf.DUMMYFUNCTION("""COMPUTED_VALUE"""),"Baby Samo Coin")</f>
        <v>Baby Samo Coin</v>
      </c>
    </row>
    <row r="1244">
      <c r="A1244" s="3" t="str">
        <f>IFERROR(__xludf.DUMMYFUNCTION("""COMPUTED_VALUE"""),"baby-satoshi")</f>
        <v>baby-satoshi</v>
      </c>
      <c r="B1244" s="3" t="str">
        <f>IFERROR(__xludf.DUMMYFUNCTION("""COMPUTED_VALUE"""),"sats")</f>
        <v>sats</v>
      </c>
      <c r="C1244" s="3" t="str">
        <f>IFERROR(__xludf.DUMMYFUNCTION("""COMPUTED_VALUE"""),"Baby Satoshi")</f>
        <v>Baby Satoshi</v>
      </c>
    </row>
    <row r="1245">
      <c r="A1245" s="3" t="str">
        <f>IFERROR(__xludf.DUMMYFUNCTION("""COMPUTED_VALUE"""),"baby-shark")</f>
        <v>baby-shark</v>
      </c>
      <c r="B1245" s="3" t="str">
        <f>IFERROR(__xludf.DUMMYFUNCTION("""COMPUTED_VALUE"""),"shark")</f>
        <v>shark</v>
      </c>
      <c r="C1245" s="3" t="str">
        <f>IFERROR(__xludf.DUMMYFUNCTION("""COMPUTED_VALUE"""),"Baby Shark")</f>
        <v>Baby Shark</v>
      </c>
    </row>
    <row r="1246">
      <c r="A1246" s="3" t="str">
        <f>IFERROR(__xludf.DUMMYFUNCTION("""COMPUTED_VALUE"""),"baby-shark-tank")</f>
        <v>baby-shark-tank</v>
      </c>
      <c r="B1246" s="3" t="str">
        <f>IFERROR(__xludf.DUMMYFUNCTION("""COMPUTED_VALUE"""),"bashtank")</f>
        <v>bashtank</v>
      </c>
      <c r="C1246" s="3" t="str">
        <f>IFERROR(__xludf.DUMMYFUNCTION("""COMPUTED_VALUE"""),"Baby Shark Tank")</f>
        <v>Baby Shark Tank</v>
      </c>
    </row>
    <row r="1247">
      <c r="A1247" s="3" t="str">
        <f>IFERROR(__xludf.DUMMYFUNCTION("""COMPUTED_VALUE"""),"baby-shiba-coin")</f>
        <v>baby-shiba-coin</v>
      </c>
      <c r="B1247" s="3" t="str">
        <f>IFERROR(__xludf.DUMMYFUNCTION("""COMPUTED_VALUE"""),"babyshiba")</f>
        <v>babyshiba</v>
      </c>
      <c r="C1247" s="3" t="str">
        <f>IFERROR(__xludf.DUMMYFUNCTION("""COMPUTED_VALUE"""),"Baby Shiba Coin")</f>
        <v>Baby Shiba Coin</v>
      </c>
    </row>
    <row r="1248">
      <c r="A1248" s="3" t="str">
        <f>IFERROR(__xludf.DUMMYFUNCTION("""COMPUTED_VALUE"""),"baby-shiba-dot")</f>
        <v>baby-shiba-dot</v>
      </c>
      <c r="B1248" s="3" t="str">
        <f>IFERROR(__xludf.DUMMYFUNCTION("""COMPUTED_VALUE"""),"bsd")</f>
        <v>bsd</v>
      </c>
      <c r="C1248" s="3" t="str">
        <f>IFERROR(__xludf.DUMMYFUNCTION("""COMPUTED_VALUE"""),"Baby Shiba Dot")</f>
        <v>Baby Shiba Dot</v>
      </c>
    </row>
    <row r="1249">
      <c r="A1249" s="3" t="str">
        <f>IFERROR(__xludf.DUMMYFUNCTION("""COMPUTED_VALUE"""),"baby-shiba-inu")</f>
        <v>baby-shiba-inu</v>
      </c>
      <c r="B1249" s="3" t="str">
        <f>IFERROR(__xludf.DUMMYFUNCTION("""COMPUTED_VALUE"""),"babyshibainu")</f>
        <v>babyshibainu</v>
      </c>
      <c r="C1249" s="3" t="str">
        <f>IFERROR(__xludf.DUMMYFUNCTION("""COMPUTED_VALUE"""),"Baby Shiba Inu")</f>
        <v>Baby Shiba Inu</v>
      </c>
    </row>
    <row r="1250">
      <c r="A1250" s="3" t="str">
        <f>IFERROR(__xludf.DUMMYFUNCTION("""COMPUTED_VALUE"""),"babyshibby-inu")</f>
        <v>babyshibby-inu</v>
      </c>
      <c r="B1250" s="3" t="str">
        <f>IFERROR(__xludf.DUMMYFUNCTION("""COMPUTED_VALUE"""),"babyshib")</f>
        <v>babyshib</v>
      </c>
      <c r="C1250" s="3" t="str">
        <f>IFERROR(__xludf.DUMMYFUNCTION("""COMPUTED_VALUE"""),"BabyShibby Inu")</f>
        <v>BabyShibby Inu</v>
      </c>
    </row>
    <row r="1251">
      <c r="A1251" s="3" t="str">
        <f>IFERROR(__xludf.DUMMYFUNCTION("""COMPUTED_VALUE"""),"baby-soulja-boy")</f>
        <v>baby-soulja-boy</v>
      </c>
      <c r="B1251" s="3" t="str">
        <f>IFERROR(__xludf.DUMMYFUNCTION("""COMPUTED_VALUE"""),"draco")</f>
        <v>draco</v>
      </c>
      <c r="C1251" s="3" t="str">
        <f>IFERROR(__xludf.DUMMYFUNCTION("""COMPUTED_VALUE"""),"Baby Soulja Boy")</f>
        <v>Baby Soulja Boy</v>
      </c>
    </row>
    <row r="1252">
      <c r="A1252" s="3" t="str">
        <f>IFERROR(__xludf.DUMMYFUNCTION("""COMPUTED_VALUE"""),"babyswap")</f>
        <v>babyswap</v>
      </c>
      <c r="B1252" s="3" t="str">
        <f>IFERROR(__xludf.DUMMYFUNCTION("""COMPUTED_VALUE"""),"baby")</f>
        <v>baby</v>
      </c>
      <c r="C1252" s="3" t="str">
        <f>IFERROR(__xludf.DUMMYFUNCTION("""COMPUTED_VALUE"""),"BabySwap")</f>
        <v>BabySwap</v>
      </c>
    </row>
    <row r="1253">
      <c r="A1253" s="3" t="str">
        <f>IFERROR(__xludf.DUMMYFUNCTION("""COMPUTED_VALUE"""),"baby-tether")</f>
        <v>baby-tether</v>
      </c>
      <c r="B1253" s="3" t="str">
        <f>IFERROR(__xludf.DUMMYFUNCTION("""COMPUTED_VALUE"""),"babytether")</f>
        <v>babytether</v>
      </c>
      <c r="C1253" s="3" t="str">
        <f>IFERROR(__xludf.DUMMYFUNCTION("""COMPUTED_VALUE"""),"BABY TETHER")</f>
        <v>BABY TETHER</v>
      </c>
    </row>
    <row r="1254">
      <c r="A1254" s="3" t="str">
        <f>IFERROR(__xludf.DUMMYFUNCTION("""COMPUTED_VALUE"""),"babytigergold")</f>
        <v>babytigergold</v>
      </c>
      <c r="B1254" s="3" t="str">
        <f>IFERROR(__xludf.DUMMYFUNCTION("""COMPUTED_VALUE"""),"babytiger")</f>
        <v>babytiger</v>
      </c>
      <c r="C1254" s="3" t="str">
        <f>IFERROR(__xludf.DUMMYFUNCTION("""COMPUTED_VALUE"""),"BabyTigerGold")</f>
        <v>BabyTigerGold</v>
      </c>
    </row>
    <row r="1255">
      <c r="A1255" s="3" t="str">
        <f>IFERROR(__xludf.DUMMYFUNCTION("""COMPUTED_VALUE"""),"baby-trump")</f>
        <v>baby-trump</v>
      </c>
      <c r="B1255" s="3" t="str">
        <f>IFERROR(__xludf.DUMMYFUNCTION("""COMPUTED_VALUE"""),"babytrump")</f>
        <v>babytrump</v>
      </c>
      <c r="C1255" s="3" t="str">
        <f>IFERROR(__xludf.DUMMYFUNCTION("""COMPUTED_VALUE"""),"Baby Trump")</f>
        <v>Baby Trump</v>
      </c>
    </row>
    <row r="1256">
      <c r="A1256" s="3" t="str">
        <f>IFERROR(__xludf.DUMMYFUNCTION("""COMPUTED_VALUE"""),"baby-uniwswap")</f>
        <v>baby-uniwswap</v>
      </c>
      <c r="B1256" s="3" t="str">
        <f>IFERROR(__xludf.DUMMYFUNCTION("""COMPUTED_VALUE"""),"$buniw")</f>
        <v>$buniw</v>
      </c>
      <c r="C1256" s="3" t="str">
        <f>IFERROR(__xludf.DUMMYFUNCTION("""COMPUTED_VALUE"""),"Baby Uniwswap")</f>
        <v>Baby Uniwswap</v>
      </c>
    </row>
    <row r="1257">
      <c r="A1257" s="3" t="str">
        <f>IFERROR(__xludf.DUMMYFUNCTION("""COMPUTED_VALUE"""),"babywakandainu")</f>
        <v>babywakandainu</v>
      </c>
      <c r="B1257" s="3" t="str">
        <f>IFERROR(__xludf.DUMMYFUNCTION("""COMPUTED_VALUE"""),"babywkd")</f>
        <v>babywkd</v>
      </c>
      <c r="C1257" s="3" t="str">
        <f>IFERROR(__xludf.DUMMYFUNCTION("""COMPUTED_VALUE"""),"Babywakandainu")</f>
        <v>Babywakandainu</v>
      </c>
    </row>
    <row r="1258">
      <c r="A1258" s="3" t="str">
        <f>IFERROR(__xludf.DUMMYFUNCTION("""COMPUTED_VALUE"""),"babywhale")</f>
        <v>babywhale</v>
      </c>
      <c r="B1258" s="3" t="str">
        <f>IFERROR(__xludf.DUMMYFUNCTION("""COMPUTED_VALUE"""),"bbw")</f>
        <v>bbw</v>
      </c>
      <c r="C1258" s="3" t="str">
        <f>IFERROR(__xludf.DUMMYFUNCTION("""COMPUTED_VALUE"""),"BabyWhale")</f>
        <v>BabyWhale</v>
      </c>
    </row>
    <row r="1259">
      <c r="A1259" s="3" t="str">
        <f>IFERROR(__xludf.DUMMYFUNCTION("""COMPUTED_VALUE"""),"baby-woj")</f>
        <v>baby-woj</v>
      </c>
      <c r="B1259" s="3" t="str">
        <f>IFERROR(__xludf.DUMMYFUNCTION("""COMPUTED_VALUE"""),"bwj")</f>
        <v>bwj</v>
      </c>
      <c r="C1259" s="3" t="str">
        <f>IFERROR(__xludf.DUMMYFUNCTION("""COMPUTED_VALUE"""),"Baby WOJ")</f>
        <v>Baby WOJ</v>
      </c>
    </row>
    <row r="1260">
      <c r="A1260" s="3" t="str">
        <f>IFERROR(__xludf.DUMMYFUNCTION("""COMPUTED_VALUE"""),"babyxape")</f>
        <v>babyxape</v>
      </c>
      <c r="B1260" s="3" t="str">
        <f>IFERROR(__xludf.DUMMYFUNCTION("""COMPUTED_VALUE"""),"babyx")</f>
        <v>babyx</v>
      </c>
      <c r="C1260" s="3" t="str">
        <f>IFERROR(__xludf.DUMMYFUNCTION("""COMPUTED_VALUE"""),"BabyXape")</f>
        <v>BabyXape</v>
      </c>
    </row>
    <row r="1261">
      <c r="A1261" s="3" t="str">
        <f>IFERROR(__xludf.DUMMYFUNCTION("""COMPUTED_VALUE"""),"babyxrp")</f>
        <v>babyxrp</v>
      </c>
      <c r="B1261" s="3" t="str">
        <f>IFERROR(__xludf.DUMMYFUNCTION("""COMPUTED_VALUE"""),"bbyxrp")</f>
        <v>bbyxrp</v>
      </c>
      <c r="C1261" s="3" t="str">
        <f>IFERROR(__xludf.DUMMYFUNCTION("""COMPUTED_VALUE"""),"BabyXrp")</f>
        <v>BabyXrp</v>
      </c>
    </row>
    <row r="1262">
      <c r="A1262" s="3" t="str">
        <f>IFERROR(__xludf.DUMMYFUNCTION("""COMPUTED_VALUE"""),"babyzoro-inu")</f>
        <v>babyzoro-inu</v>
      </c>
      <c r="B1262" s="3" t="str">
        <f>IFERROR(__xludf.DUMMYFUNCTION("""COMPUTED_VALUE"""),"babyzoroinu")</f>
        <v>babyzoroinu</v>
      </c>
      <c r="C1262" s="3" t="str">
        <f>IFERROR(__xludf.DUMMYFUNCTION("""COMPUTED_VALUE"""),"Babyzoro Inu")</f>
        <v>Babyzoro Inu</v>
      </c>
    </row>
    <row r="1263">
      <c r="A1263" s="3" t="str">
        <f>IFERROR(__xludf.DUMMYFUNCTION("""COMPUTED_VALUE"""),"backed-protocol")</f>
        <v>backed-protocol</v>
      </c>
      <c r="B1263" s="3" t="str">
        <f>IFERROR(__xludf.DUMMYFUNCTION("""COMPUTED_VALUE"""),"bakt")</f>
        <v>bakt</v>
      </c>
      <c r="C1263" s="3" t="str">
        <f>IFERROR(__xludf.DUMMYFUNCTION("""COMPUTED_VALUE"""),"Backed Protocol")</f>
        <v>Backed Protocol</v>
      </c>
    </row>
    <row r="1264">
      <c r="A1264" s="3" t="str">
        <f>IFERROR(__xludf.DUMMYFUNCTION("""COMPUTED_VALUE"""),"bacon-coin")</f>
        <v>bacon-coin</v>
      </c>
      <c r="B1264" s="3" t="str">
        <f>IFERROR(__xludf.DUMMYFUNCTION("""COMPUTED_VALUE"""),"bacon")</f>
        <v>bacon</v>
      </c>
      <c r="C1264" s="3" t="str">
        <f>IFERROR(__xludf.DUMMYFUNCTION("""COMPUTED_VALUE"""),"Bacon Coin")</f>
        <v>Bacon Coin</v>
      </c>
    </row>
    <row r="1265">
      <c r="A1265" s="3" t="str">
        <f>IFERROR(__xludf.DUMMYFUNCTION("""COMPUTED_VALUE"""),"bacondao")</f>
        <v>bacondao</v>
      </c>
      <c r="B1265" s="3" t="str">
        <f>IFERROR(__xludf.DUMMYFUNCTION("""COMPUTED_VALUE"""),"bacon")</f>
        <v>bacon</v>
      </c>
      <c r="C1265" s="3" t="str">
        <f>IFERROR(__xludf.DUMMYFUNCTION("""COMPUTED_VALUE"""),"BaconDAO")</f>
        <v>BaconDAO</v>
      </c>
    </row>
    <row r="1266">
      <c r="A1266" s="3" t="str">
        <f>IFERROR(__xludf.DUMMYFUNCTION("""COMPUTED_VALUE"""),"bacon-protocol-home")</f>
        <v>bacon-protocol-home</v>
      </c>
      <c r="B1266" s="3" t="str">
        <f>IFERROR(__xludf.DUMMYFUNCTION("""COMPUTED_VALUE"""),"home")</f>
        <v>home</v>
      </c>
      <c r="C1266" s="3" t="str">
        <f>IFERROR(__xludf.DUMMYFUNCTION("""COMPUTED_VALUE"""),"Bacon Protocol Home")</f>
        <v>Bacon Protocol Home</v>
      </c>
    </row>
    <row r="1267">
      <c r="A1267" s="3" t="str">
        <f>IFERROR(__xludf.DUMMYFUNCTION("""COMPUTED_VALUE"""),"baconswap")</f>
        <v>baconswap</v>
      </c>
      <c r="B1267" s="3" t="str">
        <f>IFERROR(__xludf.DUMMYFUNCTION("""COMPUTED_VALUE"""),"bacon")</f>
        <v>bacon</v>
      </c>
      <c r="C1267" s="3" t="str">
        <f>IFERROR(__xludf.DUMMYFUNCTION("""COMPUTED_VALUE"""),"BaconSwap")</f>
        <v>BaconSwap</v>
      </c>
    </row>
    <row r="1268">
      <c r="A1268" s="3" t="str">
        <f>IFERROR(__xludf.DUMMYFUNCTION("""COMPUTED_VALUE"""),"baddest-alpha-ape-bundle")</f>
        <v>baddest-alpha-ape-bundle</v>
      </c>
      <c r="B1268" s="3" t="str">
        <f>IFERROR(__xludf.DUMMYFUNCTION("""COMPUTED_VALUE"""),"aped")</f>
        <v>aped</v>
      </c>
      <c r="C1268" s="3" t="str">
        <f>IFERROR(__xludf.DUMMYFUNCTION("""COMPUTED_VALUE"""),"Baddest Alpha Ape Bundle")</f>
        <v>Baddest Alpha Ape Bundle</v>
      </c>
    </row>
    <row r="1269">
      <c r="A1269" s="3" t="str">
        <f>IFERROR(__xludf.DUMMYFUNCTION("""COMPUTED_VALUE"""),"badger-dao")</f>
        <v>badger-dao</v>
      </c>
      <c r="B1269" s="3" t="str">
        <f>IFERROR(__xludf.DUMMYFUNCTION("""COMPUTED_VALUE"""),"badger")</f>
        <v>badger</v>
      </c>
      <c r="C1269" s="3" t="str">
        <f>IFERROR(__xludf.DUMMYFUNCTION("""COMPUTED_VALUE"""),"Badger DAO")</f>
        <v>Badger DAO</v>
      </c>
    </row>
    <row r="1270">
      <c r="A1270" s="3" t="str">
        <f>IFERROR(__xludf.DUMMYFUNCTION("""COMPUTED_VALUE"""),"badger-sett-badger")</f>
        <v>badger-sett-badger</v>
      </c>
      <c r="B1270" s="3" t="str">
        <f>IFERROR(__xludf.DUMMYFUNCTION("""COMPUTED_VALUE"""),"bbadger")</f>
        <v>bbadger</v>
      </c>
      <c r="C1270" s="3" t="str">
        <f>IFERROR(__xludf.DUMMYFUNCTION("""COMPUTED_VALUE"""),"Badger Sett Badger")</f>
        <v>Badger Sett Badger</v>
      </c>
    </row>
    <row r="1271">
      <c r="A1271" s="3" t="str">
        <f>IFERROR(__xludf.DUMMYFUNCTION("""COMPUTED_VALUE"""),"badger-sett-digg")</f>
        <v>badger-sett-digg</v>
      </c>
      <c r="B1271" s="3" t="str">
        <f>IFERROR(__xludf.DUMMYFUNCTION("""COMPUTED_VALUE"""),"bdigg")</f>
        <v>bdigg</v>
      </c>
      <c r="C1271" s="3" t="str">
        <f>IFERROR(__xludf.DUMMYFUNCTION("""COMPUTED_VALUE"""),"Badger Sett Digg")</f>
        <v>Badger Sett Digg</v>
      </c>
    </row>
    <row r="1272">
      <c r="A1272" s="3" t="str">
        <f>IFERROR(__xludf.DUMMYFUNCTION("""COMPUTED_VALUE"""),"bae")</f>
        <v>bae</v>
      </c>
      <c r="B1272" s="3" t="str">
        <f>IFERROR(__xludf.DUMMYFUNCTION("""COMPUTED_VALUE"""),"bae")</f>
        <v>bae</v>
      </c>
      <c r="C1272" s="3" t="str">
        <f>IFERROR(__xludf.DUMMYFUNCTION("""COMPUTED_VALUE"""),"Bae")</f>
        <v>Bae</v>
      </c>
    </row>
    <row r="1273">
      <c r="A1273" s="3" t="str">
        <f>IFERROR(__xludf.DUMMYFUNCTION("""COMPUTED_VALUE"""),"baepay")</f>
        <v>baepay</v>
      </c>
      <c r="B1273" s="3" t="str">
        <f>IFERROR(__xludf.DUMMYFUNCTION("""COMPUTED_VALUE"""),"baepay")</f>
        <v>baepay</v>
      </c>
      <c r="C1273" s="3" t="str">
        <f>IFERROR(__xludf.DUMMYFUNCTION("""COMPUTED_VALUE"""),"BAEPAY")</f>
        <v>BAEPAY</v>
      </c>
    </row>
    <row r="1274">
      <c r="A1274" s="3" t="str">
        <f>IFERROR(__xludf.DUMMYFUNCTION("""COMPUTED_VALUE"""),"bafe-io")</f>
        <v>bafe-io</v>
      </c>
      <c r="B1274" s="3" t="str">
        <f>IFERROR(__xludf.DUMMYFUNCTION("""COMPUTED_VALUE"""),"bafe")</f>
        <v>bafe</v>
      </c>
      <c r="C1274" s="4" t="str">
        <f>IFERROR(__xludf.DUMMYFUNCTION("""COMPUTED_VALUE"""),"Bafe.io")</f>
        <v>Bafe.io</v>
      </c>
    </row>
    <row r="1275">
      <c r="A1275" s="3" t="str">
        <f>IFERROR(__xludf.DUMMYFUNCTION("""COMPUTED_VALUE"""),"bafi-finance-token")</f>
        <v>bafi-finance-token</v>
      </c>
      <c r="B1275" s="3" t="str">
        <f>IFERROR(__xludf.DUMMYFUNCTION("""COMPUTED_VALUE"""),"bafi")</f>
        <v>bafi</v>
      </c>
      <c r="C1275" s="3" t="str">
        <f>IFERROR(__xludf.DUMMYFUNCTION("""COMPUTED_VALUE"""),"Bafi Finance")</f>
        <v>Bafi Finance</v>
      </c>
    </row>
    <row r="1276">
      <c r="A1276" s="3" t="str">
        <f>IFERROR(__xludf.DUMMYFUNCTION("""COMPUTED_VALUE"""),"bagel")</f>
        <v>bagel</v>
      </c>
      <c r="B1276" s="3" t="str">
        <f>IFERROR(__xludf.DUMMYFUNCTION("""COMPUTED_VALUE"""),"bagel")</f>
        <v>bagel</v>
      </c>
      <c r="C1276" s="3" t="str">
        <f>IFERROR(__xludf.DUMMYFUNCTION("""COMPUTED_VALUE"""),"Bagels Finance")</f>
        <v>Bagels Finance</v>
      </c>
    </row>
    <row r="1277">
      <c r="A1277" s="3" t="str">
        <f>IFERROR(__xludf.DUMMYFUNCTION("""COMPUTED_VALUE"""),"bagsoccer")</f>
        <v>bagsoccer</v>
      </c>
      <c r="B1277" s="3" t="str">
        <f>IFERROR(__xludf.DUMMYFUNCTION("""COMPUTED_VALUE"""),"bags")</f>
        <v>bags</v>
      </c>
      <c r="C1277" s="3" t="str">
        <f>IFERROR(__xludf.DUMMYFUNCTION("""COMPUTED_VALUE"""),"BagSoccer")</f>
        <v>BagSoccer</v>
      </c>
    </row>
    <row r="1278">
      <c r="A1278" s="3" t="str">
        <f>IFERROR(__xludf.DUMMYFUNCTION("""COMPUTED_VALUE"""),"bagus-wallet")</f>
        <v>bagus-wallet</v>
      </c>
      <c r="B1278" s="3" t="str">
        <f>IFERROR(__xludf.DUMMYFUNCTION("""COMPUTED_VALUE"""),"bg")</f>
        <v>bg</v>
      </c>
      <c r="C1278" s="3" t="str">
        <f>IFERROR(__xludf.DUMMYFUNCTION("""COMPUTED_VALUE"""),"Bagus Wallet")</f>
        <v>Bagus Wallet</v>
      </c>
    </row>
    <row r="1279">
      <c r="A1279" s="3" t="str">
        <f>IFERROR(__xludf.DUMMYFUNCTION("""COMPUTED_VALUE"""),"bahtcoin")</f>
        <v>bahtcoin</v>
      </c>
      <c r="B1279" s="3" t="str">
        <f>IFERROR(__xludf.DUMMYFUNCTION("""COMPUTED_VALUE"""),"bht")</f>
        <v>bht</v>
      </c>
      <c r="C1279" s="3" t="str">
        <f>IFERROR(__xludf.DUMMYFUNCTION("""COMPUTED_VALUE"""),"Bahtcoin")</f>
        <v>Bahtcoin</v>
      </c>
    </row>
    <row r="1280">
      <c r="A1280" s="3" t="str">
        <f>IFERROR(__xludf.DUMMYFUNCTION("""COMPUTED_VALUE"""),"bai-stablecoin")</f>
        <v>bai-stablecoin</v>
      </c>
      <c r="B1280" s="3" t="str">
        <f>IFERROR(__xludf.DUMMYFUNCTION("""COMPUTED_VALUE"""),"bai")</f>
        <v>bai</v>
      </c>
      <c r="C1280" s="3" t="str">
        <f>IFERROR(__xludf.DUMMYFUNCTION("""COMPUTED_VALUE"""),"BAI Stablecoin")</f>
        <v>BAI Stablecoin</v>
      </c>
    </row>
    <row r="1281">
      <c r="A1281" s="3" t="str">
        <f>IFERROR(__xludf.DUMMYFUNCTION("""COMPUTED_VALUE"""),"baitcoin")</f>
        <v>baitcoin</v>
      </c>
      <c r="B1281" s="3" t="str">
        <f>IFERROR(__xludf.DUMMYFUNCTION("""COMPUTED_VALUE"""),"bait")</f>
        <v>bait</v>
      </c>
      <c r="C1281" s="3" t="str">
        <f>IFERROR(__xludf.DUMMYFUNCTION("""COMPUTED_VALUE"""),"Baitcoin")</f>
        <v>Baitcoin</v>
      </c>
    </row>
    <row r="1282">
      <c r="A1282" s="3" t="str">
        <f>IFERROR(__xludf.DUMMYFUNCTION("""COMPUTED_VALUE"""),"baj")</f>
        <v>baj</v>
      </c>
      <c r="B1282" s="3" t="str">
        <f>IFERROR(__xludf.DUMMYFUNCTION("""COMPUTED_VALUE"""),"bjt")</f>
        <v>bjt</v>
      </c>
      <c r="C1282" s="3" t="str">
        <f>IFERROR(__xludf.DUMMYFUNCTION("""COMPUTED_VALUE"""),"BAJ")</f>
        <v>BAJ</v>
      </c>
    </row>
    <row r="1283">
      <c r="A1283" s="3" t="str">
        <f>IFERROR(__xludf.DUMMYFUNCTION("""COMPUTED_VALUE"""),"bajun-network")</f>
        <v>bajun-network</v>
      </c>
      <c r="B1283" s="3" t="str">
        <f>IFERROR(__xludf.DUMMYFUNCTION("""COMPUTED_VALUE"""),"baju")</f>
        <v>baju</v>
      </c>
      <c r="C1283" s="3" t="str">
        <f>IFERROR(__xludf.DUMMYFUNCTION("""COMPUTED_VALUE"""),"Bajun Network")</f>
        <v>Bajun Network</v>
      </c>
    </row>
    <row r="1284">
      <c r="A1284" s="3" t="str">
        <f>IFERROR(__xludf.DUMMYFUNCTION("""COMPUTED_VALUE"""),"bakc-vault-nftx")</f>
        <v>bakc-vault-nftx</v>
      </c>
      <c r="B1284" s="3" t="str">
        <f>IFERROR(__xludf.DUMMYFUNCTION("""COMPUTED_VALUE"""),"bakc")</f>
        <v>bakc</v>
      </c>
      <c r="C1284" s="3" t="str">
        <f>IFERROR(__xludf.DUMMYFUNCTION("""COMPUTED_VALUE"""),"BAKC Vault (NFTX)")</f>
        <v>BAKC Vault (NFTX)</v>
      </c>
    </row>
    <row r="1285">
      <c r="A1285" s="3" t="str">
        <f>IFERROR(__xludf.DUMMYFUNCTION("""COMPUTED_VALUE"""),"bake-coin")</f>
        <v>bake-coin</v>
      </c>
      <c r="B1285" s="3" t="str">
        <f>IFERROR(__xludf.DUMMYFUNCTION("""COMPUTED_VALUE"""),"bakecoin")</f>
        <v>bakecoin</v>
      </c>
      <c r="C1285" s="3" t="str">
        <f>IFERROR(__xludf.DUMMYFUNCTION("""COMPUTED_VALUE"""),"Bake Coin")</f>
        <v>Bake Coin</v>
      </c>
    </row>
    <row r="1286">
      <c r="A1286" s="3" t="str">
        <f>IFERROR(__xludf.DUMMYFUNCTION("""COMPUTED_VALUE"""),"baked-token")</f>
        <v>baked-token</v>
      </c>
      <c r="B1286" s="3" t="str">
        <f>IFERROR(__xludf.DUMMYFUNCTION("""COMPUTED_VALUE"""),"baked")</f>
        <v>baked</v>
      </c>
      <c r="C1286" s="3" t="str">
        <f>IFERROR(__xludf.DUMMYFUNCTION("""COMPUTED_VALUE"""),"Baked")</f>
        <v>Baked</v>
      </c>
    </row>
    <row r="1287">
      <c r="A1287" s="3" t="str">
        <f>IFERROR(__xludf.DUMMYFUNCTION("""COMPUTED_VALUE"""),"bakerytoken")</f>
        <v>bakerytoken</v>
      </c>
      <c r="B1287" s="3" t="str">
        <f>IFERROR(__xludf.DUMMYFUNCTION("""COMPUTED_VALUE"""),"bake")</f>
        <v>bake</v>
      </c>
      <c r="C1287" s="3" t="str">
        <f>IFERROR(__xludf.DUMMYFUNCTION("""COMPUTED_VALUE"""),"BakerySwap")</f>
        <v>BakerySwap</v>
      </c>
    </row>
    <row r="1288">
      <c r="A1288" s="3" t="str">
        <f>IFERROR(__xludf.DUMMYFUNCTION("""COMPUTED_VALUE"""),"bakerytools")</f>
        <v>bakerytools</v>
      </c>
      <c r="B1288" s="3" t="str">
        <f>IFERROR(__xludf.DUMMYFUNCTION("""COMPUTED_VALUE"""),"tbake")</f>
        <v>tbake</v>
      </c>
      <c r="C1288" s="3" t="str">
        <f>IFERROR(__xludf.DUMMYFUNCTION("""COMPUTED_VALUE"""),"BakeryTools")</f>
        <v>BakeryTools</v>
      </c>
    </row>
    <row r="1289">
      <c r="A1289" s="3" t="str">
        <f>IFERROR(__xludf.DUMMYFUNCTION("""COMPUTED_VALUE"""),"baklava")</f>
        <v>baklava</v>
      </c>
      <c r="B1289" s="3" t="str">
        <f>IFERROR(__xludf.DUMMYFUNCTION("""COMPUTED_VALUE"""),"bava")</f>
        <v>bava</v>
      </c>
      <c r="C1289" s="3" t="str">
        <f>IFERROR(__xludf.DUMMYFUNCTION("""COMPUTED_VALUE"""),"Baklava")</f>
        <v>Baklava</v>
      </c>
    </row>
    <row r="1290">
      <c r="A1290" s="3" t="str">
        <f>IFERROR(__xludf.DUMMYFUNCTION("""COMPUTED_VALUE"""),"balanced-dollars")</f>
        <v>balanced-dollars</v>
      </c>
      <c r="B1290" s="3" t="str">
        <f>IFERROR(__xludf.DUMMYFUNCTION("""COMPUTED_VALUE"""),"bnusd")</f>
        <v>bnusd</v>
      </c>
      <c r="C1290" s="3" t="str">
        <f>IFERROR(__xludf.DUMMYFUNCTION("""COMPUTED_VALUE"""),"Balanced Dollars")</f>
        <v>Balanced Dollars</v>
      </c>
    </row>
    <row r="1291">
      <c r="A1291" s="3" t="str">
        <f>IFERROR(__xludf.DUMMYFUNCTION("""COMPUTED_VALUE"""),"balance-network")</f>
        <v>balance-network</v>
      </c>
      <c r="B1291" s="3" t="str">
        <f>IFERROR(__xludf.DUMMYFUNCTION("""COMPUTED_VALUE"""),"bln")</f>
        <v>bln</v>
      </c>
      <c r="C1291" s="3" t="str">
        <f>IFERROR(__xludf.DUMMYFUNCTION("""COMPUTED_VALUE"""),"Balance Network")</f>
        <v>Balance Network</v>
      </c>
    </row>
    <row r="1292">
      <c r="A1292" s="3" t="str">
        <f>IFERROR(__xludf.DUMMYFUNCTION("""COMPUTED_VALUE"""),"balancer")</f>
        <v>balancer</v>
      </c>
      <c r="B1292" s="3" t="str">
        <f>IFERROR(__xludf.DUMMYFUNCTION("""COMPUTED_VALUE"""),"bal")</f>
        <v>bal</v>
      </c>
      <c r="C1292" s="3" t="str">
        <f>IFERROR(__xludf.DUMMYFUNCTION("""COMPUTED_VALUE"""),"Balancer")</f>
        <v>Balancer</v>
      </c>
    </row>
    <row r="1293">
      <c r="A1293" s="3" t="str">
        <f>IFERROR(__xludf.DUMMYFUNCTION("""COMPUTED_VALUE"""),"balancer-80-bal-20-weth")</f>
        <v>balancer-80-bal-20-weth</v>
      </c>
      <c r="B1293" s="3" t="str">
        <f>IFERROR(__xludf.DUMMYFUNCTION("""COMPUTED_VALUE"""),"b-80bal-20weth")</f>
        <v>b-80bal-20weth</v>
      </c>
      <c r="C1293" s="3" t="str">
        <f>IFERROR(__xludf.DUMMYFUNCTION("""COMPUTED_VALUE"""),"Balancer 80 BAL 20 WETH")</f>
        <v>Balancer 80 BAL 20 WETH</v>
      </c>
    </row>
    <row r="1294">
      <c r="A1294" s="3" t="str">
        <f>IFERROR(__xludf.DUMMYFUNCTION("""COMPUTED_VALUE"""),"balancer-boosted-aave-dai")</f>
        <v>balancer-boosted-aave-dai</v>
      </c>
      <c r="B1294" s="3" t="str">
        <f>IFERROR(__xludf.DUMMYFUNCTION("""COMPUTED_VALUE"""),"bb-a-dai")</f>
        <v>bb-a-dai</v>
      </c>
      <c r="C1294" s="3" t="str">
        <f>IFERROR(__xludf.DUMMYFUNCTION("""COMPUTED_VALUE"""),"Balancer Boosted Aave DAI")</f>
        <v>Balancer Boosted Aave DAI</v>
      </c>
    </row>
    <row r="1295">
      <c r="A1295" s="3" t="str">
        <f>IFERROR(__xludf.DUMMYFUNCTION("""COMPUTED_VALUE"""),"balancer-boosted-aave-usdc")</f>
        <v>balancer-boosted-aave-usdc</v>
      </c>
      <c r="B1295" s="3" t="str">
        <f>IFERROR(__xludf.DUMMYFUNCTION("""COMPUTED_VALUE"""),"bb-a-usdc")</f>
        <v>bb-a-usdc</v>
      </c>
      <c r="C1295" s="3" t="str">
        <f>IFERROR(__xludf.DUMMYFUNCTION("""COMPUTED_VALUE"""),"Balancer Boosted Aave USDC")</f>
        <v>Balancer Boosted Aave USDC</v>
      </c>
    </row>
    <row r="1296">
      <c r="A1296" s="3" t="str">
        <f>IFERROR(__xludf.DUMMYFUNCTION("""COMPUTED_VALUE"""),"balancer-boosted-aave-usdt")</f>
        <v>balancer-boosted-aave-usdt</v>
      </c>
      <c r="B1296" s="3" t="str">
        <f>IFERROR(__xludf.DUMMYFUNCTION("""COMPUTED_VALUE"""),"bb-a-usdt")</f>
        <v>bb-a-usdt</v>
      </c>
      <c r="C1296" s="3" t="str">
        <f>IFERROR(__xludf.DUMMYFUNCTION("""COMPUTED_VALUE"""),"Balancer Boosted Aave USDT")</f>
        <v>Balancer Boosted Aave USDT</v>
      </c>
    </row>
    <row r="1297">
      <c r="A1297" s="3" t="str">
        <f>IFERROR(__xludf.DUMMYFUNCTION("""COMPUTED_VALUE"""),"balancer-booster-aave-usd")</f>
        <v>balancer-booster-aave-usd</v>
      </c>
      <c r="B1297" s="3" t="str">
        <f>IFERROR(__xludf.DUMMYFUNCTION("""COMPUTED_VALUE"""),"bb-a-usd")</f>
        <v>bb-a-usd</v>
      </c>
      <c r="C1297" s="3" t="str">
        <f>IFERROR(__xludf.DUMMYFUNCTION("""COMPUTED_VALUE"""),"Balancer Boosted Aave USD")</f>
        <v>Balancer Boosted Aave USD</v>
      </c>
    </row>
    <row r="1298">
      <c r="A1298" s="3" t="str">
        <f>IFERROR(__xludf.DUMMYFUNCTION("""COMPUTED_VALUE"""),"balance-tokens")</f>
        <v>balance-tokens</v>
      </c>
      <c r="B1298" s="3" t="str">
        <f>IFERROR(__xludf.DUMMYFUNCTION("""COMPUTED_VALUE"""),"baln")</f>
        <v>baln</v>
      </c>
      <c r="C1298" s="3" t="str">
        <f>IFERROR(__xludf.DUMMYFUNCTION("""COMPUTED_VALUE"""),"Balanced Network")</f>
        <v>Balanced Network</v>
      </c>
    </row>
    <row r="1299">
      <c r="A1299" s="3" t="str">
        <f>IFERROR(__xludf.DUMMYFUNCTION("""COMPUTED_VALUE"""),"balicoin")</f>
        <v>balicoin</v>
      </c>
      <c r="B1299" s="3" t="str">
        <f>IFERROR(__xludf.DUMMYFUNCTION("""COMPUTED_VALUE"""),"bali")</f>
        <v>bali</v>
      </c>
      <c r="C1299" s="3" t="str">
        <f>IFERROR(__xludf.DUMMYFUNCTION("""COMPUTED_VALUE"""),"Bali Coin")</f>
        <v>Bali Coin</v>
      </c>
    </row>
    <row r="1300">
      <c r="A1300" s="3" t="str">
        <f>IFERROR(__xludf.DUMMYFUNCTION("""COMPUTED_VALUE"""),"balikesirspor-token")</f>
        <v>balikesirspor-token</v>
      </c>
      <c r="B1300" s="3" t="str">
        <f>IFERROR(__xludf.DUMMYFUNCTION("""COMPUTED_VALUE"""),"blks")</f>
        <v>blks</v>
      </c>
      <c r="C1300" s="3" t="str">
        <f>IFERROR(__xludf.DUMMYFUNCTION("""COMPUTED_VALUE"""),"Balıkesirspor Token")</f>
        <v>Balıkesirspor Token</v>
      </c>
    </row>
    <row r="1301">
      <c r="A1301" s="3" t="str">
        <f>IFERROR(__xludf.DUMMYFUNCTION("""COMPUTED_VALUE"""),"balisari")</f>
        <v>balisari</v>
      </c>
      <c r="B1301" s="3" t="str">
        <f>IFERROR(__xludf.DUMMYFUNCTION("""COMPUTED_VALUE"""),"bst")</f>
        <v>bst</v>
      </c>
      <c r="C1301" s="3" t="str">
        <f>IFERROR(__xludf.DUMMYFUNCTION("""COMPUTED_VALUE"""),"Balisari")</f>
        <v>Balisari</v>
      </c>
    </row>
    <row r="1302">
      <c r="A1302" s="3" t="str">
        <f>IFERROR(__xludf.DUMMYFUNCTION("""COMPUTED_VALUE"""),"bali-social-integrated")</f>
        <v>bali-social-integrated</v>
      </c>
      <c r="B1302" s="3" t="str">
        <f>IFERROR(__xludf.DUMMYFUNCTION("""COMPUTED_VALUE"""),"bsi")</f>
        <v>bsi</v>
      </c>
      <c r="C1302" s="3" t="str">
        <f>IFERROR(__xludf.DUMMYFUNCTION("""COMPUTED_VALUE"""),"Bali Social Integrated")</f>
        <v>Bali Social Integrated</v>
      </c>
    </row>
    <row r="1303">
      <c r="A1303" s="3" t="str">
        <f>IFERROR(__xludf.DUMMYFUNCTION("""COMPUTED_VALUE"""),"bali-token")</f>
        <v>bali-token</v>
      </c>
      <c r="B1303" s="3" t="str">
        <f>IFERROR(__xludf.DUMMYFUNCTION("""COMPUTED_VALUE"""),"bli")</f>
        <v>bli</v>
      </c>
      <c r="C1303" s="3" t="str">
        <f>IFERROR(__xludf.DUMMYFUNCTION("""COMPUTED_VALUE"""),"Bali Token")</f>
        <v>Bali Token</v>
      </c>
    </row>
    <row r="1304">
      <c r="A1304" s="3" t="str">
        <f>IFERROR(__xludf.DUMMYFUNCTION("""COMPUTED_VALUE"""),"balkari-token")</f>
        <v>balkari-token</v>
      </c>
      <c r="B1304" s="3" t="str">
        <f>IFERROR(__xludf.DUMMYFUNCTION("""COMPUTED_VALUE"""),"bkr")</f>
        <v>bkr</v>
      </c>
      <c r="C1304" s="3" t="str">
        <f>IFERROR(__xludf.DUMMYFUNCTION("""COMPUTED_VALUE"""),"Balkari")</f>
        <v>Balkari</v>
      </c>
    </row>
    <row r="1305">
      <c r="A1305" s="3" t="str">
        <f>IFERROR(__xludf.DUMMYFUNCTION("""COMPUTED_VALUE"""),"ball-coin")</f>
        <v>ball-coin</v>
      </c>
      <c r="B1305" s="3" t="str">
        <f>IFERROR(__xludf.DUMMYFUNCTION("""COMPUTED_VALUE"""),"ball")</f>
        <v>ball</v>
      </c>
      <c r="C1305" s="3" t="str">
        <f>IFERROR(__xludf.DUMMYFUNCTION("""COMPUTED_VALUE"""),"BALL Coin")</f>
        <v>BALL Coin</v>
      </c>
    </row>
    <row r="1306">
      <c r="A1306" s="3" t="str">
        <f>IFERROR(__xludf.DUMMYFUNCTION("""COMPUTED_VALUE"""),"balloonsville-air")</f>
        <v>balloonsville-air</v>
      </c>
      <c r="B1306" s="3" t="str">
        <f>IFERROR(__xludf.DUMMYFUNCTION("""COMPUTED_VALUE"""),"air")</f>
        <v>air</v>
      </c>
      <c r="C1306" s="3" t="str">
        <f>IFERROR(__xludf.DUMMYFUNCTION("""COMPUTED_VALUE"""),"Balloonsville AIR")</f>
        <v>Balloonsville AIR</v>
      </c>
    </row>
    <row r="1307">
      <c r="A1307" s="3" t="str">
        <f>IFERROR(__xludf.DUMMYFUNCTION("""COMPUTED_VALUE"""),"ballswap")</f>
        <v>ballswap</v>
      </c>
      <c r="B1307" s="3" t="str">
        <f>IFERROR(__xludf.DUMMYFUNCTION("""COMPUTED_VALUE"""),"bsp")</f>
        <v>bsp</v>
      </c>
      <c r="C1307" s="3" t="str">
        <f>IFERROR(__xludf.DUMMYFUNCTION("""COMPUTED_VALUE"""),"BallSwap")</f>
        <v>BallSwap</v>
      </c>
    </row>
    <row r="1308">
      <c r="A1308" s="3" t="str">
        <f>IFERROR(__xludf.DUMMYFUNCTION("""COMPUTED_VALUE"""),"ball-token")</f>
        <v>ball-token</v>
      </c>
      <c r="B1308" s="3" t="str">
        <f>IFERROR(__xludf.DUMMYFUNCTION("""COMPUTED_VALUE"""),"ball")</f>
        <v>ball</v>
      </c>
      <c r="C1308" s="3" t="str">
        <f>IFERROR(__xludf.DUMMYFUNCTION("""COMPUTED_VALUE"""),"Ball")</f>
        <v>Ball</v>
      </c>
    </row>
    <row r="1309">
      <c r="A1309" s="3" t="str">
        <f>IFERROR(__xludf.DUMMYFUNCTION("""COMPUTED_VALUE"""),"balpha")</f>
        <v>balpha</v>
      </c>
      <c r="B1309" s="3" t="str">
        <f>IFERROR(__xludf.DUMMYFUNCTION("""COMPUTED_VALUE"""),"balpha")</f>
        <v>balpha</v>
      </c>
      <c r="C1309" s="3" t="str">
        <f>IFERROR(__xludf.DUMMYFUNCTION("""COMPUTED_VALUE"""),"bAlpha")</f>
        <v>bAlpha</v>
      </c>
    </row>
    <row r="1310">
      <c r="A1310" s="3" t="str">
        <f>IFERROR(__xludf.DUMMYFUNCTION("""COMPUTED_VALUE"""),"bamboo")</f>
        <v>bamboo</v>
      </c>
      <c r="B1310" s="3" t="str">
        <f>IFERROR(__xludf.DUMMYFUNCTION("""COMPUTED_VALUE"""),"bam")</f>
        <v>bam</v>
      </c>
      <c r="C1310" s="3" t="str">
        <f>IFERROR(__xludf.DUMMYFUNCTION("""COMPUTED_VALUE"""),"BAMBOO")</f>
        <v>BAMBOO</v>
      </c>
    </row>
    <row r="1311">
      <c r="A1311" s="3" t="str">
        <f>IFERROR(__xludf.DUMMYFUNCTION("""COMPUTED_VALUE"""),"bamboo-coin")</f>
        <v>bamboo-coin</v>
      </c>
      <c r="B1311" s="3" t="str">
        <f>IFERROR(__xludf.DUMMYFUNCTION("""COMPUTED_VALUE"""),"bmbo")</f>
        <v>bmbo</v>
      </c>
      <c r="C1311" s="3" t="str">
        <f>IFERROR(__xludf.DUMMYFUNCTION("""COMPUTED_VALUE"""),"Bamboo Coin")</f>
        <v>Bamboo Coin</v>
      </c>
    </row>
    <row r="1312">
      <c r="A1312" s="3" t="str">
        <f>IFERROR(__xludf.DUMMYFUNCTION("""COMPUTED_VALUE"""),"bamboo-defi")</f>
        <v>bamboo-defi</v>
      </c>
      <c r="B1312" s="3" t="str">
        <f>IFERROR(__xludf.DUMMYFUNCTION("""COMPUTED_VALUE"""),"bamboo")</f>
        <v>bamboo</v>
      </c>
      <c r="C1312" s="3" t="str">
        <f>IFERROR(__xludf.DUMMYFUNCTION("""COMPUTED_VALUE"""),"BambooDeFi")</f>
        <v>BambooDeFi</v>
      </c>
    </row>
    <row r="1313">
      <c r="A1313" s="3" t="str">
        <f>IFERROR(__xludf.DUMMYFUNCTION("""COMPUTED_VALUE"""),"bamboonium")</f>
        <v>bamboonium</v>
      </c>
      <c r="B1313" s="3" t="str">
        <f>IFERROR(__xludf.DUMMYFUNCTION("""COMPUTED_VALUE"""),"bamb")</f>
        <v>bamb</v>
      </c>
      <c r="C1313" s="3" t="str">
        <f>IFERROR(__xludf.DUMMYFUNCTION("""COMPUTED_VALUE"""),"Bamboonium")</f>
        <v>Bamboonium</v>
      </c>
    </row>
    <row r="1314">
      <c r="A1314" s="3" t="str">
        <f>IFERROR(__xludf.DUMMYFUNCTION("""COMPUTED_VALUE"""),"bami")</f>
        <v>bami</v>
      </c>
      <c r="B1314" s="3" t="str">
        <f>IFERROR(__xludf.DUMMYFUNCTION("""COMPUTED_VALUE"""),"bami")</f>
        <v>bami</v>
      </c>
      <c r="C1314" s="3" t="str">
        <f>IFERROR(__xludf.DUMMYFUNCTION("""COMPUTED_VALUE"""),"Bami")</f>
        <v>Bami</v>
      </c>
    </row>
    <row r="1315">
      <c r="A1315" s="3" t="str">
        <f>IFERROR(__xludf.DUMMYFUNCTION("""COMPUTED_VALUE"""),"banana")</f>
        <v>banana</v>
      </c>
      <c r="B1315" s="3" t="str">
        <f>IFERROR(__xludf.DUMMYFUNCTION("""COMPUTED_VALUE"""),"banana")</f>
        <v>banana</v>
      </c>
      <c r="C1315" s="3" t="str">
        <f>IFERROR(__xludf.DUMMYFUNCTION("""COMPUTED_VALUE"""),"Banana")</f>
        <v>Banana</v>
      </c>
    </row>
    <row r="1316">
      <c r="A1316" s="3" t="str">
        <f>IFERROR(__xludf.DUMMYFUNCTION("""COMPUTED_VALUE"""),"banana-bucks")</f>
        <v>banana-bucks</v>
      </c>
      <c r="B1316" s="3" t="str">
        <f>IFERROR(__xludf.DUMMYFUNCTION("""COMPUTED_VALUE"""),"bab")</f>
        <v>bab</v>
      </c>
      <c r="C1316" s="3" t="str">
        <f>IFERROR(__xludf.DUMMYFUNCTION("""COMPUTED_VALUE"""),"Banana Bucks")</f>
        <v>Banana Bucks</v>
      </c>
    </row>
    <row r="1317">
      <c r="A1317" s="3" t="str">
        <f>IFERROR(__xludf.DUMMYFUNCTION("""COMPUTED_VALUE"""),"bananaclubtoken")</f>
        <v>bananaclubtoken</v>
      </c>
      <c r="B1317" s="3" t="str">
        <f>IFERROR(__xludf.DUMMYFUNCTION("""COMPUTED_VALUE"""),"bct")</f>
        <v>bct</v>
      </c>
      <c r="C1317" s="3" t="str">
        <f>IFERROR(__xludf.DUMMYFUNCTION("""COMPUTED_VALUE"""),"BananaClubToken")</f>
        <v>BananaClubToken</v>
      </c>
    </row>
    <row r="1318">
      <c r="A1318" s="3" t="str">
        <f>IFERROR(__xludf.DUMMYFUNCTION("""COMPUTED_VALUE"""),"banana-finance")</f>
        <v>banana-finance</v>
      </c>
      <c r="B1318" s="3" t="str">
        <f>IFERROR(__xludf.DUMMYFUNCTION("""COMPUTED_VALUE"""),"banana")</f>
        <v>banana</v>
      </c>
      <c r="C1318" s="3" t="str">
        <f>IFERROR(__xludf.DUMMYFUNCTION("""COMPUTED_VALUE"""),"Banana Finance")</f>
        <v>Banana Finance</v>
      </c>
    </row>
    <row r="1319">
      <c r="A1319" s="3" t="str">
        <f>IFERROR(__xludf.DUMMYFUNCTION("""COMPUTED_VALUE"""),"banana-index")</f>
        <v>banana-index</v>
      </c>
      <c r="B1319" s="3" t="str">
        <f>IFERROR(__xludf.DUMMYFUNCTION("""COMPUTED_VALUE"""),"bandex")</f>
        <v>bandex</v>
      </c>
      <c r="C1319" s="3" t="str">
        <f>IFERROR(__xludf.DUMMYFUNCTION("""COMPUTED_VALUE"""),"Banana Index")</f>
        <v>Banana Index</v>
      </c>
    </row>
    <row r="1320">
      <c r="A1320" s="3" t="str">
        <f>IFERROR(__xludf.DUMMYFUNCTION("""COMPUTED_VALUE"""),"banana-task-force-ape")</f>
        <v>banana-task-force-ape</v>
      </c>
      <c r="B1320" s="3" t="str">
        <f>IFERROR(__xludf.DUMMYFUNCTION("""COMPUTED_VALUE"""),"btfa")</f>
        <v>btfa</v>
      </c>
      <c r="C1320" s="3" t="str">
        <f>IFERROR(__xludf.DUMMYFUNCTION("""COMPUTED_VALUE"""),"Banana Task Force Ape")</f>
        <v>Banana Task Force Ape</v>
      </c>
    </row>
    <row r="1321">
      <c r="A1321" s="3" t="str">
        <f>IFERROR(__xludf.DUMMYFUNCTION("""COMPUTED_VALUE"""),"bananatok")</f>
        <v>bananatok</v>
      </c>
      <c r="B1321" s="3" t="str">
        <f>IFERROR(__xludf.DUMMYFUNCTION("""COMPUTED_VALUE"""),"bna")</f>
        <v>bna</v>
      </c>
      <c r="C1321" s="3" t="str">
        <f>IFERROR(__xludf.DUMMYFUNCTION("""COMPUTED_VALUE"""),"BananaTok")</f>
        <v>BananaTok</v>
      </c>
    </row>
    <row r="1322">
      <c r="A1322" s="3" t="str">
        <f>IFERROR(__xludf.DUMMYFUNCTION("""COMPUTED_VALUE"""),"banana-token")</f>
        <v>banana-token</v>
      </c>
      <c r="B1322" s="3" t="str">
        <f>IFERROR(__xludf.DUMMYFUNCTION("""COMPUTED_VALUE"""),"bnana")</f>
        <v>bnana</v>
      </c>
      <c r="C1322" s="3" t="str">
        <f>IFERROR(__xludf.DUMMYFUNCTION("""COMPUTED_VALUE"""),"Chimpion")</f>
        <v>Chimpion</v>
      </c>
    </row>
    <row r="1323">
      <c r="A1323" s="3" t="str">
        <f>IFERROR(__xludf.DUMMYFUNCTION("""COMPUTED_VALUE"""),"banano")</f>
        <v>banano</v>
      </c>
      <c r="B1323" s="3" t="str">
        <f>IFERROR(__xludf.DUMMYFUNCTION("""COMPUTED_VALUE"""),"ban")</f>
        <v>ban</v>
      </c>
      <c r="C1323" s="3" t="str">
        <f>IFERROR(__xludf.DUMMYFUNCTION("""COMPUTED_VALUE"""),"Banano")</f>
        <v>Banano</v>
      </c>
    </row>
    <row r="1324">
      <c r="A1324" s="3" t="str">
        <f>IFERROR(__xludf.DUMMYFUNCTION("""COMPUTED_VALUE"""),"banca")</f>
        <v>banca</v>
      </c>
      <c r="B1324" s="3" t="str">
        <f>IFERROR(__xludf.DUMMYFUNCTION("""COMPUTED_VALUE"""),"banca")</f>
        <v>banca</v>
      </c>
      <c r="C1324" s="3" t="str">
        <f>IFERROR(__xludf.DUMMYFUNCTION("""COMPUTED_VALUE"""),"Banca")</f>
        <v>Banca</v>
      </c>
    </row>
    <row r="1325">
      <c r="A1325" s="3" t="str">
        <f>IFERROR(__xludf.DUMMYFUNCTION("""COMPUTED_VALUE"""),"bancambios-ax")</f>
        <v>bancambios-ax</v>
      </c>
      <c r="B1325" s="3" t="str">
        <f>IFERROR(__xludf.DUMMYFUNCTION("""COMPUTED_VALUE"""),"bxs")</f>
        <v>bxs</v>
      </c>
      <c r="C1325" s="3" t="str">
        <f>IFERROR(__xludf.DUMMYFUNCTION("""COMPUTED_VALUE"""),"Bancambios AX")</f>
        <v>Bancambios AX</v>
      </c>
    </row>
    <row r="1326">
      <c r="A1326" s="3" t="str">
        <f>IFERROR(__xludf.DUMMYFUNCTION("""COMPUTED_VALUE"""),"bancor")</f>
        <v>bancor</v>
      </c>
      <c r="B1326" s="3" t="str">
        <f>IFERROR(__xludf.DUMMYFUNCTION("""COMPUTED_VALUE"""),"bnt")</f>
        <v>bnt</v>
      </c>
      <c r="C1326" s="3" t="str">
        <f>IFERROR(__xludf.DUMMYFUNCTION("""COMPUTED_VALUE"""),"Bancor Network")</f>
        <v>Bancor Network</v>
      </c>
    </row>
    <row r="1327">
      <c r="A1327" s="3" t="str">
        <f>IFERROR(__xludf.DUMMYFUNCTION("""COMPUTED_VALUE"""),"bancor-governance-token")</f>
        <v>bancor-governance-token</v>
      </c>
      <c r="B1327" s="3" t="str">
        <f>IFERROR(__xludf.DUMMYFUNCTION("""COMPUTED_VALUE"""),"vbnt")</f>
        <v>vbnt</v>
      </c>
      <c r="C1327" s="3" t="str">
        <f>IFERROR(__xludf.DUMMYFUNCTION("""COMPUTED_VALUE"""),"Bancor Governance")</f>
        <v>Bancor Governance</v>
      </c>
    </row>
    <row r="1328">
      <c r="A1328" s="3" t="str">
        <f>IFERROR(__xludf.DUMMYFUNCTION("""COMPUTED_VALUE"""),"band-protocol")</f>
        <v>band-protocol</v>
      </c>
      <c r="B1328" s="3" t="str">
        <f>IFERROR(__xludf.DUMMYFUNCTION("""COMPUTED_VALUE"""),"band")</f>
        <v>band</v>
      </c>
      <c r="C1328" s="3" t="str">
        <f>IFERROR(__xludf.DUMMYFUNCTION("""COMPUTED_VALUE"""),"Band Protocol")</f>
        <v>Band Protocol</v>
      </c>
    </row>
    <row r="1329">
      <c r="A1329" s="3" t="str">
        <f>IFERROR(__xludf.DUMMYFUNCTION("""COMPUTED_VALUE"""),"bankcoincash")</f>
        <v>bankcoincash</v>
      </c>
      <c r="B1329" s="3" t="str">
        <f>IFERROR(__xludf.DUMMYFUNCTION("""COMPUTED_VALUE"""),"bcash")</f>
        <v>bcash</v>
      </c>
      <c r="C1329" s="3" t="str">
        <f>IFERROR(__xludf.DUMMYFUNCTION("""COMPUTED_VALUE"""),"BankCoin BCash")</f>
        <v>BankCoin BCash</v>
      </c>
    </row>
    <row r="1330">
      <c r="A1330" s="3" t="str">
        <f>IFERROR(__xludf.DUMMYFUNCTION("""COMPUTED_VALUE"""),"bankera")</f>
        <v>bankera</v>
      </c>
      <c r="B1330" s="3" t="str">
        <f>IFERROR(__xludf.DUMMYFUNCTION("""COMPUTED_VALUE"""),"bnk")</f>
        <v>bnk</v>
      </c>
      <c r="C1330" s="3" t="str">
        <f>IFERROR(__xludf.DUMMYFUNCTION("""COMPUTED_VALUE"""),"Bankera")</f>
        <v>Bankera</v>
      </c>
    </row>
    <row r="1331">
      <c r="A1331" s="3" t="str">
        <f>IFERROR(__xludf.DUMMYFUNCTION("""COMPUTED_VALUE"""),"bankerdoge")</f>
        <v>bankerdoge</v>
      </c>
      <c r="B1331" s="3" t="str">
        <f>IFERROR(__xludf.DUMMYFUNCTION("""COMPUTED_VALUE"""),"banker")</f>
        <v>banker</v>
      </c>
      <c r="C1331" s="3" t="str">
        <f>IFERROR(__xludf.DUMMYFUNCTION("""COMPUTED_VALUE"""),"BankerDoge")</f>
        <v>BankerDoge</v>
      </c>
    </row>
    <row r="1332">
      <c r="A1332" s="3" t="str">
        <f>IFERROR(__xludf.DUMMYFUNCTION("""COMPUTED_VALUE"""),"bankers-dream")</f>
        <v>bankers-dream</v>
      </c>
      <c r="B1332" s="3" t="str">
        <f>IFERROR(__xludf.DUMMYFUNCTION("""COMPUTED_VALUE"""),"bank$")</f>
        <v>bank$</v>
      </c>
      <c r="C1332" s="3" t="str">
        <f>IFERROR(__xludf.DUMMYFUNCTION("""COMPUTED_VALUE"""),"Bankers Dream")</f>
        <v>Bankers Dream</v>
      </c>
    </row>
    <row r="1333">
      <c r="A1333" s="3" t="str">
        <f>IFERROR(__xludf.DUMMYFUNCTION("""COMPUTED_VALUE"""),"banketh")</f>
        <v>banketh</v>
      </c>
      <c r="B1333" s="3" t="str">
        <f>IFERROR(__xludf.DUMMYFUNCTION("""COMPUTED_VALUE"""),"banketh")</f>
        <v>banketh</v>
      </c>
      <c r="C1333" s="3" t="str">
        <f>IFERROR(__xludf.DUMMYFUNCTION("""COMPUTED_VALUE"""),"BankEth")</f>
        <v>BankEth</v>
      </c>
    </row>
    <row r="1334">
      <c r="A1334" s="3" t="str">
        <f>IFERROR(__xludf.DUMMYFUNCTION("""COMPUTED_VALUE"""),"bankless-bed-index")</f>
        <v>bankless-bed-index</v>
      </c>
      <c r="B1334" s="3" t="str">
        <f>IFERROR(__xludf.DUMMYFUNCTION("""COMPUTED_VALUE"""),"bed")</f>
        <v>bed</v>
      </c>
      <c r="C1334" s="3" t="str">
        <f>IFERROR(__xludf.DUMMYFUNCTION("""COMPUTED_VALUE"""),"Bankless BED Index")</f>
        <v>Bankless BED Index</v>
      </c>
    </row>
    <row r="1335">
      <c r="A1335" s="3" t="str">
        <f>IFERROR(__xludf.DUMMYFUNCTION("""COMPUTED_VALUE"""),"bankless-dao")</f>
        <v>bankless-dao</v>
      </c>
      <c r="B1335" s="3" t="str">
        <f>IFERROR(__xludf.DUMMYFUNCTION("""COMPUTED_VALUE"""),"bank")</f>
        <v>bank</v>
      </c>
      <c r="C1335" s="3" t="str">
        <f>IFERROR(__xludf.DUMMYFUNCTION("""COMPUTED_VALUE"""),"Bankless DAO")</f>
        <v>Bankless DAO</v>
      </c>
    </row>
    <row r="1336">
      <c r="A1336" s="3" t="str">
        <f>IFERROR(__xludf.DUMMYFUNCTION("""COMPUTED_VALUE"""),"bankless-defi-innovation-index")</f>
        <v>bankless-defi-innovation-index</v>
      </c>
      <c r="B1336" s="3" t="str">
        <f>IFERROR(__xludf.DUMMYFUNCTION("""COMPUTED_VALUE"""),"gmi")</f>
        <v>gmi</v>
      </c>
      <c r="C1336" s="3" t="str">
        <f>IFERROR(__xludf.DUMMYFUNCTION("""COMPUTED_VALUE"""),"Bankless DeFi Innovation Index")</f>
        <v>Bankless DeFi Innovation Index</v>
      </c>
    </row>
    <row r="1337">
      <c r="A1337" s="3" t="str">
        <f>IFERROR(__xludf.DUMMYFUNCTION("""COMPUTED_VALUE"""),"bankroll-extended-token")</f>
        <v>bankroll-extended-token</v>
      </c>
      <c r="B1337" s="3" t="str">
        <f>IFERROR(__xludf.DUMMYFUNCTION("""COMPUTED_VALUE"""),"bnkrx")</f>
        <v>bnkrx</v>
      </c>
      <c r="C1337" s="3" t="str">
        <f>IFERROR(__xludf.DUMMYFUNCTION("""COMPUTED_VALUE"""),"Bankroll Extended")</f>
        <v>Bankroll Extended</v>
      </c>
    </row>
    <row r="1338">
      <c r="A1338" s="3" t="str">
        <f>IFERROR(__xludf.DUMMYFUNCTION("""COMPUTED_VALUE"""),"bankroll-network")</f>
        <v>bankroll-network</v>
      </c>
      <c r="B1338" s="3" t="str">
        <f>IFERROR(__xludf.DUMMYFUNCTION("""COMPUTED_VALUE"""),"bnkr")</f>
        <v>bnkr</v>
      </c>
      <c r="C1338" s="3" t="str">
        <f>IFERROR(__xludf.DUMMYFUNCTION("""COMPUTED_VALUE"""),"Bankroll Network")</f>
        <v>Bankroll Network</v>
      </c>
    </row>
    <row r="1339">
      <c r="A1339" s="3" t="str">
        <f>IFERROR(__xludf.DUMMYFUNCTION("""COMPUTED_VALUE"""),"bankroll-vault")</f>
        <v>bankroll-vault</v>
      </c>
      <c r="B1339" s="3" t="str">
        <f>IFERROR(__xludf.DUMMYFUNCTION("""COMPUTED_VALUE"""),"vlt")</f>
        <v>vlt</v>
      </c>
      <c r="C1339" s="3" t="str">
        <f>IFERROR(__xludf.DUMMYFUNCTION("""COMPUTED_VALUE"""),"Bankroll Vault")</f>
        <v>Bankroll Vault</v>
      </c>
    </row>
    <row r="1340">
      <c r="A1340" s="3" t="str">
        <f>IFERROR(__xludf.DUMMYFUNCTION("""COMPUTED_VALUE"""),"banksocial")</f>
        <v>banksocial</v>
      </c>
      <c r="B1340" s="3" t="str">
        <f>IFERROR(__xludf.DUMMYFUNCTION("""COMPUTED_VALUE"""),"bsl")</f>
        <v>bsl</v>
      </c>
      <c r="C1340" s="3" t="str">
        <f>IFERROR(__xludf.DUMMYFUNCTION("""COMPUTED_VALUE"""),"BankSocial")</f>
        <v>BankSocial</v>
      </c>
    </row>
    <row r="1341">
      <c r="A1341" s="3" t="str">
        <f>IFERROR(__xludf.DUMMYFUNCTION("""COMPUTED_VALUE"""),"banque-universal")</f>
        <v>banque-universal</v>
      </c>
      <c r="B1341" s="3" t="str">
        <f>IFERROR(__xludf.DUMMYFUNCTION("""COMPUTED_VALUE"""),"cbu")</f>
        <v>cbu</v>
      </c>
      <c r="C1341" s="3" t="str">
        <f>IFERROR(__xludf.DUMMYFUNCTION("""COMPUTED_VALUE"""),"Banque Universal")</f>
        <v>Banque Universal</v>
      </c>
    </row>
    <row r="1342">
      <c r="A1342" s="3" t="str">
        <f>IFERROR(__xludf.DUMMYFUNCTION("""COMPUTED_VALUE"""),"bantu")</f>
        <v>bantu</v>
      </c>
      <c r="B1342" s="3" t="str">
        <f>IFERROR(__xludf.DUMMYFUNCTION("""COMPUTED_VALUE"""),"xbn")</f>
        <v>xbn</v>
      </c>
      <c r="C1342" s="3" t="str">
        <f>IFERROR(__xludf.DUMMYFUNCTION("""COMPUTED_VALUE"""),"Bantu")</f>
        <v>Bantu</v>
      </c>
    </row>
    <row r="1343">
      <c r="A1343" s="3" t="str">
        <f>IFERROR(__xludf.DUMMYFUNCTION("""COMPUTED_VALUE"""),"bao")</f>
        <v>bao</v>
      </c>
      <c r="B1343" s="3" t="str">
        <f>IFERROR(__xludf.DUMMYFUNCTION("""COMPUTED_VALUE"""),"bao")</f>
        <v>bao</v>
      </c>
      <c r="C1343" s="3" t="str">
        <f>IFERROR(__xludf.DUMMYFUNCTION("""COMPUTED_VALUE"""),"BAO")</f>
        <v>BAO</v>
      </c>
    </row>
    <row r="1344">
      <c r="A1344" s="3" t="str">
        <f>IFERROR(__xludf.DUMMYFUNCTION("""COMPUTED_VALUE"""),"bao-finance")</f>
        <v>bao-finance</v>
      </c>
      <c r="B1344" s="3" t="str">
        <f>IFERROR(__xludf.DUMMYFUNCTION("""COMPUTED_VALUE"""),"bao")</f>
        <v>bao</v>
      </c>
      <c r="C1344" s="3" t="str">
        <f>IFERROR(__xludf.DUMMYFUNCTION("""COMPUTED_VALUE"""),"Bao Finance")</f>
        <v>Bao Finance</v>
      </c>
    </row>
    <row r="1345">
      <c r="A1345" s="3" t="str">
        <f>IFERROR(__xludf.DUMMYFUNCTION("""COMPUTED_VALUE"""),"barbecueswap")</f>
        <v>barbecueswap</v>
      </c>
      <c r="B1345" s="3" t="str">
        <f>IFERROR(__xludf.DUMMYFUNCTION("""COMPUTED_VALUE"""),"bbq")</f>
        <v>bbq</v>
      </c>
      <c r="C1345" s="3" t="str">
        <f>IFERROR(__xludf.DUMMYFUNCTION("""COMPUTED_VALUE"""),"BarbecueSwap")</f>
        <v>BarbecueSwap</v>
      </c>
    </row>
    <row r="1346">
      <c r="A1346" s="3" t="str">
        <f>IFERROR(__xludf.DUMMYFUNCTION("""COMPUTED_VALUE"""),"bare")</f>
        <v>bare</v>
      </c>
      <c r="B1346" s="3" t="str">
        <f>IFERROR(__xludf.DUMMYFUNCTION("""COMPUTED_VALUE"""),"bare")</f>
        <v>bare</v>
      </c>
      <c r="C1346" s="3" t="str">
        <f>IFERROR(__xludf.DUMMYFUNCTION("""COMPUTED_VALUE"""),"BARE")</f>
        <v>BARE</v>
      </c>
    </row>
    <row r="1347">
      <c r="A1347" s="3" t="str">
        <f>IFERROR(__xludf.DUMMYFUNCTION("""COMPUTED_VALUE"""),"barfight")</f>
        <v>barfight</v>
      </c>
      <c r="B1347" s="3" t="str">
        <f>IFERROR(__xludf.DUMMYFUNCTION("""COMPUTED_VALUE"""),"bfight")</f>
        <v>bfight</v>
      </c>
      <c r="C1347" s="3" t="str">
        <f>IFERROR(__xludf.DUMMYFUNCTION("""COMPUTED_VALUE"""),"BARFIGHT")</f>
        <v>BARFIGHT</v>
      </c>
    </row>
    <row r="1348">
      <c r="A1348" s="3" t="str">
        <f>IFERROR(__xludf.DUMMYFUNCTION("""COMPUTED_VALUE"""),"barking")</f>
        <v>barking</v>
      </c>
      <c r="B1348" s="3" t="str">
        <f>IFERROR(__xludf.DUMMYFUNCTION("""COMPUTED_VALUE"""),"bark")</f>
        <v>bark</v>
      </c>
      <c r="C1348" s="3" t="str">
        <f>IFERROR(__xludf.DUMMYFUNCTION("""COMPUTED_VALUE"""),"Barking")</f>
        <v>Barking</v>
      </c>
    </row>
    <row r="1349">
      <c r="A1349" s="3" t="str">
        <f>IFERROR(__xludf.DUMMYFUNCTION("""COMPUTED_VALUE"""),"barnbridge")</f>
        <v>barnbridge</v>
      </c>
      <c r="B1349" s="3" t="str">
        <f>IFERROR(__xludf.DUMMYFUNCTION("""COMPUTED_VALUE"""),"bond")</f>
        <v>bond</v>
      </c>
      <c r="C1349" s="3" t="str">
        <f>IFERROR(__xludf.DUMMYFUNCTION("""COMPUTED_VALUE"""),"BarnBridge")</f>
        <v>BarnBridge</v>
      </c>
    </row>
    <row r="1350">
      <c r="A1350" s="3" t="str">
        <f>IFERROR(__xludf.DUMMYFUNCTION("""COMPUTED_VALUE"""),"barter")</f>
        <v>barter</v>
      </c>
      <c r="B1350" s="3" t="str">
        <f>IFERROR(__xludf.DUMMYFUNCTION("""COMPUTED_VALUE"""),"brtr")</f>
        <v>brtr</v>
      </c>
      <c r="C1350" s="3" t="str">
        <f>IFERROR(__xludf.DUMMYFUNCTION("""COMPUTED_VALUE"""),"Barter")</f>
        <v>Barter</v>
      </c>
    </row>
    <row r="1351">
      <c r="A1351" s="3" t="str">
        <f>IFERROR(__xludf.DUMMYFUNCTION("""COMPUTED_VALUE"""),"bartertrade")</f>
        <v>bartertrade</v>
      </c>
      <c r="B1351" s="3" t="str">
        <f>IFERROR(__xludf.DUMMYFUNCTION("""COMPUTED_VALUE"""),"bart")</f>
        <v>bart</v>
      </c>
      <c r="C1351" s="3" t="str">
        <f>IFERROR(__xludf.DUMMYFUNCTION("""COMPUTED_VALUE"""),"BarterTrade")</f>
        <v>BarterTrade</v>
      </c>
    </row>
    <row r="1352">
      <c r="A1352" s="3" t="str">
        <f>IFERROR(__xludf.DUMMYFUNCTION("""COMPUTED_VALUE"""),"basan")</f>
        <v>basan</v>
      </c>
      <c r="B1352" s="3" t="str">
        <f>IFERROR(__xludf.DUMMYFUNCTION("""COMPUTED_VALUE"""),"basan")</f>
        <v>basan</v>
      </c>
      <c r="C1352" s="3" t="str">
        <f>IFERROR(__xludf.DUMMYFUNCTION("""COMPUTED_VALUE"""),"Basan")</f>
        <v>Basan</v>
      </c>
    </row>
    <row r="1353">
      <c r="A1353" s="3" t="str">
        <f>IFERROR(__xludf.DUMMYFUNCTION("""COMPUTED_VALUE"""),"based-finance")</f>
        <v>based-finance</v>
      </c>
      <c r="B1353" s="3" t="str">
        <f>IFERROR(__xludf.DUMMYFUNCTION("""COMPUTED_VALUE"""),"based")</f>
        <v>based</v>
      </c>
      <c r="C1353" s="3" t="str">
        <f>IFERROR(__xludf.DUMMYFUNCTION("""COMPUTED_VALUE"""),"Based Finance")</f>
        <v>Based Finance</v>
      </c>
    </row>
    <row r="1354">
      <c r="A1354" s="3" t="str">
        <f>IFERROR(__xludf.DUMMYFUNCTION("""COMPUTED_VALUE"""),"based-money")</f>
        <v>based-money</v>
      </c>
      <c r="B1354" s="3" t="str">
        <f>IFERROR(__xludf.DUMMYFUNCTION("""COMPUTED_VALUE"""),"$based")</f>
        <v>$based</v>
      </c>
      <c r="C1354" s="3" t="str">
        <f>IFERROR(__xludf.DUMMYFUNCTION("""COMPUTED_VALUE"""),"Based Money")</f>
        <v>Based Money</v>
      </c>
    </row>
    <row r="1355">
      <c r="A1355" s="3" t="str">
        <f>IFERROR(__xludf.DUMMYFUNCTION("""COMPUTED_VALUE"""),"based-shares")</f>
        <v>based-shares</v>
      </c>
      <c r="B1355" s="3" t="str">
        <f>IFERROR(__xludf.DUMMYFUNCTION("""COMPUTED_VALUE"""),"bshare")</f>
        <v>bshare</v>
      </c>
      <c r="C1355" s="3" t="str">
        <f>IFERROR(__xludf.DUMMYFUNCTION("""COMPUTED_VALUE"""),"BASED Shares")</f>
        <v>BASED Shares</v>
      </c>
    </row>
    <row r="1356">
      <c r="A1356" s="3" t="str">
        <f>IFERROR(__xludf.DUMMYFUNCTION("""COMPUTED_VALUE"""),"based-token")</f>
        <v>based-token</v>
      </c>
      <c r="B1356" s="3" t="str">
        <f>IFERROR(__xludf.DUMMYFUNCTION("""COMPUTED_VALUE"""),"bdc")</f>
        <v>bdc</v>
      </c>
      <c r="C1356" s="3" t="str">
        <f>IFERROR(__xludf.DUMMYFUNCTION("""COMPUTED_VALUE"""),"Based")</f>
        <v>Based</v>
      </c>
    </row>
    <row r="1357">
      <c r="A1357" s="3" t="str">
        <f>IFERROR(__xludf.DUMMYFUNCTION("""COMPUTED_VALUE"""),"base-protocol")</f>
        <v>base-protocol</v>
      </c>
      <c r="B1357" s="3" t="str">
        <f>IFERROR(__xludf.DUMMYFUNCTION("""COMPUTED_VALUE"""),"base")</f>
        <v>base</v>
      </c>
      <c r="C1357" s="3" t="str">
        <f>IFERROR(__xludf.DUMMYFUNCTION("""COMPUTED_VALUE"""),"Base Protocol")</f>
        <v>Base Protocol</v>
      </c>
    </row>
    <row r="1358">
      <c r="A1358" s="3" t="str">
        <f>IFERROR(__xludf.DUMMYFUNCTION("""COMPUTED_VALUE"""),"basic")</f>
        <v>basic</v>
      </c>
      <c r="B1358" s="3" t="str">
        <f>IFERROR(__xludf.DUMMYFUNCTION("""COMPUTED_VALUE"""),"basic")</f>
        <v>basic</v>
      </c>
      <c r="C1358" s="3" t="str">
        <f>IFERROR(__xludf.DUMMYFUNCTION("""COMPUTED_VALUE"""),"BASIC")</f>
        <v>BASIC</v>
      </c>
    </row>
    <row r="1359">
      <c r="A1359" s="3" t="str">
        <f>IFERROR(__xludf.DUMMYFUNCTION("""COMPUTED_VALUE"""),"basic-attention-token")</f>
        <v>basic-attention-token</v>
      </c>
      <c r="B1359" s="3" t="str">
        <f>IFERROR(__xludf.DUMMYFUNCTION("""COMPUTED_VALUE"""),"bat")</f>
        <v>bat</v>
      </c>
      <c r="C1359" s="3" t="str">
        <f>IFERROR(__xludf.DUMMYFUNCTION("""COMPUTED_VALUE"""),"Basic Attention")</f>
        <v>Basic Attention</v>
      </c>
    </row>
    <row r="1360">
      <c r="A1360" s="3" t="str">
        <f>IFERROR(__xludf.DUMMYFUNCTION("""COMPUTED_VALUE"""),"basid-coin")</f>
        <v>basid-coin</v>
      </c>
      <c r="B1360" s="3" t="str">
        <f>IFERROR(__xludf.DUMMYFUNCTION("""COMPUTED_VALUE"""),"basid")</f>
        <v>basid</v>
      </c>
      <c r="C1360" s="3" t="str">
        <f>IFERROR(__xludf.DUMMYFUNCTION("""COMPUTED_VALUE"""),"Basid Coin")</f>
        <v>Basid Coin</v>
      </c>
    </row>
    <row r="1361">
      <c r="A1361" s="3" t="str">
        <f>IFERROR(__xludf.DUMMYFUNCTION("""COMPUTED_VALUE"""),"basilisk")</f>
        <v>basilisk</v>
      </c>
      <c r="B1361" s="3" t="str">
        <f>IFERROR(__xludf.DUMMYFUNCTION("""COMPUTED_VALUE"""),"bsx")</f>
        <v>bsx</v>
      </c>
      <c r="C1361" s="3" t="str">
        <f>IFERROR(__xludf.DUMMYFUNCTION("""COMPUTED_VALUE"""),"Basilisk")</f>
        <v>Basilisk</v>
      </c>
    </row>
    <row r="1362">
      <c r="A1362" s="3" t="str">
        <f>IFERROR(__xludf.DUMMYFUNCTION("""COMPUTED_VALUE"""),"basis-bond")</f>
        <v>basis-bond</v>
      </c>
      <c r="B1362" s="3" t="str">
        <f>IFERROR(__xludf.DUMMYFUNCTION("""COMPUTED_VALUE"""),"bab")</f>
        <v>bab</v>
      </c>
      <c r="C1362" s="3" t="str">
        <f>IFERROR(__xludf.DUMMYFUNCTION("""COMPUTED_VALUE"""),"Basis Bond")</f>
        <v>Basis Bond</v>
      </c>
    </row>
    <row r="1363">
      <c r="A1363" s="3" t="str">
        <f>IFERROR(__xludf.DUMMYFUNCTION("""COMPUTED_VALUE"""),"basis-cash")</f>
        <v>basis-cash</v>
      </c>
      <c r="B1363" s="3" t="str">
        <f>IFERROR(__xludf.DUMMYFUNCTION("""COMPUTED_VALUE"""),"bac")</f>
        <v>bac</v>
      </c>
      <c r="C1363" s="3" t="str">
        <f>IFERROR(__xludf.DUMMYFUNCTION("""COMPUTED_VALUE"""),"Basis Cash")</f>
        <v>Basis Cash</v>
      </c>
    </row>
    <row r="1364">
      <c r="A1364" s="3" t="str">
        <f>IFERROR(__xludf.DUMMYFUNCTION("""COMPUTED_VALUE"""),"basiscoin-share")</f>
        <v>basiscoin-share</v>
      </c>
      <c r="B1364" s="3" t="str">
        <f>IFERROR(__xludf.DUMMYFUNCTION("""COMPUTED_VALUE"""),"bcs")</f>
        <v>bcs</v>
      </c>
      <c r="C1364" s="3" t="str">
        <f>IFERROR(__xludf.DUMMYFUNCTION("""COMPUTED_VALUE"""),"Basis Coin Share")</f>
        <v>Basis Coin Share</v>
      </c>
    </row>
    <row r="1365">
      <c r="A1365" s="3" t="str">
        <f>IFERROR(__xludf.DUMMYFUNCTION("""COMPUTED_VALUE"""),"basis-dollar")</f>
        <v>basis-dollar</v>
      </c>
      <c r="B1365" s="3" t="str">
        <f>IFERROR(__xludf.DUMMYFUNCTION("""COMPUTED_VALUE"""),"bsd")</f>
        <v>bsd</v>
      </c>
      <c r="C1365" s="3" t="str">
        <f>IFERROR(__xludf.DUMMYFUNCTION("""COMPUTED_VALUE"""),"Basis Dollar")</f>
        <v>Basis Dollar</v>
      </c>
    </row>
    <row r="1366">
      <c r="A1366" s="3" t="str">
        <f>IFERROR(__xludf.DUMMYFUNCTION("""COMPUTED_VALUE"""),"basis-dollar-share")</f>
        <v>basis-dollar-share</v>
      </c>
      <c r="B1366" s="3" t="str">
        <f>IFERROR(__xludf.DUMMYFUNCTION("""COMPUTED_VALUE"""),"bsds")</f>
        <v>bsds</v>
      </c>
      <c r="C1366" s="3" t="str">
        <f>IFERROR(__xludf.DUMMYFUNCTION("""COMPUTED_VALUE"""),"Basis Dollar Share")</f>
        <v>Basis Dollar Share</v>
      </c>
    </row>
    <row r="1367">
      <c r="A1367" s="3" t="str">
        <f>IFERROR(__xludf.DUMMYFUNCTION("""COMPUTED_VALUE"""),"basis-gold-share-heco")</f>
        <v>basis-gold-share-heco</v>
      </c>
      <c r="B1367" s="3" t="str">
        <f>IFERROR(__xludf.DUMMYFUNCTION("""COMPUTED_VALUE"""),"bags")</f>
        <v>bags</v>
      </c>
      <c r="C1367" s="3" t="str">
        <f>IFERROR(__xludf.DUMMYFUNCTION("""COMPUTED_VALUE"""),"Basis Gold Share (Heco)")</f>
        <v>Basis Gold Share (Heco)</v>
      </c>
    </row>
    <row r="1368">
      <c r="A1368" s="3" t="str">
        <f>IFERROR(__xludf.DUMMYFUNCTION("""COMPUTED_VALUE"""),"basis-markets")</f>
        <v>basis-markets</v>
      </c>
      <c r="B1368" s="3" t="str">
        <f>IFERROR(__xludf.DUMMYFUNCTION("""COMPUTED_VALUE"""),"basis")</f>
        <v>basis</v>
      </c>
      <c r="C1368" s="3" t="str">
        <f>IFERROR(__xludf.DUMMYFUNCTION("""COMPUTED_VALUE"""),"basis.markets")</f>
        <v>basis.markets</v>
      </c>
    </row>
    <row r="1369">
      <c r="A1369" s="3" t="str">
        <f>IFERROR(__xludf.DUMMYFUNCTION("""COMPUTED_VALUE"""),"basis-share")</f>
        <v>basis-share</v>
      </c>
      <c r="B1369" s="3" t="str">
        <f>IFERROR(__xludf.DUMMYFUNCTION("""COMPUTED_VALUE"""),"bas")</f>
        <v>bas</v>
      </c>
      <c r="C1369" s="3" t="str">
        <f>IFERROR(__xludf.DUMMYFUNCTION("""COMPUTED_VALUE"""),"Basis Share")</f>
        <v>Basis Share</v>
      </c>
    </row>
    <row r="1370">
      <c r="A1370" s="3" t="str">
        <f>IFERROR(__xludf.DUMMYFUNCTION("""COMPUTED_VALUE"""),"basis-yield-eth-index")</f>
        <v>basis-yield-eth-index</v>
      </c>
      <c r="B1370" s="3" t="str">
        <f>IFERROR(__xludf.DUMMYFUNCTION("""COMPUTED_VALUE"""),"bye")</f>
        <v>bye</v>
      </c>
      <c r="C1370" s="3" t="str">
        <f>IFERROR(__xludf.DUMMYFUNCTION("""COMPUTED_VALUE"""),"Basis Yield ETH Index")</f>
        <v>Basis Yield ETH Index</v>
      </c>
    </row>
    <row r="1371">
      <c r="A1371" s="3" t="str">
        <f>IFERROR(__xludf.DUMMYFUNCTION("""COMPUTED_VALUE"""),"basketball-legends")</f>
        <v>basketball-legends</v>
      </c>
      <c r="B1371" s="3" t="str">
        <f>IFERROR(__xludf.DUMMYFUNCTION("""COMPUTED_VALUE"""),"bbl")</f>
        <v>bbl</v>
      </c>
      <c r="C1371" s="3" t="str">
        <f>IFERROR(__xludf.DUMMYFUNCTION("""COMPUTED_VALUE"""),"Basketball Legends")</f>
        <v>Basketball Legends</v>
      </c>
    </row>
    <row r="1372">
      <c r="A1372" s="3" t="str">
        <f>IFERROR(__xludf.DUMMYFUNCTION("""COMPUTED_VALUE"""),"basketcoin")</f>
        <v>basketcoin</v>
      </c>
      <c r="B1372" s="3" t="str">
        <f>IFERROR(__xludf.DUMMYFUNCTION("""COMPUTED_VALUE"""),"bskt")</f>
        <v>bskt</v>
      </c>
      <c r="C1372" s="3" t="str">
        <f>IFERROR(__xludf.DUMMYFUNCTION("""COMPUTED_VALUE"""),"BasketCoin")</f>
        <v>BasketCoin</v>
      </c>
    </row>
    <row r="1373">
      <c r="A1373" s="3" t="str">
        <f>IFERROR(__xludf.DUMMYFUNCTION("""COMPUTED_VALUE"""),"basketdao")</f>
        <v>basketdao</v>
      </c>
      <c r="B1373" s="3" t="str">
        <f>IFERROR(__xludf.DUMMYFUNCTION("""COMPUTED_VALUE"""),"bask")</f>
        <v>bask</v>
      </c>
      <c r="C1373" s="3" t="str">
        <f>IFERROR(__xludf.DUMMYFUNCTION("""COMPUTED_VALUE"""),"BasketDAO")</f>
        <v>BasketDAO</v>
      </c>
    </row>
    <row r="1374">
      <c r="A1374" s="3" t="str">
        <f>IFERROR(__xludf.DUMMYFUNCTION("""COMPUTED_VALUE"""),"basketdao-defi-index")</f>
        <v>basketdao-defi-index</v>
      </c>
      <c r="B1374" s="3" t="str">
        <f>IFERROR(__xludf.DUMMYFUNCTION("""COMPUTED_VALUE"""),"bdi")</f>
        <v>bdi</v>
      </c>
      <c r="C1374" s="3" t="str">
        <f>IFERROR(__xludf.DUMMYFUNCTION("""COMPUTED_VALUE"""),"BasketDAO DeFi Index")</f>
        <v>BasketDAO DeFi Index</v>
      </c>
    </row>
    <row r="1375">
      <c r="A1375" s="3" t="str">
        <f>IFERROR(__xludf.DUMMYFUNCTION("""COMPUTED_VALUE"""),"baskonia-fan-token")</f>
        <v>baskonia-fan-token</v>
      </c>
      <c r="B1375" s="3" t="str">
        <f>IFERROR(__xludf.DUMMYFUNCTION("""COMPUTED_VALUE"""),"bkn")</f>
        <v>bkn</v>
      </c>
      <c r="C1375" s="3" t="str">
        <f>IFERROR(__xludf.DUMMYFUNCTION("""COMPUTED_VALUE"""),"Baskonia Fan Token")</f>
        <v>Baskonia Fan Token</v>
      </c>
    </row>
    <row r="1376">
      <c r="A1376" s="3" t="str">
        <f>IFERROR(__xludf.DUMMYFUNCTION("""COMPUTED_VALUE"""),"bastion-protocol")</f>
        <v>bastion-protocol</v>
      </c>
      <c r="B1376" s="3" t="str">
        <f>IFERROR(__xludf.DUMMYFUNCTION("""COMPUTED_VALUE"""),"bstn")</f>
        <v>bstn</v>
      </c>
      <c r="C1376" s="3" t="str">
        <f>IFERROR(__xludf.DUMMYFUNCTION("""COMPUTED_VALUE"""),"Bastion Protocol")</f>
        <v>Bastion Protocol</v>
      </c>
    </row>
    <row r="1377">
      <c r="A1377" s="3" t="str">
        <f>IFERROR(__xludf.DUMMYFUNCTION("""COMPUTED_VALUE"""),"bata")</f>
        <v>bata</v>
      </c>
      <c r="B1377" s="3" t="str">
        <f>IFERROR(__xludf.DUMMYFUNCTION("""COMPUTED_VALUE"""),"bta")</f>
        <v>bta</v>
      </c>
      <c r="C1377" s="3" t="str">
        <f>IFERROR(__xludf.DUMMYFUNCTION("""COMPUTED_VALUE"""),"Bata")</f>
        <v>Bata</v>
      </c>
    </row>
    <row r="1378">
      <c r="A1378" s="3" t="str">
        <f>IFERROR(__xludf.DUMMYFUNCTION("""COMPUTED_VALUE"""),"batasm-protocol-bftm")</f>
        <v>batasm-protocol-bftm</v>
      </c>
      <c r="B1378" s="3" t="str">
        <f>IFERROR(__xludf.DUMMYFUNCTION("""COMPUTED_VALUE"""),"bftm")</f>
        <v>bftm</v>
      </c>
      <c r="C1378" s="3" t="str">
        <f>IFERROR(__xludf.DUMMYFUNCTION("""COMPUTED_VALUE"""),"Batasm Protocol BFTM")</f>
        <v>Batasm Protocol BFTM</v>
      </c>
    </row>
    <row r="1379">
      <c r="A1379" s="3" t="str">
        <f>IFERROR(__xludf.DUMMYFUNCTION("""COMPUTED_VALUE"""),"batasm-protocol-bsm")</f>
        <v>batasm-protocol-bsm</v>
      </c>
      <c r="B1379" s="3" t="str">
        <f>IFERROR(__xludf.DUMMYFUNCTION("""COMPUTED_VALUE"""),"bsm")</f>
        <v>bsm</v>
      </c>
      <c r="C1379" s="3" t="str">
        <f>IFERROR(__xludf.DUMMYFUNCTION("""COMPUTED_VALUE"""),"Batasm Protocol BSM")</f>
        <v>Batasm Protocol BSM</v>
      </c>
    </row>
    <row r="1380">
      <c r="A1380" s="3" t="str">
        <f>IFERROR(__xludf.DUMMYFUNCTION("""COMPUTED_VALUE"""),"batorrent")</f>
        <v>batorrent</v>
      </c>
      <c r="B1380" s="3" t="str">
        <f>IFERROR(__xludf.DUMMYFUNCTION("""COMPUTED_VALUE"""),"ba")</f>
        <v>ba</v>
      </c>
      <c r="C1380" s="3" t="str">
        <f>IFERROR(__xludf.DUMMYFUNCTION("""COMPUTED_VALUE"""),"BaTorrent")</f>
        <v>BaTorrent</v>
      </c>
    </row>
    <row r="1381">
      <c r="A1381" s="3" t="str">
        <f>IFERROR(__xludf.DUMMYFUNCTION("""COMPUTED_VALUE"""),"battle-esports-coin")</f>
        <v>battle-esports-coin</v>
      </c>
      <c r="B1381" s="3" t="str">
        <f>IFERROR(__xludf.DUMMYFUNCTION("""COMPUTED_VALUE"""),"bes")</f>
        <v>bes</v>
      </c>
      <c r="C1381" s="3" t="str">
        <f>IFERROR(__xludf.DUMMYFUNCTION("""COMPUTED_VALUE"""),"battle esports coin")</f>
        <v>battle esports coin</v>
      </c>
    </row>
    <row r="1382">
      <c r="A1382" s="3" t="str">
        <f>IFERROR(__xludf.DUMMYFUNCTION("""COMPUTED_VALUE"""),"battle-for-giostone")</f>
        <v>battle-for-giostone</v>
      </c>
      <c r="B1382" s="3" t="str">
        <f>IFERROR(__xludf.DUMMYFUNCTION("""COMPUTED_VALUE"""),"bfg")</f>
        <v>bfg</v>
      </c>
      <c r="C1382" s="3" t="str">
        <f>IFERROR(__xludf.DUMMYFUNCTION("""COMPUTED_VALUE"""),"Battle For Giostone")</f>
        <v>Battle For Giostone</v>
      </c>
    </row>
    <row r="1383">
      <c r="A1383" s="3" t="str">
        <f>IFERROR(__xludf.DUMMYFUNCTION("""COMPUTED_VALUE"""),"battle-hero")</f>
        <v>battle-hero</v>
      </c>
      <c r="B1383" s="3" t="str">
        <f>IFERROR(__xludf.DUMMYFUNCTION("""COMPUTED_VALUE"""),"bath")</f>
        <v>bath</v>
      </c>
      <c r="C1383" s="3" t="str">
        <f>IFERROR(__xludf.DUMMYFUNCTION("""COMPUTED_VALUE"""),"Battle Hero")</f>
        <v>Battle Hero</v>
      </c>
    </row>
    <row r="1384">
      <c r="A1384" s="3" t="str">
        <f>IFERROR(__xludf.DUMMYFUNCTION("""COMPUTED_VALUE"""),"battle-infinity")</f>
        <v>battle-infinity</v>
      </c>
      <c r="B1384" s="3" t="str">
        <f>IFERROR(__xludf.DUMMYFUNCTION("""COMPUTED_VALUE"""),"ibat")</f>
        <v>ibat</v>
      </c>
      <c r="C1384" s="3" t="str">
        <f>IFERROR(__xludf.DUMMYFUNCTION("""COMPUTED_VALUE"""),"Battle Infinity")</f>
        <v>Battle Infinity</v>
      </c>
    </row>
    <row r="1385">
      <c r="A1385" s="3" t="str">
        <f>IFERROR(__xludf.DUMMYFUNCTION("""COMPUTED_VALUE"""),"battlemechs")</f>
        <v>battlemechs</v>
      </c>
      <c r="B1385" s="3" t="str">
        <f>IFERROR(__xludf.DUMMYFUNCTION("""COMPUTED_VALUE"""),"gemz")</f>
        <v>gemz</v>
      </c>
      <c r="C1385" s="3" t="str">
        <f>IFERROR(__xludf.DUMMYFUNCTION("""COMPUTED_VALUE"""),"BattleMechs")</f>
        <v>BattleMechs</v>
      </c>
    </row>
    <row r="1386">
      <c r="A1386" s="3" t="str">
        <f>IFERROR(__xludf.DUMMYFUNCTION("""COMPUTED_VALUE"""),"battle-of-guardians-share")</f>
        <v>battle-of-guardians-share</v>
      </c>
      <c r="B1386" s="3" t="str">
        <f>IFERROR(__xludf.DUMMYFUNCTION("""COMPUTED_VALUE"""),"bgs")</f>
        <v>bgs</v>
      </c>
      <c r="C1386" s="3" t="str">
        <f>IFERROR(__xludf.DUMMYFUNCTION("""COMPUTED_VALUE"""),"Battle of Guardians Share")</f>
        <v>Battle of Guardians Share</v>
      </c>
    </row>
    <row r="1387">
      <c r="A1387" s="3" t="str">
        <f>IFERROR(__xludf.DUMMYFUNCTION("""COMPUTED_VALUE"""),"battle-pets")</f>
        <v>battle-pets</v>
      </c>
      <c r="B1387" s="3" t="str">
        <f>IFERROR(__xludf.DUMMYFUNCTION("""COMPUTED_VALUE"""),"pet")</f>
        <v>pet</v>
      </c>
      <c r="C1387" s="3" t="str">
        <f>IFERROR(__xludf.DUMMYFUNCTION("""COMPUTED_VALUE"""),"Battle Pets")</f>
        <v>Battle Pets</v>
      </c>
    </row>
    <row r="1388">
      <c r="A1388" s="3" t="str">
        <f>IFERROR(__xludf.DUMMYFUNCTION("""COMPUTED_VALUE"""),"battle-saga")</f>
        <v>battle-saga</v>
      </c>
      <c r="B1388" s="3" t="str">
        <f>IFERROR(__xludf.DUMMYFUNCTION("""COMPUTED_VALUE"""),"btl")</f>
        <v>btl</v>
      </c>
      <c r="C1388" s="3" t="str">
        <f>IFERROR(__xludf.DUMMYFUNCTION("""COMPUTED_VALUE"""),"Battle Saga")</f>
        <v>Battle Saga</v>
      </c>
    </row>
    <row r="1389">
      <c r="A1389" s="3" t="str">
        <f>IFERROR(__xludf.DUMMYFUNCTION("""COMPUTED_VALUE"""),"battleverse")</f>
        <v>battleverse</v>
      </c>
      <c r="B1389" s="3" t="str">
        <f>IFERROR(__xludf.DUMMYFUNCTION("""COMPUTED_VALUE"""),"bvc")</f>
        <v>bvc</v>
      </c>
      <c r="C1389" s="3" t="str">
        <f>IFERROR(__xludf.DUMMYFUNCTION("""COMPUTED_VALUE"""),"BattleVerse")</f>
        <v>BattleVerse</v>
      </c>
    </row>
    <row r="1390">
      <c r="A1390" s="3" t="str">
        <f>IFERROR(__xludf.DUMMYFUNCTION("""COMPUTED_VALUE"""),"battle-world")</f>
        <v>battle-world</v>
      </c>
      <c r="B1390" s="3" t="str">
        <f>IFERROR(__xludf.DUMMYFUNCTION("""COMPUTED_VALUE"""),"bwo")</f>
        <v>bwo</v>
      </c>
      <c r="C1390" s="3" t="str">
        <f>IFERROR(__xludf.DUMMYFUNCTION("""COMPUTED_VALUE"""),"Battle World")</f>
        <v>Battle World</v>
      </c>
    </row>
    <row r="1391">
      <c r="A1391" s="3" t="str">
        <f>IFERROR(__xludf.DUMMYFUNCTION("""COMPUTED_VALUE"""),"bayc-vault-nftx")</f>
        <v>bayc-vault-nftx</v>
      </c>
      <c r="B1391" s="3" t="str">
        <f>IFERROR(__xludf.DUMMYFUNCTION("""COMPUTED_VALUE"""),"bayc")</f>
        <v>bayc</v>
      </c>
      <c r="C1391" s="3" t="str">
        <f>IFERROR(__xludf.DUMMYFUNCTION("""COMPUTED_VALUE"""),"BAYC Vault (NFTX)")</f>
        <v>BAYC Vault (NFTX)</v>
      </c>
    </row>
    <row r="1392">
      <c r="A1392" s="3" t="str">
        <f>IFERROR(__xludf.DUMMYFUNCTION("""COMPUTED_VALUE"""),"bazaars")</f>
        <v>bazaars</v>
      </c>
      <c r="B1392" s="3" t="str">
        <f>IFERROR(__xludf.DUMMYFUNCTION("""COMPUTED_VALUE"""),"bzr")</f>
        <v>bzr</v>
      </c>
      <c r="C1392" s="3" t="str">
        <f>IFERROR(__xludf.DUMMYFUNCTION("""COMPUTED_VALUE"""),"Bazaars")</f>
        <v>Bazaars</v>
      </c>
    </row>
    <row r="1393">
      <c r="A1393" s="3" t="str">
        <f>IFERROR(__xludf.DUMMYFUNCTION("""COMPUTED_VALUE"""),"bb-gaming")</f>
        <v>bb-gaming</v>
      </c>
      <c r="B1393" s="3" t="str">
        <f>IFERROR(__xludf.DUMMYFUNCTION("""COMPUTED_VALUE"""),"bb")</f>
        <v>bb</v>
      </c>
      <c r="C1393" s="3" t="str">
        <f>IFERROR(__xludf.DUMMYFUNCTION("""COMPUTED_VALUE"""),"BB Gaming")</f>
        <v>BB Gaming</v>
      </c>
    </row>
    <row r="1394">
      <c r="A1394" s="3" t="str">
        <f>IFERROR(__xludf.DUMMYFUNCTION("""COMPUTED_VALUE"""),"bbscoin")</f>
        <v>bbscoin</v>
      </c>
      <c r="B1394" s="3" t="str">
        <f>IFERROR(__xludf.DUMMYFUNCTION("""COMPUTED_VALUE"""),"bbs")</f>
        <v>bbs</v>
      </c>
      <c r="C1394" s="3" t="str">
        <f>IFERROR(__xludf.DUMMYFUNCTION("""COMPUTED_VALUE"""),"BBSCoin")</f>
        <v>BBSCoin</v>
      </c>
    </row>
    <row r="1395">
      <c r="A1395" s="3" t="str">
        <f>IFERROR(__xludf.DUMMYFUNCTION("""COMPUTED_VALUE"""),"bbs-network")</f>
        <v>bbs-network</v>
      </c>
      <c r="B1395" s="3" t="str">
        <f>IFERROR(__xludf.DUMMYFUNCTION("""COMPUTED_VALUE"""),"bbs")</f>
        <v>bbs</v>
      </c>
      <c r="C1395" s="3" t="str">
        <f>IFERROR(__xludf.DUMMYFUNCTION("""COMPUTED_VALUE"""),"BBS Network")</f>
        <v>BBS Network</v>
      </c>
    </row>
    <row r="1396">
      <c r="A1396" s="3" t="str">
        <f>IFERROR(__xludf.DUMMYFUNCTION("""COMPUTED_VALUE"""),"bchpad")</f>
        <v>bchpad</v>
      </c>
      <c r="B1396" s="3" t="str">
        <f>IFERROR(__xludf.DUMMYFUNCTION("""COMPUTED_VALUE"""),"bpad")</f>
        <v>bpad</v>
      </c>
      <c r="C1396" s="3" t="str">
        <f>IFERROR(__xludf.DUMMYFUNCTION("""COMPUTED_VALUE"""),"BCHPad")</f>
        <v>BCHPad</v>
      </c>
    </row>
    <row r="1397">
      <c r="A1397" s="3" t="str">
        <f>IFERROR(__xludf.DUMMYFUNCTION("""COMPUTED_VALUE"""),"bcpay-fintech")</f>
        <v>bcpay-fintech</v>
      </c>
      <c r="B1397" s="3" t="str">
        <f>IFERROR(__xludf.DUMMYFUNCTION("""COMPUTED_VALUE"""),"bcpay")</f>
        <v>bcpay</v>
      </c>
      <c r="C1397" s="3" t="str">
        <f>IFERROR(__xludf.DUMMYFUNCTION("""COMPUTED_VALUE"""),"BCPAY FinTech")</f>
        <v>BCPAY FinTech</v>
      </c>
    </row>
    <row r="1398">
      <c r="A1398" s="3" t="str">
        <f>IFERROR(__xludf.DUMMYFUNCTION("""COMPUTED_VALUE"""),"b-cube-ai")</f>
        <v>b-cube-ai</v>
      </c>
      <c r="B1398" s="3" t="str">
        <f>IFERROR(__xludf.DUMMYFUNCTION("""COMPUTED_VALUE"""),"bcube")</f>
        <v>bcube</v>
      </c>
      <c r="C1398" s="4" t="str">
        <f>IFERROR(__xludf.DUMMYFUNCTION("""COMPUTED_VALUE"""),"B-cube.ai")</f>
        <v>B-cube.ai</v>
      </c>
    </row>
    <row r="1399">
      <c r="A1399" s="3" t="str">
        <f>IFERROR(__xludf.DUMMYFUNCTION("""COMPUTED_VALUE"""),"bcv")</f>
        <v>bcv</v>
      </c>
      <c r="B1399" s="3" t="str">
        <f>IFERROR(__xludf.DUMMYFUNCTION("""COMPUTED_VALUE"""),"bcv")</f>
        <v>bcv</v>
      </c>
      <c r="C1399" s="3" t="str">
        <f>IFERROR(__xludf.DUMMYFUNCTION("""COMPUTED_VALUE"""),"BitCapitalVendor")</f>
        <v>BitCapitalVendor</v>
      </c>
    </row>
    <row r="1400">
      <c r="A1400" s="3" t="str">
        <f>IFERROR(__xludf.DUMMYFUNCTION("""COMPUTED_VALUE"""),"bdcashprotocol-ecosystem")</f>
        <v>bdcashprotocol-ecosystem</v>
      </c>
      <c r="B1400" s="3" t="str">
        <f>IFERROR(__xludf.DUMMYFUNCTION("""COMPUTED_VALUE"""),"bdeco")</f>
        <v>bdeco</v>
      </c>
      <c r="C1400" s="3" t="str">
        <f>IFERROR(__xludf.DUMMYFUNCTION("""COMPUTED_VALUE"""),"BdcashProtocol Ecosystem")</f>
        <v>BdcashProtocol Ecosystem</v>
      </c>
    </row>
    <row r="1401">
      <c r="A1401" s="3" t="str">
        <f>IFERROR(__xludf.DUMMYFUNCTION("""COMPUTED_VALUE"""),"bdlt")</f>
        <v>bdlt</v>
      </c>
      <c r="B1401" s="3" t="str">
        <f>IFERROR(__xludf.DUMMYFUNCTION("""COMPUTED_VALUE"""),"bdlt")</f>
        <v>bdlt</v>
      </c>
      <c r="C1401" s="3" t="str">
        <f>IFERROR(__xludf.DUMMYFUNCTION("""COMPUTED_VALUE"""),"BDLT")</f>
        <v>BDLT</v>
      </c>
    </row>
    <row r="1402">
      <c r="A1402" s="3" t="str">
        <f>IFERROR(__xludf.DUMMYFUNCTION("""COMPUTED_VALUE"""),"bdollar")</f>
        <v>bdollar</v>
      </c>
      <c r="B1402" s="3" t="str">
        <f>IFERROR(__xludf.DUMMYFUNCTION("""COMPUTED_VALUE"""),"bdo")</f>
        <v>bdo</v>
      </c>
      <c r="C1402" s="3" t="str">
        <f>IFERROR(__xludf.DUMMYFUNCTION("""COMPUTED_VALUE"""),"bDollar")</f>
        <v>bDollar</v>
      </c>
    </row>
    <row r="1403">
      <c r="A1403" s="3" t="str">
        <f>IFERROR(__xludf.DUMMYFUNCTION("""COMPUTED_VALUE"""),"bdollar-share")</f>
        <v>bdollar-share</v>
      </c>
      <c r="B1403" s="3" t="str">
        <f>IFERROR(__xludf.DUMMYFUNCTION("""COMPUTED_VALUE"""),"sbdo")</f>
        <v>sbdo</v>
      </c>
      <c r="C1403" s="3" t="str">
        <f>IFERROR(__xludf.DUMMYFUNCTION("""COMPUTED_VALUE"""),"bDollar Share")</f>
        <v>bDollar Share</v>
      </c>
    </row>
    <row r="1404">
      <c r="A1404" s="3" t="str">
        <f>IFERROR(__xludf.DUMMYFUNCTION("""COMPUTED_VALUE"""),"beach-token")</f>
        <v>beach-token</v>
      </c>
      <c r="B1404" s="3" t="str">
        <f>IFERROR(__xludf.DUMMYFUNCTION("""COMPUTED_VALUE"""),"beach")</f>
        <v>beach</v>
      </c>
      <c r="C1404" s="3" t="str">
        <f>IFERROR(__xludf.DUMMYFUNCTION("""COMPUTED_VALUE"""),"Beach Token")</f>
        <v>Beach Token</v>
      </c>
    </row>
    <row r="1405">
      <c r="A1405" s="3" t="str">
        <f>IFERROR(__xludf.DUMMYFUNCTION("""COMPUTED_VALUE"""),"beacon")</f>
        <v>beacon</v>
      </c>
      <c r="B1405" s="3" t="str">
        <f>IFERROR(__xludf.DUMMYFUNCTION("""COMPUTED_VALUE"""),"becn")</f>
        <v>becn</v>
      </c>
      <c r="C1405" s="3" t="str">
        <f>IFERROR(__xludf.DUMMYFUNCTION("""COMPUTED_VALUE"""),"Beacon")</f>
        <v>Beacon</v>
      </c>
    </row>
    <row r="1406">
      <c r="A1406" s="3" t="str">
        <f>IFERROR(__xludf.DUMMYFUNCTION("""COMPUTED_VALUE"""),"beagle-inu")</f>
        <v>beagle-inu</v>
      </c>
      <c r="B1406" s="3" t="str">
        <f>IFERROR(__xludf.DUMMYFUNCTION("""COMPUTED_VALUE"""),"bic")</f>
        <v>bic</v>
      </c>
      <c r="C1406" s="3" t="str">
        <f>IFERROR(__xludf.DUMMYFUNCTION("""COMPUTED_VALUE"""),"Beagle Inu")</f>
        <v>Beagle Inu</v>
      </c>
    </row>
    <row r="1407">
      <c r="A1407" s="3" t="str">
        <f>IFERROR(__xludf.DUMMYFUNCTION("""COMPUTED_VALUE"""),"beam")</f>
        <v>beam</v>
      </c>
      <c r="B1407" s="3" t="str">
        <f>IFERROR(__xludf.DUMMYFUNCTION("""COMPUTED_VALUE"""),"beam")</f>
        <v>beam</v>
      </c>
      <c r="C1407" s="3" t="str">
        <f>IFERROR(__xludf.DUMMYFUNCTION("""COMPUTED_VALUE"""),"BEAM")</f>
        <v>BEAM</v>
      </c>
    </row>
    <row r="1408">
      <c r="A1408" s="3" t="str">
        <f>IFERROR(__xludf.DUMMYFUNCTION("""COMPUTED_VALUE"""),"beamswap")</f>
        <v>beamswap</v>
      </c>
      <c r="B1408" s="3" t="str">
        <f>IFERROR(__xludf.DUMMYFUNCTION("""COMPUTED_VALUE"""),"glint")</f>
        <v>glint</v>
      </c>
      <c r="C1408" s="3" t="str">
        <f>IFERROR(__xludf.DUMMYFUNCTION("""COMPUTED_VALUE"""),"BeamSwap")</f>
        <v>BeamSwap</v>
      </c>
    </row>
    <row r="1409">
      <c r="A1409" s="3" t="str">
        <f>IFERROR(__xludf.DUMMYFUNCTION("""COMPUTED_VALUE"""),"bean")</f>
        <v>bean</v>
      </c>
      <c r="B1409" s="3" t="str">
        <f>IFERROR(__xludf.DUMMYFUNCTION("""COMPUTED_VALUE"""),"bean")</f>
        <v>bean</v>
      </c>
      <c r="C1409" s="3" t="str">
        <f>IFERROR(__xludf.DUMMYFUNCTION("""COMPUTED_VALUE"""),"Bean")</f>
        <v>Bean</v>
      </c>
    </row>
    <row r="1410">
      <c r="A1410" s="3" t="str">
        <f>IFERROR(__xludf.DUMMYFUNCTION("""COMPUTED_VALUE"""),"bean-cash")</f>
        <v>bean-cash</v>
      </c>
      <c r="B1410" s="3" t="str">
        <f>IFERROR(__xludf.DUMMYFUNCTION("""COMPUTED_VALUE"""),"bitb")</f>
        <v>bitb</v>
      </c>
      <c r="C1410" s="3" t="str">
        <f>IFERROR(__xludf.DUMMYFUNCTION("""COMPUTED_VALUE"""),"Bean Cash")</f>
        <v>Bean Cash</v>
      </c>
    </row>
    <row r="1411">
      <c r="A1411" s="3" t="str">
        <f>IFERROR(__xludf.DUMMYFUNCTION("""COMPUTED_VALUE"""),"bearex")</f>
        <v>bearex</v>
      </c>
      <c r="B1411" s="3" t="str">
        <f>IFERROR(__xludf.DUMMYFUNCTION("""COMPUTED_VALUE"""),"brex")</f>
        <v>brex</v>
      </c>
      <c r="C1411" s="3" t="str">
        <f>IFERROR(__xludf.DUMMYFUNCTION("""COMPUTED_VALUE"""),"BeaRex")</f>
        <v>BeaRex</v>
      </c>
    </row>
    <row r="1412">
      <c r="A1412" s="3" t="str">
        <f>IFERROR(__xludf.DUMMYFUNCTION("""COMPUTED_VALUE"""),"bearn-fi")</f>
        <v>bearn-fi</v>
      </c>
      <c r="B1412" s="3" t="str">
        <f>IFERROR(__xludf.DUMMYFUNCTION("""COMPUTED_VALUE"""),"bfi")</f>
        <v>bfi</v>
      </c>
      <c r="C1412" s="4" t="str">
        <f>IFERROR(__xludf.DUMMYFUNCTION("""COMPUTED_VALUE"""),"Bearn.fi")</f>
        <v>Bearn.fi</v>
      </c>
    </row>
    <row r="1413">
      <c r="A1413" s="3" t="str">
        <f>IFERROR(__xludf.DUMMYFUNCTION("""COMPUTED_VALUE"""),"beast-masters")</f>
        <v>beast-masters</v>
      </c>
      <c r="B1413" s="3" t="str">
        <f>IFERROR(__xludf.DUMMYFUNCTION("""COMPUTED_VALUE"""),"master")</f>
        <v>master</v>
      </c>
      <c r="C1413" s="3" t="str">
        <f>IFERROR(__xludf.DUMMYFUNCTION("""COMPUTED_VALUE"""),"Beast Masters")</f>
        <v>Beast Masters</v>
      </c>
    </row>
    <row r="1414">
      <c r="A1414" s="3" t="str">
        <f>IFERROR(__xludf.DUMMYFUNCTION("""COMPUTED_VALUE"""),"beast-nft")</f>
        <v>beast-nft</v>
      </c>
      <c r="B1414" s="3" t="str">
        <f>IFERROR(__xludf.DUMMYFUNCTION("""COMPUTED_VALUE"""),"bnft")</f>
        <v>bnft</v>
      </c>
      <c r="C1414" s="3" t="str">
        <f>IFERROR(__xludf.DUMMYFUNCTION("""COMPUTED_VALUE"""),"Beast NFT")</f>
        <v>Beast NFT</v>
      </c>
    </row>
    <row r="1415">
      <c r="A1415" s="3" t="str">
        <f>IFERROR(__xludf.DUMMYFUNCTION("""COMPUTED_VALUE"""),"beatbind")</f>
        <v>beatbind</v>
      </c>
      <c r="B1415" s="3" t="str">
        <f>IFERROR(__xludf.DUMMYFUNCTION("""COMPUTED_VALUE"""),"bbnd")</f>
        <v>bbnd</v>
      </c>
      <c r="C1415" s="3" t="str">
        <f>IFERROR(__xludf.DUMMYFUNCTION("""COMPUTED_VALUE"""),"BeatBind")</f>
        <v>BeatBind</v>
      </c>
    </row>
    <row r="1416">
      <c r="A1416" s="3" t="str">
        <f>IFERROR(__xludf.DUMMYFUNCTION("""COMPUTED_VALUE"""),"beatzcoin")</f>
        <v>beatzcoin</v>
      </c>
      <c r="B1416" s="3" t="str">
        <f>IFERROR(__xludf.DUMMYFUNCTION("""COMPUTED_VALUE"""),"btzc")</f>
        <v>btzc</v>
      </c>
      <c r="C1416" s="3" t="str">
        <f>IFERROR(__xludf.DUMMYFUNCTION("""COMPUTED_VALUE"""),"BeatzCoin")</f>
        <v>BeatzCoin</v>
      </c>
    </row>
    <row r="1417">
      <c r="A1417" s="3" t="str">
        <f>IFERROR(__xludf.DUMMYFUNCTION("""COMPUTED_VALUE"""),"beau-cat")</f>
        <v>beau-cat</v>
      </c>
      <c r="B1417" s="3" t="str">
        <f>IFERROR(__xludf.DUMMYFUNCTION("""COMPUTED_VALUE"""),"buc")</f>
        <v>buc</v>
      </c>
      <c r="C1417" s="3" t="str">
        <f>IFERROR(__xludf.DUMMYFUNCTION("""COMPUTED_VALUE"""),"Beau Cat")</f>
        <v>Beau Cat</v>
      </c>
    </row>
    <row r="1418">
      <c r="A1418" s="3" t="str">
        <f>IFERROR(__xludf.DUMMYFUNCTION("""COMPUTED_VALUE"""),"beauty-bakery-linked-operation-transaction-technology")</f>
        <v>beauty-bakery-linked-operation-transaction-technology</v>
      </c>
      <c r="B1418" s="3" t="str">
        <f>IFERROR(__xludf.DUMMYFUNCTION("""COMPUTED_VALUE"""),"lott")</f>
        <v>lott</v>
      </c>
      <c r="C1418" s="3" t="str">
        <f>IFERROR(__xludf.DUMMYFUNCTION("""COMPUTED_VALUE"""),"Beauty Bakery Linked Operation Transaction Technology")</f>
        <v>Beauty Bakery Linked Operation Transaction Technology</v>
      </c>
    </row>
    <row r="1419">
      <c r="A1419" s="3" t="str">
        <f>IFERROR(__xludf.DUMMYFUNCTION("""COMPUTED_VALUE"""),"beavis-and-butthead")</f>
        <v>beavis-and-butthead</v>
      </c>
      <c r="B1419" s="3" t="str">
        <f>IFERROR(__xludf.DUMMYFUNCTION("""COMPUTED_VALUE"""),"bbh")</f>
        <v>bbh</v>
      </c>
      <c r="C1419" s="3" t="str">
        <f>IFERROR(__xludf.DUMMYFUNCTION("""COMPUTED_VALUE"""),"Beavis and Butthead")</f>
        <v>Beavis and Butthead</v>
      </c>
    </row>
    <row r="1420">
      <c r="A1420" s="3" t="str">
        <f>IFERROR(__xludf.DUMMYFUNCTION("""COMPUTED_VALUE"""),"becoswap-token")</f>
        <v>becoswap-token</v>
      </c>
      <c r="B1420" s="3" t="str">
        <f>IFERROR(__xludf.DUMMYFUNCTION("""COMPUTED_VALUE"""),"beco")</f>
        <v>beco</v>
      </c>
      <c r="C1420" s="3" t="str">
        <f>IFERROR(__xludf.DUMMYFUNCTION("""COMPUTED_VALUE"""),"BecoSwap")</f>
        <v>BecoSwap</v>
      </c>
    </row>
    <row r="1421">
      <c r="A1421" s="3" t="str">
        <f>IFERROR(__xludf.DUMMYFUNCTION("""COMPUTED_VALUE"""),"bedrock")</f>
        <v>bedrock</v>
      </c>
      <c r="B1421" s="3" t="str">
        <f>IFERROR(__xludf.DUMMYFUNCTION("""COMPUTED_VALUE"""),"rock")</f>
        <v>rock</v>
      </c>
      <c r="C1421" s="3" t="str">
        <f>IFERROR(__xludf.DUMMYFUNCTION("""COMPUTED_VALUE"""),"Bedrock")</f>
        <v>Bedrock</v>
      </c>
    </row>
    <row r="1422">
      <c r="A1422" s="3" t="str">
        <f>IFERROR(__xludf.DUMMYFUNCTION("""COMPUTED_VALUE"""),"bee-capital")</f>
        <v>bee-capital</v>
      </c>
      <c r="B1422" s="3" t="str">
        <f>IFERROR(__xludf.DUMMYFUNCTION("""COMPUTED_VALUE"""),"bee")</f>
        <v>bee</v>
      </c>
      <c r="C1422" s="3" t="str">
        <f>IFERROR(__xludf.DUMMYFUNCTION("""COMPUTED_VALUE"""),"Bee Capital")</f>
        <v>Bee Capital</v>
      </c>
    </row>
    <row r="1423">
      <c r="A1423" s="3" t="str">
        <f>IFERROR(__xludf.DUMMYFUNCTION("""COMPUTED_VALUE"""),"beechat")</f>
        <v>beechat</v>
      </c>
      <c r="B1423" s="3" t="str">
        <f>IFERROR(__xludf.DUMMYFUNCTION("""COMPUTED_VALUE"""),"chat")</f>
        <v>chat</v>
      </c>
      <c r="C1423" s="3" t="str">
        <f>IFERROR(__xludf.DUMMYFUNCTION("""COMPUTED_VALUE"""),"BeeChat")</f>
        <v>BeeChat</v>
      </c>
    </row>
    <row r="1424">
      <c r="A1424" s="3" t="str">
        <f>IFERROR(__xludf.DUMMYFUNCTION("""COMPUTED_VALUE"""),"beeco")</f>
        <v>beeco</v>
      </c>
      <c r="B1424" s="3" t="str">
        <f>IFERROR(__xludf.DUMMYFUNCTION("""COMPUTED_VALUE"""),"bgc")</f>
        <v>bgc</v>
      </c>
      <c r="C1424" s="3" t="str">
        <f>IFERROR(__xludf.DUMMYFUNCTION("""COMPUTED_VALUE"""),"Bee Token")</f>
        <v>Bee Token</v>
      </c>
    </row>
    <row r="1425">
      <c r="A1425" s="3" t="str">
        <f>IFERROR(__xludf.DUMMYFUNCTION("""COMPUTED_VALUE"""),"beefy-escrowed-fantom")</f>
        <v>beefy-escrowed-fantom</v>
      </c>
      <c r="B1425" s="3" t="str">
        <f>IFERROR(__xludf.DUMMYFUNCTION("""COMPUTED_VALUE"""),"beftm")</f>
        <v>beftm</v>
      </c>
      <c r="C1425" s="3" t="str">
        <f>IFERROR(__xludf.DUMMYFUNCTION("""COMPUTED_VALUE"""),"Beefy Escrowed Fantom")</f>
        <v>Beefy Escrowed Fantom</v>
      </c>
    </row>
    <row r="1426">
      <c r="A1426" s="3" t="str">
        <f>IFERROR(__xludf.DUMMYFUNCTION("""COMPUTED_VALUE"""),"beefy-finance")</f>
        <v>beefy-finance</v>
      </c>
      <c r="B1426" s="3" t="str">
        <f>IFERROR(__xludf.DUMMYFUNCTION("""COMPUTED_VALUE"""),"bifi")</f>
        <v>bifi</v>
      </c>
      <c r="C1426" s="3" t="str">
        <f>IFERROR(__xludf.DUMMYFUNCTION("""COMPUTED_VALUE"""),"Beefy.Finance")</f>
        <v>Beefy.Finance</v>
      </c>
    </row>
    <row r="1427">
      <c r="A1427" s="3" t="str">
        <f>IFERROR(__xludf.DUMMYFUNCTION("""COMPUTED_VALUE"""),"bee-inu")</f>
        <v>bee-inu</v>
      </c>
      <c r="B1427" s="3" t="str">
        <f>IFERROR(__xludf.DUMMYFUNCTION("""COMPUTED_VALUE"""),"beeinu")</f>
        <v>beeinu</v>
      </c>
      <c r="C1427" s="3" t="str">
        <f>IFERROR(__xludf.DUMMYFUNCTION("""COMPUTED_VALUE"""),"Bee Inu")</f>
        <v>Bee Inu</v>
      </c>
    </row>
    <row r="1428">
      <c r="A1428" s="3" t="str">
        <f>IFERROR(__xludf.DUMMYFUNCTION("""COMPUTED_VALUE"""),"beekan")</f>
        <v>beekan</v>
      </c>
      <c r="B1428" s="3" t="str">
        <f>IFERROR(__xludf.DUMMYFUNCTION("""COMPUTED_VALUE"""),"bkbt")</f>
        <v>bkbt</v>
      </c>
      <c r="C1428" s="3" t="str">
        <f>IFERROR(__xludf.DUMMYFUNCTION("""COMPUTED_VALUE"""),"BeeKan / Beenews")</f>
        <v>BeeKan / Beenews</v>
      </c>
    </row>
    <row r="1429">
      <c r="A1429" s="3" t="str">
        <f>IFERROR(__xludf.DUMMYFUNCTION("""COMPUTED_VALUE"""),"beenode")</f>
        <v>beenode</v>
      </c>
      <c r="B1429" s="3" t="str">
        <f>IFERROR(__xludf.DUMMYFUNCTION("""COMPUTED_VALUE"""),"bnode")</f>
        <v>bnode</v>
      </c>
      <c r="C1429" s="3" t="str">
        <f>IFERROR(__xludf.DUMMYFUNCTION("""COMPUTED_VALUE"""),"Beenode")</f>
        <v>Beenode</v>
      </c>
    </row>
    <row r="1430">
      <c r="A1430" s="3" t="str">
        <f>IFERROR(__xludf.DUMMYFUNCTION("""COMPUTED_VALUE"""),"beep")</f>
        <v>beep</v>
      </c>
      <c r="B1430" s="3" t="str">
        <f>IFERROR(__xludf.DUMMYFUNCTION("""COMPUTED_VALUE"""),"botz")</f>
        <v>botz</v>
      </c>
      <c r="C1430" s="3" t="str">
        <f>IFERROR(__xludf.DUMMYFUNCTION("""COMPUTED_VALUE"""),"Beep")</f>
        <v>Beep</v>
      </c>
    </row>
    <row r="1431">
      <c r="A1431" s="3" t="str">
        <f>IFERROR(__xludf.DUMMYFUNCTION("""COMPUTED_VALUE"""),"beer-money")</f>
        <v>beer-money</v>
      </c>
      <c r="B1431" s="3" t="str">
        <f>IFERROR(__xludf.DUMMYFUNCTION("""COMPUTED_VALUE"""),"beer")</f>
        <v>beer</v>
      </c>
      <c r="C1431" s="3" t="str">
        <f>IFERROR(__xludf.DUMMYFUNCTION("""COMPUTED_VALUE"""),"Beer Money")</f>
        <v>Beer Money</v>
      </c>
    </row>
    <row r="1432">
      <c r="A1432" s="3" t="str">
        <f>IFERROR(__xludf.DUMMYFUNCTION("""COMPUTED_VALUE"""),"beeruscat")</f>
        <v>beeruscat</v>
      </c>
      <c r="B1432" s="3" t="str">
        <f>IFERROR(__xludf.DUMMYFUNCTION("""COMPUTED_VALUE"""),"bcat")</f>
        <v>bcat</v>
      </c>
      <c r="C1432" s="3" t="str">
        <f>IFERROR(__xludf.DUMMYFUNCTION("""COMPUTED_VALUE"""),"BeerusCat")</f>
        <v>BeerusCat</v>
      </c>
    </row>
    <row r="1433">
      <c r="A1433" s="3" t="str">
        <f>IFERROR(__xludf.DUMMYFUNCTION("""COMPUTED_VALUE"""),"beethoven-x")</f>
        <v>beethoven-x</v>
      </c>
      <c r="B1433" s="3" t="str">
        <f>IFERROR(__xludf.DUMMYFUNCTION("""COMPUTED_VALUE"""),"beets")</f>
        <v>beets</v>
      </c>
      <c r="C1433" s="3" t="str">
        <f>IFERROR(__xludf.DUMMYFUNCTION("""COMPUTED_VALUE"""),"Beethoven X")</f>
        <v>Beethoven X</v>
      </c>
    </row>
    <row r="1434">
      <c r="A1434" s="3" t="str">
        <f>IFERROR(__xludf.DUMMYFUNCTION("""COMPUTED_VALUE"""),"beetlecoin")</f>
        <v>beetlecoin</v>
      </c>
      <c r="B1434" s="3" t="str">
        <f>IFERROR(__xludf.DUMMYFUNCTION("""COMPUTED_VALUE"""),"beet")</f>
        <v>beet</v>
      </c>
      <c r="C1434" s="3" t="str">
        <f>IFERROR(__xludf.DUMMYFUNCTION("""COMPUTED_VALUE"""),"Beetlecoin")</f>
        <v>Beetlecoin</v>
      </c>
    </row>
    <row r="1435">
      <c r="A1435" s="3" t="str">
        <f>IFERROR(__xludf.DUMMYFUNCTION("""COMPUTED_VALUE"""),"befasterholdertoken")</f>
        <v>befasterholdertoken</v>
      </c>
      <c r="B1435" s="3" t="str">
        <f>IFERROR(__xludf.DUMMYFUNCTION("""COMPUTED_VALUE"""),"bfht")</f>
        <v>bfht</v>
      </c>
      <c r="C1435" s="3" t="str">
        <f>IFERROR(__xludf.DUMMYFUNCTION("""COMPUTED_VALUE"""),"BeFaster Holder Token")</f>
        <v>BeFaster Holder Token</v>
      </c>
    </row>
    <row r="1436">
      <c r="A1436" s="3" t="str">
        <f>IFERROR(__xludf.DUMMYFUNCTION("""COMPUTED_VALUE"""),"befitter")</f>
        <v>befitter</v>
      </c>
      <c r="B1436" s="3" t="str">
        <f>IFERROR(__xludf.DUMMYFUNCTION("""COMPUTED_VALUE"""),"fiu")</f>
        <v>fiu</v>
      </c>
      <c r="C1436" s="3" t="str">
        <f>IFERROR(__xludf.DUMMYFUNCTION("""COMPUTED_VALUE"""),"beFITTER")</f>
        <v>beFITTER</v>
      </c>
    </row>
    <row r="1437">
      <c r="A1437" s="3" t="str">
        <f>IFERROR(__xludf.DUMMYFUNCTION("""COMPUTED_VALUE"""),"befitter-health")</f>
        <v>befitter-health</v>
      </c>
      <c r="B1437" s="3" t="str">
        <f>IFERROR(__xludf.DUMMYFUNCTION("""COMPUTED_VALUE"""),"hee")</f>
        <v>hee</v>
      </c>
      <c r="C1437" s="3" t="str">
        <f>IFERROR(__xludf.DUMMYFUNCTION("""COMPUTED_VALUE"""),"beFITTER Health")</f>
        <v>beFITTER Health</v>
      </c>
    </row>
    <row r="1438">
      <c r="A1438" s="3" t="str">
        <f>IFERROR(__xludf.DUMMYFUNCTION("""COMPUTED_VALUE"""),"beholder")</f>
        <v>beholder</v>
      </c>
      <c r="B1438" s="3" t="str">
        <f>IFERROR(__xludf.DUMMYFUNCTION("""COMPUTED_VALUE"""),"eye")</f>
        <v>eye</v>
      </c>
      <c r="C1438" s="3" t="str">
        <f>IFERROR(__xludf.DUMMYFUNCTION("""COMPUTED_VALUE"""),"Behodler")</f>
        <v>Behodler</v>
      </c>
    </row>
    <row r="1439">
      <c r="A1439" s="3" t="str">
        <f>IFERROR(__xludf.DUMMYFUNCTION("""COMPUTED_VALUE"""),"bela")</f>
        <v>bela</v>
      </c>
      <c r="B1439" s="3" t="str">
        <f>IFERROR(__xludf.DUMMYFUNCTION("""COMPUTED_VALUE"""),"aqua")</f>
        <v>aqua</v>
      </c>
      <c r="C1439" s="3" t="str">
        <f>IFERROR(__xludf.DUMMYFUNCTION("""COMPUTED_VALUE"""),"Bela Aqua")</f>
        <v>Bela Aqua</v>
      </c>
    </row>
    <row r="1440">
      <c r="A1440" s="3" t="str">
        <f>IFERROR(__xludf.DUMMYFUNCTION("""COMPUTED_VALUE"""),"beldex")</f>
        <v>beldex</v>
      </c>
      <c r="B1440" s="3" t="str">
        <f>IFERROR(__xludf.DUMMYFUNCTION("""COMPUTED_VALUE"""),"bdx")</f>
        <v>bdx</v>
      </c>
      <c r="C1440" s="3" t="str">
        <f>IFERROR(__xludf.DUMMYFUNCTION("""COMPUTED_VALUE"""),"Beldex")</f>
        <v>Beldex</v>
      </c>
    </row>
    <row r="1441">
      <c r="A1441" s="3" t="str">
        <f>IFERROR(__xludf.DUMMYFUNCTION("""COMPUTED_VALUE"""),"belecx-protocol")</f>
        <v>belecx-protocol</v>
      </c>
      <c r="B1441" s="3" t="str">
        <f>IFERROR(__xludf.DUMMYFUNCTION("""COMPUTED_VALUE"""),"bex")</f>
        <v>bex</v>
      </c>
      <c r="C1441" s="3" t="str">
        <f>IFERROR(__xludf.DUMMYFUNCTION("""COMPUTED_VALUE"""),"BelecX Protocol")</f>
        <v>BelecX Protocol</v>
      </c>
    </row>
    <row r="1442">
      <c r="A1442" s="3" t="str">
        <f>IFERROR(__xludf.DUMMYFUNCTION("""COMPUTED_VALUE"""),"belifex")</f>
        <v>belifex</v>
      </c>
      <c r="B1442" s="3" t="str">
        <f>IFERROR(__xludf.DUMMYFUNCTION("""COMPUTED_VALUE"""),"befx")</f>
        <v>befx</v>
      </c>
      <c r="C1442" s="3" t="str">
        <f>IFERROR(__xludf.DUMMYFUNCTION("""COMPUTED_VALUE"""),"Belifex")</f>
        <v>Belifex</v>
      </c>
    </row>
    <row r="1443">
      <c r="A1443" s="3" t="str">
        <f>IFERROR(__xludf.DUMMYFUNCTION("""COMPUTED_VALUE"""),"belka")</f>
        <v>belka</v>
      </c>
      <c r="B1443" s="3" t="str">
        <f>IFERROR(__xludf.DUMMYFUNCTION("""COMPUTED_VALUE"""),"blk")</f>
        <v>blk</v>
      </c>
      <c r="C1443" s="3" t="str">
        <f>IFERROR(__xludf.DUMMYFUNCTION("""COMPUTED_VALUE"""),"Belka [OLD]")</f>
        <v>Belka [OLD]</v>
      </c>
    </row>
    <row r="1444">
      <c r="A1444" s="3" t="str">
        <f>IFERROR(__xludf.DUMMYFUNCTION("""COMPUTED_VALUE"""),"belka-2")</f>
        <v>belka-2</v>
      </c>
      <c r="B1444" s="3" t="str">
        <f>IFERROR(__xludf.DUMMYFUNCTION("""COMPUTED_VALUE"""),"blk")</f>
        <v>blk</v>
      </c>
      <c r="C1444" s="3" t="str">
        <f>IFERROR(__xludf.DUMMYFUNCTION("""COMPUTED_VALUE"""),"Belka")</f>
        <v>Belka</v>
      </c>
    </row>
    <row r="1445">
      <c r="A1445" s="3" t="str">
        <f>IFERROR(__xludf.DUMMYFUNCTION("""COMPUTED_VALUE"""),"bella-protocol")</f>
        <v>bella-protocol</v>
      </c>
      <c r="B1445" s="3" t="str">
        <f>IFERROR(__xludf.DUMMYFUNCTION("""COMPUTED_VALUE"""),"bel")</f>
        <v>bel</v>
      </c>
      <c r="C1445" s="3" t="str">
        <f>IFERROR(__xludf.DUMMYFUNCTION("""COMPUTED_VALUE"""),"Bella Protocol")</f>
        <v>Bella Protocol</v>
      </c>
    </row>
    <row r="1446">
      <c r="A1446" s="3" t="str">
        <f>IFERROR(__xludf.DUMMYFUNCTION("""COMPUTED_VALUE"""),"bellcoin")</f>
        <v>bellcoin</v>
      </c>
      <c r="B1446" s="3" t="str">
        <f>IFERROR(__xludf.DUMMYFUNCTION("""COMPUTED_VALUE"""),"bell")</f>
        <v>bell</v>
      </c>
      <c r="C1446" s="3" t="str">
        <f>IFERROR(__xludf.DUMMYFUNCTION("""COMPUTED_VALUE"""),"Bellcoin")</f>
        <v>Bellcoin</v>
      </c>
    </row>
    <row r="1447">
      <c r="A1447" s="3" t="str">
        <f>IFERROR(__xludf.DUMMYFUNCTION("""COMPUTED_VALUE"""),"belon-dao")</f>
        <v>belon-dao</v>
      </c>
      <c r="B1447" s="3" t="str">
        <f>IFERROR(__xludf.DUMMYFUNCTION("""COMPUTED_VALUE"""),"be")</f>
        <v>be</v>
      </c>
      <c r="C1447" s="3" t="str">
        <f>IFERROR(__xludf.DUMMYFUNCTION("""COMPUTED_VALUE"""),"Belon DAO")</f>
        <v>Belon DAO</v>
      </c>
    </row>
    <row r="1448">
      <c r="A1448" s="3" t="str">
        <f>IFERROR(__xludf.DUMMYFUNCTION("""COMPUTED_VALUE"""),"belrium")</f>
        <v>belrium</v>
      </c>
      <c r="B1448" s="3" t="str">
        <f>IFERROR(__xludf.DUMMYFUNCTION("""COMPUTED_VALUE"""),"bel")</f>
        <v>bel</v>
      </c>
      <c r="C1448" s="3" t="str">
        <f>IFERROR(__xludf.DUMMYFUNCTION("""COMPUTED_VALUE"""),"Belrium")</f>
        <v>Belrium</v>
      </c>
    </row>
    <row r="1449">
      <c r="A1449" s="3" t="str">
        <f>IFERROR(__xludf.DUMMYFUNCTION("""COMPUTED_VALUE"""),"belt")</f>
        <v>belt</v>
      </c>
      <c r="B1449" s="3" t="str">
        <f>IFERROR(__xludf.DUMMYFUNCTION("""COMPUTED_VALUE"""),"belt")</f>
        <v>belt</v>
      </c>
      <c r="C1449" s="3" t="str">
        <f>IFERROR(__xludf.DUMMYFUNCTION("""COMPUTED_VALUE"""),"Belt")</f>
        <v>Belt</v>
      </c>
    </row>
    <row r="1450">
      <c r="A1450" s="3" t="str">
        <f>IFERROR(__xludf.DUMMYFUNCTION("""COMPUTED_VALUE"""),"beluga-fi")</f>
        <v>beluga-fi</v>
      </c>
      <c r="B1450" s="3" t="str">
        <f>IFERROR(__xludf.DUMMYFUNCTION("""COMPUTED_VALUE"""),"beluga")</f>
        <v>beluga</v>
      </c>
      <c r="C1450" s="4" t="str">
        <f>IFERROR(__xludf.DUMMYFUNCTION("""COMPUTED_VALUE"""),"Beluga.fi")</f>
        <v>Beluga.fi</v>
      </c>
    </row>
    <row r="1451">
      <c r="A1451" s="3" t="str">
        <f>IFERROR(__xludf.DUMMYFUNCTION("""COMPUTED_VALUE"""),"bem")</f>
        <v>bem</v>
      </c>
      <c r="B1451" s="3" t="str">
        <f>IFERROR(__xludf.DUMMYFUNCTION("""COMPUTED_VALUE"""),"bemt")</f>
        <v>bemt</v>
      </c>
      <c r="C1451" s="3" t="str">
        <f>IFERROR(__xludf.DUMMYFUNCTION("""COMPUTED_VALUE"""),"BEM")</f>
        <v>BEM</v>
      </c>
    </row>
    <row r="1452">
      <c r="A1452" s="3" t="str">
        <f>IFERROR(__xludf.DUMMYFUNCTION("""COMPUTED_VALUE"""),"be-meta-famous")</f>
        <v>be-meta-famous</v>
      </c>
      <c r="B1452" s="3" t="str">
        <f>IFERROR(__xludf.DUMMYFUNCTION("""COMPUTED_VALUE"""),"bmf")</f>
        <v>bmf</v>
      </c>
      <c r="C1452" s="3" t="str">
        <f>IFERROR(__xludf.DUMMYFUNCTION("""COMPUTED_VALUE"""),"Be Meta Famous")</f>
        <v>Be Meta Famous</v>
      </c>
    </row>
    <row r="1453">
      <c r="A1453" s="3" t="str">
        <f>IFERROR(__xludf.DUMMYFUNCTION("""COMPUTED_VALUE"""),"bemil-coin")</f>
        <v>bemil-coin</v>
      </c>
      <c r="B1453" s="3" t="str">
        <f>IFERROR(__xludf.DUMMYFUNCTION("""COMPUTED_VALUE"""),"bem")</f>
        <v>bem</v>
      </c>
      <c r="C1453" s="3" t="str">
        <f>IFERROR(__xludf.DUMMYFUNCTION("""COMPUTED_VALUE"""),"Bemil Coin")</f>
        <v>Bemil Coin</v>
      </c>
    </row>
    <row r="1454">
      <c r="A1454" s="3" t="str">
        <f>IFERROR(__xludf.DUMMYFUNCTION("""COMPUTED_VALUE"""),"benchmark-protocol")</f>
        <v>benchmark-protocol</v>
      </c>
      <c r="B1454" s="3" t="str">
        <f>IFERROR(__xludf.DUMMYFUNCTION("""COMPUTED_VALUE"""),"mark")</f>
        <v>mark</v>
      </c>
      <c r="C1454" s="3" t="str">
        <f>IFERROR(__xludf.DUMMYFUNCTION("""COMPUTED_VALUE"""),"Benchmark Protocol")</f>
        <v>Benchmark Protocol</v>
      </c>
    </row>
    <row r="1455">
      <c r="A1455" s="3" t="str">
        <f>IFERROR(__xludf.DUMMYFUNCTION("""COMPUTED_VALUE"""),"benddao")</f>
        <v>benddao</v>
      </c>
      <c r="B1455" s="3" t="str">
        <f>IFERROR(__xludf.DUMMYFUNCTION("""COMPUTED_VALUE"""),"bend")</f>
        <v>bend</v>
      </c>
      <c r="C1455" s="3" t="str">
        <f>IFERROR(__xludf.DUMMYFUNCTION("""COMPUTED_VALUE"""),"BendDAO")</f>
        <v>BendDAO</v>
      </c>
    </row>
    <row r="1456">
      <c r="A1456" s="3" t="str">
        <f>IFERROR(__xludf.DUMMYFUNCTION("""COMPUTED_VALUE"""),"bened")</f>
        <v>bened</v>
      </c>
      <c r="B1456" s="3" t="str">
        <f>IFERROR(__xludf.DUMMYFUNCTION("""COMPUTED_VALUE"""),"bnd")</f>
        <v>bnd</v>
      </c>
      <c r="C1456" s="3" t="str">
        <f>IFERROR(__xludf.DUMMYFUNCTION("""COMPUTED_VALUE"""),"Bened")</f>
        <v>Bened</v>
      </c>
    </row>
    <row r="1457">
      <c r="A1457" s="3" t="str">
        <f>IFERROR(__xludf.DUMMYFUNCTION("""COMPUTED_VALUE"""),"benqi")</f>
        <v>benqi</v>
      </c>
      <c r="B1457" s="3" t="str">
        <f>IFERROR(__xludf.DUMMYFUNCTION("""COMPUTED_VALUE"""),"qi")</f>
        <v>qi</v>
      </c>
      <c r="C1457" s="3" t="str">
        <f>IFERROR(__xludf.DUMMYFUNCTION("""COMPUTED_VALUE"""),"BENQI")</f>
        <v>BENQI</v>
      </c>
    </row>
    <row r="1458">
      <c r="A1458" s="3" t="str">
        <f>IFERROR(__xludf.DUMMYFUNCTION("""COMPUTED_VALUE"""),"benqi-liquid-staked-avax")</f>
        <v>benqi-liquid-staked-avax</v>
      </c>
      <c r="B1458" s="3" t="str">
        <f>IFERROR(__xludf.DUMMYFUNCTION("""COMPUTED_VALUE"""),"savax")</f>
        <v>savax</v>
      </c>
      <c r="C1458" s="3" t="str">
        <f>IFERROR(__xludf.DUMMYFUNCTION("""COMPUTED_VALUE"""),"BENQI Liquid Staked AVAX")</f>
        <v>BENQI Liquid Staked AVAX</v>
      </c>
    </row>
    <row r="1459">
      <c r="A1459" s="3" t="str">
        <f>IFERROR(__xludf.DUMMYFUNCTION("""COMPUTED_VALUE"""),"bent-finance")</f>
        <v>bent-finance</v>
      </c>
      <c r="B1459" s="3" t="str">
        <f>IFERROR(__xludf.DUMMYFUNCTION("""COMPUTED_VALUE"""),"bent")</f>
        <v>bent</v>
      </c>
      <c r="C1459" s="3" t="str">
        <f>IFERROR(__xludf.DUMMYFUNCTION("""COMPUTED_VALUE"""),"Bent Finance")</f>
        <v>Bent Finance</v>
      </c>
    </row>
    <row r="1460">
      <c r="A1460" s="3" t="str">
        <f>IFERROR(__xludf.DUMMYFUNCTION("""COMPUTED_VALUE"""),"benzene")</f>
        <v>benzene</v>
      </c>
      <c r="B1460" s="3" t="str">
        <f>IFERROR(__xludf.DUMMYFUNCTION("""COMPUTED_VALUE"""),"bzn")</f>
        <v>bzn</v>
      </c>
      <c r="C1460" s="3" t="str">
        <f>IFERROR(__xludf.DUMMYFUNCTION("""COMPUTED_VALUE"""),"Benzene")</f>
        <v>Benzene</v>
      </c>
    </row>
    <row r="1461">
      <c r="A1461" s="3" t="str">
        <f>IFERROR(__xludf.DUMMYFUNCTION("""COMPUTED_VALUE"""),"bep20-leo")</f>
        <v>bep20-leo</v>
      </c>
      <c r="B1461" s="3" t="str">
        <f>IFERROR(__xludf.DUMMYFUNCTION("""COMPUTED_VALUE"""),"bleo")</f>
        <v>bleo</v>
      </c>
      <c r="C1461" s="3" t="str">
        <f>IFERROR(__xludf.DUMMYFUNCTION("""COMPUTED_VALUE"""),"BEP20 LEO")</f>
        <v>BEP20 LEO</v>
      </c>
    </row>
    <row r="1462">
      <c r="A1462" s="3" t="str">
        <f>IFERROR(__xludf.DUMMYFUNCTION("""COMPUTED_VALUE"""),"bepay")</f>
        <v>bepay</v>
      </c>
      <c r="B1462" s="3" t="str">
        <f>IFERROR(__xludf.DUMMYFUNCTION("""COMPUTED_VALUE"""),"becoin")</f>
        <v>becoin</v>
      </c>
      <c r="C1462" s="3" t="str">
        <f>IFERROR(__xludf.DUMMYFUNCTION("""COMPUTED_VALUE"""),"bePAY Finance")</f>
        <v>bePAY Finance</v>
      </c>
    </row>
    <row r="1463">
      <c r="A1463" s="3" t="str">
        <f>IFERROR(__xludf.DUMMYFUNCTION("""COMPUTED_VALUE"""),"bepis")</f>
        <v>bepis</v>
      </c>
      <c r="B1463" s="3" t="str">
        <f>IFERROR(__xludf.DUMMYFUNCTION("""COMPUTED_VALUE"""),"bepis")</f>
        <v>bepis</v>
      </c>
      <c r="C1463" s="3" t="str">
        <f>IFERROR(__xludf.DUMMYFUNCTION("""COMPUTED_VALUE"""),"BEPIS")</f>
        <v>BEPIS</v>
      </c>
    </row>
    <row r="1464">
      <c r="A1464" s="3" t="str">
        <f>IFERROR(__xludf.DUMMYFUNCTION("""COMPUTED_VALUE"""),"bepro-network")</f>
        <v>bepro-network</v>
      </c>
      <c r="B1464" s="3" t="str">
        <f>IFERROR(__xludf.DUMMYFUNCTION("""COMPUTED_VALUE"""),"bepro")</f>
        <v>bepro</v>
      </c>
      <c r="C1464" s="3" t="str">
        <f>IFERROR(__xludf.DUMMYFUNCTION("""COMPUTED_VALUE"""),"BEPRO Network")</f>
        <v>BEPRO Network</v>
      </c>
    </row>
    <row r="1465">
      <c r="A1465" s="3" t="str">
        <f>IFERROR(__xludf.DUMMYFUNCTION("""COMPUTED_VALUE"""),"berith-coin")</f>
        <v>berith-coin</v>
      </c>
      <c r="B1465" s="3" t="str">
        <f>IFERROR(__xludf.DUMMYFUNCTION("""COMPUTED_VALUE"""),"brt")</f>
        <v>brt</v>
      </c>
      <c r="C1465" s="3" t="str">
        <f>IFERROR(__xludf.DUMMYFUNCTION("""COMPUTED_VALUE"""),"Berith Coin")</f>
        <v>Berith Coin</v>
      </c>
    </row>
    <row r="1466">
      <c r="A1466" s="3" t="str">
        <f>IFERROR(__xludf.DUMMYFUNCTION("""COMPUTED_VALUE"""),"bernard")</f>
        <v>bernard</v>
      </c>
      <c r="B1466" s="3" t="str">
        <f>IFERROR(__xludf.DUMMYFUNCTION("""COMPUTED_VALUE"""),"bern")</f>
        <v>bern</v>
      </c>
      <c r="C1466" s="3" t="str">
        <f>IFERROR(__xludf.DUMMYFUNCTION("""COMPUTED_VALUE"""),"Bernard")</f>
        <v>Bernard</v>
      </c>
    </row>
    <row r="1467">
      <c r="A1467" s="3" t="str">
        <f>IFERROR(__xludf.DUMMYFUNCTION("""COMPUTED_VALUE"""),"bernaswap")</f>
        <v>bernaswap</v>
      </c>
      <c r="B1467" s="3" t="str">
        <f>IFERROR(__xludf.DUMMYFUNCTION("""COMPUTED_VALUE"""),"bera")</f>
        <v>bera</v>
      </c>
      <c r="C1467" s="3" t="str">
        <f>IFERROR(__xludf.DUMMYFUNCTION("""COMPUTED_VALUE"""),"Bernaswap")</f>
        <v>Bernaswap</v>
      </c>
    </row>
    <row r="1468">
      <c r="A1468" s="3" t="str">
        <f>IFERROR(__xludf.DUMMYFUNCTION("""COMPUTED_VALUE"""),"berry")</f>
        <v>berry</v>
      </c>
      <c r="B1468" s="3" t="str">
        <f>IFERROR(__xludf.DUMMYFUNCTION("""COMPUTED_VALUE"""),"berry")</f>
        <v>berry</v>
      </c>
      <c r="C1468" s="3" t="str">
        <f>IFERROR(__xludf.DUMMYFUNCTION("""COMPUTED_VALUE"""),"Berry")</f>
        <v>Berry</v>
      </c>
    </row>
    <row r="1469">
      <c r="A1469" s="3" t="str">
        <f>IFERROR(__xludf.DUMMYFUNCTION("""COMPUTED_VALUE"""),"berry-data")</f>
        <v>berry-data</v>
      </c>
      <c r="B1469" s="3" t="str">
        <f>IFERROR(__xludf.DUMMYFUNCTION("""COMPUTED_VALUE"""),"bry")</f>
        <v>bry</v>
      </c>
      <c r="C1469" s="3" t="str">
        <f>IFERROR(__xludf.DUMMYFUNCTION("""COMPUTED_VALUE"""),"Berry Data")</f>
        <v>Berry Data</v>
      </c>
    </row>
    <row r="1470">
      <c r="A1470" s="3" t="str">
        <f>IFERROR(__xludf.DUMMYFUNCTION("""COMPUTED_VALUE"""),"berryswap")</f>
        <v>berryswap</v>
      </c>
      <c r="B1470" s="3" t="str">
        <f>IFERROR(__xludf.DUMMYFUNCTION("""COMPUTED_VALUE"""),"berry")</f>
        <v>berry</v>
      </c>
      <c r="C1470" s="3" t="str">
        <f>IFERROR(__xludf.DUMMYFUNCTION("""COMPUTED_VALUE"""),"BerrySwap")</f>
        <v>BerrySwap</v>
      </c>
    </row>
    <row r="1471">
      <c r="A1471" s="3" t="str">
        <f>IFERROR(__xludf.DUMMYFUNCTION("""COMPUTED_VALUE"""),"berylbit")</f>
        <v>berylbit</v>
      </c>
      <c r="B1471" s="3" t="str">
        <f>IFERROR(__xludf.DUMMYFUNCTION("""COMPUTED_VALUE"""),"brb")</f>
        <v>brb</v>
      </c>
      <c r="C1471" s="3" t="str">
        <f>IFERROR(__xludf.DUMMYFUNCTION("""COMPUTED_VALUE"""),"BerylBit")</f>
        <v>BerylBit</v>
      </c>
    </row>
    <row r="1472">
      <c r="A1472" s="3" t="str">
        <f>IFERROR(__xludf.DUMMYFUNCTION("""COMPUTED_VALUE"""),"beshare-token")</f>
        <v>beshare-token</v>
      </c>
      <c r="B1472" s="3" t="str">
        <f>IFERROR(__xludf.DUMMYFUNCTION("""COMPUTED_VALUE"""),"bst")</f>
        <v>bst</v>
      </c>
      <c r="C1472" s="3" t="str">
        <f>IFERROR(__xludf.DUMMYFUNCTION("""COMPUTED_VALUE"""),"Beshare")</f>
        <v>Beshare</v>
      </c>
    </row>
    <row r="1473">
      <c r="A1473" s="3" t="str">
        <f>IFERROR(__xludf.DUMMYFUNCTION("""COMPUTED_VALUE"""),"beskar")</f>
        <v>beskar</v>
      </c>
      <c r="B1473" s="3" t="str">
        <f>IFERROR(__xludf.DUMMYFUNCTION("""COMPUTED_VALUE"""),"bsk-baa025")</f>
        <v>bsk-baa025</v>
      </c>
      <c r="C1473" s="3" t="str">
        <f>IFERROR(__xludf.DUMMYFUNCTION("""COMPUTED_VALUE"""),"Beskar")</f>
        <v>Beskar</v>
      </c>
    </row>
    <row r="1474">
      <c r="A1474" s="3" t="str">
        <f>IFERROR(__xludf.DUMMYFUNCTION("""COMPUTED_VALUE"""),"bestay")</f>
        <v>bestay</v>
      </c>
      <c r="B1474" s="3" t="str">
        <f>IFERROR(__xludf.DUMMYFUNCTION("""COMPUTED_VALUE"""),"bsy")</f>
        <v>bsy</v>
      </c>
      <c r="C1474" s="3" t="str">
        <f>IFERROR(__xludf.DUMMYFUNCTION("""COMPUTED_VALUE"""),"Bestay")</f>
        <v>Bestay</v>
      </c>
    </row>
    <row r="1475">
      <c r="A1475" s="3" t="str">
        <f>IFERROR(__xludf.DUMMYFUNCTION("""COMPUTED_VALUE"""),"beta-finance")</f>
        <v>beta-finance</v>
      </c>
      <c r="B1475" s="3" t="str">
        <f>IFERROR(__xludf.DUMMYFUNCTION("""COMPUTED_VALUE"""),"beta")</f>
        <v>beta</v>
      </c>
      <c r="C1475" s="3" t="str">
        <f>IFERROR(__xludf.DUMMYFUNCTION("""COMPUTED_VALUE"""),"Beta Finance")</f>
        <v>Beta Finance</v>
      </c>
    </row>
    <row r="1476">
      <c r="A1476" s="3" t="str">
        <f>IFERROR(__xludf.DUMMYFUNCTION("""COMPUTED_VALUE"""),"beta-token")</f>
        <v>beta-token</v>
      </c>
      <c r="B1476" s="3" t="str">
        <f>IFERROR(__xludf.DUMMYFUNCTION("""COMPUTED_VALUE"""),"beta")</f>
        <v>beta</v>
      </c>
      <c r="C1476" s="3" t="str">
        <f>IFERROR(__xludf.DUMMYFUNCTION("""COMPUTED_VALUE"""),"Beta")</f>
        <v>Beta</v>
      </c>
    </row>
    <row r="1477">
      <c r="A1477" s="3" t="str">
        <f>IFERROR(__xludf.DUMMYFUNCTION("""COMPUTED_VALUE"""),"betaverse")</f>
        <v>betaverse</v>
      </c>
      <c r="B1477" s="3" t="str">
        <f>IFERROR(__xludf.DUMMYFUNCTION("""COMPUTED_VALUE"""),"bet")</f>
        <v>bet</v>
      </c>
      <c r="C1477" s="3" t="str">
        <f>IFERROR(__xludf.DUMMYFUNCTION("""COMPUTED_VALUE"""),"Betaverse")</f>
        <v>Betaverse</v>
      </c>
    </row>
    <row r="1478">
      <c r="A1478" s="3" t="str">
        <f>IFERROR(__xludf.DUMMYFUNCTION("""COMPUTED_VALUE"""),"betcoin")</f>
        <v>betcoin</v>
      </c>
      <c r="B1478" s="3" t="str">
        <f>IFERROR(__xludf.DUMMYFUNCTION("""COMPUTED_VALUE"""),"bet")</f>
        <v>bet</v>
      </c>
      <c r="C1478" s="3" t="str">
        <f>IFERROR(__xludf.DUMMYFUNCTION("""COMPUTED_VALUE"""),"BETCOIN")</f>
        <v>BETCOIN</v>
      </c>
    </row>
    <row r="1479">
      <c r="A1479" s="3" t="str">
        <f>IFERROR(__xludf.DUMMYFUNCTION("""COMPUTED_VALUE"""),"betdice")</f>
        <v>betdice</v>
      </c>
      <c r="B1479" s="3" t="str">
        <f>IFERROR(__xludf.DUMMYFUNCTION("""COMPUTED_VALUE"""),"dice")</f>
        <v>dice</v>
      </c>
      <c r="C1479" s="3" t="str">
        <f>IFERROR(__xludf.DUMMYFUNCTION("""COMPUTED_VALUE"""),"BetDice")</f>
        <v>BetDice</v>
      </c>
    </row>
    <row r="1480">
      <c r="A1480" s="3" t="str">
        <f>IFERROR(__xludf.DUMMYFUNCTION("""COMPUTED_VALUE"""),"betero")</f>
        <v>betero</v>
      </c>
      <c r="B1480" s="3" t="str">
        <f>IFERROR(__xludf.DUMMYFUNCTION("""COMPUTED_VALUE"""),"bte")</f>
        <v>bte</v>
      </c>
      <c r="C1480" s="3" t="str">
        <f>IFERROR(__xludf.DUMMYFUNCTION("""COMPUTED_VALUE"""),"Betero")</f>
        <v>Betero</v>
      </c>
    </row>
    <row r="1481">
      <c r="A1481" s="3" t="str">
        <f>IFERROR(__xludf.DUMMYFUNCTION("""COMPUTED_VALUE"""),"betgosu")</f>
        <v>betgosu</v>
      </c>
      <c r="B1481" s="3" t="str">
        <f>IFERROR(__xludf.DUMMYFUNCTION("""COMPUTED_VALUE"""),"gosu")</f>
        <v>gosu</v>
      </c>
      <c r="C1481" s="3" t="str">
        <f>IFERROR(__xludf.DUMMYFUNCTION("""COMPUTED_VALUE"""),"BetGosu")</f>
        <v>BetGosu</v>
      </c>
    </row>
    <row r="1482">
      <c r="A1482" s="3" t="str">
        <f>IFERROR(__xludf.DUMMYFUNCTION("""COMPUTED_VALUE"""),"betherchip")</f>
        <v>betherchip</v>
      </c>
      <c r="B1482" s="3" t="str">
        <f>IFERROR(__xludf.DUMMYFUNCTION("""COMPUTED_VALUE"""),"bec")</f>
        <v>bec</v>
      </c>
      <c r="C1482" s="3" t="str">
        <f>IFERROR(__xludf.DUMMYFUNCTION("""COMPUTED_VALUE"""),"Betherchip")</f>
        <v>Betherchip</v>
      </c>
    </row>
    <row r="1483">
      <c r="A1483" s="3" t="str">
        <f>IFERROR(__xludf.DUMMYFUNCTION("""COMPUTED_VALUE"""),"bethereum")</f>
        <v>bethereum</v>
      </c>
      <c r="B1483" s="3" t="str">
        <f>IFERROR(__xludf.DUMMYFUNCTION("""COMPUTED_VALUE"""),"bether")</f>
        <v>bether</v>
      </c>
      <c r="C1483" s="3" t="str">
        <f>IFERROR(__xludf.DUMMYFUNCTION("""COMPUTED_VALUE"""),"Bethereum")</f>
        <v>Bethereum</v>
      </c>
    </row>
    <row r="1484">
      <c r="A1484" s="3" t="str">
        <f>IFERROR(__xludf.DUMMYFUNCTION("""COMPUTED_VALUE"""),"betify")</f>
        <v>betify</v>
      </c>
      <c r="B1484" s="3" t="str">
        <f>IFERROR(__xludf.DUMMYFUNCTION("""COMPUTED_VALUE"""),"betify")</f>
        <v>betify</v>
      </c>
      <c r="C1484" s="3" t="str">
        <f>IFERROR(__xludf.DUMMYFUNCTION("""COMPUTED_VALUE"""),"Betify")</f>
        <v>Betify</v>
      </c>
    </row>
    <row r="1485">
      <c r="A1485" s="3" t="str">
        <f>IFERROR(__xludf.DUMMYFUNCTION("""COMPUTED_VALUE"""),"betller-coin")</f>
        <v>betller-coin</v>
      </c>
      <c r="B1485" s="3" t="str">
        <f>IFERROR(__xludf.DUMMYFUNCTION("""COMPUTED_VALUE"""),"btllr")</f>
        <v>btllr</v>
      </c>
      <c r="C1485" s="3" t="str">
        <f>IFERROR(__xludf.DUMMYFUNCTION("""COMPUTED_VALUE"""),"Betller Coin")</f>
        <v>Betller Coin</v>
      </c>
    </row>
    <row r="1486">
      <c r="A1486" s="3" t="str">
        <f>IFERROR(__xludf.DUMMYFUNCTION("""COMPUTED_VALUE"""),"betswap-gg")</f>
        <v>betswap-gg</v>
      </c>
      <c r="B1486" s="3" t="str">
        <f>IFERROR(__xludf.DUMMYFUNCTION("""COMPUTED_VALUE"""),"bsgg")</f>
        <v>bsgg</v>
      </c>
      <c r="C1486" s="4" t="str">
        <f>IFERROR(__xludf.DUMMYFUNCTION("""COMPUTED_VALUE"""),"Betswap.gg")</f>
        <v>Betswap.gg</v>
      </c>
    </row>
    <row r="1487">
      <c r="A1487" s="3" t="str">
        <f>IFERROR(__xludf.DUMMYFUNCTION("""COMPUTED_VALUE"""),"betswirl")</f>
        <v>betswirl</v>
      </c>
      <c r="B1487" s="3" t="str">
        <f>IFERROR(__xludf.DUMMYFUNCTION("""COMPUTED_VALUE"""),"bets")</f>
        <v>bets</v>
      </c>
      <c r="C1487" s="3" t="str">
        <f>IFERROR(__xludf.DUMMYFUNCTION("""COMPUTED_VALUE"""),"BetSwirl")</f>
        <v>BetSwirl</v>
      </c>
    </row>
    <row r="1488">
      <c r="A1488" s="3" t="str">
        <f>IFERROR(__xludf.DUMMYFUNCTION("""COMPUTED_VALUE"""),"betterment-digital")</f>
        <v>betterment-digital</v>
      </c>
      <c r="B1488" s="3" t="str">
        <f>IFERROR(__xludf.DUMMYFUNCTION("""COMPUTED_VALUE"""),"bemd")</f>
        <v>bemd</v>
      </c>
      <c r="C1488" s="3" t="str">
        <f>IFERROR(__xludf.DUMMYFUNCTION("""COMPUTED_VALUE"""),"Betterment Digital")</f>
        <v>Betterment Digital</v>
      </c>
    </row>
    <row r="1489">
      <c r="A1489" s="3" t="str">
        <f>IFERROR(__xludf.DUMMYFUNCTION("""COMPUTED_VALUE"""),"better-money")</f>
        <v>better-money</v>
      </c>
      <c r="B1489" s="3" t="str">
        <f>IFERROR(__xludf.DUMMYFUNCTION("""COMPUTED_VALUE"""),"better")</f>
        <v>better</v>
      </c>
      <c r="C1489" s="3" t="str">
        <f>IFERROR(__xludf.DUMMYFUNCTION("""COMPUTED_VALUE"""),"Better Money")</f>
        <v>Better Money</v>
      </c>
    </row>
    <row r="1490">
      <c r="A1490" s="3" t="str">
        <f>IFERROR(__xludf.DUMMYFUNCTION("""COMPUTED_VALUE"""),"bet-to-earn")</f>
        <v>bet-to-earn</v>
      </c>
      <c r="B1490" s="3" t="str">
        <f>IFERROR(__xludf.DUMMYFUNCTION("""COMPUTED_VALUE"""),"bte")</f>
        <v>bte</v>
      </c>
      <c r="C1490" s="3" t="str">
        <f>IFERROR(__xludf.DUMMYFUNCTION("""COMPUTED_VALUE"""),"Bet To Earn")</f>
        <v>Bet To Earn</v>
      </c>
    </row>
    <row r="1491">
      <c r="A1491" s="3" t="str">
        <f>IFERROR(__xludf.DUMMYFUNCTION("""COMPUTED_VALUE"""),"betu")</f>
        <v>betu</v>
      </c>
      <c r="B1491" s="3" t="str">
        <f>IFERROR(__xludf.DUMMYFUNCTION("""COMPUTED_VALUE"""),"betu")</f>
        <v>betu</v>
      </c>
      <c r="C1491" s="3" t="str">
        <f>IFERROR(__xludf.DUMMYFUNCTION("""COMPUTED_VALUE"""),"Betu")</f>
        <v>Betu</v>
      </c>
    </row>
    <row r="1492">
      <c r="A1492" s="3" t="str">
        <f>IFERROR(__xludf.DUMMYFUNCTION("""COMPUTED_VALUE"""),"beyondcoin")</f>
        <v>beyondcoin</v>
      </c>
      <c r="B1492" s="3" t="str">
        <f>IFERROR(__xludf.DUMMYFUNCTION("""COMPUTED_VALUE"""),"bynd")</f>
        <v>bynd</v>
      </c>
      <c r="C1492" s="3" t="str">
        <f>IFERROR(__xludf.DUMMYFUNCTION("""COMPUTED_VALUE"""),"Beyondcoin")</f>
        <v>Beyondcoin</v>
      </c>
    </row>
    <row r="1493">
      <c r="A1493" s="3" t="str">
        <f>IFERROR(__xludf.DUMMYFUNCTION("""COMPUTED_VALUE"""),"beyond-finance")</f>
        <v>beyond-finance</v>
      </c>
      <c r="B1493" s="3" t="str">
        <f>IFERROR(__xludf.DUMMYFUNCTION("""COMPUTED_VALUE"""),"byn")</f>
        <v>byn</v>
      </c>
      <c r="C1493" s="3" t="str">
        <f>IFERROR(__xludf.DUMMYFUNCTION("""COMPUTED_VALUE"""),"BeyondFi")</f>
        <v>BeyondFi</v>
      </c>
    </row>
    <row r="1494">
      <c r="A1494" s="3" t="str">
        <f>IFERROR(__xludf.DUMMYFUNCTION("""COMPUTED_VALUE"""),"beyondpay")</f>
        <v>beyondpay</v>
      </c>
      <c r="B1494" s="3" t="str">
        <f>IFERROR(__xludf.DUMMYFUNCTION("""COMPUTED_VALUE"""),"bpay")</f>
        <v>bpay</v>
      </c>
      <c r="C1494" s="3" t="str">
        <f>IFERROR(__xludf.DUMMYFUNCTION("""COMPUTED_VALUE"""),"Beyondpay")</f>
        <v>Beyondpay</v>
      </c>
    </row>
    <row r="1495">
      <c r="A1495" s="3" t="str">
        <f>IFERROR(__xludf.DUMMYFUNCTION("""COMPUTED_VALUE"""),"beyond-protocol")</f>
        <v>beyond-protocol</v>
      </c>
      <c r="B1495" s="3" t="str">
        <f>IFERROR(__xludf.DUMMYFUNCTION("""COMPUTED_VALUE"""),"bp")</f>
        <v>bp</v>
      </c>
      <c r="C1495" s="3" t="str">
        <f>IFERROR(__xludf.DUMMYFUNCTION("""COMPUTED_VALUE"""),"Beyond Protocol")</f>
        <v>Beyond Protocol</v>
      </c>
    </row>
    <row r="1496">
      <c r="A1496" s="3" t="str">
        <f>IFERROR(__xludf.DUMMYFUNCTION("""COMPUTED_VALUE"""),"bezant")</f>
        <v>bezant</v>
      </c>
      <c r="B1496" s="3" t="str">
        <f>IFERROR(__xludf.DUMMYFUNCTION("""COMPUTED_VALUE"""),"bznt")</f>
        <v>bznt</v>
      </c>
      <c r="C1496" s="3" t="str">
        <f>IFERROR(__xludf.DUMMYFUNCTION("""COMPUTED_VALUE"""),"Bezant")</f>
        <v>Bezant</v>
      </c>
    </row>
    <row r="1497">
      <c r="A1497" s="3" t="str">
        <f>IFERROR(__xludf.DUMMYFUNCTION("""COMPUTED_VALUE"""),"bezoge-earth")</f>
        <v>bezoge-earth</v>
      </c>
      <c r="B1497" s="3" t="str">
        <f>IFERROR(__xludf.DUMMYFUNCTION("""COMPUTED_VALUE"""),"bezoge")</f>
        <v>bezoge</v>
      </c>
      <c r="C1497" s="3" t="str">
        <f>IFERROR(__xludf.DUMMYFUNCTION("""COMPUTED_VALUE"""),"Bezoge Earth")</f>
        <v>Bezoge Earth</v>
      </c>
    </row>
    <row r="1498">
      <c r="A1498" s="3" t="str">
        <f>IFERROR(__xludf.DUMMYFUNCTION("""COMPUTED_VALUE"""),"bfg-token")</f>
        <v>bfg-token</v>
      </c>
      <c r="B1498" s="3" t="str">
        <f>IFERROR(__xludf.DUMMYFUNCTION("""COMPUTED_VALUE"""),"bfg")</f>
        <v>bfg</v>
      </c>
      <c r="C1498" s="3" t="str">
        <f>IFERROR(__xludf.DUMMYFUNCTION("""COMPUTED_VALUE"""),"BetFury")</f>
        <v>BetFury</v>
      </c>
    </row>
    <row r="1499">
      <c r="A1499" s="3" t="str">
        <f>IFERROR(__xludf.DUMMYFUNCTION("""COMPUTED_VALUE"""),"bficoin")</f>
        <v>bficoin</v>
      </c>
      <c r="B1499" s="3" t="str">
        <f>IFERROR(__xludf.DUMMYFUNCTION("""COMPUTED_VALUE"""),"bfic")</f>
        <v>bfic</v>
      </c>
      <c r="C1499" s="3" t="str">
        <f>IFERROR(__xludf.DUMMYFUNCTION("""COMPUTED_VALUE"""),"Bficoin")</f>
        <v>Bficoin</v>
      </c>
    </row>
    <row r="1500">
      <c r="A1500" s="3" t="str">
        <f>IFERROR(__xludf.DUMMYFUNCTION("""COMPUTED_VALUE"""),"bfk-warzone")</f>
        <v>bfk-warzone</v>
      </c>
      <c r="B1500" s="3" t="str">
        <f>IFERROR(__xludf.DUMMYFUNCTION("""COMPUTED_VALUE"""),"bfk")</f>
        <v>bfk</v>
      </c>
      <c r="C1500" s="3" t="str">
        <f>IFERROR(__xludf.DUMMYFUNCTION("""COMPUTED_VALUE"""),"BFK WARZONE")</f>
        <v>BFK WARZONE</v>
      </c>
    </row>
    <row r="1501">
      <c r="A1501" s="3" t="str">
        <f>IFERROR(__xludf.DUMMYFUNCTION("""COMPUTED_VALUE"""),"bgan-vault-nftx")</f>
        <v>bgan-vault-nftx</v>
      </c>
      <c r="B1501" s="3" t="str">
        <f>IFERROR(__xludf.DUMMYFUNCTION("""COMPUTED_VALUE"""),"bgan")</f>
        <v>bgan</v>
      </c>
      <c r="C1501" s="3" t="str">
        <f>IFERROR(__xludf.DUMMYFUNCTION("""COMPUTED_VALUE"""),"BGAN Vault (NFTX)")</f>
        <v>BGAN Vault (NFTX)</v>
      </c>
    </row>
    <row r="1502">
      <c r="A1502" s="3" t="str">
        <f>IFERROR(__xludf.DUMMYFUNCTION("""COMPUTED_VALUE"""),"bhbd")</f>
        <v>bhbd</v>
      </c>
      <c r="B1502" s="3" t="str">
        <f>IFERROR(__xludf.DUMMYFUNCTION("""COMPUTED_VALUE"""),"bhbd")</f>
        <v>bhbd</v>
      </c>
      <c r="C1502" s="3" t="str">
        <f>IFERROR(__xludf.DUMMYFUNCTION("""COMPUTED_VALUE"""),"bHBD")</f>
        <v>bHBD</v>
      </c>
    </row>
    <row r="1503">
      <c r="A1503" s="3" t="str">
        <f>IFERROR(__xludf.DUMMYFUNCTION("""COMPUTED_VALUE"""),"bhive")</f>
        <v>bhive</v>
      </c>
      <c r="B1503" s="3" t="str">
        <f>IFERROR(__xludf.DUMMYFUNCTION("""COMPUTED_VALUE"""),"bhive")</f>
        <v>bhive</v>
      </c>
      <c r="C1503" s="3" t="str">
        <f>IFERROR(__xludf.DUMMYFUNCTION("""COMPUTED_VALUE"""),"bHIVE")</f>
        <v>bHIVE</v>
      </c>
    </row>
    <row r="1504">
      <c r="A1504" s="3" t="str">
        <f>IFERROR(__xludf.DUMMYFUNCTION("""COMPUTED_VALUE"""),"bhnetwork")</f>
        <v>bhnetwork</v>
      </c>
      <c r="B1504" s="3" t="str">
        <f>IFERROR(__xludf.DUMMYFUNCTION("""COMPUTED_VALUE"""),"bhat")</f>
        <v>bhat</v>
      </c>
      <c r="C1504" s="3" t="str">
        <f>IFERROR(__xludf.DUMMYFUNCTION("""COMPUTED_VALUE"""),"BHNetwork")</f>
        <v>BHNetwork</v>
      </c>
    </row>
    <row r="1505">
      <c r="A1505" s="3" t="str">
        <f>IFERROR(__xludf.DUMMYFUNCTION("""COMPUTED_VALUE"""),"bho-network")</f>
        <v>bho-network</v>
      </c>
      <c r="B1505" s="3" t="str">
        <f>IFERROR(__xludf.DUMMYFUNCTION("""COMPUTED_VALUE"""),"bho")</f>
        <v>bho</v>
      </c>
      <c r="C1505" s="3" t="str">
        <f>IFERROR(__xludf.DUMMYFUNCTION("""COMPUTED_VALUE"""),"BHO Network")</f>
        <v>BHO Network</v>
      </c>
    </row>
    <row r="1506">
      <c r="A1506" s="3" t="str">
        <f>IFERROR(__xludf.DUMMYFUNCTION("""COMPUTED_VALUE"""),"biblecoin")</f>
        <v>biblecoin</v>
      </c>
      <c r="B1506" s="3" t="str">
        <f>IFERROR(__xludf.DUMMYFUNCTION("""COMPUTED_VALUE"""),"bibl")</f>
        <v>bibl</v>
      </c>
      <c r="C1506" s="3" t="str">
        <f>IFERROR(__xludf.DUMMYFUNCTION("""COMPUTED_VALUE"""),"Biblecoin")</f>
        <v>Biblecoin</v>
      </c>
    </row>
    <row r="1507">
      <c r="A1507" s="3" t="str">
        <f>IFERROR(__xludf.DUMMYFUNCTION("""COMPUTED_VALUE"""),"biblepay")</f>
        <v>biblepay</v>
      </c>
      <c r="B1507" s="3" t="str">
        <f>IFERROR(__xludf.DUMMYFUNCTION("""COMPUTED_VALUE"""),"bbp")</f>
        <v>bbp</v>
      </c>
      <c r="C1507" s="3" t="str">
        <f>IFERROR(__xludf.DUMMYFUNCTION("""COMPUTED_VALUE"""),"BiblePay")</f>
        <v>BiblePay</v>
      </c>
    </row>
    <row r="1508">
      <c r="A1508" s="3" t="str">
        <f>IFERROR(__xludf.DUMMYFUNCTION("""COMPUTED_VALUE"""),"bibox-token")</f>
        <v>bibox-token</v>
      </c>
      <c r="B1508" s="3" t="str">
        <f>IFERROR(__xludf.DUMMYFUNCTION("""COMPUTED_VALUE"""),"bix")</f>
        <v>bix</v>
      </c>
      <c r="C1508" s="3" t="str">
        <f>IFERROR(__xludf.DUMMYFUNCTION("""COMPUTED_VALUE"""),"Bibox")</f>
        <v>Bibox</v>
      </c>
    </row>
    <row r="1509">
      <c r="A1509" s="3" t="str">
        <f>IFERROR(__xludf.DUMMYFUNCTION("""COMPUTED_VALUE"""),"biconomy")</f>
        <v>biconomy</v>
      </c>
      <c r="B1509" s="3" t="str">
        <f>IFERROR(__xludf.DUMMYFUNCTION("""COMPUTED_VALUE"""),"bico")</f>
        <v>bico</v>
      </c>
      <c r="C1509" s="3" t="str">
        <f>IFERROR(__xludf.DUMMYFUNCTION("""COMPUTED_VALUE"""),"Biconomy")</f>
        <v>Biconomy</v>
      </c>
    </row>
    <row r="1510">
      <c r="A1510" s="3" t="str">
        <f>IFERROR(__xludf.DUMMYFUNCTION("""COMPUTED_VALUE"""),"biconomy-exchange-token")</f>
        <v>biconomy-exchange-token</v>
      </c>
      <c r="B1510" s="3" t="str">
        <f>IFERROR(__xludf.DUMMYFUNCTION("""COMPUTED_VALUE"""),"bit")</f>
        <v>bit</v>
      </c>
      <c r="C1510" s="3" t="str">
        <f>IFERROR(__xludf.DUMMYFUNCTION("""COMPUTED_VALUE"""),"Biconomy Exchange")</f>
        <v>Biconomy Exchange</v>
      </c>
    </row>
    <row r="1511">
      <c r="A1511" s="3" t="str">
        <f>IFERROR(__xludf.DUMMYFUNCTION("""COMPUTED_VALUE"""),"bictory-finance")</f>
        <v>bictory-finance</v>
      </c>
      <c r="B1511" s="3" t="str">
        <f>IFERROR(__xludf.DUMMYFUNCTION("""COMPUTED_VALUE"""),"bt")</f>
        <v>bt</v>
      </c>
      <c r="C1511" s="3" t="str">
        <f>IFERROR(__xludf.DUMMYFUNCTION("""COMPUTED_VALUE"""),"Bictory Finance")</f>
        <v>Bictory Finance</v>
      </c>
    </row>
    <row r="1512">
      <c r="A1512" s="3" t="str">
        <f>IFERROR(__xludf.DUMMYFUNCTION("""COMPUTED_VALUE"""),"bicyclefi")</f>
        <v>bicyclefi</v>
      </c>
      <c r="B1512" s="3" t="str">
        <f>IFERROR(__xludf.DUMMYFUNCTION("""COMPUTED_VALUE"""),"bcf")</f>
        <v>bcf</v>
      </c>
      <c r="C1512" s="3" t="str">
        <f>IFERROR(__xludf.DUMMYFUNCTION("""COMPUTED_VALUE"""),"BicycleFi")</f>
        <v>BicycleFi</v>
      </c>
    </row>
    <row r="1513">
      <c r="A1513" s="3" t="str">
        <f>IFERROR(__xludf.DUMMYFUNCTION("""COMPUTED_VALUE"""),"bidao")</f>
        <v>bidao</v>
      </c>
      <c r="B1513" s="3" t="str">
        <f>IFERROR(__xludf.DUMMYFUNCTION("""COMPUTED_VALUE"""),"bid")</f>
        <v>bid</v>
      </c>
      <c r="C1513" s="3" t="str">
        <f>IFERROR(__xludf.DUMMYFUNCTION("""COMPUTED_VALUE"""),"Bidao")</f>
        <v>Bidao</v>
      </c>
    </row>
    <row r="1514">
      <c r="A1514" s="3" t="str">
        <f>IFERROR(__xludf.DUMMYFUNCTION("""COMPUTED_VALUE"""),"biden")</f>
        <v>biden</v>
      </c>
      <c r="B1514" s="3" t="str">
        <f>IFERROR(__xludf.DUMMYFUNCTION("""COMPUTED_VALUE"""),"biden")</f>
        <v>biden</v>
      </c>
      <c r="C1514" s="3" t="str">
        <f>IFERROR(__xludf.DUMMYFUNCTION("""COMPUTED_VALUE"""),"BIDEN")</f>
        <v>BIDEN</v>
      </c>
    </row>
    <row r="1515">
      <c r="A1515" s="3" t="str">
        <f>IFERROR(__xludf.DUMMYFUNCTION("""COMPUTED_VALUE"""),"bidipass")</f>
        <v>bidipass</v>
      </c>
      <c r="B1515" s="3" t="str">
        <f>IFERROR(__xludf.DUMMYFUNCTION("""COMPUTED_VALUE"""),"bdp")</f>
        <v>bdp</v>
      </c>
      <c r="C1515" s="3" t="str">
        <f>IFERROR(__xludf.DUMMYFUNCTION("""COMPUTED_VALUE"""),"BidiPass")</f>
        <v>BidiPass</v>
      </c>
    </row>
    <row r="1516">
      <c r="A1516" s="3" t="str">
        <f>IFERROR(__xludf.DUMMYFUNCTION("""COMPUTED_VALUE"""),"bidz-coin")</f>
        <v>bidz-coin</v>
      </c>
      <c r="B1516" s="3" t="str">
        <f>IFERROR(__xludf.DUMMYFUNCTION("""COMPUTED_VALUE"""),"bidz")</f>
        <v>bidz</v>
      </c>
      <c r="C1516" s="3" t="str">
        <f>IFERROR(__xludf.DUMMYFUNCTION("""COMPUTED_VALUE"""),"BIDZ Coin")</f>
        <v>BIDZ Coin</v>
      </c>
    </row>
    <row r="1517">
      <c r="A1517" s="3" t="str">
        <f>IFERROR(__xludf.DUMMYFUNCTION("""COMPUTED_VALUE"""),"bifi")</f>
        <v>bifi</v>
      </c>
      <c r="B1517" s="3" t="str">
        <f>IFERROR(__xludf.DUMMYFUNCTION("""COMPUTED_VALUE"""),"bifi")</f>
        <v>bifi</v>
      </c>
      <c r="C1517" s="3" t="str">
        <f>IFERROR(__xludf.DUMMYFUNCTION("""COMPUTED_VALUE"""),"BiFi")</f>
        <v>BiFi</v>
      </c>
    </row>
    <row r="1518">
      <c r="A1518" s="3" t="str">
        <f>IFERROR(__xludf.DUMMYFUNCTION("""COMPUTED_VALUE"""),"bifrost")</f>
        <v>bifrost</v>
      </c>
      <c r="B1518" s="3" t="str">
        <f>IFERROR(__xludf.DUMMYFUNCTION("""COMPUTED_VALUE"""),"bfc")</f>
        <v>bfc</v>
      </c>
      <c r="C1518" s="3" t="str">
        <f>IFERROR(__xludf.DUMMYFUNCTION("""COMPUTED_VALUE"""),"Bifrost")</f>
        <v>Bifrost</v>
      </c>
    </row>
    <row r="1519">
      <c r="A1519" s="3" t="str">
        <f>IFERROR(__xludf.DUMMYFUNCTION("""COMPUTED_VALUE"""),"bifrost-native-coin")</f>
        <v>bifrost-native-coin</v>
      </c>
      <c r="B1519" s="3" t="str">
        <f>IFERROR(__xludf.DUMMYFUNCTION("""COMPUTED_VALUE"""),"bnc")</f>
        <v>bnc</v>
      </c>
      <c r="C1519" s="3" t="str">
        <f>IFERROR(__xludf.DUMMYFUNCTION("""COMPUTED_VALUE"""),"Bifrost Native Coin")</f>
        <v>Bifrost Native Coin</v>
      </c>
    </row>
    <row r="1520">
      <c r="A1520" s="3" t="str">
        <f>IFERROR(__xludf.DUMMYFUNCTION("""COMPUTED_VALUE"""),"bigbang-core")</f>
        <v>bigbang-core</v>
      </c>
      <c r="B1520" s="3" t="str">
        <f>IFERROR(__xludf.DUMMYFUNCTION("""COMPUTED_VALUE"""),"bbc")</f>
        <v>bbc</v>
      </c>
      <c r="C1520" s="3" t="str">
        <f>IFERROR(__xludf.DUMMYFUNCTION("""COMPUTED_VALUE"""),"BigBang Core")</f>
        <v>BigBang Core</v>
      </c>
    </row>
    <row r="1521">
      <c r="A1521" s="3" t="str">
        <f>IFERROR(__xludf.DUMMYFUNCTION("""COMPUTED_VALUE"""),"bigbang-game")</f>
        <v>bigbang-game</v>
      </c>
      <c r="B1521" s="3" t="str">
        <f>IFERROR(__xludf.DUMMYFUNCTION("""COMPUTED_VALUE"""),"bbgc")</f>
        <v>bbgc</v>
      </c>
      <c r="C1521" s="3" t="str">
        <f>IFERROR(__xludf.DUMMYFUNCTION("""COMPUTED_VALUE"""),"BigBang Game")</f>
        <v>BigBang Game</v>
      </c>
    </row>
    <row r="1522">
      <c r="A1522" s="3" t="str">
        <f>IFERROR(__xludf.DUMMYFUNCTION("""COMPUTED_VALUE"""),"bigbom-eco")</f>
        <v>bigbom-eco</v>
      </c>
      <c r="B1522" s="3" t="str">
        <f>IFERROR(__xludf.DUMMYFUNCTION("""COMPUTED_VALUE"""),"bbo")</f>
        <v>bbo</v>
      </c>
      <c r="C1522" s="3" t="str">
        <f>IFERROR(__xludf.DUMMYFUNCTION("""COMPUTED_VALUE"""),"Bigbom")</f>
        <v>Bigbom</v>
      </c>
    </row>
    <row r="1523">
      <c r="A1523" s="3" t="str">
        <f>IFERROR(__xludf.DUMMYFUNCTION("""COMPUTED_VALUE"""),"bigdata-cash")</f>
        <v>bigdata-cash</v>
      </c>
      <c r="B1523" s="3" t="str">
        <f>IFERROR(__xludf.DUMMYFUNCTION("""COMPUTED_VALUE"""),"bdcash")</f>
        <v>bdcash</v>
      </c>
      <c r="C1523" s="3" t="str">
        <f>IFERROR(__xludf.DUMMYFUNCTION("""COMPUTED_VALUE"""),"BigdataCash")</f>
        <v>BigdataCash</v>
      </c>
    </row>
    <row r="1524">
      <c r="A1524" s="3" t="str">
        <f>IFERROR(__xludf.DUMMYFUNCTION("""COMPUTED_VALUE"""),"big-data-protocol")</f>
        <v>big-data-protocol</v>
      </c>
      <c r="B1524" s="3" t="str">
        <f>IFERROR(__xludf.DUMMYFUNCTION("""COMPUTED_VALUE"""),"bdp")</f>
        <v>bdp</v>
      </c>
      <c r="C1524" s="3" t="str">
        <f>IFERROR(__xludf.DUMMYFUNCTION("""COMPUTED_VALUE"""),"Big Data Protocol")</f>
        <v>Big Data Protocol</v>
      </c>
    </row>
    <row r="1525">
      <c r="A1525" s="3" t="str">
        <f>IFERROR(__xludf.DUMMYFUNCTION("""COMPUTED_VALUE"""),"big-defi-energy")</f>
        <v>big-defi-energy</v>
      </c>
      <c r="B1525" s="3" t="str">
        <f>IFERROR(__xludf.DUMMYFUNCTION("""COMPUTED_VALUE"""),"bde")</f>
        <v>bde</v>
      </c>
      <c r="C1525" s="3" t="str">
        <f>IFERROR(__xludf.DUMMYFUNCTION("""COMPUTED_VALUE"""),"Big Defi Energy")</f>
        <v>Big Defi Energy</v>
      </c>
    </row>
    <row r="1526">
      <c r="A1526" s="3" t="str">
        <f>IFERROR(__xludf.DUMMYFUNCTION("""COMPUTED_VALUE"""),"big-digital-shares")</f>
        <v>big-digital-shares</v>
      </c>
      <c r="B1526" s="3" t="str">
        <f>IFERROR(__xludf.DUMMYFUNCTION("""COMPUTED_VALUE"""),"bds")</f>
        <v>bds</v>
      </c>
      <c r="C1526" s="3" t="str">
        <f>IFERROR(__xludf.DUMMYFUNCTION("""COMPUTED_VALUE"""),"Big Digital Shares")</f>
        <v>Big Digital Shares</v>
      </c>
    </row>
    <row r="1527">
      <c r="A1527" s="3" t="str">
        <f>IFERROR(__xludf.DUMMYFUNCTION("""COMPUTED_VALUE"""),"big-dog-coin")</f>
        <v>big-dog-coin</v>
      </c>
      <c r="B1527" s="3" t="str">
        <f>IFERROR(__xludf.DUMMYFUNCTION("""COMPUTED_VALUE"""),"bdog")</f>
        <v>bdog</v>
      </c>
      <c r="C1527" s="3" t="str">
        <f>IFERROR(__xludf.DUMMYFUNCTION("""COMPUTED_VALUE"""),"Big Dog Coin")</f>
        <v>Big Dog Coin</v>
      </c>
    </row>
    <row r="1528">
      <c r="A1528" s="3" t="str">
        <f>IFERROR(__xludf.DUMMYFUNCTION("""COMPUTED_VALUE"""),"big-eth")</f>
        <v>big-eth</v>
      </c>
      <c r="B1528" s="3" t="str">
        <f>IFERROR(__xludf.DUMMYFUNCTION("""COMPUTED_VALUE"""),"bigeth")</f>
        <v>bigeth</v>
      </c>
      <c r="C1528" s="3" t="str">
        <f>IFERROR(__xludf.DUMMYFUNCTION("""COMPUTED_VALUE"""),"BIG ETH")</f>
        <v>BIG ETH</v>
      </c>
    </row>
    <row r="1529">
      <c r="A1529" s="3" t="str">
        <f>IFERROR(__xludf.DUMMYFUNCTION("""COMPUTED_VALUE"""),"bigfoot")</f>
        <v>bigfoot</v>
      </c>
      <c r="B1529" s="3" t="str">
        <f>IFERROR(__xludf.DUMMYFUNCTION("""COMPUTED_VALUE"""),"foot")</f>
        <v>foot</v>
      </c>
      <c r="C1529" s="3" t="str">
        <f>IFERROR(__xludf.DUMMYFUNCTION("""COMPUTED_VALUE"""),"BIGFOOT")</f>
        <v>BIGFOOT</v>
      </c>
    </row>
    <row r="1530">
      <c r="A1530" s="3" t="str">
        <f>IFERROR(__xludf.DUMMYFUNCTION("""COMPUTED_VALUE"""),"biggerminds")</f>
        <v>biggerminds</v>
      </c>
      <c r="B1530" s="3" t="str">
        <f>IFERROR(__xludf.DUMMYFUNCTION("""COMPUTED_VALUE"""),"mind+")</f>
        <v>mind+</v>
      </c>
      <c r="C1530" s="3" t="str">
        <f>IFERROR(__xludf.DUMMYFUNCTION("""COMPUTED_VALUE"""),"BiggerMINDS")</f>
        <v>BiggerMINDS</v>
      </c>
    </row>
    <row r="1531">
      <c r="A1531" s="3" t="str">
        <f>IFERROR(__xludf.DUMMYFUNCTION("""COMPUTED_VALUE"""),"bigh-bull")</f>
        <v>bigh-bull</v>
      </c>
      <c r="B1531" s="3" t="str">
        <f>IFERROR(__xludf.DUMMYFUNCTION("""COMPUTED_VALUE"""),"bigb")</f>
        <v>bigb</v>
      </c>
      <c r="C1531" s="3" t="str">
        <f>IFERROR(__xludf.DUMMYFUNCTION("""COMPUTED_VALUE"""),"Bigh Bull")</f>
        <v>Bigh Bull</v>
      </c>
    </row>
    <row r="1532">
      <c r="A1532" s="3" t="str">
        <f>IFERROR(__xludf.DUMMYFUNCTION("""COMPUTED_VALUE"""),"big-league")</f>
        <v>big-league</v>
      </c>
      <c r="B1532" s="3" t="str">
        <f>IFERROR(__xludf.DUMMYFUNCTION("""COMPUTED_VALUE"""),"bglg")</f>
        <v>bglg</v>
      </c>
      <c r="C1532" s="3" t="str">
        <f>IFERROR(__xludf.DUMMYFUNCTION("""COMPUTED_VALUE"""),"Big League")</f>
        <v>Big League</v>
      </c>
    </row>
    <row r="1533">
      <c r="A1533" s="3" t="str">
        <f>IFERROR(__xludf.DUMMYFUNCTION("""COMPUTED_VALUE"""),"bigo-token")</f>
        <v>bigo-token</v>
      </c>
      <c r="B1533" s="3" t="str">
        <f>IFERROR(__xludf.DUMMYFUNCTION("""COMPUTED_VALUE"""),"bigo")</f>
        <v>bigo</v>
      </c>
      <c r="C1533" s="3" t="str">
        <f>IFERROR(__xludf.DUMMYFUNCTION("""COMPUTED_VALUE"""),"BIGOCOIN")</f>
        <v>BIGOCOIN</v>
      </c>
    </row>
    <row r="1534">
      <c r="A1534" s="3" t="str">
        <f>IFERROR(__xludf.DUMMYFUNCTION("""COMPUTED_VALUE"""),"bigshortbets")</f>
        <v>bigshortbets</v>
      </c>
      <c r="B1534" s="3" t="str">
        <f>IFERROR(__xludf.DUMMYFUNCTION("""COMPUTED_VALUE"""),"bigsb")</f>
        <v>bigsb</v>
      </c>
      <c r="C1534" s="3" t="str">
        <f>IFERROR(__xludf.DUMMYFUNCTION("""COMPUTED_VALUE"""),"BigShortBets")</f>
        <v>BigShortBets</v>
      </c>
    </row>
    <row r="1535">
      <c r="A1535" s="3" t="str">
        <f>IFERROR(__xludf.DUMMYFUNCTION("""COMPUTED_VALUE"""),"big-turn")</f>
        <v>big-turn</v>
      </c>
      <c r="B1535" s="3" t="str">
        <f>IFERROR(__xludf.DUMMYFUNCTION("""COMPUTED_VALUE"""),"turn")</f>
        <v>turn</v>
      </c>
      <c r="C1535" s="3" t="str">
        <f>IFERROR(__xludf.DUMMYFUNCTION("""COMPUTED_VALUE"""),"Big Turn")</f>
        <v>Big Turn</v>
      </c>
    </row>
    <row r="1536">
      <c r="A1536" s="3" t="str">
        <f>IFERROR(__xludf.DUMMYFUNCTION("""COMPUTED_VALUE"""),"bigwinner")</f>
        <v>bigwinner</v>
      </c>
      <c r="B1536" s="3" t="str">
        <f>IFERROR(__xludf.DUMMYFUNCTION("""COMPUTED_VALUE"""),"big")</f>
        <v>big</v>
      </c>
      <c r="C1536" s="3" t="str">
        <f>IFERROR(__xludf.DUMMYFUNCTION("""COMPUTED_VALUE"""),"Bigwinner")</f>
        <v>Bigwinner</v>
      </c>
    </row>
    <row r="1537">
      <c r="A1537" s="3" t="str">
        <f>IFERROR(__xludf.DUMMYFUNCTION("""COMPUTED_VALUE"""),"biitgatti")</f>
        <v>biitgatti</v>
      </c>
      <c r="B1537" s="3" t="str">
        <f>IFERROR(__xludf.DUMMYFUNCTION("""COMPUTED_VALUE"""),"bitgatti")</f>
        <v>bitgatti</v>
      </c>
      <c r="C1537" s="3" t="str">
        <f>IFERROR(__xludf.DUMMYFUNCTION("""COMPUTED_VALUE"""),"Bitgatti")</f>
        <v>Bitgatti</v>
      </c>
    </row>
    <row r="1538">
      <c r="A1538" s="3" t="str">
        <f>IFERROR(__xludf.DUMMYFUNCTION("""COMPUTED_VALUE"""),"bikerush")</f>
        <v>bikerush</v>
      </c>
      <c r="B1538" s="3" t="str">
        <f>IFERROR(__xludf.DUMMYFUNCTION("""COMPUTED_VALUE"""),"brt")</f>
        <v>brt</v>
      </c>
      <c r="C1538" s="3" t="str">
        <f>IFERROR(__xludf.DUMMYFUNCTION("""COMPUTED_VALUE"""),"Bikerush")</f>
        <v>Bikerush</v>
      </c>
    </row>
    <row r="1539">
      <c r="A1539" s="3" t="str">
        <f>IFERROR(__xludf.DUMMYFUNCTION("""COMPUTED_VALUE"""),"bilira")</f>
        <v>bilira</v>
      </c>
      <c r="B1539" s="3" t="str">
        <f>IFERROR(__xludf.DUMMYFUNCTION("""COMPUTED_VALUE"""),"tryb")</f>
        <v>tryb</v>
      </c>
      <c r="C1539" s="3" t="str">
        <f>IFERROR(__xludf.DUMMYFUNCTION("""COMPUTED_VALUE"""),"BiLira")</f>
        <v>BiLira</v>
      </c>
    </row>
    <row r="1540">
      <c r="A1540" s="3" t="str">
        <f>IFERROR(__xludf.DUMMYFUNCTION("""COMPUTED_VALUE"""),"billionaire-plus")</f>
        <v>billionaire-plus</v>
      </c>
      <c r="B1540" s="3" t="str">
        <f>IFERROR(__xludf.DUMMYFUNCTION("""COMPUTED_VALUE"""),"bplus")</f>
        <v>bplus</v>
      </c>
      <c r="C1540" s="3" t="str">
        <f>IFERROR(__xludf.DUMMYFUNCTION("""COMPUTED_VALUE"""),"Billionaire Plus")</f>
        <v>Billionaire Plus</v>
      </c>
    </row>
    <row r="1541">
      <c r="A1541" s="3" t="str">
        <f>IFERROR(__xludf.DUMMYFUNCTION("""COMPUTED_VALUE"""),"billionhappiness")</f>
        <v>billionhappiness</v>
      </c>
      <c r="B1541" s="3" t="str">
        <f>IFERROR(__xludf.DUMMYFUNCTION("""COMPUTED_VALUE"""),"bhc")</f>
        <v>bhc</v>
      </c>
      <c r="C1541" s="3" t="str">
        <f>IFERROR(__xludf.DUMMYFUNCTION("""COMPUTED_VALUE"""),"BillionHappiness")</f>
        <v>BillionHappiness</v>
      </c>
    </row>
    <row r="1542">
      <c r="A1542" s="3" t="str">
        <f>IFERROR(__xludf.DUMMYFUNCTION("""COMPUTED_VALUE"""),"bill-murray-inu")</f>
        <v>bill-murray-inu</v>
      </c>
      <c r="B1542" s="3" t="str">
        <f>IFERROR(__xludf.DUMMYFUNCTION("""COMPUTED_VALUE"""),"$bminu")</f>
        <v>$bminu</v>
      </c>
      <c r="C1542" s="3" t="str">
        <f>IFERROR(__xludf.DUMMYFUNCTION("""COMPUTED_VALUE"""),"Bill Murray Inu")</f>
        <v>Bill Murray Inu</v>
      </c>
    </row>
    <row r="1543">
      <c r="A1543" s="3" t="str">
        <f>IFERROR(__xludf.DUMMYFUNCTION("""COMPUTED_VALUE"""),"bill-token")</f>
        <v>bill-token</v>
      </c>
      <c r="B1543" s="3" t="str">
        <f>IFERROR(__xludf.DUMMYFUNCTION("""COMPUTED_VALUE"""),"bill")</f>
        <v>bill</v>
      </c>
      <c r="C1543" s="3" t="str">
        <f>IFERROR(__xludf.DUMMYFUNCTION("""COMPUTED_VALUE"""),"Bill")</f>
        <v>Bill</v>
      </c>
    </row>
    <row r="1544">
      <c r="A1544" s="3" t="str">
        <f>IFERROR(__xludf.DUMMYFUNCTION("""COMPUTED_VALUE"""),"binahero")</f>
        <v>binahero</v>
      </c>
      <c r="B1544" s="3" t="str">
        <f>IFERROR(__xludf.DUMMYFUNCTION("""COMPUTED_VALUE"""),"hero")</f>
        <v>hero</v>
      </c>
      <c r="C1544" s="3" t="str">
        <f>IFERROR(__xludf.DUMMYFUNCTION("""COMPUTED_VALUE"""),"BinaHero")</f>
        <v>BinaHero</v>
      </c>
    </row>
    <row r="1545">
      <c r="A1545" s="3" t="str">
        <f>IFERROR(__xludf.DUMMYFUNCTION("""COMPUTED_VALUE"""),"binamon")</f>
        <v>binamon</v>
      </c>
      <c r="B1545" s="3" t="str">
        <f>IFERROR(__xludf.DUMMYFUNCTION("""COMPUTED_VALUE"""),"bmon")</f>
        <v>bmon</v>
      </c>
      <c r="C1545" s="3" t="str">
        <f>IFERROR(__xludf.DUMMYFUNCTION("""COMPUTED_VALUE"""),"Binamon")</f>
        <v>Binamon</v>
      </c>
    </row>
    <row r="1546">
      <c r="A1546" s="3" t="str">
        <f>IFERROR(__xludf.DUMMYFUNCTION("""COMPUTED_VALUE"""),"binance8")</f>
        <v>binance8</v>
      </c>
      <c r="B1546" s="3" t="str">
        <f>IFERROR(__xludf.DUMMYFUNCTION("""COMPUTED_VALUE"""),"b8")</f>
        <v>b8</v>
      </c>
      <c r="C1546" s="3" t="str">
        <f>IFERROR(__xludf.DUMMYFUNCTION("""COMPUTED_VALUE"""),"Binance8")</f>
        <v>Binance8</v>
      </c>
    </row>
    <row r="1547">
      <c r="A1547" s="3" t="str">
        <f>IFERROR(__xludf.DUMMYFUNCTION("""COMPUTED_VALUE"""),"binance-bitcoin")</f>
        <v>binance-bitcoin</v>
      </c>
      <c r="B1547" s="3" t="str">
        <f>IFERROR(__xludf.DUMMYFUNCTION("""COMPUTED_VALUE"""),"btcb")</f>
        <v>btcb</v>
      </c>
      <c r="C1547" s="3" t="str">
        <f>IFERROR(__xludf.DUMMYFUNCTION("""COMPUTED_VALUE"""),"Binance Bitcoin")</f>
        <v>Binance Bitcoin</v>
      </c>
    </row>
    <row r="1548">
      <c r="A1548" s="3" t="str">
        <f>IFERROR(__xludf.DUMMYFUNCTION("""COMPUTED_VALUE"""),"binancecoin")</f>
        <v>binancecoin</v>
      </c>
      <c r="B1548" s="3" t="str">
        <f>IFERROR(__xludf.DUMMYFUNCTION("""COMPUTED_VALUE"""),"bnb")</f>
        <v>bnb</v>
      </c>
      <c r="C1548" s="3" t="str">
        <f>IFERROR(__xludf.DUMMYFUNCTION("""COMPUTED_VALUE"""),"BNB")</f>
        <v>BNB</v>
      </c>
    </row>
    <row r="1549">
      <c r="A1549" s="3" t="str">
        <f>IFERROR(__xludf.DUMMYFUNCTION("""COMPUTED_VALUE"""),"binance-coin-wormhole")</f>
        <v>binance-coin-wormhole</v>
      </c>
      <c r="B1549" s="3" t="str">
        <f>IFERROR(__xludf.DUMMYFUNCTION("""COMPUTED_VALUE"""),"bnb")</f>
        <v>bnb</v>
      </c>
      <c r="C1549" s="3" t="str">
        <f>IFERROR(__xludf.DUMMYFUNCTION("""COMPUTED_VALUE"""),"Binance Coin (Wormhole)")</f>
        <v>Binance Coin (Wormhole)</v>
      </c>
    </row>
    <row r="1550">
      <c r="A1550" s="3" t="str">
        <f>IFERROR(__xludf.DUMMYFUNCTION("""COMPUTED_VALUE"""),"binance-eth")</f>
        <v>binance-eth</v>
      </c>
      <c r="B1550" s="3" t="str">
        <f>IFERROR(__xludf.DUMMYFUNCTION("""COMPUTED_VALUE"""),"beth")</f>
        <v>beth</v>
      </c>
      <c r="C1550" s="3" t="str">
        <f>IFERROR(__xludf.DUMMYFUNCTION("""COMPUTED_VALUE"""),"Binance ETH staking")</f>
        <v>Binance ETH staking</v>
      </c>
    </row>
    <row r="1551">
      <c r="A1551" s="3" t="str">
        <f>IFERROR(__xludf.DUMMYFUNCTION("""COMPUTED_VALUE"""),"binancehodl")</f>
        <v>binancehodl</v>
      </c>
      <c r="B1551" s="3" t="str">
        <f>IFERROR(__xludf.DUMMYFUNCTION("""COMPUTED_VALUE"""),"bihodl")</f>
        <v>bihodl</v>
      </c>
      <c r="C1551" s="3" t="str">
        <f>IFERROR(__xludf.DUMMYFUNCTION("""COMPUTED_VALUE"""),"BinanceHODL")</f>
        <v>BinanceHODL</v>
      </c>
    </row>
    <row r="1552">
      <c r="A1552" s="3" t="str">
        <f>IFERROR(__xludf.DUMMYFUNCTION("""COMPUTED_VALUE"""),"binanceidr")</f>
        <v>binanceidr</v>
      </c>
      <c r="B1552" s="3" t="str">
        <f>IFERROR(__xludf.DUMMYFUNCTION("""COMPUTED_VALUE"""),"bidr")</f>
        <v>bidr</v>
      </c>
      <c r="C1552" s="3" t="str">
        <f>IFERROR(__xludf.DUMMYFUNCTION("""COMPUTED_VALUE"""),"BIDR")</f>
        <v>BIDR</v>
      </c>
    </row>
    <row r="1553">
      <c r="A1553" s="3" t="str">
        <f>IFERROR(__xludf.DUMMYFUNCTION("""COMPUTED_VALUE"""),"binance-multi-chain-capital")</f>
        <v>binance-multi-chain-capital</v>
      </c>
      <c r="B1553" s="3" t="str">
        <f>IFERROR(__xludf.DUMMYFUNCTION("""COMPUTED_VALUE"""),"bmcc")</f>
        <v>bmcc</v>
      </c>
      <c r="C1553" s="3" t="str">
        <f>IFERROR(__xludf.DUMMYFUNCTION("""COMPUTED_VALUE"""),"Binance Multi-Chain Capital")</f>
        <v>Binance Multi-Chain Capital</v>
      </c>
    </row>
    <row r="1554">
      <c r="A1554" s="3" t="str">
        <f>IFERROR(__xludf.DUMMYFUNCTION("""COMPUTED_VALUE"""),"binance-peg-avalanche")</f>
        <v>binance-peg-avalanche</v>
      </c>
      <c r="B1554" s="3" t="str">
        <f>IFERROR(__xludf.DUMMYFUNCTION("""COMPUTED_VALUE"""),"avax")</f>
        <v>avax</v>
      </c>
      <c r="C1554" s="3" t="str">
        <f>IFERROR(__xludf.DUMMYFUNCTION("""COMPUTED_VALUE"""),"Binance-Peg Avalanche")</f>
        <v>Binance-Peg Avalanche</v>
      </c>
    </row>
    <row r="1555">
      <c r="A1555" s="3" t="str">
        <f>IFERROR(__xludf.DUMMYFUNCTION("""COMPUTED_VALUE"""),"binance-peg-bitcoin-cash")</f>
        <v>binance-peg-bitcoin-cash</v>
      </c>
      <c r="B1555" s="3" t="str">
        <f>IFERROR(__xludf.DUMMYFUNCTION("""COMPUTED_VALUE"""),"bch")</f>
        <v>bch</v>
      </c>
      <c r="C1555" s="3" t="str">
        <f>IFERROR(__xludf.DUMMYFUNCTION("""COMPUTED_VALUE"""),"Binance-Peg Bitcoin Cash")</f>
        <v>Binance-Peg Bitcoin Cash</v>
      </c>
    </row>
    <row r="1556">
      <c r="A1556" s="3" t="str">
        <f>IFERROR(__xludf.DUMMYFUNCTION("""COMPUTED_VALUE"""),"binance-peg-cardano")</f>
        <v>binance-peg-cardano</v>
      </c>
      <c r="B1556" s="3" t="str">
        <f>IFERROR(__xludf.DUMMYFUNCTION("""COMPUTED_VALUE"""),"ada")</f>
        <v>ada</v>
      </c>
      <c r="C1556" s="3" t="str">
        <f>IFERROR(__xludf.DUMMYFUNCTION("""COMPUTED_VALUE"""),"Binance-Peg Cardano")</f>
        <v>Binance-Peg Cardano</v>
      </c>
    </row>
    <row r="1557">
      <c r="A1557" s="3" t="str">
        <f>IFERROR(__xludf.DUMMYFUNCTION("""COMPUTED_VALUE"""),"binance-peg-dogecoin")</f>
        <v>binance-peg-dogecoin</v>
      </c>
      <c r="B1557" s="3" t="str">
        <f>IFERROR(__xludf.DUMMYFUNCTION("""COMPUTED_VALUE"""),"doge")</f>
        <v>doge</v>
      </c>
      <c r="C1557" s="3" t="str">
        <f>IFERROR(__xludf.DUMMYFUNCTION("""COMPUTED_VALUE"""),"Binance-Peg Dogecoin")</f>
        <v>Binance-Peg Dogecoin</v>
      </c>
    </row>
    <row r="1558">
      <c r="A1558" s="3" t="str">
        <f>IFERROR(__xludf.DUMMYFUNCTION("""COMPUTED_VALUE"""),"binance-peg-eos")</f>
        <v>binance-peg-eos</v>
      </c>
      <c r="B1558" s="3" t="str">
        <f>IFERROR(__xludf.DUMMYFUNCTION("""COMPUTED_VALUE"""),"eos")</f>
        <v>eos</v>
      </c>
      <c r="C1558" s="3" t="str">
        <f>IFERROR(__xludf.DUMMYFUNCTION("""COMPUTED_VALUE"""),"Binance-Peg EOS")</f>
        <v>Binance-Peg EOS</v>
      </c>
    </row>
    <row r="1559">
      <c r="A1559" s="3" t="str">
        <f>IFERROR(__xludf.DUMMYFUNCTION("""COMPUTED_VALUE"""),"binance-peg-filecoin")</f>
        <v>binance-peg-filecoin</v>
      </c>
      <c r="B1559" s="3" t="str">
        <f>IFERROR(__xludf.DUMMYFUNCTION("""COMPUTED_VALUE"""),"fil")</f>
        <v>fil</v>
      </c>
      <c r="C1559" s="3" t="str">
        <f>IFERROR(__xludf.DUMMYFUNCTION("""COMPUTED_VALUE"""),"Binance-Peg Filecoin")</f>
        <v>Binance-Peg Filecoin</v>
      </c>
    </row>
    <row r="1560">
      <c r="A1560" s="3" t="str">
        <f>IFERROR(__xludf.DUMMYFUNCTION("""COMPUTED_VALUE"""),"binance-peg-firo")</f>
        <v>binance-peg-firo</v>
      </c>
      <c r="B1560" s="3" t="str">
        <f>IFERROR(__xludf.DUMMYFUNCTION("""COMPUTED_VALUE"""),"firo")</f>
        <v>firo</v>
      </c>
      <c r="C1560" s="3" t="str">
        <f>IFERROR(__xludf.DUMMYFUNCTION("""COMPUTED_VALUE"""),"Binance-Peg Firo")</f>
        <v>Binance-Peg Firo</v>
      </c>
    </row>
    <row r="1561">
      <c r="A1561" s="3" t="str">
        <f>IFERROR(__xludf.DUMMYFUNCTION("""COMPUTED_VALUE"""),"binance-peg-iotex")</f>
        <v>binance-peg-iotex</v>
      </c>
      <c r="B1561" s="3" t="str">
        <f>IFERROR(__xludf.DUMMYFUNCTION("""COMPUTED_VALUE"""),"iotx")</f>
        <v>iotx</v>
      </c>
      <c r="C1561" s="3" t="str">
        <f>IFERROR(__xludf.DUMMYFUNCTION("""COMPUTED_VALUE"""),"Binance-Peg IoTeX")</f>
        <v>Binance-Peg IoTeX</v>
      </c>
    </row>
    <row r="1562">
      <c r="A1562" s="3" t="str">
        <f>IFERROR(__xludf.DUMMYFUNCTION("""COMPUTED_VALUE"""),"binance-peg-litecoin")</f>
        <v>binance-peg-litecoin</v>
      </c>
      <c r="B1562" s="3" t="str">
        <f>IFERROR(__xludf.DUMMYFUNCTION("""COMPUTED_VALUE"""),"ltc")</f>
        <v>ltc</v>
      </c>
      <c r="C1562" s="3" t="str">
        <f>IFERROR(__xludf.DUMMYFUNCTION("""COMPUTED_VALUE"""),"Binance-Peg Litecoin")</f>
        <v>Binance-Peg Litecoin</v>
      </c>
    </row>
    <row r="1563">
      <c r="A1563" s="3" t="str">
        <f>IFERROR(__xludf.DUMMYFUNCTION("""COMPUTED_VALUE"""),"binance-peg-ontology")</f>
        <v>binance-peg-ontology</v>
      </c>
      <c r="B1563" s="3" t="str">
        <f>IFERROR(__xludf.DUMMYFUNCTION("""COMPUTED_VALUE"""),"ont")</f>
        <v>ont</v>
      </c>
      <c r="C1563" s="3" t="str">
        <f>IFERROR(__xludf.DUMMYFUNCTION("""COMPUTED_VALUE"""),"Binance-Peg Ontology")</f>
        <v>Binance-Peg Ontology</v>
      </c>
    </row>
    <row r="1564">
      <c r="A1564" s="3" t="str">
        <f>IFERROR(__xludf.DUMMYFUNCTION("""COMPUTED_VALUE"""),"binance-peg-polkadot")</f>
        <v>binance-peg-polkadot</v>
      </c>
      <c r="B1564" s="3" t="str">
        <f>IFERROR(__xludf.DUMMYFUNCTION("""COMPUTED_VALUE"""),"dot")</f>
        <v>dot</v>
      </c>
      <c r="C1564" s="3" t="str">
        <f>IFERROR(__xludf.DUMMYFUNCTION("""COMPUTED_VALUE"""),"Binance-Peg Polkadot")</f>
        <v>Binance-Peg Polkadot</v>
      </c>
    </row>
    <row r="1565">
      <c r="A1565" s="3" t="str">
        <f>IFERROR(__xludf.DUMMYFUNCTION("""COMPUTED_VALUE"""),"binance-peg-xrp")</f>
        <v>binance-peg-xrp</v>
      </c>
      <c r="B1565" s="3" t="str">
        <f>IFERROR(__xludf.DUMMYFUNCTION("""COMPUTED_VALUE"""),"xrp")</f>
        <v>xrp</v>
      </c>
      <c r="C1565" s="3" t="str">
        <f>IFERROR(__xludf.DUMMYFUNCTION("""COMPUTED_VALUE"""),"Binance-Peg XRP")</f>
        <v>Binance-Peg XRP</v>
      </c>
    </row>
    <row r="1566">
      <c r="A1566" s="3" t="str">
        <f>IFERROR(__xludf.DUMMYFUNCTION("""COMPUTED_VALUE"""),"binance-smart-chain-girl")</f>
        <v>binance-smart-chain-girl</v>
      </c>
      <c r="B1566" s="3" t="str">
        <f>IFERROR(__xludf.DUMMYFUNCTION("""COMPUTED_VALUE"""),"bscgirl")</f>
        <v>bscgirl</v>
      </c>
      <c r="C1566" s="3" t="str">
        <f>IFERROR(__xludf.DUMMYFUNCTION("""COMPUTED_VALUE"""),"Binance Smart Chain Girl")</f>
        <v>Binance Smart Chain Girl</v>
      </c>
    </row>
    <row r="1567">
      <c r="A1567" s="3" t="str">
        <f>IFERROR(__xludf.DUMMYFUNCTION("""COMPUTED_VALUE"""),"binance-usd")</f>
        <v>binance-usd</v>
      </c>
      <c r="B1567" s="3" t="str">
        <f>IFERROR(__xludf.DUMMYFUNCTION("""COMPUTED_VALUE"""),"busd")</f>
        <v>busd</v>
      </c>
      <c r="C1567" s="3" t="str">
        <f>IFERROR(__xludf.DUMMYFUNCTION("""COMPUTED_VALUE"""),"Binance USD")</f>
        <v>Binance USD</v>
      </c>
    </row>
    <row r="1568">
      <c r="A1568" s="3" t="str">
        <f>IFERROR(__xludf.DUMMYFUNCTION("""COMPUTED_VALUE"""),"binance-wrapped-btc")</f>
        <v>binance-wrapped-btc</v>
      </c>
      <c r="B1568" s="3" t="str">
        <f>IFERROR(__xludf.DUMMYFUNCTION("""COMPUTED_VALUE"""),"bbtc")</f>
        <v>bbtc</v>
      </c>
      <c r="C1568" s="3" t="str">
        <f>IFERROR(__xludf.DUMMYFUNCTION("""COMPUTED_VALUE"""),"Binance Wrapped BTC")</f>
        <v>Binance Wrapped BTC</v>
      </c>
    </row>
    <row r="1569">
      <c r="A1569" s="3" t="str">
        <f>IFERROR(__xludf.DUMMYFUNCTION("""COMPUTED_VALUE"""),"binance-wrapped-dot")</f>
        <v>binance-wrapped-dot</v>
      </c>
      <c r="B1569" s="3" t="str">
        <f>IFERROR(__xludf.DUMMYFUNCTION("""COMPUTED_VALUE"""),"bdot")</f>
        <v>bdot</v>
      </c>
      <c r="C1569" s="3" t="str">
        <f>IFERROR(__xludf.DUMMYFUNCTION("""COMPUTED_VALUE"""),"Binance Wrapped DOT")</f>
        <v>Binance Wrapped DOT</v>
      </c>
    </row>
    <row r="1570">
      <c r="A1570" s="3" t="str">
        <f>IFERROR(__xludf.DUMMYFUNCTION("""COMPUTED_VALUE"""),"binapet")</f>
        <v>binapet</v>
      </c>
      <c r="B1570" s="3" t="str">
        <f>IFERROR(__xludf.DUMMYFUNCTION("""COMPUTED_VALUE"""),"bpet")</f>
        <v>bpet</v>
      </c>
      <c r="C1570" s="3" t="str">
        <f>IFERROR(__xludf.DUMMYFUNCTION("""COMPUTED_VALUE"""),"Binapet")</f>
        <v>Binapet</v>
      </c>
    </row>
    <row r="1571">
      <c r="A1571" s="3" t="str">
        <f>IFERROR(__xludf.DUMMYFUNCTION("""COMPUTED_VALUE"""),"binarydao")</f>
        <v>binarydao</v>
      </c>
      <c r="B1571" s="3" t="str">
        <f>IFERROR(__xludf.DUMMYFUNCTION("""COMPUTED_VALUE"""),"byte")</f>
        <v>byte</v>
      </c>
      <c r="C1571" s="3" t="str">
        <f>IFERROR(__xludf.DUMMYFUNCTION("""COMPUTED_VALUE"""),"BinaryDAO")</f>
        <v>BinaryDAO</v>
      </c>
    </row>
    <row r="1572">
      <c r="A1572" s="3" t="str">
        <f>IFERROR(__xludf.DUMMYFUNCTION("""COMPUTED_VALUE"""),"binaryx")</f>
        <v>binaryx</v>
      </c>
      <c r="B1572" s="3" t="str">
        <f>IFERROR(__xludf.DUMMYFUNCTION("""COMPUTED_VALUE"""),"bnx")</f>
        <v>bnx</v>
      </c>
      <c r="C1572" s="3" t="str">
        <f>IFERROR(__xludf.DUMMYFUNCTION("""COMPUTED_VALUE"""),"BinaryX")</f>
        <v>BinaryX</v>
      </c>
    </row>
    <row r="1573">
      <c r="A1573" s="3" t="str">
        <f>IFERROR(__xludf.DUMMYFUNCTION("""COMPUTED_VALUE"""),"bincentive")</f>
        <v>bincentive</v>
      </c>
      <c r="B1573" s="3" t="str">
        <f>IFERROR(__xludf.DUMMYFUNCTION("""COMPUTED_VALUE"""),"bcnt")</f>
        <v>bcnt</v>
      </c>
      <c r="C1573" s="3" t="str">
        <f>IFERROR(__xludf.DUMMYFUNCTION("""COMPUTED_VALUE"""),"Bincentive")</f>
        <v>Bincentive</v>
      </c>
    </row>
    <row r="1574">
      <c r="A1574" s="3" t="str">
        <f>IFERROR(__xludf.DUMMYFUNCTION("""COMPUTED_VALUE"""),"binemon")</f>
        <v>binemon</v>
      </c>
      <c r="B1574" s="3" t="str">
        <f>IFERROR(__xludf.DUMMYFUNCTION("""COMPUTED_VALUE"""),"bin")</f>
        <v>bin</v>
      </c>
      <c r="C1574" s="3" t="str">
        <f>IFERROR(__xludf.DUMMYFUNCTION("""COMPUTED_VALUE"""),"Binemon")</f>
        <v>Binemon</v>
      </c>
    </row>
    <row r="1575">
      <c r="A1575" s="3" t="str">
        <f>IFERROR(__xludf.DUMMYFUNCTION("""COMPUTED_VALUE"""),"bingdwendwen")</f>
        <v>bingdwendwen</v>
      </c>
      <c r="B1575" s="3" t="str">
        <f>IFERROR(__xludf.DUMMYFUNCTION("""COMPUTED_VALUE"""),"bingdwendwen")</f>
        <v>bingdwendwen</v>
      </c>
      <c r="C1575" s="3" t="str">
        <f>IFERROR(__xludf.DUMMYFUNCTION("""COMPUTED_VALUE"""),"BingDwenDwen")</f>
        <v>BingDwenDwen</v>
      </c>
    </row>
    <row r="1576">
      <c r="A1576" s="3" t="str">
        <f>IFERROR(__xludf.DUMMYFUNCTION("""COMPUTED_VALUE"""),"bingo")</f>
        <v>bingo</v>
      </c>
      <c r="B1576" s="3" t="str">
        <f>IFERROR(__xludf.DUMMYFUNCTION("""COMPUTED_VALUE"""),"bg")</f>
        <v>bg</v>
      </c>
      <c r="C1576" s="3" t="str">
        <f>IFERROR(__xludf.DUMMYFUNCTION("""COMPUTED_VALUE"""),"BINGO")</f>
        <v>BINGO</v>
      </c>
    </row>
    <row r="1577">
      <c r="A1577" s="3" t="str">
        <f>IFERROR(__xludf.DUMMYFUNCTION("""COMPUTED_VALUE"""),"bingo-family")</f>
        <v>bingo-family</v>
      </c>
      <c r="B1577" s="3" t="str">
        <f>IFERROR(__xludf.DUMMYFUNCTION("""COMPUTED_VALUE"""),"bgof")</f>
        <v>bgof</v>
      </c>
      <c r="C1577" s="3" t="str">
        <f>IFERROR(__xludf.DUMMYFUNCTION("""COMPUTED_VALUE"""),"Bingo Family")</f>
        <v>Bingo Family</v>
      </c>
    </row>
    <row r="1578">
      <c r="A1578" s="3" t="str">
        <f>IFERROR(__xludf.DUMMYFUNCTION("""COMPUTED_VALUE"""),"binjit-coin")</f>
        <v>binjit-coin</v>
      </c>
      <c r="B1578" s="3" t="str">
        <f>IFERROR(__xludf.DUMMYFUNCTION("""COMPUTED_VALUE"""),"bnj")</f>
        <v>bnj</v>
      </c>
      <c r="C1578" s="3" t="str">
        <f>IFERROR(__xludf.DUMMYFUNCTION("""COMPUTED_VALUE"""),"Binjit Coin")</f>
        <v>Binjit Coin</v>
      </c>
    </row>
    <row r="1579">
      <c r="A1579" s="3" t="str">
        <f>IFERROR(__xludf.DUMMYFUNCTION("""COMPUTED_VALUE"""),"binom-protocol")</f>
        <v>binom-protocol</v>
      </c>
      <c r="B1579" s="3" t="str">
        <f>IFERROR(__xludf.DUMMYFUNCTION("""COMPUTED_VALUE"""),"binom")</f>
        <v>binom</v>
      </c>
      <c r="C1579" s="3" t="str">
        <f>IFERROR(__xludf.DUMMYFUNCTION("""COMPUTED_VALUE"""),"Binom Protocol")</f>
        <v>Binom Protocol</v>
      </c>
    </row>
    <row r="1580">
      <c r="A1580" s="3" t="str">
        <f>IFERROR(__xludf.DUMMYFUNCTION("""COMPUTED_VALUE"""),"binopoly")</f>
        <v>binopoly</v>
      </c>
      <c r="B1580" s="3" t="str">
        <f>IFERROR(__xludf.DUMMYFUNCTION("""COMPUTED_VALUE"""),"bino")</f>
        <v>bino</v>
      </c>
      <c r="C1580" s="3" t="str">
        <f>IFERROR(__xludf.DUMMYFUNCTION("""COMPUTED_VALUE"""),"Binopoly")</f>
        <v>Binopoly</v>
      </c>
    </row>
    <row r="1581">
      <c r="A1581" s="3" t="str">
        <f>IFERROR(__xludf.DUMMYFUNCTION("""COMPUTED_VALUE"""),"binspirit")</f>
        <v>binspirit</v>
      </c>
      <c r="B1581" s="3" t="str">
        <f>IFERROR(__xludf.DUMMYFUNCTION("""COMPUTED_VALUE"""),"binspirit")</f>
        <v>binspirit</v>
      </c>
      <c r="C1581" s="3" t="str">
        <f>IFERROR(__xludf.DUMMYFUNCTION("""COMPUTED_VALUE"""),"binSPIRIT")</f>
        <v>binSPIRIT</v>
      </c>
    </row>
    <row r="1582">
      <c r="A1582" s="3" t="str">
        <f>IFERROR(__xludf.DUMMYFUNCTION("""COMPUTED_VALUE"""),"binstarter")</f>
        <v>binstarter</v>
      </c>
      <c r="B1582" s="3" t="str">
        <f>IFERROR(__xludf.DUMMYFUNCTION("""COMPUTED_VALUE"""),"bsr")</f>
        <v>bsr</v>
      </c>
      <c r="C1582" s="3" t="str">
        <f>IFERROR(__xludf.DUMMYFUNCTION("""COMPUTED_VALUE"""),"BinStarter")</f>
        <v>BinStarter</v>
      </c>
    </row>
    <row r="1583">
      <c r="A1583" s="3" t="str">
        <f>IFERROR(__xludf.DUMMYFUNCTION("""COMPUTED_VALUE"""),"bintex-futures")</f>
        <v>bintex-futures</v>
      </c>
      <c r="B1583" s="3" t="str">
        <f>IFERROR(__xludf.DUMMYFUNCTION("""COMPUTED_VALUE"""),"bntx")</f>
        <v>bntx</v>
      </c>
      <c r="C1583" s="3" t="str">
        <f>IFERROR(__xludf.DUMMYFUNCTION("""COMPUTED_VALUE"""),"Bintex Futures")</f>
        <v>Bintex Futures</v>
      </c>
    </row>
    <row r="1584">
      <c r="A1584" s="3" t="str">
        <f>IFERROR(__xludf.DUMMYFUNCTION("""COMPUTED_VALUE"""),"biokkoin")</f>
        <v>biokkoin</v>
      </c>
      <c r="B1584" s="3" t="str">
        <f>IFERROR(__xludf.DUMMYFUNCTION("""COMPUTED_VALUE"""),"bkkg")</f>
        <v>bkkg</v>
      </c>
      <c r="C1584" s="3" t="str">
        <f>IFERROR(__xludf.DUMMYFUNCTION("""COMPUTED_VALUE"""),"Biokkoin")</f>
        <v>Biokkoin</v>
      </c>
    </row>
    <row r="1585">
      <c r="A1585" s="3" t="str">
        <f>IFERROR(__xludf.DUMMYFUNCTION("""COMPUTED_VALUE"""),"biometric-financial")</f>
        <v>biometric-financial</v>
      </c>
      <c r="B1585" s="3" t="str">
        <f>IFERROR(__xludf.DUMMYFUNCTION("""COMPUTED_VALUE"""),"biofi")</f>
        <v>biofi</v>
      </c>
      <c r="C1585" s="3" t="str">
        <f>IFERROR(__xludf.DUMMYFUNCTION("""COMPUTED_VALUE"""),"BiometricFinancial")</f>
        <v>BiometricFinancial</v>
      </c>
    </row>
    <row r="1586">
      <c r="A1586" s="3" t="str">
        <f>IFERROR(__xludf.DUMMYFUNCTION("""COMPUTED_VALUE"""),"biopassport")</f>
        <v>biopassport</v>
      </c>
      <c r="B1586" s="3" t="str">
        <f>IFERROR(__xludf.DUMMYFUNCTION("""COMPUTED_VALUE"""),"biot")</f>
        <v>biot</v>
      </c>
      <c r="C1586" s="3" t="str">
        <f>IFERROR(__xludf.DUMMYFUNCTION("""COMPUTED_VALUE"""),"Bio Passport")</f>
        <v>Bio Passport</v>
      </c>
    </row>
    <row r="1587">
      <c r="A1587" s="3" t="str">
        <f>IFERROR(__xludf.DUMMYFUNCTION("""COMPUTED_VALUE"""),"bios")</f>
        <v>bios</v>
      </c>
      <c r="B1587" s="3" t="str">
        <f>IFERROR(__xludf.DUMMYFUNCTION("""COMPUTED_VALUE"""),"bios")</f>
        <v>bios</v>
      </c>
      <c r="C1587" s="3" t="str">
        <f>IFERROR(__xludf.DUMMYFUNCTION("""COMPUTED_VALUE"""),"0x_nodes")</f>
        <v>0x_nodes</v>
      </c>
    </row>
    <row r="1588">
      <c r="A1588" s="3" t="str">
        <f>IFERROR(__xludf.DUMMYFUNCTION("""COMPUTED_VALUE"""),"birake")</f>
        <v>birake</v>
      </c>
      <c r="B1588" s="3" t="str">
        <f>IFERROR(__xludf.DUMMYFUNCTION("""COMPUTED_VALUE"""),"bir")</f>
        <v>bir</v>
      </c>
      <c r="C1588" s="3" t="str">
        <f>IFERROR(__xludf.DUMMYFUNCTION("""COMPUTED_VALUE"""),"Birake")</f>
        <v>Birake</v>
      </c>
    </row>
    <row r="1589">
      <c r="A1589" s="3" t="str">
        <f>IFERROR(__xludf.DUMMYFUNCTION("""COMPUTED_VALUE"""),"birb-2")</f>
        <v>birb-2</v>
      </c>
      <c r="B1589" s="3" t="str">
        <f>IFERROR(__xludf.DUMMYFUNCTION("""COMPUTED_VALUE"""),"birb")</f>
        <v>birb</v>
      </c>
      <c r="C1589" s="3" t="str">
        <f>IFERROR(__xludf.DUMMYFUNCTION("""COMPUTED_VALUE"""),"Birb")</f>
        <v>Birb</v>
      </c>
    </row>
    <row r="1590">
      <c r="A1590" s="3" t="str">
        <f>IFERROR(__xludf.DUMMYFUNCTION("""COMPUTED_VALUE"""),"birdchain")</f>
        <v>birdchain</v>
      </c>
      <c r="B1590" s="3" t="str">
        <f>IFERROR(__xludf.DUMMYFUNCTION("""COMPUTED_VALUE"""),"bird")</f>
        <v>bird</v>
      </c>
      <c r="C1590" s="3" t="str">
        <f>IFERROR(__xludf.DUMMYFUNCTION("""COMPUTED_VALUE"""),"Birdchain")</f>
        <v>Birdchain</v>
      </c>
    </row>
    <row r="1591">
      <c r="A1591" s="3" t="str">
        <f>IFERROR(__xludf.DUMMYFUNCTION("""COMPUTED_VALUE"""),"bird-money")</f>
        <v>bird-money</v>
      </c>
      <c r="B1591" s="3" t="str">
        <f>IFERROR(__xludf.DUMMYFUNCTION("""COMPUTED_VALUE"""),"bird")</f>
        <v>bird</v>
      </c>
      <c r="C1591" s="3" t="str">
        <f>IFERROR(__xludf.DUMMYFUNCTION("""COMPUTED_VALUE"""),"Bird.Money")</f>
        <v>Bird.Money</v>
      </c>
    </row>
    <row r="1592">
      <c r="A1592" s="3" t="str">
        <f>IFERROR(__xludf.DUMMYFUNCTION("""COMPUTED_VALUE"""),"bishu-finance")</f>
        <v>bishu-finance</v>
      </c>
      <c r="B1592" s="3" t="str">
        <f>IFERROR(__xludf.DUMMYFUNCTION("""COMPUTED_VALUE"""),"bishufi")</f>
        <v>bishufi</v>
      </c>
      <c r="C1592" s="3" t="str">
        <f>IFERROR(__xludf.DUMMYFUNCTION("""COMPUTED_VALUE"""),"Bishu Finance")</f>
        <v>Bishu Finance</v>
      </c>
    </row>
    <row r="1593">
      <c r="A1593" s="3" t="str">
        <f>IFERROR(__xludf.DUMMYFUNCTION("""COMPUTED_VALUE"""),"bismuth")</f>
        <v>bismuth</v>
      </c>
      <c r="B1593" s="3" t="str">
        <f>IFERROR(__xludf.DUMMYFUNCTION("""COMPUTED_VALUE"""),"bis")</f>
        <v>bis</v>
      </c>
      <c r="C1593" s="3" t="str">
        <f>IFERROR(__xludf.DUMMYFUNCTION("""COMPUTED_VALUE"""),"Bismuth")</f>
        <v>Bismuth</v>
      </c>
    </row>
    <row r="1594">
      <c r="A1594" s="3" t="str">
        <f>IFERROR(__xludf.DUMMYFUNCTION("""COMPUTED_VALUE"""),"bistroo")</f>
        <v>bistroo</v>
      </c>
      <c r="B1594" s="3" t="str">
        <f>IFERROR(__xludf.DUMMYFUNCTION("""COMPUTED_VALUE"""),"bist")</f>
        <v>bist</v>
      </c>
      <c r="C1594" s="3" t="str">
        <f>IFERROR(__xludf.DUMMYFUNCTION("""COMPUTED_VALUE"""),"Bistroo")</f>
        <v>Bistroo</v>
      </c>
    </row>
    <row r="1595">
      <c r="A1595" s="3" t="str">
        <f>IFERROR(__xludf.DUMMYFUNCTION("""COMPUTED_VALUE"""),"biswap")</f>
        <v>biswap</v>
      </c>
      <c r="B1595" s="3" t="str">
        <f>IFERROR(__xludf.DUMMYFUNCTION("""COMPUTED_VALUE"""),"bsw")</f>
        <v>bsw</v>
      </c>
      <c r="C1595" s="3" t="str">
        <f>IFERROR(__xludf.DUMMYFUNCTION("""COMPUTED_VALUE"""),"Biswap")</f>
        <v>Biswap</v>
      </c>
    </row>
    <row r="1596">
      <c r="A1596" s="3" t="str">
        <f>IFERROR(__xludf.DUMMYFUNCTION("""COMPUTED_VALUE"""),"biswap-token")</f>
        <v>biswap-token</v>
      </c>
      <c r="B1596" s="3" t="str">
        <f>IFERROR(__xludf.DUMMYFUNCTION("""COMPUTED_VALUE"""),"biswap")</f>
        <v>biswap</v>
      </c>
      <c r="C1596" s="3" t="str">
        <f>IFERROR(__xludf.DUMMYFUNCTION("""COMPUTED_VALUE"""),"Biswap Token")</f>
        <v>Biswap Token</v>
      </c>
    </row>
    <row r="1597">
      <c r="A1597" s="3" t="str">
        <f>IFERROR(__xludf.DUMMYFUNCTION("""COMPUTED_VALUE"""),"bit")</f>
        <v>bit</v>
      </c>
      <c r="B1597" s="3" t="str">
        <f>IFERROR(__xludf.DUMMYFUNCTION("""COMPUTED_VALUE"""),"bit")</f>
        <v>bit</v>
      </c>
      <c r="C1597" s="3" t="str">
        <f>IFERROR(__xludf.DUMMYFUNCTION("""COMPUTED_VALUE"""),"Bit")</f>
        <v>Bit</v>
      </c>
    </row>
    <row r="1598">
      <c r="A1598" s="3" t="str">
        <f>IFERROR(__xludf.DUMMYFUNCTION("""COMPUTED_VALUE"""),"bit2me")</f>
        <v>bit2me</v>
      </c>
      <c r="B1598" s="3" t="str">
        <f>IFERROR(__xludf.DUMMYFUNCTION("""COMPUTED_VALUE"""),"b2m")</f>
        <v>b2m</v>
      </c>
      <c r="C1598" s="3" t="str">
        <f>IFERROR(__xludf.DUMMYFUNCTION("""COMPUTED_VALUE"""),"Bit2Me")</f>
        <v>Bit2Me</v>
      </c>
    </row>
    <row r="1599">
      <c r="A1599" s="3" t="str">
        <f>IFERROR(__xludf.DUMMYFUNCTION("""COMPUTED_VALUE"""),"bitant")</f>
        <v>bitant</v>
      </c>
      <c r="B1599" s="3" t="str">
        <f>IFERROR(__xludf.DUMMYFUNCTION("""COMPUTED_VALUE"""),"bitant")</f>
        <v>bitant</v>
      </c>
      <c r="C1599" s="3" t="str">
        <f>IFERROR(__xludf.DUMMYFUNCTION("""COMPUTED_VALUE"""),"BitANT")</f>
        <v>BitANT</v>
      </c>
    </row>
    <row r="1600">
      <c r="A1600" s="3" t="str">
        <f>IFERROR(__xludf.DUMMYFUNCTION("""COMPUTED_VALUE"""),"bitazza")</f>
        <v>bitazza</v>
      </c>
      <c r="B1600" s="3" t="str">
        <f>IFERROR(__xludf.DUMMYFUNCTION("""COMPUTED_VALUE"""),"btz")</f>
        <v>btz</v>
      </c>
      <c r="C1600" s="3" t="str">
        <f>IFERROR(__xludf.DUMMYFUNCTION("""COMPUTED_VALUE"""),"Bitazza")</f>
        <v>Bitazza</v>
      </c>
    </row>
    <row r="1601">
      <c r="A1601" s="3" t="str">
        <f>IFERROR(__xludf.DUMMYFUNCTION("""COMPUTED_VALUE"""),"bitball")</f>
        <v>bitball</v>
      </c>
      <c r="B1601" s="3" t="str">
        <f>IFERROR(__xludf.DUMMYFUNCTION("""COMPUTED_VALUE"""),"btb")</f>
        <v>btb</v>
      </c>
      <c r="C1601" s="3" t="str">
        <f>IFERROR(__xludf.DUMMYFUNCTION("""COMPUTED_VALUE"""),"Bitball")</f>
        <v>Bitball</v>
      </c>
    </row>
    <row r="1602">
      <c r="A1602" s="3" t="str">
        <f>IFERROR(__xludf.DUMMYFUNCTION("""COMPUTED_VALUE"""),"bitball-treasure")</f>
        <v>bitball-treasure</v>
      </c>
      <c r="B1602" s="3" t="str">
        <f>IFERROR(__xludf.DUMMYFUNCTION("""COMPUTED_VALUE"""),"btrs")</f>
        <v>btrs</v>
      </c>
      <c r="C1602" s="3" t="str">
        <f>IFERROR(__xludf.DUMMYFUNCTION("""COMPUTED_VALUE"""),"Bitball Treasure")</f>
        <v>Bitball Treasure</v>
      </c>
    </row>
    <row r="1603">
      <c r="A1603" s="3" t="str">
        <f>IFERROR(__xludf.DUMMYFUNCTION("""COMPUTED_VALUE"""),"bitbar")</f>
        <v>bitbar</v>
      </c>
      <c r="B1603" s="3" t="str">
        <f>IFERROR(__xludf.DUMMYFUNCTION("""COMPUTED_VALUE"""),"btb")</f>
        <v>btb</v>
      </c>
      <c r="C1603" s="3" t="str">
        <f>IFERROR(__xludf.DUMMYFUNCTION("""COMPUTED_VALUE"""),"Bitbar")</f>
        <v>Bitbar</v>
      </c>
    </row>
    <row r="1604">
      <c r="A1604" s="3" t="str">
        <f>IFERROR(__xludf.DUMMYFUNCTION("""COMPUTED_VALUE"""),"bitbase-token")</f>
        <v>bitbase-token</v>
      </c>
      <c r="B1604" s="3" t="str">
        <f>IFERROR(__xludf.DUMMYFUNCTION("""COMPUTED_VALUE"""),"btbs")</f>
        <v>btbs</v>
      </c>
      <c r="C1604" s="3" t="str">
        <f>IFERROR(__xludf.DUMMYFUNCTION("""COMPUTED_VALUE"""),"BitBase Token")</f>
        <v>BitBase Token</v>
      </c>
    </row>
    <row r="1605">
      <c r="A1605" s="3" t="str">
        <f>IFERROR(__xludf.DUMMYFUNCTION("""COMPUTED_VALUE"""),"bitberry-token")</f>
        <v>bitberry-token</v>
      </c>
      <c r="B1605" s="3" t="str">
        <f>IFERROR(__xludf.DUMMYFUNCTION("""COMPUTED_VALUE"""),"bbr")</f>
        <v>bbr</v>
      </c>
      <c r="C1605" s="3" t="str">
        <f>IFERROR(__xludf.DUMMYFUNCTION("""COMPUTED_VALUE"""),"Bitberry")</f>
        <v>Bitberry</v>
      </c>
    </row>
    <row r="1606">
      <c r="A1606" s="3" t="str">
        <f>IFERROR(__xludf.DUMMYFUNCTION("""COMPUTED_VALUE"""),"bitblocks-fire")</f>
        <v>bitblocks-fire</v>
      </c>
      <c r="B1606" s="3" t="str">
        <f>IFERROR(__xludf.DUMMYFUNCTION("""COMPUTED_VALUE"""),"bfire")</f>
        <v>bfire</v>
      </c>
      <c r="C1606" s="3" t="str">
        <f>IFERROR(__xludf.DUMMYFUNCTION("""COMPUTED_VALUE"""),"Bitblocks Fire")</f>
        <v>Bitblocks Fire</v>
      </c>
    </row>
    <row r="1607">
      <c r="A1607" s="3" t="str">
        <f>IFERROR(__xludf.DUMMYFUNCTION("""COMPUTED_VALUE"""),"bitbook-token")</f>
        <v>bitbook-token</v>
      </c>
      <c r="B1607" s="3" t="str">
        <f>IFERROR(__xludf.DUMMYFUNCTION("""COMPUTED_VALUE"""),"bbt")</f>
        <v>bbt</v>
      </c>
      <c r="C1607" s="3" t="str">
        <f>IFERROR(__xludf.DUMMYFUNCTION("""COMPUTED_VALUE"""),"BitBook")</f>
        <v>BitBook</v>
      </c>
    </row>
    <row r="1608">
      <c r="A1608" s="3" t="str">
        <f>IFERROR(__xludf.DUMMYFUNCTION("""COMPUTED_VALUE"""),"bitboost")</f>
        <v>bitboost</v>
      </c>
      <c r="B1608" s="3" t="str">
        <f>IFERROR(__xludf.DUMMYFUNCTION("""COMPUTED_VALUE"""),"bbt")</f>
        <v>bbt</v>
      </c>
      <c r="C1608" s="3" t="str">
        <f>IFERROR(__xludf.DUMMYFUNCTION("""COMPUTED_VALUE"""),"BitBoost")</f>
        <v>BitBoost</v>
      </c>
    </row>
    <row r="1609">
      <c r="A1609" s="3" t="str">
        <f>IFERROR(__xludf.DUMMYFUNCTION("""COMPUTED_VALUE"""),"bitbox-classic")</f>
        <v>bitbox-classic</v>
      </c>
      <c r="B1609" s="3" t="str">
        <f>IFERROR(__xludf.DUMMYFUNCTION("""COMPUTED_VALUE"""),"cbitbox")</f>
        <v>cbitbox</v>
      </c>
      <c r="C1609" s="3" t="str">
        <f>IFERROR(__xludf.DUMMYFUNCTION("""COMPUTED_VALUE"""),"Bitbox Classic")</f>
        <v>Bitbox Classic</v>
      </c>
    </row>
    <row r="1610">
      <c r="A1610" s="3" t="str">
        <f>IFERROR(__xludf.DUMMYFUNCTION("""COMPUTED_VALUE"""),"bitburn")</f>
        <v>bitburn</v>
      </c>
      <c r="B1610" s="3" t="str">
        <f>IFERROR(__xludf.DUMMYFUNCTION("""COMPUTED_VALUE"""),"burn")</f>
        <v>burn</v>
      </c>
      <c r="C1610" s="3" t="str">
        <f>IFERROR(__xludf.DUMMYFUNCTION("""COMPUTED_VALUE"""),"Bitburn")</f>
        <v>Bitburn</v>
      </c>
    </row>
    <row r="1611">
      <c r="A1611" s="3" t="str">
        <f>IFERROR(__xludf.DUMMYFUNCTION("""COMPUTED_VALUE"""),"bitcanna")</f>
        <v>bitcanna</v>
      </c>
      <c r="B1611" s="3" t="str">
        <f>IFERROR(__xludf.DUMMYFUNCTION("""COMPUTED_VALUE"""),"bcna")</f>
        <v>bcna</v>
      </c>
      <c r="C1611" s="3" t="str">
        <f>IFERROR(__xludf.DUMMYFUNCTION("""COMPUTED_VALUE"""),"BitCanna")</f>
        <v>BitCanna</v>
      </c>
    </row>
    <row r="1612">
      <c r="A1612" s="3" t="str">
        <f>IFERROR(__xludf.DUMMYFUNCTION("""COMPUTED_VALUE"""),"bitcash")</f>
        <v>bitcash</v>
      </c>
      <c r="B1612" s="3" t="str">
        <f>IFERROR(__xludf.DUMMYFUNCTION("""COMPUTED_VALUE"""),"bitc")</f>
        <v>bitc</v>
      </c>
      <c r="C1612" s="3" t="str">
        <f>IFERROR(__xludf.DUMMYFUNCTION("""COMPUTED_VALUE"""),"BitCash")</f>
        <v>BitCash</v>
      </c>
    </row>
    <row r="1613">
      <c r="A1613" s="3" t="str">
        <f>IFERROR(__xludf.DUMMYFUNCTION("""COMPUTED_VALUE"""),"bitcastle")</f>
        <v>bitcastle</v>
      </c>
      <c r="B1613" s="3" t="str">
        <f>IFERROR(__xludf.DUMMYFUNCTION("""COMPUTED_VALUE"""),"castle")</f>
        <v>castle</v>
      </c>
      <c r="C1613" s="3" t="str">
        <f>IFERROR(__xludf.DUMMYFUNCTION("""COMPUTED_VALUE"""),"bitcastle")</f>
        <v>bitcastle</v>
      </c>
    </row>
    <row r="1614">
      <c r="A1614" s="3" t="str">
        <f>IFERROR(__xludf.DUMMYFUNCTION("""COMPUTED_VALUE"""),"bit-castle-war")</f>
        <v>bit-castle-war</v>
      </c>
      <c r="B1614" s="3" t="str">
        <f>IFERROR(__xludf.DUMMYFUNCTION("""COMPUTED_VALUE"""),"bcw")</f>
        <v>bcw</v>
      </c>
      <c r="C1614" s="3" t="str">
        <f>IFERROR(__xludf.DUMMYFUNCTION("""COMPUTED_VALUE"""),"Bit Castle War")</f>
        <v>Bit Castle War</v>
      </c>
    </row>
    <row r="1615">
      <c r="A1615" s="3" t="str">
        <f>IFERROR(__xludf.DUMMYFUNCTION("""COMPUTED_VALUE"""),"bitcci-cash")</f>
        <v>bitcci-cash</v>
      </c>
      <c r="B1615" s="3" t="str">
        <f>IFERROR(__xludf.DUMMYFUNCTION("""COMPUTED_VALUE"""),"bitcca")</f>
        <v>bitcca</v>
      </c>
      <c r="C1615" s="3" t="str">
        <f>IFERROR(__xludf.DUMMYFUNCTION("""COMPUTED_VALUE"""),"Bitcci Cash")</f>
        <v>Bitcci Cash</v>
      </c>
    </row>
    <row r="1616">
      <c r="A1616" s="3" t="str">
        <f>IFERROR(__xludf.DUMMYFUNCTION("""COMPUTED_VALUE"""),"bitceo")</f>
        <v>bitceo</v>
      </c>
      <c r="B1616" s="3" t="str">
        <f>IFERROR(__xludf.DUMMYFUNCTION("""COMPUTED_VALUE"""),"bceo")</f>
        <v>bceo</v>
      </c>
      <c r="C1616" s="3" t="str">
        <f>IFERROR(__xludf.DUMMYFUNCTION("""COMPUTED_VALUE"""),"bitCEO")</f>
        <v>bitCEO</v>
      </c>
    </row>
    <row r="1617">
      <c r="A1617" s="3" t="str">
        <f>IFERROR(__xludf.DUMMYFUNCTION("""COMPUTED_VALUE"""),"bitcherry")</f>
        <v>bitcherry</v>
      </c>
      <c r="B1617" s="3" t="str">
        <f>IFERROR(__xludf.DUMMYFUNCTION("""COMPUTED_VALUE"""),"bchc")</f>
        <v>bchc</v>
      </c>
      <c r="C1617" s="3" t="str">
        <f>IFERROR(__xludf.DUMMYFUNCTION("""COMPUTED_VALUE"""),"BitCherry")</f>
        <v>BitCherry</v>
      </c>
    </row>
    <row r="1618">
      <c r="A1618" s="3" t="str">
        <f>IFERROR(__xludf.DUMMYFUNCTION("""COMPUTED_VALUE"""),"bitcicoin")</f>
        <v>bitcicoin</v>
      </c>
      <c r="B1618" s="3" t="str">
        <f>IFERROR(__xludf.DUMMYFUNCTION("""COMPUTED_VALUE"""),"bitci")</f>
        <v>bitci</v>
      </c>
      <c r="C1618" s="3" t="str">
        <f>IFERROR(__xludf.DUMMYFUNCTION("""COMPUTED_VALUE"""),"Bitcicoin")</f>
        <v>Bitcicoin</v>
      </c>
    </row>
    <row r="1619">
      <c r="A1619" s="3" t="str">
        <f>IFERROR(__xludf.DUMMYFUNCTION("""COMPUTED_VALUE"""),"bitci-racing-token")</f>
        <v>bitci-racing-token</v>
      </c>
      <c r="B1619" s="3" t="str">
        <f>IFERROR(__xludf.DUMMYFUNCTION("""COMPUTED_VALUE"""),"brace")</f>
        <v>brace</v>
      </c>
      <c r="C1619" s="3" t="str">
        <f>IFERROR(__xludf.DUMMYFUNCTION("""COMPUTED_VALUE"""),"Bitci Racing Token")</f>
        <v>Bitci Racing Token</v>
      </c>
    </row>
    <row r="1620">
      <c r="A1620" s="3" t="str">
        <f>IFERROR(__xludf.DUMMYFUNCTION("""COMPUTED_VALUE"""),"bitclave")</f>
        <v>bitclave</v>
      </c>
      <c r="B1620" s="3" t="str">
        <f>IFERROR(__xludf.DUMMYFUNCTION("""COMPUTED_VALUE"""),"cat")</f>
        <v>cat</v>
      </c>
      <c r="C1620" s="3" t="str">
        <f>IFERROR(__xludf.DUMMYFUNCTION("""COMPUTED_VALUE"""),"BitClave")</f>
        <v>BitClave</v>
      </c>
    </row>
    <row r="1621">
      <c r="A1621" s="3" t="str">
        <f>IFERROR(__xludf.DUMMYFUNCTION("""COMPUTED_VALUE"""),"bitcny")</f>
        <v>bitcny</v>
      </c>
      <c r="B1621" s="3" t="str">
        <f>IFERROR(__xludf.DUMMYFUNCTION("""COMPUTED_VALUE"""),"bitcny")</f>
        <v>bitcny</v>
      </c>
      <c r="C1621" s="3" t="str">
        <f>IFERROR(__xludf.DUMMYFUNCTION("""COMPUTED_VALUE"""),"bitCNY")</f>
        <v>bitCNY</v>
      </c>
    </row>
    <row r="1622">
      <c r="A1622" s="3" t="str">
        <f>IFERROR(__xludf.DUMMYFUNCTION("""COMPUTED_VALUE"""),"bitcoin")</f>
        <v>bitcoin</v>
      </c>
      <c r="B1622" s="3" t="str">
        <f>IFERROR(__xludf.DUMMYFUNCTION("""COMPUTED_VALUE"""),"btc")</f>
        <v>btc</v>
      </c>
      <c r="C1622" s="3" t="str">
        <f>IFERROR(__xludf.DUMMYFUNCTION("""COMPUTED_VALUE"""),"Bitcoin")</f>
        <v>Bitcoin</v>
      </c>
    </row>
    <row r="1623">
      <c r="A1623" s="3" t="str">
        <f>IFERROR(__xludf.DUMMYFUNCTION("""COMPUTED_VALUE"""),"bitcoin-2")</f>
        <v>bitcoin-2</v>
      </c>
      <c r="B1623" s="3" t="str">
        <f>IFERROR(__xludf.DUMMYFUNCTION("""COMPUTED_VALUE"""),"btc2")</f>
        <v>btc2</v>
      </c>
      <c r="C1623" s="3" t="str">
        <f>IFERROR(__xludf.DUMMYFUNCTION("""COMPUTED_VALUE"""),"Bitcoin 2")</f>
        <v>Bitcoin 2</v>
      </c>
    </row>
    <row r="1624">
      <c r="A1624" s="3" t="str">
        <f>IFERROR(__xludf.DUMMYFUNCTION("""COMPUTED_VALUE"""),"bitcoin-adult")</f>
        <v>bitcoin-adult</v>
      </c>
      <c r="B1624" s="3" t="str">
        <f>IFERROR(__xludf.DUMMYFUNCTION("""COMPUTED_VALUE"""),"btad")</f>
        <v>btad</v>
      </c>
      <c r="C1624" s="3" t="str">
        <f>IFERROR(__xludf.DUMMYFUNCTION("""COMPUTED_VALUE"""),"Bitcoin Adult")</f>
        <v>Bitcoin Adult</v>
      </c>
    </row>
    <row r="1625">
      <c r="A1625" s="3" t="str">
        <f>IFERROR(__xludf.DUMMYFUNCTION("""COMPUTED_VALUE"""),"bitcoin-and-ethereum-standard-token")</f>
        <v>bitcoin-and-ethereum-standard-token</v>
      </c>
      <c r="B1625" s="3" t="str">
        <f>IFERROR(__xludf.DUMMYFUNCTION("""COMPUTED_VALUE"""),"best")</f>
        <v>best</v>
      </c>
      <c r="C1625" s="3" t="str">
        <f>IFERROR(__xludf.DUMMYFUNCTION("""COMPUTED_VALUE"""),"Bitcoin and Ethereum Standard")</f>
        <v>Bitcoin and Ethereum Standard</v>
      </c>
    </row>
    <row r="1626">
      <c r="A1626" s="3" t="str">
        <f>IFERROR(__xludf.DUMMYFUNCTION("""COMPUTED_VALUE"""),"bitcoin-anonymous")</f>
        <v>bitcoin-anonymous</v>
      </c>
      <c r="B1626" s="3" t="str">
        <f>IFERROR(__xludf.DUMMYFUNCTION("""COMPUTED_VALUE"""),"btca")</f>
        <v>btca</v>
      </c>
      <c r="C1626" s="3" t="str">
        <f>IFERROR(__xludf.DUMMYFUNCTION("""COMPUTED_VALUE"""),"Bitcoin Anonymous")</f>
        <v>Bitcoin Anonymous</v>
      </c>
    </row>
    <row r="1627">
      <c r="A1627" s="3" t="str">
        <f>IFERROR(__xludf.DUMMYFUNCTION("""COMPUTED_VALUE"""),"bitcoin-asia")</f>
        <v>bitcoin-asia</v>
      </c>
      <c r="B1627" s="3" t="str">
        <f>IFERROR(__xludf.DUMMYFUNCTION("""COMPUTED_VALUE"""),"btca")</f>
        <v>btca</v>
      </c>
      <c r="C1627" s="3" t="str">
        <f>IFERROR(__xludf.DUMMYFUNCTION("""COMPUTED_VALUE"""),"Bitcoin Asia")</f>
        <v>Bitcoin Asia</v>
      </c>
    </row>
    <row r="1628">
      <c r="A1628" s="3" t="str">
        <f>IFERROR(__xludf.DUMMYFUNCTION("""COMPUTED_VALUE"""),"bitcoin-asset-2")</f>
        <v>bitcoin-asset-2</v>
      </c>
      <c r="B1628" s="3" t="str">
        <f>IFERROR(__xludf.DUMMYFUNCTION("""COMPUTED_VALUE"""),"bta")</f>
        <v>bta</v>
      </c>
      <c r="C1628" s="3" t="str">
        <f>IFERROR(__xludf.DUMMYFUNCTION("""COMPUTED_VALUE"""),"Bitcoin Asset")</f>
        <v>Bitcoin Asset</v>
      </c>
    </row>
    <row r="1629">
      <c r="A1629" s="3" t="str">
        <f>IFERROR(__xludf.DUMMYFUNCTION("""COMPUTED_VALUE"""),"bitcoin-atom")</f>
        <v>bitcoin-atom</v>
      </c>
      <c r="B1629" s="3" t="str">
        <f>IFERROR(__xludf.DUMMYFUNCTION("""COMPUTED_VALUE"""),"bca")</f>
        <v>bca</v>
      </c>
      <c r="C1629" s="3" t="str">
        <f>IFERROR(__xludf.DUMMYFUNCTION("""COMPUTED_VALUE"""),"Bitcoin Atom")</f>
        <v>Bitcoin Atom</v>
      </c>
    </row>
    <row r="1630">
      <c r="A1630" s="3" t="str">
        <f>IFERROR(__xludf.DUMMYFUNCTION("""COMPUTED_VALUE"""),"bitcoin-avalanche-bridged-btc-b")</f>
        <v>bitcoin-avalanche-bridged-btc-b</v>
      </c>
      <c r="B1630" s="3" t="str">
        <f>IFERROR(__xludf.DUMMYFUNCTION("""COMPUTED_VALUE"""),"btc.b")</f>
        <v>btc.b</v>
      </c>
      <c r="C1630" s="3" t="str">
        <f>IFERROR(__xludf.DUMMYFUNCTION("""COMPUTED_VALUE"""),"Bitcoin Avalanche Bridged (BTC.b)")</f>
        <v>Bitcoin Avalanche Bridged (BTC.b)</v>
      </c>
    </row>
    <row r="1631">
      <c r="A1631" s="3" t="str">
        <f>IFERROR(__xludf.DUMMYFUNCTION("""COMPUTED_VALUE"""),"bitcoinbam")</f>
        <v>bitcoinbam</v>
      </c>
      <c r="B1631" s="3" t="str">
        <f>IFERROR(__xludf.DUMMYFUNCTION("""COMPUTED_VALUE"""),"btcbam")</f>
        <v>btcbam</v>
      </c>
      <c r="C1631" s="3" t="str">
        <f>IFERROR(__xludf.DUMMYFUNCTION("""COMPUTED_VALUE"""),"BitcoinBam")</f>
        <v>BitcoinBam</v>
      </c>
    </row>
    <row r="1632">
      <c r="A1632" s="3" t="str">
        <f>IFERROR(__xludf.DUMMYFUNCTION("""COMPUTED_VALUE"""),"bitcoin-bep2")</f>
        <v>bitcoin-bep2</v>
      </c>
      <c r="B1632" s="3" t="str">
        <f>IFERROR(__xludf.DUMMYFUNCTION("""COMPUTED_VALUE"""),"btcb")</f>
        <v>btcb</v>
      </c>
      <c r="C1632" s="3" t="str">
        <f>IFERROR(__xludf.DUMMYFUNCTION("""COMPUTED_VALUE"""),"Bitcoin BEP2")</f>
        <v>Bitcoin BEP2</v>
      </c>
    </row>
    <row r="1633">
      <c r="A1633" s="3" t="str">
        <f>IFERROR(__xludf.DUMMYFUNCTION("""COMPUTED_VALUE"""),"bitcoin-br")</f>
        <v>bitcoin-br</v>
      </c>
      <c r="B1633" s="3" t="str">
        <f>IFERROR(__xludf.DUMMYFUNCTION("""COMPUTED_VALUE"""),"btcbr")</f>
        <v>btcbr</v>
      </c>
      <c r="C1633" s="3" t="str">
        <f>IFERROR(__xludf.DUMMYFUNCTION("""COMPUTED_VALUE"""),"Bitcoin BR")</f>
        <v>Bitcoin BR</v>
      </c>
    </row>
    <row r="1634">
      <c r="A1634" s="3" t="str">
        <f>IFERROR(__xludf.DUMMYFUNCTION("""COMPUTED_VALUE"""),"bitcoinbrand")</f>
        <v>bitcoinbrand</v>
      </c>
      <c r="B1634" s="3" t="str">
        <f>IFERROR(__xludf.DUMMYFUNCTION("""COMPUTED_VALUE"""),"btcb")</f>
        <v>btcb</v>
      </c>
      <c r="C1634" s="3" t="str">
        <f>IFERROR(__xludf.DUMMYFUNCTION("""COMPUTED_VALUE"""),"BitcoinBrand")</f>
        <v>BitcoinBrand</v>
      </c>
    </row>
    <row r="1635">
      <c r="A1635" s="3" t="str">
        <f>IFERROR(__xludf.DUMMYFUNCTION("""COMPUTED_VALUE"""),"bitcoin-cash")</f>
        <v>bitcoin-cash</v>
      </c>
      <c r="B1635" s="3" t="str">
        <f>IFERROR(__xludf.DUMMYFUNCTION("""COMPUTED_VALUE"""),"bch")</f>
        <v>bch</v>
      </c>
      <c r="C1635" s="3" t="str">
        <f>IFERROR(__xludf.DUMMYFUNCTION("""COMPUTED_VALUE"""),"Bitcoin Cash")</f>
        <v>Bitcoin Cash</v>
      </c>
    </row>
    <row r="1636">
      <c r="A1636" s="3" t="str">
        <f>IFERROR(__xludf.DUMMYFUNCTION("""COMPUTED_VALUE"""),"bitcoin-cash-sv")</f>
        <v>bitcoin-cash-sv</v>
      </c>
      <c r="B1636" s="3" t="str">
        <f>IFERROR(__xludf.DUMMYFUNCTION("""COMPUTED_VALUE"""),"bsv")</f>
        <v>bsv</v>
      </c>
      <c r="C1636" s="3" t="str">
        <f>IFERROR(__xludf.DUMMYFUNCTION("""COMPUTED_VALUE"""),"Bitcoin SV")</f>
        <v>Bitcoin SV</v>
      </c>
    </row>
    <row r="1637">
      <c r="A1637" s="3" t="str">
        <f>IFERROR(__xludf.DUMMYFUNCTION("""COMPUTED_VALUE"""),"bitcoin-city-coin")</f>
        <v>bitcoin-city-coin</v>
      </c>
      <c r="B1637" s="3" t="str">
        <f>IFERROR(__xludf.DUMMYFUNCTION("""COMPUTED_VALUE"""),"bcity")</f>
        <v>bcity</v>
      </c>
      <c r="C1637" s="3" t="str">
        <f>IFERROR(__xludf.DUMMYFUNCTION("""COMPUTED_VALUE"""),"Bitcoin City Coin")</f>
        <v>Bitcoin City Coin</v>
      </c>
    </row>
    <row r="1638">
      <c r="A1638" s="3" t="str">
        <f>IFERROR(__xludf.DUMMYFUNCTION("""COMPUTED_VALUE"""),"bitcoin-confidential")</f>
        <v>bitcoin-confidential</v>
      </c>
      <c r="B1638" s="3" t="str">
        <f>IFERROR(__xludf.DUMMYFUNCTION("""COMPUTED_VALUE"""),"bc")</f>
        <v>bc</v>
      </c>
      <c r="C1638" s="3" t="str">
        <f>IFERROR(__xludf.DUMMYFUNCTION("""COMPUTED_VALUE"""),"Bitcoin Confidential")</f>
        <v>Bitcoin Confidential</v>
      </c>
    </row>
    <row r="1639">
      <c r="A1639" s="3" t="str">
        <f>IFERROR(__xludf.DUMMYFUNCTION("""COMPUTED_VALUE"""),"bitcoin-diamond")</f>
        <v>bitcoin-diamond</v>
      </c>
      <c r="B1639" s="3" t="str">
        <f>IFERROR(__xludf.DUMMYFUNCTION("""COMPUTED_VALUE"""),"bcd")</f>
        <v>bcd</v>
      </c>
      <c r="C1639" s="3" t="str">
        <f>IFERROR(__xludf.DUMMYFUNCTION("""COMPUTED_VALUE"""),"Bitcoin Diamond")</f>
        <v>Bitcoin Diamond</v>
      </c>
    </row>
    <row r="1640">
      <c r="A1640" s="3" t="str">
        <f>IFERROR(__xludf.DUMMYFUNCTION("""COMPUTED_VALUE"""),"bitcoin-e-wallet")</f>
        <v>bitcoin-e-wallet</v>
      </c>
      <c r="B1640" s="3" t="str">
        <f>IFERROR(__xludf.DUMMYFUNCTION("""COMPUTED_VALUE"""),"bitwallet")</f>
        <v>bitwallet</v>
      </c>
      <c r="C1640" s="3" t="str">
        <f>IFERROR(__xludf.DUMMYFUNCTION("""COMPUTED_VALUE"""),"Bitcoin E-wallet")</f>
        <v>Bitcoin E-wallet</v>
      </c>
    </row>
    <row r="1641">
      <c r="A1641" s="3" t="str">
        <f>IFERROR(__xludf.DUMMYFUNCTION("""COMPUTED_VALUE"""),"bitcoin-fast")</f>
        <v>bitcoin-fast</v>
      </c>
      <c r="B1641" s="3" t="str">
        <f>IFERROR(__xludf.DUMMYFUNCTION("""COMPUTED_VALUE"""),"bcf")</f>
        <v>bcf</v>
      </c>
      <c r="C1641" s="3" t="str">
        <f>IFERROR(__xludf.DUMMYFUNCTION("""COMPUTED_VALUE"""),"Bitcoin Fast")</f>
        <v>Bitcoin Fast</v>
      </c>
    </row>
    <row r="1642">
      <c r="A1642" s="3" t="str">
        <f>IFERROR(__xludf.DUMMYFUNCTION("""COMPUTED_VALUE"""),"bitcoin-free-cash")</f>
        <v>bitcoin-free-cash</v>
      </c>
      <c r="B1642" s="3" t="str">
        <f>IFERROR(__xludf.DUMMYFUNCTION("""COMPUTED_VALUE"""),"bfc")</f>
        <v>bfc</v>
      </c>
      <c r="C1642" s="3" t="str">
        <f>IFERROR(__xludf.DUMMYFUNCTION("""COMPUTED_VALUE"""),"Bitcoin Free Cash")</f>
        <v>Bitcoin Free Cash</v>
      </c>
    </row>
    <row r="1643">
      <c r="A1643" s="3" t="str">
        <f>IFERROR(__xludf.DUMMYFUNCTION("""COMPUTED_VALUE"""),"bitcoin-god")</f>
        <v>bitcoin-god</v>
      </c>
      <c r="B1643" s="3" t="str">
        <f>IFERROR(__xludf.DUMMYFUNCTION("""COMPUTED_VALUE"""),"god")</f>
        <v>god</v>
      </c>
      <c r="C1643" s="3" t="str">
        <f>IFERROR(__xludf.DUMMYFUNCTION("""COMPUTED_VALUE"""),"Bitcoin God")</f>
        <v>Bitcoin God</v>
      </c>
    </row>
    <row r="1644">
      <c r="A1644" s="3" t="str">
        <f>IFERROR(__xludf.DUMMYFUNCTION("""COMPUTED_VALUE"""),"bitcoin-gold")</f>
        <v>bitcoin-gold</v>
      </c>
      <c r="B1644" s="3" t="str">
        <f>IFERROR(__xludf.DUMMYFUNCTION("""COMPUTED_VALUE"""),"btg")</f>
        <v>btg</v>
      </c>
      <c r="C1644" s="3" t="str">
        <f>IFERROR(__xludf.DUMMYFUNCTION("""COMPUTED_VALUE"""),"Bitcoin Gold")</f>
        <v>Bitcoin Gold</v>
      </c>
    </row>
    <row r="1645">
      <c r="A1645" s="3" t="str">
        <f>IFERROR(__xludf.DUMMYFUNCTION("""COMPUTED_VALUE"""),"bitcoin-green")</f>
        <v>bitcoin-green</v>
      </c>
      <c r="B1645" s="3" t="str">
        <f>IFERROR(__xludf.DUMMYFUNCTION("""COMPUTED_VALUE"""),"bitg")</f>
        <v>bitg</v>
      </c>
      <c r="C1645" s="3" t="str">
        <f>IFERROR(__xludf.DUMMYFUNCTION("""COMPUTED_VALUE"""),"Bitcoin Green")</f>
        <v>Bitcoin Green</v>
      </c>
    </row>
    <row r="1646">
      <c r="A1646" s="3" t="str">
        <f>IFERROR(__xludf.DUMMYFUNCTION("""COMPUTED_VALUE"""),"bitcoin-hd")</f>
        <v>bitcoin-hd</v>
      </c>
      <c r="B1646" s="3" t="str">
        <f>IFERROR(__xludf.DUMMYFUNCTION("""COMPUTED_VALUE"""),"bhd")</f>
        <v>bhd</v>
      </c>
      <c r="C1646" s="3" t="str">
        <f>IFERROR(__xludf.DUMMYFUNCTION("""COMPUTED_VALUE"""),"Bitcoin HD")</f>
        <v>Bitcoin HD</v>
      </c>
    </row>
    <row r="1647">
      <c r="A1647" s="3" t="str">
        <f>IFERROR(__xludf.DUMMYFUNCTION("""COMPUTED_VALUE"""),"bitcoin-hot")</f>
        <v>bitcoin-hot</v>
      </c>
      <c r="B1647" s="3" t="str">
        <f>IFERROR(__xludf.DUMMYFUNCTION("""COMPUTED_VALUE"""),"bth")</f>
        <v>bth</v>
      </c>
      <c r="C1647" s="3" t="str">
        <f>IFERROR(__xludf.DUMMYFUNCTION("""COMPUTED_VALUE"""),"Bitcoin Hot")</f>
        <v>Bitcoin Hot</v>
      </c>
    </row>
    <row r="1648">
      <c r="A1648" s="3" t="str">
        <f>IFERROR(__xludf.DUMMYFUNCTION("""COMPUTED_VALUE"""),"bitcoin-international")</f>
        <v>bitcoin-international</v>
      </c>
      <c r="B1648" s="3" t="str">
        <f>IFERROR(__xludf.DUMMYFUNCTION("""COMPUTED_VALUE"""),"btci")</f>
        <v>btci</v>
      </c>
      <c r="C1648" s="3" t="str">
        <f>IFERROR(__xludf.DUMMYFUNCTION("""COMPUTED_VALUE"""),"Bitcoin International")</f>
        <v>Bitcoin International</v>
      </c>
    </row>
    <row r="1649">
      <c r="A1649" s="3" t="str">
        <f>IFERROR(__xludf.DUMMYFUNCTION("""COMPUTED_VALUE"""),"bitcoin-latinum")</f>
        <v>bitcoin-latinum</v>
      </c>
      <c r="B1649" s="3" t="str">
        <f>IFERROR(__xludf.DUMMYFUNCTION("""COMPUTED_VALUE"""),"ltnm")</f>
        <v>ltnm</v>
      </c>
      <c r="C1649" s="3" t="str">
        <f>IFERROR(__xludf.DUMMYFUNCTION("""COMPUTED_VALUE"""),"Bitcoin Latinum")</f>
        <v>Bitcoin Latinum</v>
      </c>
    </row>
    <row r="1650">
      <c r="A1650" s="3" t="str">
        <f>IFERROR(__xludf.DUMMYFUNCTION("""COMPUTED_VALUE"""),"bitcoin-legend")</f>
        <v>bitcoin-legend</v>
      </c>
      <c r="B1650" s="3" t="str">
        <f>IFERROR(__xludf.DUMMYFUNCTION("""COMPUTED_VALUE"""),"bcl")</f>
        <v>bcl</v>
      </c>
      <c r="C1650" s="3" t="str">
        <f>IFERROR(__xludf.DUMMYFUNCTION("""COMPUTED_VALUE"""),"Bitcoin Legend")</f>
        <v>Bitcoin Legend</v>
      </c>
    </row>
    <row r="1651">
      <c r="A1651" s="3" t="str">
        <f>IFERROR(__xludf.DUMMYFUNCTION("""COMPUTED_VALUE"""),"bitcoin-lightning")</f>
        <v>bitcoin-lightning</v>
      </c>
      <c r="B1651" s="3" t="str">
        <f>IFERROR(__xludf.DUMMYFUNCTION("""COMPUTED_VALUE"""),"bltg")</f>
        <v>bltg</v>
      </c>
      <c r="C1651" s="3" t="str">
        <f>IFERROR(__xludf.DUMMYFUNCTION("""COMPUTED_VALUE"""),"Block-Logic")</f>
        <v>Block-Logic</v>
      </c>
    </row>
    <row r="1652">
      <c r="A1652" s="3" t="str">
        <f>IFERROR(__xludf.DUMMYFUNCTION("""COMPUTED_VALUE"""),"bitcoinmoney")</f>
        <v>bitcoinmoney</v>
      </c>
      <c r="B1652" s="3" t="str">
        <f>IFERROR(__xludf.DUMMYFUNCTION("""COMPUTED_VALUE"""),"bcm")</f>
        <v>bcm</v>
      </c>
      <c r="C1652" s="3" t="str">
        <f>IFERROR(__xludf.DUMMYFUNCTION("""COMPUTED_VALUE"""),"BitcoinMoney")</f>
        <v>BitcoinMoney</v>
      </c>
    </row>
    <row r="1653">
      <c r="A1653" s="3" t="str">
        <f>IFERROR(__xludf.DUMMYFUNCTION("""COMPUTED_VALUE"""),"bitcoinmono")</f>
        <v>bitcoinmono</v>
      </c>
      <c r="B1653" s="3" t="str">
        <f>IFERROR(__xludf.DUMMYFUNCTION("""COMPUTED_VALUE"""),"btcmz")</f>
        <v>btcmz</v>
      </c>
      <c r="C1653" s="3" t="str">
        <f>IFERROR(__xludf.DUMMYFUNCTION("""COMPUTED_VALUE"""),"BitcoinMono")</f>
        <v>BitcoinMono</v>
      </c>
    </row>
    <row r="1654">
      <c r="A1654" s="3" t="str">
        <f>IFERROR(__xludf.DUMMYFUNCTION("""COMPUTED_VALUE"""),"bitcoin-one")</f>
        <v>bitcoin-one</v>
      </c>
      <c r="B1654" s="3" t="str">
        <f>IFERROR(__xludf.DUMMYFUNCTION("""COMPUTED_VALUE"""),"btcone")</f>
        <v>btcone</v>
      </c>
      <c r="C1654" s="3" t="str">
        <f>IFERROR(__xludf.DUMMYFUNCTION("""COMPUTED_VALUE"""),"BitCoin One")</f>
        <v>BitCoin One</v>
      </c>
    </row>
    <row r="1655">
      <c r="A1655" s="3" t="str">
        <f>IFERROR(__xludf.DUMMYFUNCTION("""COMPUTED_VALUE"""),"bitcoin-pay")</f>
        <v>bitcoin-pay</v>
      </c>
      <c r="B1655" s="3" t="str">
        <f>IFERROR(__xludf.DUMMYFUNCTION("""COMPUTED_VALUE"""),"btcpay")</f>
        <v>btcpay</v>
      </c>
      <c r="C1655" s="3" t="str">
        <f>IFERROR(__xludf.DUMMYFUNCTION("""COMPUTED_VALUE"""),"Bitcoin Pay")</f>
        <v>Bitcoin Pay</v>
      </c>
    </row>
    <row r="1656">
      <c r="A1656" s="3" t="str">
        <f>IFERROR(__xludf.DUMMYFUNCTION("""COMPUTED_VALUE"""),"bitcoin-plus")</f>
        <v>bitcoin-plus</v>
      </c>
      <c r="B1656" s="3" t="str">
        <f>IFERROR(__xludf.DUMMYFUNCTION("""COMPUTED_VALUE"""),"xbc")</f>
        <v>xbc</v>
      </c>
      <c r="C1656" s="3" t="str">
        <f>IFERROR(__xludf.DUMMYFUNCTION("""COMPUTED_VALUE"""),"Bitcoin Plus")</f>
        <v>Bitcoin Plus</v>
      </c>
    </row>
    <row r="1657">
      <c r="A1657" s="3" t="str">
        <f>IFERROR(__xludf.DUMMYFUNCTION("""COMPUTED_VALUE"""),"bitcoinpos")</f>
        <v>bitcoinpos</v>
      </c>
      <c r="B1657" s="3" t="str">
        <f>IFERROR(__xludf.DUMMYFUNCTION("""COMPUTED_VALUE"""),"btcs")</f>
        <v>btcs</v>
      </c>
      <c r="C1657" s="3" t="str">
        <f>IFERROR(__xludf.DUMMYFUNCTION("""COMPUTED_VALUE"""),"BitcoinPoS")</f>
        <v>BitcoinPoS</v>
      </c>
    </row>
    <row r="1658">
      <c r="A1658" s="3" t="str">
        <f>IFERROR(__xludf.DUMMYFUNCTION("""COMPUTED_VALUE"""),"bitcoin-private")</f>
        <v>bitcoin-private</v>
      </c>
      <c r="B1658" s="3" t="str">
        <f>IFERROR(__xludf.DUMMYFUNCTION("""COMPUTED_VALUE"""),"btcp")</f>
        <v>btcp</v>
      </c>
      <c r="C1658" s="3" t="str">
        <f>IFERROR(__xludf.DUMMYFUNCTION("""COMPUTED_VALUE"""),"Bitcoin Private")</f>
        <v>Bitcoin Private</v>
      </c>
    </row>
    <row r="1659">
      <c r="A1659" s="3" t="str">
        <f>IFERROR(__xludf.DUMMYFUNCTION("""COMPUTED_VALUE"""),"bitcoin-pro")</f>
        <v>bitcoin-pro</v>
      </c>
      <c r="B1659" s="3" t="str">
        <f>IFERROR(__xludf.DUMMYFUNCTION("""COMPUTED_VALUE"""),"btcp")</f>
        <v>btcp</v>
      </c>
      <c r="C1659" s="3" t="str">
        <f>IFERROR(__xludf.DUMMYFUNCTION("""COMPUTED_VALUE"""),"Bitcoin Pro")</f>
        <v>Bitcoin Pro</v>
      </c>
    </row>
    <row r="1660">
      <c r="A1660" s="3" t="str">
        <f>IFERROR(__xludf.DUMMYFUNCTION("""COMPUTED_VALUE"""),"bitcoin-red")</f>
        <v>bitcoin-red</v>
      </c>
      <c r="B1660" s="3" t="str">
        <f>IFERROR(__xludf.DUMMYFUNCTION("""COMPUTED_VALUE"""),"btcred")</f>
        <v>btcred</v>
      </c>
      <c r="C1660" s="3" t="str">
        <f>IFERROR(__xludf.DUMMYFUNCTION("""COMPUTED_VALUE"""),"Bitcoin Red")</f>
        <v>Bitcoin Red</v>
      </c>
    </row>
    <row r="1661">
      <c r="A1661" s="3" t="str">
        <f>IFERROR(__xludf.DUMMYFUNCTION("""COMPUTED_VALUE"""),"bitcoin-scrypt")</f>
        <v>bitcoin-scrypt</v>
      </c>
      <c r="B1661" s="3" t="str">
        <f>IFERROR(__xludf.DUMMYFUNCTION("""COMPUTED_VALUE"""),"btcs")</f>
        <v>btcs</v>
      </c>
      <c r="C1661" s="3" t="str">
        <f>IFERROR(__xludf.DUMMYFUNCTION("""COMPUTED_VALUE"""),"Bitcoin Scrypt")</f>
        <v>Bitcoin Scrypt</v>
      </c>
    </row>
    <row r="1662">
      <c r="A1662" s="3" t="str">
        <f>IFERROR(__xludf.DUMMYFUNCTION("""COMPUTED_VALUE"""),"bitcoinsov")</f>
        <v>bitcoinsov</v>
      </c>
      <c r="B1662" s="3" t="str">
        <f>IFERROR(__xludf.DUMMYFUNCTION("""COMPUTED_VALUE"""),"bsov")</f>
        <v>bsov</v>
      </c>
      <c r="C1662" s="3" t="str">
        <f>IFERROR(__xludf.DUMMYFUNCTION("""COMPUTED_VALUE"""),"BitcoinSoV")</f>
        <v>BitcoinSoV</v>
      </c>
    </row>
    <row r="1663">
      <c r="A1663" s="3" t="str">
        <f>IFERROR(__xludf.DUMMYFUNCTION("""COMPUTED_VALUE"""),"bitcoin-stash")</f>
        <v>bitcoin-stash</v>
      </c>
      <c r="B1663" s="3" t="str">
        <f>IFERROR(__xludf.DUMMYFUNCTION("""COMPUTED_VALUE"""),"bsh")</f>
        <v>bsh</v>
      </c>
      <c r="C1663" s="3" t="str">
        <f>IFERROR(__xludf.DUMMYFUNCTION("""COMPUTED_VALUE"""),"Bitcoin Stash")</f>
        <v>Bitcoin Stash</v>
      </c>
    </row>
    <row r="1664">
      <c r="A1664" s="3" t="str">
        <f>IFERROR(__xludf.DUMMYFUNCTION("""COMPUTED_VALUE"""),"bitcoin-subsidium")</f>
        <v>bitcoin-subsidium</v>
      </c>
      <c r="B1664" s="3" t="str">
        <f>IFERROR(__xludf.DUMMYFUNCTION("""COMPUTED_VALUE"""),"xbtx")</f>
        <v>xbtx</v>
      </c>
      <c r="C1664" s="3" t="str">
        <f>IFERROR(__xludf.DUMMYFUNCTION("""COMPUTED_VALUE"""),"Bitcoin Subsidium")</f>
        <v>Bitcoin Subsidium</v>
      </c>
    </row>
    <row r="1665">
      <c r="A1665" s="3" t="str">
        <f>IFERROR(__xludf.DUMMYFUNCTION("""COMPUTED_VALUE"""),"bitcoin-token")</f>
        <v>bitcoin-token</v>
      </c>
      <c r="B1665" s="3" t="str">
        <f>IFERROR(__xludf.DUMMYFUNCTION("""COMPUTED_VALUE"""),"btct")</f>
        <v>btct</v>
      </c>
      <c r="C1665" s="3" t="str">
        <f>IFERROR(__xludf.DUMMYFUNCTION("""COMPUTED_VALUE"""),"BitcoinToken")</f>
        <v>BitcoinToken</v>
      </c>
    </row>
    <row r="1666">
      <c r="A1666" s="3" t="str">
        <f>IFERROR(__xludf.DUMMYFUNCTION("""COMPUTED_VALUE"""),"bitcoin-trc20")</f>
        <v>bitcoin-trc20</v>
      </c>
      <c r="B1666" s="3" t="str">
        <f>IFERROR(__xludf.DUMMYFUNCTION("""COMPUTED_VALUE"""),"btct")</f>
        <v>btct</v>
      </c>
      <c r="C1666" s="3" t="str">
        <f>IFERROR(__xludf.DUMMYFUNCTION("""COMPUTED_VALUE"""),"Bitcoin TRC20")</f>
        <v>Bitcoin TRC20</v>
      </c>
    </row>
    <row r="1667">
      <c r="A1667" s="3" t="str">
        <f>IFERROR(__xludf.DUMMYFUNCTION("""COMPUTED_VALUE"""),"bitcoin-trust")</f>
        <v>bitcoin-trust</v>
      </c>
      <c r="B1667" s="3" t="str">
        <f>IFERROR(__xludf.DUMMYFUNCTION("""COMPUTED_VALUE"""),"bct")</f>
        <v>bct</v>
      </c>
      <c r="C1667" s="3" t="str">
        <f>IFERROR(__xludf.DUMMYFUNCTION("""COMPUTED_VALUE"""),"Bitcoin Trust")</f>
        <v>Bitcoin Trust</v>
      </c>
    </row>
    <row r="1668">
      <c r="A1668" s="3" t="str">
        <f>IFERROR(__xludf.DUMMYFUNCTION("""COMPUTED_VALUE"""),"bitcoin-ultra")</f>
        <v>bitcoin-ultra</v>
      </c>
      <c r="B1668" s="3" t="str">
        <f>IFERROR(__xludf.DUMMYFUNCTION("""COMPUTED_VALUE"""),"btcu")</f>
        <v>btcu</v>
      </c>
      <c r="C1668" s="3" t="str">
        <f>IFERROR(__xludf.DUMMYFUNCTION("""COMPUTED_VALUE"""),"BitcoinUltra")</f>
        <v>BitcoinUltra</v>
      </c>
    </row>
    <row r="1669">
      <c r="A1669" s="3" t="str">
        <f>IFERROR(__xludf.DUMMYFUNCTION("""COMPUTED_VALUE"""),"bitcoinv")</f>
        <v>bitcoinv</v>
      </c>
      <c r="B1669" s="3" t="str">
        <f>IFERROR(__xludf.DUMMYFUNCTION("""COMPUTED_VALUE"""),"btcv")</f>
        <v>btcv</v>
      </c>
      <c r="C1669" s="3" t="str">
        <f>IFERROR(__xludf.DUMMYFUNCTION("""COMPUTED_VALUE"""),"BitcoinV")</f>
        <v>BitcoinV</v>
      </c>
    </row>
    <row r="1670">
      <c r="A1670" s="3" t="str">
        <f>IFERROR(__xludf.DUMMYFUNCTION("""COMPUTED_VALUE"""),"bitcoin-vault")</f>
        <v>bitcoin-vault</v>
      </c>
      <c r="B1670" s="3" t="str">
        <f>IFERROR(__xludf.DUMMYFUNCTION("""COMPUTED_VALUE"""),"btcv")</f>
        <v>btcv</v>
      </c>
      <c r="C1670" s="3" t="str">
        <f>IFERROR(__xludf.DUMMYFUNCTION("""COMPUTED_VALUE"""),"Bitcoin Vault")</f>
        <v>Bitcoin Vault</v>
      </c>
    </row>
    <row r="1671">
      <c r="A1671" s="3" t="str">
        <f>IFERROR(__xludf.DUMMYFUNCTION("""COMPUTED_VALUE"""),"bitcoin-volatility-index-token")</f>
        <v>bitcoin-volatility-index-token</v>
      </c>
      <c r="B1671" s="3" t="str">
        <f>IFERROR(__xludf.DUMMYFUNCTION("""COMPUTED_VALUE"""),"btcv")</f>
        <v>btcv</v>
      </c>
      <c r="C1671" s="3" t="str">
        <f>IFERROR(__xludf.DUMMYFUNCTION("""COMPUTED_VALUE"""),"Bitcoin Volatility Index Token")</f>
        <v>Bitcoin Volatility Index Token</v>
      </c>
    </row>
    <row r="1672">
      <c r="A1672" s="3" t="str">
        <f>IFERROR(__xludf.DUMMYFUNCTION("""COMPUTED_VALUE"""),"bitcoinx")</f>
        <v>bitcoinx</v>
      </c>
      <c r="B1672" s="3" t="str">
        <f>IFERROR(__xludf.DUMMYFUNCTION("""COMPUTED_VALUE"""),"bcx")</f>
        <v>bcx</v>
      </c>
      <c r="C1672" s="3" t="str">
        <f>IFERROR(__xludf.DUMMYFUNCTION("""COMPUTED_VALUE"""),"BitcoinX")</f>
        <v>BitcoinX</v>
      </c>
    </row>
    <row r="1673">
      <c r="A1673" s="3" t="str">
        <f>IFERROR(__xludf.DUMMYFUNCTION("""COMPUTED_VALUE"""),"bitcoinx-2")</f>
        <v>bitcoinx-2</v>
      </c>
      <c r="B1673" s="3" t="str">
        <f>IFERROR(__xludf.DUMMYFUNCTION("""COMPUTED_VALUE"""),"btcx")</f>
        <v>btcx</v>
      </c>
      <c r="C1673" s="3" t="str">
        <f>IFERROR(__xludf.DUMMYFUNCTION("""COMPUTED_VALUE"""),"BitcoinXGames")</f>
        <v>BitcoinXGames</v>
      </c>
    </row>
    <row r="1674">
      <c r="A1674" s="3" t="str">
        <f>IFERROR(__xludf.DUMMYFUNCTION("""COMPUTED_VALUE"""),"bitcoinz")</f>
        <v>bitcoinz</v>
      </c>
      <c r="B1674" s="3" t="str">
        <f>IFERROR(__xludf.DUMMYFUNCTION("""COMPUTED_VALUE"""),"btcz")</f>
        <v>btcz</v>
      </c>
      <c r="C1674" s="3" t="str">
        <f>IFERROR(__xludf.DUMMYFUNCTION("""COMPUTED_VALUE"""),"BitcoinZ")</f>
        <v>BitcoinZ</v>
      </c>
    </row>
    <row r="1675">
      <c r="A1675" s="3" t="str">
        <f>IFERROR(__xludf.DUMMYFUNCTION("""COMPUTED_VALUE"""),"bitcoiva")</f>
        <v>bitcoiva</v>
      </c>
      <c r="B1675" s="3" t="str">
        <f>IFERROR(__xludf.DUMMYFUNCTION("""COMPUTED_VALUE"""),"bca")</f>
        <v>bca</v>
      </c>
      <c r="C1675" s="3" t="str">
        <f>IFERROR(__xludf.DUMMYFUNCTION("""COMPUTED_VALUE"""),"Bitcoiva")</f>
        <v>Bitcoiva</v>
      </c>
    </row>
    <row r="1676">
      <c r="A1676" s="3" t="str">
        <f>IFERROR(__xludf.DUMMYFUNCTION("""COMPUTED_VALUE"""),"bitcoke")</f>
        <v>bitcoke</v>
      </c>
      <c r="B1676" s="3" t="str">
        <f>IFERROR(__xludf.DUMMYFUNCTION("""COMPUTED_VALUE"""),"coke")</f>
        <v>coke</v>
      </c>
      <c r="C1676" s="3" t="str">
        <f>IFERROR(__xludf.DUMMYFUNCTION("""COMPUTED_VALUE"""),"BitCoke")</f>
        <v>BitCoke</v>
      </c>
    </row>
    <row r="1677">
      <c r="A1677" s="3" t="str">
        <f>IFERROR(__xludf.DUMMYFUNCTION("""COMPUTED_VALUE"""),"bitcomine")</f>
        <v>bitcomine</v>
      </c>
      <c r="B1677" s="3" t="str">
        <f>IFERROR(__xludf.DUMMYFUNCTION("""COMPUTED_VALUE"""),"bme")</f>
        <v>bme</v>
      </c>
      <c r="C1677" s="3" t="str">
        <f>IFERROR(__xludf.DUMMYFUNCTION("""COMPUTED_VALUE"""),"BitcoMine")</f>
        <v>BitcoMine</v>
      </c>
    </row>
    <row r="1678">
      <c r="A1678" s="3" t="str">
        <f>IFERROR(__xludf.DUMMYFUNCTION("""COMPUTED_VALUE"""),"bitcomo")</f>
        <v>bitcomo</v>
      </c>
      <c r="B1678" s="3" t="str">
        <f>IFERROR(__xludf.DUMMYFUNCTION("""COMPUTED_VALUE"""),"bm")</f>
        <v>bm</v>
      </c>
      <c r="C1678" s="3" t="str">
        <f>IFERROR(__xludf.DUMMYFUNCTION("""COMPUTED_VALUE"""),"Bitcomo")</f>
        <v>Bitcomo</v>
      </c>
    </row>
    <row r="1679">
      <c r="A1679" s="3" t="str">
        <f>IFERROR(__xludf.DUMMYFUNCTION("""COMPUTED_VALUE"""),"bitconnect")</f>
        <v>bitconnect</v>
      </c>
      <c r="B1679" s="3" t="str">
        <f>IFERROR(__xludf.DUMMYFUNCTION("""COMPUTED_VALUE"""),"bcc")</f>
        <v>bcc</v>
      </c>
      <c r="C1679" s="3" t="str">
        <f>IFERROR(__xludf.DUMMYFUNCTION("""COMPUTED_VALUE"""),"Bitconnect")</f>
        <v>Bitconnect</v>
      </c>
    </row>
    <row r="1680">
      <c r="A1680" s="3" t="str">
        <f>IFERROR(__xludf.DUMMYFUNCTION("""COMPUTED_VALUE"""),"bitconnectx-genesis")</f>
        <v>bitconnectx-genesis</v>
      </c>
      <c r="B1680" s="3" t="str">
        <f>IFERROR(__xludf.DUMMYFUNCTION("""COMPUTED_VALUE"""),"bccx")</f>
        <v>bccx</v>
      </c>
      <c r="C1680" s="3" t="str">
        <f>IFERROR(__xludf.DUMMYFUNCTION("""COMPUTED_VALUE"""),"BCCXGenesis")</f>
        <v>BCCXGenesis</v>
      </c>
    </row>
    <row r="1681">
      <c r="A1681" s="3" t="str">
        <f>IFERROR(__xludf.DUMMYFUNCTION("""COMPUTED_VALUE"""),"bitcore")</f>
        <v>bitcore</v>
      </c>
      <c r="B1681" s="3" t="str">
        <f>IFERROR(__xludf.DUMMYFUNCTION("""COMPUTED_VALUE"""),"btx")</f>
        <v>btx</v>
      </c>
      <c r="C1681" s="3" t="str">
        <f>IFERROR(__xludf.DUMMYFUNCTION("""COMPUTED_VALUE"""),"BitCore")</f>
        <v>BitCore</v>
      </c>
    </row>
    <row r="1682">
      <c r="A1682" s="3" t="str">
        <f>IFERROR(__xludf.DUMMYFUNCTION("""COMPUTED_VALUE"""),"bitcrex-coin")</f>
        <v>bitcrex-coin</v>
      </c>
      <c r="B1682" s="3" t="str">
        <f>IFERROR(__xludf.DUMMYFUNCTION("""COMPUTED_VALUE"""),"bic")</f>
        <v>bic</v>
      </c>
      <c r="C1682" s="3" t="str">
        <f>IFERROR(__xludf.DUMMYFUNCTION("""COMPUTED_VALUE"""),"Bitcrex Coin")</f>
        <v>Bitcrex Coin</v>
      </c>
    </row>
    <row r="1683">
      <c r="A1683" s="3" t="str">
        <f>IFERROR(__xludf.DUMMYFUNCTION("""COMPUTED_VALUE"""),"bitcurate")</f>
        <v>bitcurate</v>
      </c>
      <c r="B1683" s="3" t="str">
        <f>IFERROR(__xludf.DUMMYFUNCTION("""COMPUTED_VALUE"""),"btcr")</f>
        <v>btcr</v>
      </c>
      <c r="C1683" s="3" t="str">
        <f>IFERROR(__xludf.DUMMYFUNCTION("""COMPUTED_VALUE"""),"Bitcurate")</f>
        <v>Bitcurate</v>
      </c>
    </row>
    <row r="1684">
      <c r="A1684" s="3" t="str">
        <f>IFERROR(__xludf.DUMMYFUNCTION("""COMPUTED_VALUE"""),"bitdao")</f>
        <v>bitdao</v>
      </c>
      <c r="B1684" s="3" t="str">
        <f>IFERROR(__xludf.DUMMYFUNCTION("""COMPUTED_VALUE"""),"bit")</f>
        <v>bit</v>
      </c>
      <c r="C1684" s="3" t="str">
        <f>IFERROR(__xludf.DUMMYFUNCTION("""COMPUTED_VALUE"""),"BitDAO")</f>
        <v>BitDAO</v>
      </c>
    </row>
    <row r="1685">
      <c r="A1685" s="3" t="str">
        <f>IFERROR(__xludf.DUMMYFUNCTION("""COMPUTED_VALUE"""),"bitdegree")</f>
        <v>bitdegree</v>
      </c>
      <c r="B1685" s="3" t="str">
        <f>IFERROR(__xludf.DUMMYFUNCTION("""COMPUTED_VALUE"""),"bdg")</f>
        <v>bdg</v>
      </c>
      <c r="C1685" s="3" t="str">
        <f>IFERROR(__xludf.DUMMYFUNCTION("""COMPUTED_VALUE"""),"BitDegree")</f>
        <v>BitDegree</v>
      </c>
    </row>
    <row r="1686">
      <c r="A1686" s="3" t="str">
        <f>IFERROR(__xludf.DUMMYFUNCTION("""COMPUTED_VALUE"""),"bitdoge")</f>
        <v>bitdoge</v>
      </c>
      <c r="B1686" s="3" t="str">
        <f>IFERROR(__xludf.DUMMYFUNCTION("""COMPUTED_VALUE"""),"bdoge")</f>
        <v>bdoge</v>
      </c>
      <c r="C1686" s="3" t="str">
        <f>IFERROR(__xludf.DUMMYFUNCTION("""COMPUTED_VALUE"""),"BitDoge")</f>
        <v>BitDoge</v>
      </c>
    </row>
    <row r="1687">
      <c r="A1687" s="3" t="str">
        <f>IFERROR(__xludf.DUMMYFUNCTION("""COMPUTED_VALUE"""),"bitdollars")</f>
        <v>bitdollars</v>
      </c>
      <c r="B1687" s="3" t="str">
        <f>IFERROR(__xludf.DUMMYFUNCTION("""COMPUTED_VALUE"""),"btcd")</f>
        <v>btcd</v>
      </c>
      <c r="C1687" s="3" t="str">
        <f>IFERROR(__xludf.DUMMYFUNCTION("""COMPUTED_VALUE"""),"Bitdollars")</f>
        <v>Bitdollars</v>
      </c>
    </row>
    <row r="1688">
      <c r="A1688" s="3" t="str">
        <f>IFERROR(__xludf.DUMMYFUNCTION("""COMPUTED_VALUE"""),"bitenium-token")</f>
        <v>bitenium-token</v>
      </c>
      <c r="B1688" s="3" t="str">
        <f>IFERROR(__xludf.DUMMYFUNCTION("""COMPUTED_VALUE"""),"bt")</f>
        <v>bt</v>
      </c>
      <c r="C1688" s="3" t="str">
        <f>IFERROR(__xludf.DUMMYFUNCTION("""COMPUTED_VALUE"""),"Bitenium")</f>
        <v>Bitenium</v>
      </c>
    </row>
    <row r="1689">
      <c r="A1689" s="3" t="str">
        <f>IFERROR(__xludf.DUMMYFUNCTION("""COMPUTED_VALUE"""),"bitfex-2")</f>
        <v>bitfex-2</v>
      </c>
      <c r="B1689" s="3" t="str">
        <f>IFERROR(__xludf.DUMMYFUNCTION("""COMPUTED_VALUE"""),"bce")</f>
        <v>bce</v>
      </c>
      <c r="C1689" s="3" t="str">
        <f>IFERROR(__xludf.DUMMYFUNCTION("""COMPUTED_VALUE"""),"Bitfex")</f>
        <v>Bitfex</v>
      </c>
    </row>
    <row r="1690">
      <c r="A1690" s="3" t="str">
        <f>IFERROR(__xludf.DUMMYFUNCTION("""COMPUTED_VALUE"""),"bitflowers")</f>
        <v>bitflowers</v>
      </c>
      <c r="B1690" s="3" t="str">
        <f>IFERROR(__xludf.DUMMYFUNCTION("""COMPUTED_VALUE"""),"petal")</f>
        <v>petal</v>
      </c>
      <c r="C1690" s="3" t="str">
        <f>IFERROR(__xludf.DUMMYFUNCTION("""COMPUTED_VALUE"""),"bitFlowers")</f>
        <v>bitFlowers</v>
      </c>
    </row>
    <row r="1691">
      <c r="A1691" s="3" t="str">
        <f>IFERROR(__xludf.DUMMYFUNCTION("""COMPUTED_VALUE"""),"bitforex")</f>
        <v>bitforex</v>
      </c>
      <c r="B1691" s="3" t="str">
        <f>IFERROR(__xludf.DUMMYFUNCTION("""COMPUTED_VALUE"""),"bf")</f>
        <v>bf</v>
      </c>
      <c r="C1691" s="3" t="str">
        <f>IFERROR(__xludf.DUMMYFUNCTION("""COMPUTED_VALUE"""),"Bitforex")</f>
        <v>Bitforex</v>
      </c>
    </row>
    <row r="1692">
      <c r="A1692" s="3" t="str">
        <f>IFERROR(__xludf.DUMMYFUNCTION("""COMPUTED_VALUE"""),"bit-game-verse-token")</f>
        <v>bit-game-verse-token</v>
      </c>
      <c r="B1692" s="3" t="str">
        <f>IFERROR(__xludf.DUMMYFUNCTION("""COMPUTED_VALUE"""),"bgvt")</f>
        <v>bgvt</v>
      </c>
      <c r="C1692" s="3" t="str">
        <f>IFERROR(__xludf.DUMMYFUNCTION("""COMPUTED_VALUE"""),"Bit Game Verse Token")</f>
        <v>Bit Game Verse Token</v>
      </c>
    </row>
    <row r="1693">
      <c r="A1693" s="3" t="str">
        <f>IFERROR(__xludf.DUMMYFUNCTION("""COMPUTED_VALUE"""),"bitgear")</f>
        <v>bitgear</v>
      </c>
      <c r="B1693" s="3" t="str">
        <f>IFERROR(__xludf.DUMMYFUNCTION("""COMPUTED_VALUE"""),"gear")</f>
        <v>gear</v>
      </c>
      <c r="C1693" s="3" t="str">
        <f>IFERROR(__xludf.DUMMYFUNCTION("""COMPUTED_VALUE"""),"Bitgear")</f>
        <v>Bitgear</v>
      </c>
    </row>
    <row r="1694">
      <c r="A1694" s="3" t="str">
        <f>IFERROR(__xludf.DUMMYFUNCTION("""COMPUTED_VALUE"""),"bitgem")</f>
        <v>bitgem</v>
      </c>
      <c r="B1694" s="3" t="str">
        <f>IFERROR(__xludf.DUMMYFUNCTION("""COMPUTED_VALUE"""),"xbtg")</f>
        <v>xbtg</v>
      </c>
      <c r="C1694" s="3" t="str">
        <f>IFERROR(__xludf.DUMMYFUNCTION("""COMPUTED_VALUE"""),"Bitgem")</f>
        <v>Bitgem</v>
      </c>
    </row>
    <row r="1695">
      <c r="A1695" s="3" t="str">
        <f>IFERROR(__xludf.DUMMYFUNCTION("""COMPUTED_VALUE"""),"bitgesell")</f>
        <v>bitgesell</v>
      </c>
      <c r="B1695" s="3" t="str">
        <f>IFERROR(__xludf.DUMMYFUNCTION("""COMPUTED_VALUE"""),"bgl")</f>
        <v>bgl</v>
      </c>
      <c r="C1695" s="3" t="str">
        <f>IFERROR(__xludf.DUMMYFUNCTION("""COMPUTED_VALUE"""),"Bitgesell")</f>
        <v>Bitgesell</v>
      </c>
    </row>
    <row r="1696">
      <c r="A1696" s="3" t="str">
        <f>IFERROR(__xludf.DUMMYFUNCTION("""COMPUTED_VALUE"""),"bitget-token")</f>
        <v>bitget-token</v>
      </c>
      <c r="B1696" s="3" t="str">
        <f>IFERROR(__xludf.DUMMYFUNCTION("""COMPUTED_VALUE"""),"bgb")</f>
        <v>bgb</v>
      </c>
      <c r="C1696" s="3" t="str">
        <f>IFERROR(__xludf.DUMMYFUNCTION("""COMPUTED_VALUE"""),"Bitget Token")</f>
        <v>Bitget Token</v>
      </c>
    </row>
    <row r="1697">
      <c r="A1697" s="3" t="str">
        <f>IFERROR(__xludf.DUMMYFUNCTION("""COMPUTED_VALUE"""),"bitguild")</f>
        <v>bitguild</v>
      </c>
      <c r="B1697" s="3" t="str">
        <f>IFERROR(__xludf.DUMMYFUNCTION("""COMPUTED_VALUE"""),"plat")</f>
        <v>plat</v>
      </c>
      <c r="C1697" s="3" t="str">
        <f>IFERROR(__xludf.DUMMYFUNCTION("""COMPUTED_VALUE"""),"BitGuild PLAT")</f>
        <v>BitGuild PLAT</v>
      </c>
    </row>
    <row r="1698">
      <c r="A1698" s="3" t="str">
        <f>IFERROR(__xludf.DUMMYFUNCTION("""COMPUTED_VALUE"""),"bithachi")</f>
        <v>bithachi</v>
      </c>
      <c r="B1698" s="3" t="str">
        <f>IFERROR(__xludf.DUMMYFUNCTION("""COMPUTED_VALUE"""),"bith")</f>
        <v>bith</v>
      </c>
      <c r="C1698" s="3" t="str">
        <f>IFERROR(__xludf.DUMMYFUNCTION("""COMPUTED_VALUE"""),"Bithachi")</f>
        <v>Bithachi</v>
      </c>
    </row>
    <row r="1699">
      <c r="A1699" s="3" t="str">
        <f>IFERROR(__xludf.DUMMYFUNCTION("""COMPUTED_VALUE"""),"bithashex")</f>
        <v>bithashex</v>
      </c>
      <c r="B1699" s="3" t="str">
        <f>IFERROR(__xludf.DUMMYFUNCTION("""COMPUTED_VALUE"""),"bhax")</f>
        <v>bhax</v>
      </c>
      <c r="C1699" s="3" t="str">
        <f>IFERROR(__xludf.DUMMYFUNCTION("""COMPUTED_VALUE"""),"Bithashex")</f>
        <v>Bithashex</v>
      </c>
    </row>
    <row r="1700">
      <c r="A1700" s="3" t="str">
        <f>IFERROR(__xludf.DUMMYFUNCTION("""COMPUTED_VALUE"""),"bithash-token")</f>
        <v>bithash-token</v>
      </c>
      <c r="B1700" s="3" t="str">
        <f>IFERROR(__xludf.DUMMYFUNCTION("""COMPUTED_VALUE"""),"bt")</f>
        <v>bt</v>
      </c>
      <c r="C1700" s="3" t="str">
        <f>IFERROR(__xludf.DUMMYFUNCTION("""COMPUTED_VALUE"""),"BitHash")</f>
        <v>BitHash</v>
      </c>
    </row>
    <row r="1701">
      <c r="A1701" s="3" t="str">
        <f>IFERROR(__xludf.DUMMYFUNCTION("""COMPUTED_VALUE"""),"bithostcoin")</f>
        <v>bithostcoin</v>
      </c>
      <c r="B1701" s="3" t="str">
        <f>IFERROR(__xludf.DUMMYFUNCTION("""COMPUTED_VALUE"""),"bih")</f>
        <v>bih</v>
      </c>
      <c r="C1701" s="3" t="str">
        <f>IFERROR(__xludf.DUMMYFUNCTION("""COMPUTED_VALUE"""),"BitHostCoin")</f>
        <v>BitHostCoin</v>
      </c>
    </row>
    <row r="1702">
      <c r="A1702" s="3" t="str">
        <f>IFERROR(__xludf.DUMMYFUNCTION("""COMPUTED_VALUE"""),"bit-hotel")</f>
        <v>bit-hotel</v>
      </c>
      <c r="B1702" s="3" t="str">
        <f>IFERROR(__xludf.DUMMYFUNCTION("""COMPUTED_VALUE"""),"bth")</f>
        <v>bth</v>
      </c>
      <c r="C1702" s="3" t="str">
        <f>IFERROR(__xludf.DUMMYFUNCTION("""COMPUTED_VALUE"""),"Bit Hotel")</f>
        <v>Bit Hotel</v>
      </c>
    </row>
    <row r="1703">
      <c r="A1703" s="3" t="str">
        <f>IFERROR(__xludf.DUMMYFUNCTION("""COMPUTED_VALUE"""),"bitica-coin")</f>
        <v>bitica-coin</v>
      </c>
      <c r="B1703" s="3" t="str">
        <f>IFERROR(__xludf.DUMMYFUNCTION("""COMPUTED_VALUE"""),"bdcc")</f>
        <v>bdcc</v>
      </c>
      <c r="C1703" s="3" t="str">
        <f>IFERROR(__xludf.DUMMYFUNCTION("""COMPUTED_VALUE"""),"BITICA COIN")</f>
        <v>BITICA COIN</v>
      </c>
    </row>
    <row r="1704">
      <c r="A1704" s="3" t="str">
        <f>IFERROR(__xludf.DUMMYFUNCTION("""COMPUTED_VALUE"""),"bitindi-chain")</f>
        <v>bitindi-chain</v>
      </c>
      <c r="B1704" s="3" t="str">
        <f>IFERROR(__xludf.DUMMYFUNCTION("""COMPUTED_VALUE"""),"bni")</f>
        <v>bni</v>
      </c>
      <c r="C1704" s="3" t="str">
        <f>IFERROR(__xludf.DUMMYFUNCTION("""COMPUTED_VALUE"""),"Bitindi Chain")</f>
        <v>Bitindi Chain</v>
      </c>
    </row>
    <row r="1705">
      <c r="A1705" s="3" t="str">
        <f>IFERROR(__xludf.DUMMYFUNCTION("""COMPUTED_VALUE"""),"bitjob")</f>
        <v>bitjob</v>
      </c>
      <c r="B1705" s="3" t="str">
        <f>IFERROR(__xludf.DUMMYFUNCTION("""COMPUTED_VALUE"""),"stu")</f>
        <v>stu</v>
      </c>
      <c r="C1705" s="3" t="str">
        <f>IFERROR(__xludf.DUMMYFUNCTION("""COMPUTED_VALUE"""),"bitJob")</f>
        <v>bitJob</v>
      </c>
    </row>
    <row r="1706">
      <c r="A1706" s="3" t="str">
        <f>IFERROR(__xludf.DUMMYFUNCTION("""COMPUTED_VALUE"""),"bitkub-coin")</f>
        <v>bitkub-coin</v>
      </c>
      <c r="B1706" s="3" t="str">
        <f>IFERROR(__xludf.DUMMYFUNCTION("""COMPUTED_VALUE"""),"kub")</f>
        <v>kub</v>
      </c>
      <c r="C1706" s="3" t="str">
        <f>IFERROR(__xludf.DUMMYFUNCTION("""COMPUTED_VALUE"""),"Bitkub Coin")</f>
        <v>Bitkub Coin</v>
      </c>
    </row>
    <row r="1707">
      <c r="A1707" s="3" t="str">
        <f>IFERROR(__xludf.DUMMYFUNCTION("""COMPUTED_VALUE"""),"bitlevex")</f>
        <v>bitlevex</v>
      </c>
      <c r="B1707" s="3" t="str">
        <f>IFERROR(__xludf.DUMMYFUNCTION("""COMPUTED_VALUE"""),"blex")</f>
        <v>blex</v>
      </c>
      <c r="C1707" s="3" t="str">
        <f>IFERROR(__xludf.DUMMYFUNCTION("""COMPUTED_VALUE"""),"Bitlevex")</f>
        <v>Bitlevex</v>
      </c>
    </row>
    <row r="1708">
      <c r="A1708" s="3" t="str">
        <f>IFERROR(__xludf.DUMMYFUNCTION("""COMPUTED_VALUE"""),"bitlive")</f>
        <v>bitlive</v>
      </c>
      <c r="B1708" s="3" t="str">
        <f>IFERROR(__xludf.DUMMYFUNCTION("""COMPUTED_VALUE"""),"blt")</f>
        <v>blt</v>
      </c>
      <c r="C1708" s="3" t="str">
        <f>IFERROR(__xludf.DUMMYFUNCTION("""COMPUTED_VALUE"""),"BITLIVE")</f>
        <v>BITLIVE</v>
      </c>
    </row>
    <row r="1709">
      <c r="A1709" s="3" t="str">
        <f>IFERROR(__xludf.DUMMYFUNCTION("""COMPUTED_VALUE"""),"bitlocus")</f>
        <v>bitlocus</v>
      </c>
      <c r="B1709" s="3" t="str">
        <f>IFERROR(__xludf.DUMMYFUNCTION("""COMPUTED_VALUE"""),"btl")</f>
        <v>btl</v>
      </c>
      <c r="C1709" s="3" t="str">
        <f>IFERROR(__xludf.DUMMYFUNCTION("""COMPUTED_VALUE"""),"Bitlocus")</f>
        <v>Bitlocus</v>
      </c>
    </row>
    <row r="1710">
      <c r="A1710" s="3" t="str">
        <f>IFERROR(__xludf.DUMMYFUNCTION("""COMPUTED_VALUE"""),"bitlorrent")</f>
        <v>bitlorrent</v>
      </c>
      <c r="B1710" s="3" t="str">
        <f>IFERROR(__xludf.DUMMYFUNCTION("""COMPUTED_VALUE"""),"blt")</f>
        <v>blt</v>
      </c>
      <c r="C1710" s="3" t="str">
        <f>IFERROR(__xludf.DUMMYFUNCTION("""COMPUTED_VALUE"""),"Bitlorrent")</f>
        <v>Bitlorrent</v>
      </c>
    </row>
    <row r="1711">
      <c r="A1711" s="3" t="str">
        <f>IFERROR(__xludf.DUMMYFUNCTION("""COMPUTED_VALUE"""),"bitmark")</f>
        <v>bitmark</v>
      </c>
      <c r="B1711" s="3" t="str">
        <f>IFERROR(__xludf.DUMMYFUNCTION("""COMPUTED_VALUE"""),"marks")</f>
        <v>marks</v>
      </c>
      <c r="C1711" s="3" t="str">
        <f>IFERROR(__xludf.DUMMYFUNCTION("""COMPUTED_VALUE"""),"Bitmark")</f>
        <v>Bitmark</v>
      </c>
    </row>
    <row r="1712">
      <c r="A1712" s="3" t="str">
        <f>IFERROR(__xludf.DUMMYFUNCTION("""COMPUTED_VALUE"""),"bitmart-token")</f>
        <v>bitmart-token</v>
      </c>
      <c r="B1712" s="3" t="str">
        <f>IFERROR(__xludf.DUMMYFUNCTION("""COMPUTED_VALUE"""),"bmx")</f>
        <v>bmx</v>
      </c>
      <c r="C1712" s="3" t="str">
        <f>IFERROR(__xludf.DUMMYFUNCTION("""COMPUTED_VALUE"""),"BitMart")</f>
        <v>BitMart</v>
      </c>
    </row>
    <row r="1713">
      <c r="A1713" s="3" t="str">
        <f>IFERROR(__xludf.DUMMYFUNCTION("""COMPUTED_VALUE"""),"bitmax-coin")</f>
        <v>bitmax-coin</v>
      </c>
      <c r="B1713" s="3" t="str">
        <f>IFERROR(__xludf.DUMMYFUNCTION("""COMPUTED_VALUE"""),"bmx")</f>
        <v>bmx</v>
      </c>
      <c r="C1713" s="3" t="str">
        <f>IFERROR(__xludf.DUMMYFUNCTION("""COMPUTED_VALUE"""),"Bitmax Coin")</f>
        <v>Bitmax Coin</v>
      </c>
    </row>
    <row r="1714">
      <c r="A1714" s="3" t="str">
        <f>IFERROR(__xludf.DUMMYFUNCTION("""COMPUTED_VALUE"""),"bitmex-token")</f>
        <v>bitmex-token</v>
      </c>
      <c r="B1714" s="3" t="str">
        <f>IFERROR(__xludf.DUMMYFUNCTION("""COMPUTED_VALUE"""),"bmex")</f>
        <v>bmex</v>
      </c>
      <c r="C1714" s="3" t="str">
        <f>IFERROR(__xludf.DUMMYFUNCTION("""COMPUTED_VALUE"""),"BitMEX")</f>
        <v>BitMEX</v>
      </c>
    </row>
    <row r="1715">
      <c r="A1715" s="3" t="str">
        <f>IFERROR(__xludf.DUMMYFUNCTION("""COMPUTED_VALUE"""),"bitmic")</f>
        <v>bitmic</v>
      </c>
      <c r="B1715" s="3" t="str">
        <f>IFERROR(__xludf.DUMMYFUNCTION("""COMPUTED_VALUE"""),"bmic")</f>
        <v>bmic</v>
      </c>
      <c r="C1715" s="3" t="str">
        <f>IFERROR(__xludf.DUMMYFUNCTION("""COMPUTED_VALUE"""),"Bitmic")</f>
        <v>Bitmic</v>
      </c>
    </row>
    <row r="1716">
      <c r="A1716" s="3" t="str">
        <f>IFERROR(__xludf.DUMMYFUNCTION("""COMPUTED_VALUE"""),"bit-miner-chain")</f>
        <v>bit-miner-chain</v>
      </c>
      <c r="B1716" s="3" t="str">
        <f>IFERROR(__xludf.DUMMYFUNCTION("""COMPUTED_VALUE"""),"btmc")</f>
        <v>btmc</v>
      </c>
      <c r="C1716" s="3" t="str">
        <f>IFERROR(__xludf.DUMMYFUNCTION("""COMPUTED_VALUE"""),"Bit Miner Chain")</f>
        <v>Bit Miner Chain</v>
      </c>
    </row>
    <row r="1717">
      <c r="A1717" s="3" t="str">
        <f>IFERROR(__xludf.DUMMYFUNCTION("""COMPUTED_VALUE"""),"bitmon")</f>
        <v>bitmon</v>
      </c>
      <c r="B1717" s="3" t="str">
        <f>IFERROR(__xludf.DUMMYFUNCTION("""COMPUTED_VALUE"""),"bit")</f>
        <v>bit</v>
      </c>
      <c r="C1717" s="3" t="str">
        <f>IFERROR(__xludf.DUMMYFUNCTION("""COMPUTED_VALUE"""),"Bitmon")</f>
        <v>Bitmon</v>
      </c>
    </row>
    <row r="1718">
      <c r="A1718" s="3" t="str">
        <f>IFERROR(__xludf.DUMMYFUNCTION("""COMPUTED_VALUE"""),"bitnautic")</f>
        <v>bitnautic</v>
      </c>
      <c r="B1718" s="3" t="str">
        <f>IFERROR(__xludf.DUMMYFUNCTION("""COMPUTED_VALUE"""),"btnt")</f>
        <v>btnt</v>
      </c>
      <c r="C1718" s="3" t="str">
        <f>IFERROR(__xludf.DUMMYFUNCTION("""COMPUTED_VALUE"""),"BitNautic")</f>
        <v>BitNautic</v>
      </c>
    </row>
    <row r="1719">
      <c r="A1719" s="3" t="str">
        <f>IFERROR(__xludf.DUMMYFUNCTION("""COMPUTED_VALUE"""),"bitnorm")</f>
        <v>bitnorm</v>
      </c>
      <c r="B1719" s="3" t="str">
        <f>IFERROR(__xludf.DUMMYFUNCTION("""COMPUTED_VALUE"""),"bn")</f>
        <v>bn</v>
      </c>
      <c r="C1719" s="3" t="str">
        <f>IFERROR(__xludf.DUMMYFUNCTION("""COMPUTED_VALUE"""),"Bitnorm")</f>
        <v>Bitnorm</v>
      </c>
    </row>
    <row r="1720">
      <c r="A1720" s="3" t="str">
        <f>IFERROR(__xludf.DUMMYFUNCTION("""COMPUTED_VALUE"""),"bito-coin")</f>
        <v>bito-coin</v>
      </c>
      <c r="B1720" s="3" t="str">
        <f>IFERROR(__xludf.DUMMYFUNCTION("""COMPUTED_VALUE"""),"bito")</f>
        <v>bito</v>
      </c>
      <c r="C1720" s="3" t="str">
        <f>IFERROR(__xludf.DUMMYFUNCTION("""COMPUTED_VALUE"""),"BITO Coin")</f>
        <v>BITO Coin</v>
      </c>
    </row>
    <row r="1721">
      <c r="A1721" s="3" t="str">
        <f>IFERROR(__xludf.DUMMYFUNCTION("""COMPUTED_VALUE"""),"bitone")</f>
        <v>bitone</v>
      </c>
      <c r="B1721" s="3" t="str">
        <f>IFERROR(__xludf.DUMMYFUNCTION("""COMPUTED_VALUE"""),"bio")</f>
        <v>bio</v>
      </c>
      <c r="C1721" s="3" t="str">
        <f>IFERROR(__xludf.DUMMYFUNCTION("""COMPUTED_VALUE"""),"BITONE")</f>
        <v>BITONE</v>
      </c>
    </row>
    <row r="1722">
      <c r="A1722" s="3" t="str">
        <f>IFERROR(__xludf.DUMMYFUNCTION("""COMPUTED_VALUE"""),"bitonyx-token")</f>
        <v>bitonyx-token</v>
      </c>
      <c r="B1722" s="3" t="str">
        <f>IFERROR(__xludf.DUMMYFUNCTION("""COMPUTED_VALUE"""),"btnyx")</f>
        <v>btnyx</v>
      </c>
      <c r="C1722" s="3" t="str">
        <f>IFERROR(__xludf.DUMMYFUNCTION("""COMPUTED_VALUE"""),"BitOnyx")</f>
        <v>BitOnyx</v>
      </c>
    </row>
    <row r="1723">
      <c r="A1723" s="3" t="str">
        <f>IFERROR(__xludf.DUMMYFUNCTION("""COMPUTED_VALUE"""),"bitorbit")</f>
        <v>bitorbit</v>
      </c>
      <c r="B1723" s="3" t="str">
        <f>IFERROR(__xludf.DUMMYFUNCTION("""COMPUTED_VALUE"""),"bitorb")</f>
        <v>bitorb</v>
      </c>
      <c r="C1723" s="3" t="str">
        <f>IFERROR(__xludf.DUMMYFUNCTION("""COMPUTED_VALUE"""),"BitOrbit")</f>
        <v>BitOrbit</v>
      </c>
    </row>
    <row r="1724">
      <c r="A1724" s="3" t="str">
        <f>IFERROR(__xludf.DUMMYFUNCTION("""COMPUTED_VALUE"""),"bitoreum")</f>
        <v>bitoreum</v>
      </c>
      <c r="B1724" s="3" t="str">
        <f>IFERROR(__xludf.DUMMYFUNCTION("""COMPUTED_VALUE"""),"btrm")</f>
        <v>btrm</v>
      </c>
      <c r="C1724" s="3" t="str">
        <f>IFERROR(__xludf.DUMMYFUNCTION("""COMPUTED_VALUE"""),"Bitoreum")</f>
        <v>Bitoreum</v>
      </c>
    </row>
    <row r="1725">
      <c r="A1725" s="3" t="str">
        <f>IFERROR(__xludf.DUMMYFUNCTION("""COMPUTED_VALUE"""),"bitpaid-token")</f>
        <v>bitpaid-token</v>
      </c>
      <c r="B1725" s="3" t="str">
        <f>IFERROR(__xludf.DUMMYFUNCTION("""COMPUTED_VALUE"""),"btp")</f>
        <v>btp</v>
      </c>
      <c r="C1725" s="3" t="str">
        <f>IFERROR(__xludf.DUMMYFUNCTION("""COMPUTED_VALUE"""),"Bitpaid")</f>
        <v>Bitpaid</v>
      </c>
    </row>
    <row r="1726">
      <c r="A1726" s="3" t="str">
        <f>IFERROR(__xludf.DUMMYFUNCTION("""COMPUTED_VALUE"""),"bitpanda-ecosystem-token")</f>
        <v>bitpanda-ecosystem-token</v>
      </c>
      <c r="B1726" s="3" t="str">
        <f>IFERROR(__xludf.DUMMYFUNCTION("""COMPUTED_VALUE"""),"best")</f>
        <v>best</v>
      </c>
      <c r="C1726" s="3" t="str">
        <f>IFERROR(__xludf.DUMMYFUNCTION("""COMPUTED_VALUE"""),"Bitpanda Ecosystem")</f>
        <v>Bitpanda Ecosystem</v>
      </c>
    </row>
    <row r="1727">
      <c r="A1727" s="3" t="str">
        <f>IFERROR(__xludf.DUMMYFUNCTION("""COMPUTED_VALUE"""),"bit-public-talent-network")</f>
        <v>bit-public-talent-network</v>
      </c>
      <c r="B1727" s="3" t="str">
        <f>IFERROR(__xludf.DUMMYFUNCTION("""COMPUTED_VALUE"""),"bptn")</f>
        <v>bptn</v>
      </c>
      <c r="C1727" s="3" t="str">
        <f>IFERROR(__xludf.DUMMYFUNCTION("""COMPUTED_VALUE"""),"Bit Public Talent Network")</f>
        <v>Bit Public Talent Network</v>
      </c>
    </row>
    <row r="1728">
      <c r="A1728" s="3" t="str">
        <f>IFERROR(__xludf.DUMMYFUNCTION("""COMPUTED_VALUE"""),"bitrent")</f>
        <v>bitrent</v>
      </c>
      <c r="B1728" s="3" t="str">
        <f>IFERROR(__xludf.DUMMYFUNCTION("""COMPUTED_VALUE"""),"rntb")</f>
        <v>rntb</v>
      </c>
      <c r="C1728" s="3" t="str">
        <f>IFERROR(__xludf.DUMMYFUNCTION("""COMPUTED_VALUE"""),"BitRent")</f>
        <v>BitRent</v>
      </c>
    </row>
    <row r="1729">
      <c r="A1729" s="3" t="str">
        <f>IFERROR(__xludf.DUMMYFUNCTION("""COMPUTED_VALUE"""),"bit-rides")</f>
        <v>bit-rides</v>
      </c>
      <c r="B1729" s="3" t="str">
        <f>IFERROR(__xludf.DUMMYFUNCTION("""COMPUTED_VALUE"""),"rides")</f>
        <v>rides</v>
      </c>
      <c r="C1729" s="3" t="str">
        <f>IFERROR(__xludf.DUMMYFUNCTION("""COMPUTED_VALUE"""),"Bit Rides")</f>
        <v>Bit Rides</v>
      </c>
    </row>
    <row r="1730">
      <c r="A1730" s="3" t="str">
        <f>IFERROR(__xludf.DUMMYFUNCTION("""COMPUTED_VALUE"""),"bitrise-token")</f>
        <v>bitrise-token</v>
      </c>
      <c r="B1730" s="3" t="str">
        <f>IFERROR(__xludf.DUMMYFUNCTION("""COMPUTED_VALUE"""),"brise")</f>
        <v>brise</v>
      </c>
      <c r="C1730" s="3" t="str">
        <f>IFERROR(__xludf.DUMMYFUNCTION("""COMPUTED_VALUE"""),"Bitgert")</f>
        <v>Bitgert</v>
      </c>
    </row>
    <row r="1731">
      <c r="A1731" s="3" t="str">
        <f>IFERROR(__xludf.DUMMYFUNCTION("""COMPUTED_VALUE"""),"bitroncoin")</f>
        <v>bitroncoin</v>
      </c>
      <c r="B1731" s="3" t="str">
        <f>IFERROR(__xludf.DUMMYFUNCTION("""COMPUTED_VALUE"""),"btrn")</f>
        <v>btrn</v>
      </c>
      <c r="C1731" s="3" t="str">
        <f>IFERROR(__xludf.DUMMYFUNCTION("""COMPUTED_VALUE"""),"BitronCoin")</f>
        <v>BitronCoin</v>
      </c>
    </row>
    <row r="1732">
      <c r="A1732" s="3" t="str">
        <f>IFERROR(__xludf.DUMMYFUNCTION("""COMPUTED_VALUE"""),"bitrue-token")</f>
        <v>bitrue-token</v>
      </c>
      <c r="B1732" s="3" t="str">
        <f>IFERROR(__xludf.DUMMYFUNCTION("""COMPUTED_VALUE"""),"btr")</f>
        <v>btr</v>
      </c>
      <c r="C1732" s="3" t="str">
        <f>IFERROR(__xludf.DUMMYFUNCTION("""COMPUTED_VALUE"""),"Bitrue Coin")</f>
        <v>Bitrue Coin</v>
      </c>
    </row>
    <row r="1733">
      <c r="A1733" s="3" t="str">
        <f>IFERROR(__xludf.DUMMYFUNCTION("""COMPUTED_VALUE"""),"bitscreener")</f>
        <v>bitscreener</v>
      </c>
      <c r="B1733" s="3" t="str">
        <f>IFERROR(__xludf.DUMMYFUNCTION("""COMPUTED_VALUE"""),"bitx")</f>
        <v>bitx</v>
      </c>
      <c r="C1733" s="3" t="str">
        <f>IFERROR(__xludf.DUMMYFUNCTION("""COMPUTED_VALUE"""),"BitScreener")</f>
        <v>BitScreener</v>
      </c>
    </row>
    <row r="1734">
      <c r="A1734" s="3" t="str">
        <f>IFERROR(__xludf.DUMMYFUNCTION("""COMPUTED_VALUE"""),"bitshares")</f>
        <v>bitshares</v>
      </c>
      <c r="B1734" s="3" t="str">
        <f>IFERROR(__xludf.DUMMYFUNCTION("""COMPUTED_VALUE"""),"bts")</f>
        <v>bts</v>
      </c>
      <c r="C1734" s="3" t="str">
        <f>IFERROR(__xludf.DUMMYFUNCTION("""COMPUTED_VALUE"""),"BitShares")</f>
        <v>BitShares</v>
      </c>
    </row>
    <row r="1735">
      <c r="A1735" s="3" t="str">
        <f>IFERROR(__xludf.DUMMYFUNCTION("""COMPUTED_VALUE"""),"bitshark")</f>
        <v>bitshark</v>
      </c>
      <c r="B1735" s="3" t="str">
        <f>IFERROR(__xludf.DUMMYFUNCTION("""COMPUTED_VALUE"""),"btshk")</f>
        <v>btshk</v>
      </c>
      <c r="C1735" s="3" t="str">
        <f>IFERROR(__xludf.DUMMYFUNCTION("""COMPUTED_VALUE"""),"Bitshark")</f>
        <v>Bitshark</v>
      </c>
    </row>
    <row r="1736">
      <c r="A1736" s="3" t="str">
        <f>IFERROR(__xludf.DUMMYFUNCTION("""COMPUTED_VALUE"""),"bitshiba")</f>
        <v>bitshiba</v>
      </c>
      <c r="B1736" s="3" t="str">
        <f>IFERROR(__xludf.DUMMYFUNCTION("""COMPUTED_VALUE"""),"shiba")</f>
        <v>shiba</v>
      </c>
      <c r="C1736" s="3" t="str">
        <f>IFERROR(__xludf.DUMMYFUNCTION("""COMPUTED_VALUE"""),"BitShiba")</f>
        <v>BitShiba</v>
      </c>
    </row>
    <row r="1737">
      <c r="A1737" s="3" t="str">
        <f>IFERROR(__xludf.DUMMYFUNCTION("""COMPUTED_VALUE"""),"bitsliced")</f>
        <v>bitsliced</v>
      </c>
      <c r="B1737" s="3" t="str">
        <f>IFERROR(__xludf.DUMMYFUNCTION("""COMPUTED_VALUE"""),"sliced")</f>
        <v>sliced</v>
      </c>
      <c r="C1737" s="3" t="str">
        <f>IFERROR(__xludf.DUMMYFUNCTION("""COMPUTED_VALUE"""),"Bitsliced")</f>
        <v>Bitsliced</v>
      </c>
    </row>
    <row r="1738">
      <c r="A1738" s="3" t="str">
        <f>IFERROR(__xludf.DUMMYFUNCTION("""COMPUTED_VALUE"""),"bitsong")</f>
        <v>bitsong</v>
      </c>
      <c r="B1738" s="3" t="str">
        <f>IFERROR(__xludf.DUMMYFUNCTION("""COMPUTED_VALUE"""),"btsg")</f>
        <v>btsg</v>
      </c>
      <c r="C1738" s="3" t="str">
        <f>IFERROR(__xludf.DUMMYFUNCTION("""COMPUTED_VALUE"""),"BitSong")</f>
        <v>BitSong</v>
      </c>
    </row>
    <row r="1739">
      <c r="A1739" s="3" t="str">
        <f>IFERROR(__xludf.DUMMYFUNCTION("""COMPUTED_VALUE"""),"bitsonic-token")</f>
        <v>bitsonic-token</v>
      </c>
      <c r="B1739" s="3" t="str">
        <f>IFERROR(__xludf.DUMMYFUNCTION("""COMPUTED_VALUE"""),"bsc")</f>
        <v>bsc</v>
      </c>
      <c r="C1739" s="3" t="str">
        <f>IFERROR(__xludf.DUMMYFUNCTION("""COMPUTED_VALUE"""),"Bitsonic")</f>
        <v>Bitsonic</v>
      </c>
    </row>
    <row r="1740">
      <c r="A1740" s="3" t="str">
        <f>IFERROR(__xludf.DUMMYFUNCTION("""COMPUTED_VALUE"""),"bitspawn")</f>
        <v>bitspawn</v>
      </c>
      <c r="B1740" s="3" t="str">
        <f>IFERROR(__xludf.DUMMYFUNCTION("""COMPUTED_VALUE"""),"spwn")</f>
        <v>spwn</v>
      </c>
      <c r="C1740" s="3" t="str">
        <f>IFERROR(__xludf.DUMMYFUNCTION("""COMPUTED_VALUE"""),"Bitspawn")</f>
        <v>Bitspawn</v>
      </c>
    </row>
    <row r="1741">
      <c r="A1741" s="3" t="str">
        <f>IFERROR(__xludf.DUMMYFUNCTION("""COMPUTED_VALUE"""),"bitstake")</f>
        <v>bitstake</v>
      </c>
      <c r="B1741" s="3" t="str">
        <f>IFERROR(__xludf.DUMMYFUNCTION("""COMPUTED_VALUE"""),"xbs")</f>
        <v>xbs</v>
      </c>
      <c r="C1741" s="3" t="str">
        <f>IFERROR(__xludf.DUMMYFUNCTION("""COMPUTED_VALUE"""),"BitStake")</f>
        <v>BitStake</v>
      </c>
    </row>
    <row r="1742">
      <c r="A1742" s="3" t="str">
        <f>IFERROR(__xludf.DUMMYFUNCTION("""COMPUTED_VALUE"""),"bitsten")</f>
        <v>bitsten</v>
      </c>
      <c r="B1742" s="3" t="str">
        <f>IFERROR(__xludf.DUMMYFUNCTION("""COMPUTED_VALUE"""),"bst")</f>
        <v>bst</v>
      </c>
      <c r="C1742" s="3" t="str">
        <f>IFERROR(__xludf.DUMMYFUNCTION("""COMPUTED_VALUE"""),"Bitsten")</f>
        <v>Bitsten</v>
      </c>
    </row>
    <row r="1743">
      <c r="A1743" s="3" t="str">
        <f>IFERROR(__xludf.DUMMYFUNCTION("""COMPUTED_VALUE"""),"bitsten-token")</f>
        <v>bitsten-token</v>
      </c>
      <c r="B1743" s="3" t="str">
        <f>IFERROR(__xludf.DUMMYFUNCTION("""COMPUTED_VALUE"""),"bst")</f>
        <v>bst</v>
      </c>
      <c r="C1743" s="3" t="str">
        <f>IFERROR(__xludf.DUMMYFUNCTION("""COMPUTED_VALUE"""),"Bitsten [OLD]")</f>
        <v>Bitsten [OLD]</v>
      </c>
    </row>
    <row r="1744">
      <c r="A1744" s="3" t="str">
        <f>IFERROR(__xludf.DUMMYFUNCTION("""COMPUTED_VALUE"""),"bit-store-coin")</f>
        <v>bit-store-coin</v>
      </c>
      <c r="B1744" s="3" t="str">
        <f>IFERROR(__xludf.DUMMYFUNCTION("""COMPUTED_VALUE"""),"store")</f>
        <v>store</v>
      </c>
      <c r="C1744" s="3" t="str">
        <f>IFERROR(__xludf.DUMMYFUNCTION("""COMPUTED_VALUE"""),"Bit Store")</f>
        <v>Bit Store</v>
      </c>
    </row>
    <row r="1745">
      <c r="A1745" s="3" t="str">
        <f>IFERROR(__xludf.DUMMYFUNCTION("""COMPUTED_VALUE"""),"bitsubishi")</f>
        <v>bitsubishi</v>
      </c>
      <c r="B1745" s="3" t="str">
        <f>IFERROR(__xludf.DUMMYFUNCTION("""COMPUTED_VALUE"""),"bitsu")</f>
        <v>bitsu</v>
      </c>
      <c r="C1745" s="3" t="str">
        <f>IFERROR(__xludf.DUMMYFUNCTION("""COMPUTED_VALUE"""),"Bitsubishi")</f>
        <v>Bitsubishi</v>
      </c>
    </row>
    <row r="1746">
      <c r="A1746" s="3" t="str">
        <f>IFERROR(__xludf.DUMMYFUNCTION("""COMPUTED_VALUE"""),"bitsum")</f>
        <v>bitsum</v>
      </c>
      <c r="B1746" s="3" t="str">
        <f>IFERROR(__xludf.DUMMYFUNCTION("""COMPUTED_VALUE"""),"mat")</f>
        <v>mat</v>
      </c>
      <c r="C1746" s="3" t="str">
        <f>IFERROR(__xludf.DUMMYFUNCTION("""COMPUTED_VALUE"""),"Matka")</f>
        <v>Matka</v>
      </c>
    </row>
    <row r="1747">
      <c r="A1747" s="3" t="str">
        <f>IFERROR(__xludf.DUMMYFUNCTION("""COMPUTED_VALUE"""),"bitswift")</f>
        <v>bitswift</v>
      </c>
      <c r="B1747" s="3" t="str">
        <f>IFERROR(__xludf.DUMMYFUNCTION("""COMPUTED_VALUE"""),"bits")</f>
        <v>bits</v>
      </c>
      <c r="C1747" s="3" t="str">
        <f>IFERROR(__xludf.DUMMYFUNCTION("""COMPUTED_VALUE"""),"Bitswift")</f>
        <v>Bitswift</v>
      </c>
    </row>
    <row r="1748">
      <c r="A1748" s="3" t="str">
        <f>IFERROR(__xludf.DUMMYFUNCTION("""COMPUTED_VALUE"""),"bitto-exchange")</f>
        <v>bitto-exchange</v>
      </c>
      <c r="B1748" s="3" t="str">
        <f>IFERROR(__xludf.DUMMYFUNCTION("""COMPUTED_VALUE"""),"bitto")</f>
        <v>bitto</v>
      </c>
      <c r="C1748" s="3" t="str">
        <f>IFERROR(__xludf.DUMMYFUNCTION("""COMPUTED_VALUE"""),"BITTO")</f>
        <v>BITTO</v>
      </c>
    </row>
    <row r="1749">
      <c r="A1749" s="3" t="str">
        <f>IFERROR(__xludf.DUMMYFUNCTION("""COMPUTED_VALUE"""),"bittoken")</f>
        <v>bittoken</v>
      </c>
      <c r="B1749" s="3" t="str">
        <f>IFERROR(__xludf.DUMMYFUNCTION("""COMPUTED_VALUE"""),"bitt")</f>
        <v>bitt</v>
      </c>
      <c r="C1749" s="3" t="str">
        <f>IFERROR(__xludf.DUMMYFUNCTION("""COMPUTED_VALUE"""),"BITT")</f>
        <v>BITT</v>
      </c>
    </row>
    <row r="1750">
      <c r="A1750" s="3" t="str">
        <f>IFERROR(__xludf.DUMMYFUNCTION("""COMPUTED_VALUE"""),"bittokens")</f>
        <v>bittokens</v>
      </c>
      <c r="B1750" s="3" t="str">
        <f>IFERROR(__xludf.DUMMYFUNCTION("""COMPUTED_VALUE"""),"bxt")</f>
        <v>bxt</v>
      </c>
      <c r="C1750" s="3" t="str">
        <f>IFERROR(__xludf.DUMMYFUNCTION("""COMPUTED_VALUE"""),"BitTokens")</f>
        <v>BitTokens</v>
      </c>
    </row>
    <row r="1751">
      <c r="A1751" s="3" t="str">
        <f>IFERROR(__xludf.DUMMYFUNCTION("""COMPUTED_VALUE"""),"bittorrent")</f>
        <v>bittorrent</v>
      </c>
      <c r="B1751" s="3" t="str">
        <f>IFERROR(__xludf.DUMMYFUNCTION("""COMPUTED_VALUE"""),"btt")</f>
        <v>btt</v>
      </c>
      <c r="C1751" s="3" t="str">
        <f>IFERROR(__xludf.DUMMYFUNCTION("""COMPUTED_VALUE"""),"BitTorrent")</f>
        <v>BitTorrent</v>
      </c>
    </row>
    <row r="1752">
      <c r="A1752" s="3" t="str">
        <f>IFERROR(__xludf.DUMMYFUNCTION("""COMPUTED_VALUE"""),"bittorrent-old")</f>
        <v>bittorrent-old</v>
      </c>
      <c r="B1752" s="3" t="str">
        <f>IFERROR(__xludf.DUMMYFUNCTION("""COMPUTED_VALUE"""),"bttold")</f>
        <v>bttold</v>
      </c>
      <c r="C1752" s="3" t="str">
        <f>IFERROR(__xludf.DUMMYFUNCTION("""COMPUTED_VALUE"""),"BitTorrent [OLD]")</f>
        <v>BitTorrent [OLD]</v>
      </c>
    </row>
    <row r="1753">
      <c r="A1753" s="3" t="str">
        <f>IFERROR(__xludf.DUMMYFUNCTION("""COMPUTED_VALUE"""),"bittracksystems")</f>
        <v>bittracksystems</v>
      </c>
      <c r="B1753" s="3" t="str">
        <f>IFERROR(__xludf.DUMMYFUNCTION("""COMPUTED_VALUE"""),"bttr")</f>
        <v>bttr</v>
      </c>
      <c r="C1753" s="3" t="str">
        <f>IFERROR(__xludf.DUMMYFUNCTION("""COMPUTED_VALUE"""),"BittrackSystems")</f>
        <v>BittrackSystems</v>
      </c>
    </row>
    <row r="1754">
      <c r="A1754" s="3" t="str">
        <f>IFERROR(__xludf.DUMMYFUNCTION("""COMPUTED_VALUE"""),"bittube")</f>
        <v>bittube</v>
      </c>
      <c r="B1754" s="3" t="str">
        <f>IFERROR(__xludf.DUMMYFUNCTION("""COMPUTED_VALUE"""),"tube")</f>
        <v>tube</v>
      </c>
      <c r="C1754" s="3" t="str">
        <f>IFERROR(__xludf.DUMMYFUNCTION("""COMPUTED_VALUE"""),"BitTube")</f>
        <v>BitTube</v>
      </c>
    </row>
    <row r="1755">
      <c r="A1755" s="3" t="str">
        <f>IFERROR(__xludf.DUMMYFUNCTION("""COMPUTED_VALUE"""),"bittwatt")</f>
        <v>bittwatt</v>
      </c>
      <c r="B1755" s="3" t="str">
        <f>IFERROR(__xludf.DUMMYFUNCTION("""COMPUTED_VALUE"""),"bwt")</f>
        <v>bwt</v>
      </c>
      <c r="C1755" s="3" t="str">
        <f>IFERROR(__xludf.DUMMYFUNCTION("""COMPUTED_VALUE"""),"Bittwatt")</f>
        <v>Bittwatt</v>
      </c>
    </row>
    <row r="1756">
      <c r="A1756" s="3" t="str">
        <f>IFERROR(__xludf.DUMMYFUNCTION("""COMPUTED_VALUE"""),"bitup-token")</f>
        <v>bitup-token</v>
      </c>
      <c r="B1756" s="3" t="str">
        <f>IFERROR(__xludf.DUMMYFUNCTION("""COMPUTED_VALUE"""),"but")</f>
        <v>but</v>
      </c>
      <c r="C1756" s="3" t="str">
        <f>IFERROR(__xludf.DUMMYFUNCTION("""COMPUTED_VALUE"""),"BitUP BUT")</f>
        <v>BitUP BUT</v>
      </c>
    </row>
    <row r="1757">
      <c r="A1757" s="3" t="str">
        <f>IFERROR(__xludf.DUMMYFUNCTION("""COMPUTED_VALUE"""),"bitvalley")</f>
        <v>bitvalley</v>
      </c>
      <c r="B1757" s="3" t="str">
        <f>IFERROR(__xludf.DUMMYFUNCTION("""COMPUTED_VALUE"""),"bitv")</f>
        <v>bitv</v>
      </c>
      <c r="C1757" s="3" t="str">
        <f>IFERROR(__xludf.DUMMYFUNCTION("""COMPUTED_VALUE"""),"BitValley")</f>
        <v>BitValley</v>
      </c>
    </row>
    <row r="1758">
      <c r="A1758" s="3" t="str">
        <f>IFERROR(__xludf.DUMMYFUNCTION("""COMPUTED_VALUE"""),"bitvalve-2")</f>
        <v>bitvalve-2</v>
      </c>
      <c r="B1758" s="3" t="str">
        <f>IFERROR(__xludf.DUMMYFUNCTION("""COMPUTED_VALUE"""),"btv")</f>
        <v>btv</v>
      </c>
      <c r="C1758" s="3" t="str">
        <f>IFERROR(__xludf.DUMMYFUNCTION("""COMPUTED_VALUE"""),"BitValve")</f>
        <v>BitValve</v>
      </c>
    </row>
    <row r="1759">
      <c r="A1759" s="3" t="str">
        <f>IFERROR(__xludf.DUMMYFUNCTION("""COMPUTED_VALUE"""),"bitvote")</f>
        <v>bitvote</v>
      </c>
      <c r="B1759" s="3" t="str">
        <f>IFERROR(__xludf.DUMMYFUNCTION("""COMPUTED_VALUE"""),"btv")</f>
        <v>btv</v>
      </c>
      <c r="C1759" s="3" t="str">
        <f>IFERROR(__xludf.DUMMYFUNCTION("""COMPUTED_VALUE"""),"Bitvote")</f>
        <v>Bitvote</v>
      </c>
    </row>
    <row r="1760">
      <c r="A1760" s="3" t="str">
        <f>IFERROR(__xludf.DUMMYFUNCTION("""COMPUTED_VALUE"""),"bitwell-token")</f>
        <v>bitwell-token</v>
      </c>
      <c r="B1760" s="3" t="str">
        <f>IFERROR(__xludf.DUMMYFUNCTION("""COMPUTED_VALUE"""),"well")</f>
        <v>well</v>
      </c>
      <c r="C1760" s="3" t="str">
        <f>IFERROR(__xludf.DUMMYFUNCTION("""COMPUTED_VALUE"""),"Bitwell")</f>
        <v>Bitwell</v>
      </c>
    </row>
    <row r="1761">
      <c r="A1761" s="3" t="str">
        <f>IFERROR(__xludf.DUMMYFUNCTION("""COMPUTED_VALUE"""),"bitwhite")</f>
        <v>bitwhite</v>
      </c>
      <c r="B1761" s="3" t="str">
        <f>IFERROR(__xludf.DUMMYFUNCTION("""COMPUTED_VALUE"""),"btw")</f>
        <v>btw</v>
      </c>
      <c r="C1761" s="3" t="str">
        <f>IFERROR(__xludf.DUMMYFUNCTION("""COMPUTED_VALUE"""),"BitWhite")</f>
        <v>BitWhite</v>
      </c>
    </row>
    <row r="1762">
      <c r="A1762" s="3" t="str">
        <f>IFERROR(__xludf.DUMMYFUNCTION("""COMPUTED_VALUE"""),"bitwin24")</f>
        <v>bitwin24</v>
      </c>
      <c r="B1762" s="3" t="str">
        <f>IFERROR(__xludf.DUMMYFUNCTION("""COMPUTED_VALUE"""),"bwi")</f>
        <v>bwi</v>
      </c>
      <c r="C1762" s="3" t="str">
        <f>IFERROR(__xludf.DUMMYFUNCTION("""COMPUTED_VALUE"""),"Bitwin24")</f>
        <v>Bitwin24</v>
      </c>
    </row>
    <row r="1763">
      <c r="A1763" s="3" t="str">
        <f>IFERROR(__xludf.DUMMYFUNCTION("""COMPUTED_VALUE"""),"bitz")</f>
        <v>bitz</v>
      </c>
      <c r="B1763" s="3" t="str">
        <f>IFERROR(__xludf.DUMMYFUNCTION("""COMPUTED_VALUE"""),"bitz")</f>
        <v>bitz</v>
      </c>
      <c r="C1763" s="3" t="str">
        <f>IFERROR(__xludf.DUMMYFUNCTION("""COMPUTED_VALUE"""),"bitz")</f>
        <v>bitz</v>
      </c>
    </row>
    <row r="1764">
      <c r="A1764" s="3" t="str">
        <f>IFERROR(__xludf.DUMMYFUNCTION("""COMPUTED_VALUE"""),"bitzen")</f>
        <v>bitzen</v>
      </c>
      <c r="B1764" s="3" t="str">
        <f>IFERROR(__xludf.DUMMYFUNCTION("""COMPUTED_VALUE"""),"bzen")</f>
        <v>bzen</v>
      </c>
      <c r="C1764" s="3" t="str">
        <f>IFERROR(__xludf.DUMMYFUNCTION("""COMPUTED_VALUE"""),"Bitzen")</f>
        <v>Bitzen</v>
      </c>
    </row>
    <row r="1765">
      <c r="A1765" s="3" t="str">
        <f>IFERROR(__xludf.DUMMYFUNCTION("""COMPUTED_VALUE"""),"bitzipp")</f>
        <v>bitzipp</v>
      </c>
      <c r="B1765" s="3" t="str">
        <f>IFERROR(__xludf.DUMMYFUNCTION("""COMPUTED_VALUE"""),"bzp")</f>
        <v>bzp</v>
      </c>
      <c r="C1765" s="3" t="str">
        <f>IFERROR(__xludf.DUMMYFUNCTION("""COMPUTED_VALUE"""),"BitZipp")</f>
        <v>BitZipp</v>
      </c>
    </row>
    <row r="1766">
      <c r="A1766" s="3" t="str">
        <f>IFERROR(__xludf.DUMMYFUNCTION("""COMPUTED_VALUE"""),"bixb-coin")</f>
        <v>bixb-coin</v>
      </c>
      <c r="B1766" s="3" t="str">
        <f>IFERROR(__xludf.DUMMYFUNCTION("""COMPUTED_VALUE"""),"bixb")</f>
        <v>bixb</v>
      </c>
      <c r="C1766" s="3" t="str">
        <f>IFERROR(__xludf.DUMMYFUNCTION("""COMPUTED_VALUE"""),"BixB Coin")</f>
        <v>BixB Coin</v>
      </c>
    </row>
    <row r="1767">
      <c r="A1767" s="3" t="str">
        <f>IFERROR(__xludf.DUMMYFUNCTION("""COMPUTED_VALUE"""),"bixcpro")</f>
        <v>bixcpro</v>
      </c>
      <c r="B1767" s="3" t="str">
        <f>IFERROR(__xludf.DUMMYFUNCTION("""COMPUTED_VALUE"""),"bixcpro")</f>
        <v>bixcpro</v>
      </c>
      <c r="C1767" s="3" t="str">
        <f>IFERROR(__xludf.DUMMYFUNCTION("""COMPUTED_VALUE"""),"BIXCPRO")</f>
        <v>BIXCPRO</v>
      </c>
    </row>
    <row r="1768">
      <c r="A1768" s="3" t="str">
        <f>IFERROR(__xludf.DUMMYFUNCTION("""COMPUTED_VALUE"""),"bizzcoin")</f>
        <v>bizzcoin</v>
      </c>
      <c r="B1768" s="3" t="str">
        <f>IFERROR(__xludf.DUMMYFUNCTION("""COMPUTED_VALUE"""),"bizz")</f>
        <v>bizz</v>
      </c>
      <c r="C1768" s="3" t="str">
        <f>IFERROR(__xludf.DUMMYFUNCTION("""COMPUTED_VALUE"""),"BIZZCOIN")</f>
        <v>BIZZCOIN</v>
      </c>
    </row>
    <row r="1769">
      <c r="A1769" s="3" t="str">
        <f>IFERROR(__xludf.DUMMYFUNCTION("""COMPUTED_VALUE"""),"bkex-token")</f>
        <v>bkex-token</v>
      </c>
      <c r="B1769" s="3" t="str">
        <f>IFERROR(__xludf.DUMMYFUNCTION("""COMPUTED_VALUE"""),"bkk")</f>
        <v>bkk</v>
      </c>
      <c r="C1769" s="3" t="str">
        <f>IFERROR(__xludf.DUMMYFUNCTION("""COMPUTED_VALUE"""),"BKEX Chain")</f>
        <v>BKEX Chain</v>
      </c>
    </row>
    <row r="1770">
      <c r="A1770" s="3" t="str">
        <f>IFERROR(__xludf.DUMMYFUNCTION("""COMPUTED_VALUE"""),"black-box")</f>
        <v>black-box</v>
      </c>
      <c r="B1770" s="3" t="str">
        <f>IFERROR(__xludf.DUMMYFUNCTION("""COMPUTED_VALUE"""),"bbox")</f>
        <v>bbox</v>
      </c>
      <c r="C1770" s="3" t="str">
        <f>IFERROR(__xludf.DUMMYFUNCTION("""COMPUTED_VALUE"""),"Black Box")</f>
        <v>Black Box</v>
      </c>
    </row>
    <row r="1771">
      <c r="A1771" s="3" t="str">
        <f>IFERROR(__xludf.DUMMYFUNCTION("""COMPUTED_VALUE"""),"blackcoin")</f>
        <v>blackcoin</v>
      </c>
      <c r="B1771" s="3" t="str">
        <f>IFERROR(__xludf.DUMMYFUNCTION("""COMPUTED_VALUE"""),"blk")</f>
        <v>blk</v>
      </c>
      <c r="C1771" s="3" t="str">
        <f>IFERROR(__xludf.DUMMYFUNCTION("""COMPUTED_VALUE"""),"BlackCoin")</f>
        <v>BlackCoin</v>
      </c>
    </row>
    <row r="1772">
      <c r="A1772" s="3" t="str">
        <f>IFERROR(__xludf.DUMMYFUNCTION("""COMPUTED_VALUE"""),"black-diamond")</f>
        <v>black-diamond</v>
      </c>
      <c r="B1772" s="3" t="str">
        <f>IFERROR(__xludf.DUMMYFUNCTION("""COMPUTED_VALUE"""),"diamonds")</f>
        <v>diamonds</v>
      </c>
      <c r="C1772" s="3" t="str">
        <f>IFERROR(__xludf.DUMMYFUNCTION("""COMPUTED_VALUE"""),"Black Diamond")</f>
        <v>Black Diamond</v>
      </c>
    </row>
    <row r="1773">
      <c r="A1773" s="3" t="str">
        <f>IFERROR(__xludf.DUMMYFUNCTION("""COMPUTED_VALUE"""),"blackdragon-token")</f>
        <v>blackdragon-token</v>
      </c>
      <c r="B1773" s="3" t="str">
        <f>IFERROR(__xludf.DUMMYFUNCTION("""COMPUTED_VALUE"""),"bdt")</f>
        <v>bdt</v>
      </c>
      <c r="C1773" s="3" t="str">
        <f>IFERROR(__xludf.DUMMYFUNCTION("""COMPUTED_VALUE"""),"BlackDragon")</f>
        <v>BlackDragon</v>
      </c>
    </row>
    <row r="1774">
      <c r="A1774" s="3" t="str">
        <f>IFERROR(__xludf.DUMMYFUNCTION("""COMPUTED_VALUE"""),"blackhat-coin")</f>
        <v>blackhat-coin</v>
      </c>
      <c r="B1774" s="3" t="str">
        <f>IFERROR(__xludf.DUMMYFUNCTION("""COMPUTED_VALUE"""),"blkc")</f>
        <v>blkc</v>
      </c>
      <c r="C1774" s="3" t="str">
        <f>IFERROR(__xludf.DUMMYFUNCTION("""COMPUTED_VALUE"""),"BlackHat Coin")</f>
        <v>BlackHat Coin</v>
      </c>
    </row>
    <row r="1775">
      <c r="A1775" s="3" t="str">
        <f>IFERROR(__xludf.DUMMYFUNCTION("""COMPUTED_VALUE"""),"blackhole-protocol")</f>
        <v>blackhole-protocol</v>
      </c>
      <c r="B1775" s="3" t="str">
        <f>IFERROR(__xludf.DUMMYFUNCTION("""COMPUTED_VALUE"""),"black")</f>
        <v>black</v>
      </c>
      <c r="C1775" s="3" t="str">
        <f>IFERROR(__xludf.DUMMYFUNCTION("""COMPUTED_VALUE"""),"BlackHole Protocol")</f>
        <v>BlackHole Protocol</v>
      </c>
    </row>
    <row r="1776">
      <c r="A1776" s="3" t="str">
        <f>IFERROR(__xludf.DUMMYFUNCTION("""COMPUTED_VALUE"""),"blackholeswap-compound-dai-usdc")</f>
        <v>blackholeswap-compound-dai-usdc</v>
      </c>
      <c r="B1776" s="3" t="str">
        <f>IFERROR(__xludf.DUMMYFUNCTION("""COMPUTED_VALUE"""),"bhsc")</f>
        <v>bhsc</v>
      </c>
      <c r="C1776" s="3" t="str">
        <f>IFERROR(__xludf.DUMMYFUNCTION("""COMPUTED_VALUE"""),"BlackHoleSwap-Compound DAI/USDC")</f>
        <v>BlackHoleSwap-Compound DAI/USDC</v>
      </c>
    </row>
    <row r="1777">
      <c r="A1777" s="3" t="str">
        <f>IFERROR(__xludf.DUMMYFUNCTION("""COMPUTED_VALUE"""),"black-label")</f>
        <v>black-label</v>
      </c>
      <c r="B1777" s="3" t="str">
        <f>IFERROR(__xludf.DUMMYFUNCTION("""COMPUTED_VALUE"""),"klb")</f>
        <v>klb</v>
      </c>
      <c r="C1777" s="3" t="str">
        <f>IFERROR(__xludf.DUMMYFUNCTION("""COMPUTED_VALUE"""),"Black Label")</f>
        <v>Black Label</v>
      </c>
    </row>
    <row r="1778">
      <c r="A1778" s="3" t="str">
        <f>IFERROR(__xludf.DUMMYFUNCTION("""COMPUTED_VALUE"""),"blackpearl-chain")</f>
        <v>blackpearl-chain</v>
      </c>
      <c r="B1778" s="3" t="str">
        <f>IFERROR(__xludf.DUMMYFUNCTION("""COMPUTED_VALUE"""),"bplc")</f>
        <v>bplc</v>
      </c>
      <c r="C1778" s="3" t="str">
        <f>IFERROR(__xludf.DUMMYFUNCTION("""COMPUTED_VALUE"""),"BlackPearl")</f>
        <v>BlackPearl</v>
      </c>
    </row>
    <row r="1779">
      <c r="A1779" s="3" t="str">
        <f>IFERROR(__xludf.DUMMYFUNCTION("""COMPUTED_VALUE"""),"black-phoenix")</f>
        <v>black-phoenix</v>
      </c>
      <c r="B1779" s="3" t="str">
        <f>IFERROR(__xludf.DUMMYFUNCTION("""COMPUTED_VALUE"""),"bpx")</f>
        <v>bpx</v>
      </c>
      <c r="C1779" s="3" t="str">
        <f>IFERROR(__xludf.DUMMYFUNCTION("""COMPUTED_VALUE"""),"Black Phoenix")</f>
        <v>Black Phoenix</v>
      </c>
    </row>
    <row r="1780">
      <c r="A1780" s="3" t="str">
        <f>IFERROR(__xludf.DUMMYFUNCTION("""COMPUTED_VALUE"""),"blackpoker")</f>
        <v>blackpoker</v>
      </c>
      <c r="B1780" s="3" t="str">
        <f>IFERROR(__xludf.DUMMYFUNCTION("""COMPUTED_VALUE"""),"bpkr")</f>
        <v>bpkr</v>
      </c>
      <c r="C1780" s="3" t="str">
        <f>IFERROR(__xludf.DUMMYFUNCTION("""COMPUTED_VALUE"""),"BlackPoker")</f>
        <v>BlackPoker</v>
      </c>
    </row>
    <row r="1781">
      <c r="A1781" s="3" t="str">
        <f>IFERROR(__xludf.DUMMYFUNCTION("""COMPUTED_VALUE"""),"blackpool-token")</f>
        <v>blackpool-token</v>
      </c>
      <c r="B1781" s="3" t="str">
        <f>IFERROR(__xludf.DUMMYFUNCTION("""COMPUTED_VALUE"""),"bpt")</f>
        <v>bpt</v>
      </c>
      <c r="C1781" s="3" t="str">
        <f>IFERROR(__xludf.DUMMYFUNCTION("""COMPUTED_VALUE"""),"BlackPool")</f>
        <v>BlackPool</v>
      </c>
    </row>
    <row r="1782">
      <c r="A1782" s="3" t="str">
        <f>IFERROR(__xludf.DUMMYFUNCTION("""COMPUTED_VALUE"""),"blackswan-nodes")</f>
        <v>blackswan-nodes</v>
      </c>
      <c r="B1782" s="3" t="str">
        <f>IFERROR(__xludf.DUMMYFUNCTION("""COMPUTED_VALUE"""),"swan")</f>
        <v>swan</v>
      </c>
      <c r="C1782" s="3" t="str">
        <f>IFERROR(__xludf.DUMMYFUNCTION("""COMPUTED_VALUE"""),"BlackSwan Nodes")</f>
        <v>BlackSwan Nodes</v>
      </c>
    </row>
    <row r="1783">
      <c r="A1783" s="3" t="str">
        <f>IFERROR(__xludf.DUMMYFUNCTION("""COMPUTED_VALUE"""),"black-whale")</f>
        <v>black-whale</v>
      </c>
      <c r="B1783" s="3" t="str">
        <f>IFERROR(__xludf.DUMMYFUNCTION("""COMPUTED_VALUE"""),"blk")</f>
        <v>blk</v>
      </c>
      <c r="C1783" s="3" t="str">
        <f>IFERROR(__xludf.DUMMYFUNCTION("""COMPUTED_VALUE"""),"Black Whale")</f>
        <v>Black Whale</v>
      </c>
    </row>
    <row r="1784">
      <c r="A1784" s="3" t="str">
        <f>IFERROR(__xludf.DUMMYFUNCTION("""COMPUTED_VALUE"""),"blade")</f>
        <v>blade</v>
      </c>
      <c r="B1784" s="3" t="str">
        <f>IFERROR(__xludf.DUMMYFUNCTION("""COMPUTED_VALUE"""),"blade")</f>
        <v>blade</v>
      </c>
      <c r="C1784" s="3" t="str">
        <f>IFERROR(__xludf.DUMMYFUNCTION("""COMPUTED_VALUE"""),"BladeWarrior")</f>
        <v>BladeWarrior</v>
      </c>
    </row>
    <row r="1785">
      <c r="A1785" s="3" t="str">
        <f>IFERROR(__xludf.DUMMYFUNCTION("""COMPUTED_VALUE"""),"blanc")</f>
        <v>blanc</v>
      </c>
      <c r="B1785" s="3" t="str">
        <f>IFERROR(__xludf.DUMMYFUNCTION("""COMPUTED_VALUE"""),"blanc")</f>
        <v>blanc</v>
      </c>
      <c r="C1785" s="3" t="str">
        <f>IFERROR(__xludf.DUMMYFUNCTION("""COMPUTED_VALUE"""),"Blanc")</f>
        <v>Blanc</v>
      </c>
    </row>
    <row r="1786">
      <c r="A1786" s="3" t="str">
        <f>IFERROR(__xludf.DUMMYFUNCTION("""COMPUTED_VALUE"""),"blank")</f>
        <v>blank</v>
      </c>
      <c r="B1786" s="3" t="str">
        <f>IFERROR(__xludf.DUMMYFUNCTION("""COMPUTED_VALUE"""),"blank")</f>
        <v>blank</v>
      </c>
      <c r="C1786" s="3" t="str">
        <f>IFERROR(__xludf.DUMMYFUNCTION("""COMPUTED_VALUE"""),"BlockWallet")</f>
        <v>BlockWallet</v>
      </c>
    </row>
    <row r="1787">
      <c r="A1787" s="3" t="str">
        <f>IFERROR(__xludf.DUMMYFUNCTION("""COMPUTED_VALUE"""),"blatform")</f>
        <v>blatform</v>
      </c>
      <c r="B1787" s="3" t="str">
        <f>IFERROR(__xludf.DUMMYFUNCTION("""COMPUTED_VALUE"""),"bform")</f>
        <v>bform</v>
      </c>
      <c r="C1787" s="3" t="str">
        <f>IFERROR(__xludf.DUMMYFUNCTION("""COMPUTED_VALUE"""),"Blatform")</f>
        <v>Blatform</v>
      </c>
    </row>
    <row r="1788">
      <c r="A1788" s="3" t="str">
        <f>IFERROR(__xludf.DUMMYFUNCTION("""COMPUTED_VALUE"""),"blaze-network")</f>
        <v>blaze-network</v>
      </c>
      <c r="B1788" s="3" t="str">
        <f>IFERROR(__xludf.DUMMYFUNCTION("""COMPUTED_VALUE"""),"blzn")</f>
        <v>blzn</v>
      </c>
      <c r="C1788" s="3" t="str">
        <f>IFERROR(__xludf.DUMMYFUNCTION("""COMPUTED_VALUE"""),"Blaze Network")</f>
        <v>Blaze Network</v>
      </c>
    </row>
    <row r="1789">
      <c r="A1789" s="3" t="str">
        <f>IFERROR(__xludf.DUMMYFUNCTION("""COMPUTED_VALUE"""),"blazestake-staked-sol")</f>
        <v>blazestake-staked-sol</v>
      </c>
      <c r="B1789" s="3" t="str">
        <f>IFERROR(__xludf.DUMMYFUNCTION("""COMPUTED_VALUE"""),"bsol")</f>
        <v>bsol</v>
      </c>
      <c r="C1789" s="3" t="str">
        <f>IFERROR(__xludf.DUMMYFUNCTION("""COMPUTED_VALUE"""),"BlazeStake Staked SOL")</f>
        <v>BlazeStake Staked SOL</v>
      </c>
    </row>
    <row r="1790">
      <c r="A1790" s="3" t="str">
        <f>IFERROR(__xludf.DUMMYFUNCTION("""COMPUTED_VALUE"""),"blind-boxes")</f>
        <v>blind-boxes</v>
      </c>
      <c r="B1790" s="3" t="str">
        <f>IFERROR(__xludf.DUMMYFUNCTION("""COMPUTED_VALUE"""),"bles")</f>
        <v>bles</v>
      </c>
      <c r="C1790" s="3" t="str">
        <f>IFERROR(__xludf.DUMMYFUNCTION("""COMPUTED_VALUE"""),"Blind Boxes")</f>
        <v>Blind Boxes</v>
      </c>
    </row>
    <row r="1791">
      <c r="A1791" s="3" t="str">
        <f>IFERROR(__xludf.DUMMYFUNCTION("""COMPUTED_VALUE"""),"blin-metaverse")</f>
        <v>blin-metaverse</v>
      </c>
      <c r="B1791" s="3" t="str">
        <f>IFERROR(__xludf.DUMMYFUNCTION("""COMPUTED_VALUE"""),"blin")</f>
        <v>blin</v>
      </c>
      <c r="C1791" s="3" t="str">
        <f>IFERROR(__xludf.DUMMYFUNCTION("""COMPUTED_VALUE"""),"Blin Metaverse")</f>
        <v>Blin Metaverse</v>
      </c>
    </row>
    <row r="1792">
      <c r="A1792" s="3" t="str">
        <f>IFERROR(__xludf.DUMMYFUNCTION("""COMPUTED_VALUE"""),"blitz-labs")</f>
        <v>blitz-labs</v>
      </c>
      <c r="B1792" s="3" t="str">
        <f>IFERROR(__xludf.DUMMYFUNCTION("""COMPUTED_VALUE"""),"blitz")</f>
        <v>blitz</v>
      </c>
      <c r="C1792" s="3" t="str">
        <f>IFERROR(__xludf.DUMMYFUNCTION("""COMPUTED_VALUE"""),"Blitz Labs")</f>
        <v>Blitz Labs</v>
      </c>
    </row>
    <row r="1793">
      <c r="A1793" s="3" t="str">
        <f>IFERROR(__xludf.DUMMYFUNCTION("""COMPUTED_VALUE"""),"blitzpredict")</f>
        <v>blitzpredict</v>
      </c>
      <c r="B1793" s="3" t="str">
        <f>IFERROR(__xludf.DUMMYFUNCTION("""COMPUTED_VALUE"""),"xbp")</f>
        <v>xbp</v>
      </c>
      <c r="C1793" s="3" t="str">
        <f>IFERROR(__xludf.DUMMYFUNCTION("""COMPUTED_VALUE"""),"BlitzPick")</f>
        <v>BlitzPick</v>
      </c>
    </row>
    <row r="1794">
      <c r="A1794" s="3" t="str">
        <f>IFERROR(__xludf.DUMMYFUNCTION("""COMPUTED_VALUE"""),"blizzard")</f>
        <v>blizzard</v>
      </c>
      <c r="B1794" s="3" t="str">
        <f>IFERROR(__xludf.DUMMYFUNCTION("""COMPUTED_VALUE"""),"xblzd")</f>
        <v>xblzd</v>
      </c>
      <c r="C1794" s="3" t="str">
        <f>IFERROR(__xludf.DUMMYFUNCTION("""COMPUTED_VALUE"""),"Blizzard")</f>
        <v>Blizzard</v>
      </c>
    </row>
    <row r="1795">
      <c r="A1795" s="3" t="str">
        <f>IFERROR(__xludf.DUMMYFUNCTION("""COMPUTED_VALUE"""),"blizzard-network")</f>
        <v>blizzard-network</v>
      </c>
      <c r="B1795" s="3" t="str">
        <f>IFERROR(__xludf.DUMMYFUNCTION("""COMPUTED_VALUE"""),"blizz")</f>
        <v>blizz</v>
      </c>
      <c r="C1795" s="3" t="str">
        <f>IFERROR(__xludf.DUMMYFUNCTION("""COMPUTED_VALUE"""),"Blizzard Network")</f>
        <v>Blizzard Network</v>
      </c>
    </row>
    <row r="1796">
      <c r="A1796" s="3" t="str">
        <f>IFERROR(__xludf.DUMMYFUNCTION("""COMPUTED_VALUE"""),"blizz-finance")</f>
        <v>blizz-finance</v>
      </c>
      <c r="B1796" s="3" t="str">
        <f>IFERROR(__xludf.DUMMYFUNCTION("""COMPUTED_VALUE"""),"blzz")</f>
        <v>blzz</v>
      </c>
      <c r="C1796" s="3" t="str">
        <f>IFERROR(__xludf.DUMMYFUNCTION("""COMPUTED_VALUE"""),"Blizz Finance")</f>
        <v>Blizz Finance</v>
      </c>
    </row>
    <row r="1797">
      <c r="A1797" s="3" t="str">
        <f>IFERROR(__xludf.DUMMYFUNCTION("""COMPUTED_VALUE"""),"blocery")</f>
        <v>blocery</v>
      </c>
      <c r="B1797" s="3" t="str">
        <f>IFERROR(__xludf.DUMMYFUNCTION("""COMPUTED_VALUE"""),"bly")</f>
        <v>bly</v>
      </c>
      <c r="C1797" s="3" t="str">
        <f>IFERROR(__xludf.DUMMYFUNCTION("""COMPUTED_VALUE"""),"Blocery")</f>
        <v>Blocery</v>
      </c>
    </row>
    <row r="1798">
      <c r="A1798" s="3" t="str">
        <f>IFERROR(__xludf.DUMMYFUNCTION("""COMPUTED_VALUE"""),"block-18")</f>
        <v>block-18</v>
      </c>
      <c r="B1798" s="3" t="str">
        <f>IFERROR(__xludf.DUMMYFUNCTION("""COMPUTED_VALUE"""),"18c")</f>
        <v>18c</v>
      </c>
      <c r="C1798" s="3" t="str">
        <f>IFERROR(__xludf.DUMMYFUNCTION("""COMPUTED_VALUE"""),"Block 18")</f>
        <v>Block 18</v>
      </c>
    </row>
    <row r="1799">
      <c r="A1799" s="3" t="str">
        <f>IFERROR(__xludf.DUMMYFUNCTION("""COMPUTED_VALUE"""),"block2play")</f>
        <v>block2play</v>
      </c>
      <c r="B1799" s="3" t="str">
        <f>IFERROR(__xludf.DUMMYFUNCTION("""COMPUTED_VALUE"""),"b2p")</f>
        <v>b2p</v>
      </c>
      <c r="C1799" s="3" t="str">
        <f>IFERROR(__xludf.DUMMYFUNCTION("""COMPUTED_VALUE"""),"Block2Play")</f>
        <v>Block2Play</v>
      </c>
    </row>
    <row r="1800">
      <c r="A1800" s="3" t="str">
        <f>IFERROR(__xludf.DUMMYFUNCTION("""COMPUTED_VALUE"""),"block-ape-scissors")</f>
        <v>block-ape-scissors</v>
      </c>
      <c r="B1800" s="3" t="str">
        <f>IFERROR(__xludf.DUMMYFUNCTION("""COMPUTED_VALUE"""),"bas")</f>
        <v>bas</v>
      </c>
      <c r="C1800" s="3" t="str">
        <f>IFERROR(__xludf.DUMMYFUNCTION("""COMPUTED_VALUE"""),"Block Ape Scissors")</f>
        <v>Block Ape Scissors</v>
      </c>
    </row>
    <row r="1801">
      <c r="A1801" s="3" t="str">
        <f>IFERROR(__xludf.DUMMYFUNCTION("""COMPUTED_VALUE"""),"blockasset")</f>
        <v>blockasset</v>
      </c>
      <c r="B1801" s="3" t="str">
        <f>IFERROR(__xludf.DUMMYFUNCTION("""COMPUTED_VALUE"""),"block")</f>
        <v>block</v>
      </c>
      <c r="C1801" s="3" t="str">
        <f>IFERROR(__xludf.DUMMYFUNCTION("""COMPUTED_VALUE"""),"Blockasset")</f>
        <v>Blockasset</v>
      </c>
    </row>
    <row r="1802">
      <c r="A1802" s="3" t="str">
        <f>IFERROR(__xludf.DUMMYFUNCTION("""COMPUTED_VALUE"""),"blockaura")</f>
        <v>blockaura</v>
      </c>
      <c r="B1802" s="3" t="str">
        <f>IFERROR(__xludf.DUMMYFUNCTION("""COMPUTED_VALUE"""),"tbac")</f>
        <v>tbac</v>
      </c>
      <c r="C1802" s="3" t="str">
        <f>IFERROR(__xludf.DUMMYFUNCTION("""COMPUTED_VALUE"""),"BlockAura")</f>
        <v>BlockAura</v>
      </c>
    </row>
    <row r="1803">
      <c r="A1803" s="3" t="str">
        <f>IFERROR(__xludf.DUMMYFUNCTION("""COMPUTED_VALUE"""),"blockbank")</f>
        <v>blockbank</v>
      </c>
      <c r="B1803" s="3" t="str">
        <f>IFERROR(__xludf.DUMMYFUNCTION("""COMPUTED_VALUE"""),"bbank")</f>
        <v>bbank</v>
      </c>
      <c r="C1803" s="3" t="str">
        <f>IFERROR(__xludf.DUMMYFUNCTION("""COMPUTED_VALUE"""),"blockbank")</f>
        <v>blockbank</v>
      </c>
    </row>
    <row r="1804">
      <c r="A1804" s="3" t="str">
        <f>IFERROR(__xludf.DUMMYFUNCTION("""COMPUTED_VALUE"""),"blockbase")</f>
        <v>blockbase</v>
      </c>
      <c r="B1804" s="3" t="str">
        <f>IFERROR(__xludf.DUMMYFUNCTION("""COMPUTED_VALUE"""),"bbt")</f>
        <v>bbt</v>
      </c>
      <c r="C1804" s="3" t="str">
        <f>IFERROR(__xludf.DUMMYFUNCTION("""COMPUTED_VALUE"""),"BlockBase")</f>
        <v>BlockBase</v>
      </c>
    </row>
    <row r="1805">
      <c r="A1805" s="3" t="str">
        <f>IFERROR(__xludf.DUMMYFUNCTION("""COMPUTED_VALUE"""),"blockblend")</f>
        <v>blockblend</v>
      </c>
      <c r="B1805" s="3" t="str">
        <f>IFERROR(__xludf.DUMMYFUNCTION("""COMPUTED_VALUE"""),"bbl")</f>
        <v>bbl</v>
      </c>
      <c r="C1805" s="3" t="str">
        <f>IFERROR(__xludf.DUMMYFUNCTION("""COMPUTED_VALUE"""),"BlockBlend")</f>
        <v>BlockBlend</v>
      </c>
    </row>
    <row r="1806">
      <c r="A1806" s="3" t="str">
        <f>IFERROR(__xludf.DUMMYFUNCTION("""COMPUTED_VALUE"""),"blockburn")</f>
        <v>blockburn</v>
      </c>
      <c r="B1806" s="3" t="str">
        <f>IFERROR(__xludf.DUMMYFUNCTION("""COMPUTED_VALUE"""),"burn")</f>
        <v>burn</v>
      </c>
      <c r="C1806" s="3" t="str">
        <f>IFERROR(__xludf.DUMMYFUNCTION("""COMPUTED_VALUE"""),"BlockBurn")</f>
        <v>BlockBurn</v>
      </c>
    </row>
    <row r="1807">
      <c r="A1807" s="3" t="str">
        <f>IFERROR(__xludf.DUMMYFUNCTION("""COMPUTED_VALUE"""),"blockcdn")</f>
        <v>blockcdn</v>
      </c>
      <c r="B1807" s="3" t="str">
        <f>IFERROR(__xludf.DUMMYFUNCTION("""COMPUTED_VALUE"""),"bcdn")</f>
        <v>bcdn</v>
      </c>
      <c r="C1807" s="3" t="str">
        <f>IFERROR(__xludf.DUMMYFUNCTION("""COMPUTED_VALUE"""),"BlockCDN")</f>
        <v>BlockCDN</v>
      </c>
    </row>
    <row r="1808">
      <c r="A1808" s="3" t="str">
        <f>IFERROR(__xludf.DUMMYFUNCTION("""COMPUTED_VALUE"""),"blockchain-adventurers-guild")</f>
        <v>blockchain-adventurers-guild</v>
      </c>
      <c r="B1808" s="3" t="str">
        <f>IFERROR(__xludf.DUMMYFUNCTION("""COMPUTED_VALUE"""),"bag")</f>
        <v>bag</v>
      </c>
      <c r="C1808" s="3" t="str">
        <f>IFERROR(__xludf.DUMMYFUNCTION("""COMPUTED_VALUE"""),"Blockchain Adventurers Guild")</f>
        <v>Blockchain Adventurers Guild</v>
      </c>
    </row>
    <row r="1809">
      <c r="A1809" s="3" t="str">
        <f>IFERROR(__xludf.DUMMYFUNCTION("""COMPUTED_VALUE"""),"blockchain-based-distributed-super-computing-platform")</f>
        <v>blockchain-based-distributed-super-computing-platform</v>
      </c>
      <c r="B1809" s="3" t="str">
        <f>IFERROR(__xludf.DUMMYFUNCTION("""COMPUTED_VALUE"""),"mbcc")</f>
        <v>mbcc</v>
      </c>
      <c r="C1809" s="3" t="str">
        <f>IFERROR(__xludf.DUMMYFUNCTION("""COMPUTED_VALUE"""),"Blockchain-Based Distributed Super Computing Platform")</f>
        <v>Blockchain-Based Distributed Super Computing Platform</v>
      </c>
    </row>
    <row r="1810">
      <c r="A1810" s="3" t="str">
        <f>IFERROR(__xludf.DUMMYFUNCTION("""COMPUTED_VALUE"""),"blockchain-brawlers")</f>
        <v>blockchain-brawlers</v>
      </c>
      <c r="B1810" s="3" t="str">
        <f>IFERROR(__xludf.DUMMYFUNCTION("""COMPUTED_VALUE"""),"brwl")</f>
        <v>brwl</v>
      </c>
      <c r="C1810" s="3" t="str">
        <f>IFERROR(__xludf.DUMMYFUNCTION("""COMPUTED_VALUE"""),"Blockchain Brawlers")</f>
        <v>Blockchain Brawlers</v>
      </c>
    </row>
    <row r="1811">
      <c r="A1811" s="3" t="str">
        <f>IFERROR(__xludf.DUMMYFUNCTION("""COMPUTED_VALUE"""),"blockchain-certified-data-token")</f>
        <v>blockchain-certified-data-token</v>
      </c>
      <c r="B1811" s="3" t="str">
        <f>IFERROR(__xludf.DUMMYFUNCTION("""COMPUTED_VALUE"""),"bcdt")</f>
        <v>bcdt</v>
      </c>
      <c r="C1811" s="3" t="str">
        <f>IFERROR(__xludf.DUMMYFUNCTION("""COMPUTED_VALUE"""),"EvidenZ")</f>
        <v>EvidenZ</v>
      </c>
    </row>
    <row r="1812">
      <c r="A1812" s="3" t="str">
        <f>IFERROR(__xludf.DUMMYFUNCTION("""COMPUTED_VALUE"""),"blockchain-cuties-universe")</f>
        <v>blockchain-cuties-universe</v>
      </c>
      <c r="B1812" s="3" t="str">
        <f>IFERROR(__xludf.DUMMYFUNCTION("""COMPUTED_VALUE"""),"cute")</f>
        <v>cute</v>
      </c>
      <c r="C1812" s="3" t="str">
        <f>IFERROR(__xludf.DUMMYFUNCTION("""COMPUTED_VALUE"""),"Blockchain Cuties Universe")</f>
        <v>Blockchain Cuties Universe</v>
      </c>
    </row>
    <row r="1813">
      <c r="A1813" s="3" t="str">
        <f>IFERROR(__xludf.DUMMYFUNCTION("""COMPUTED_VALUE"""),"blockchain-cuties-universe-governance")</f>
        <v>blockchain-cuties-universe-governance</v>
      </c>
      <c r="B1813" s="3" t="str">
        <f>IFERROR(__xludf.DUMMYFUNCTION("""COMPUTED_VALUE"""),"bcug")</f>
        <v>bcug</v>
      </c>
      <c r="C1813" s="3" t="str">
        <f>IFERROR(__xludf.DUMMYFUNCTION("""COMPUTED_VALUE"""),"Blockchain Cuties Universe Governance")</f>
        <v>Blockchain Cuties Universe Governance</v>
      </c>
    </row>
    <row r="1814">
      <c r="A1814" s="3" t="str">
        <f>IFERROR(__xludf.DUMMYFUNCTION("""COMPUTED_VALUE"""),"blockchain-euro-project")</f>
        <v>blockchain-euro-project</v>
      </c>
      <c r="B1814" s="3" t="str">
        <f>IFERROR(__xludf.DUMMYFUNCTION("""COMPUTED_VALUE"""),"bepr")</f>
        <v>bepr</v>
      </c>
      <c r="C1814" s="3" t="str">
        <f>IFERROR(__xludf.DUMMYFUNCTION("""COMPUTED_VALUE"""),"Blockchain Euro Project")</f>
        <v>Blockchain Euro Project</v>
      </c>
    </row>
    <row r="1815">
      <c r="A1815" s="3" t="str">
        <f>IFERROR(__xludf.DUMMYFUNCTION("""COMPUTED_VALUE"""),"blockchain-exchange-alliance")</f>
        <v>blockchain-exchange-alliance</v>
      </c>
      <c r="B1815" s="3" t="str">
        <f>IFERROR(__xludf.DUMMYFUNCTION("""COMPUTED_VALUE"""),"bxa")</f>
        <v>bxa</v>
      </c>
      <c r="C1815" s="3" t="str">
        <f>IFERROR(__xludf.DUMMYFUNCTION("""COMPUTED_VALUE"""),"Blockchain Exchange Alliance")</f>
        <v>Blockchain Exchange Alliance</v>
      </c>
    </row>
    <row r="1816">
      <c r="A1816" s="3" t="str">
        <f>IFERROR(__xludf.DUMMYFUNCTION("""COMPUTED_VALUE"""),"blockchain-io")</f>
        <v>blockchain-io</v>
      </c>
      <c r="B1816" s="3" t="str">
        <f>IFERROR(__xludf.DUMMYFUNCTION("""COMPUTED_VALUE"""),"bcio")</f>
        <v>bcio</v>
      </c>
      <c r="C1816" s="4" t="str">
        <f>IFERROR(__xludf.DUMMYFUNCTION("""COMPUTED_VALUE"""),"Blockchain.io")</f>
        <v>Blockchain.io</v>
      </c>
    </row>
    <row r="1817">
      <c r="A1817" s="3" t="str">
        <f>IFERROR(__xludf.DUMMYFUNCTION("""COMPUTED_VALUE"""),"blockchain-monster-hunt")</f>
        <v>blockchain-monster-hunt</v>
      </c>
      <c r="B1817" s="3" t="str">
        <f>IFERROR(__xludf.DUMMYFUNCTION("""COMPUTED_VALUE"""),"bcmc")</f>
        <v>bcmc</v>
      </c>
      <c r="C1817" s="3" t="str">
        <f>IFERROR(__xludf.DUMMYFUNCTION("""COMPUTED_VALUE"""),"Blockchain Monster Hunt")</f>
        <v>Blockchain Monster Hunt</v>
      </c>
    </row>
    <row r="1818">
      <c r="A1818" s="3" t="str">
        <f>IFERROR(__xludf.DUMMYFUNCTION("""COMPUTED_VALUE"""),"blockchain-of-hash-power")</f>
        <v>blockchain-of-hash-power</v>
      </c>
      <c r="B1818" s="3" t="str">
        <f>IFERROR(__xludf.DUMMYFUNCTION("""COMPUTED_VALUE"""),"bhp")</f>
        <v>bhp</v>
      </c>
      <c r="C1818" s="3" t="str">
        <f>IFERROR(__xludf.DUMMYFUNCTION("""COMPUTED_VALUE"""),"Blockchain of Hash Power")</f>
        <v>Blockchain of Hash Power</v>
      </c>
    </row>
    <row r="1819">
      <c r="A1819" s="3" t="str">
        <f>IFERROR(__xludf.DUMMYFUNCTION("""COMPUTED_VALUE"""),"blockchainpoland")</f>
        <v>blockchainpoland</v>
      </c>
      <c r="B1819" s="3" t="str">
        <f>IFERROR(__xludf.DUMMYFUNCTION("""COMPUTED_VALUE"""),"bcp")</f>
        <v>bcp</v>
      </c>
      <c r="C1819" s="3" t="str">
        <f>IFERROR(__xludf.DUMMYFUNCTION("""COMPUTED_VALUE"""),"BlockchainPoland")</f>
        <v>BlockchainPoland</v>
      </c>
    </row>
    <row r="1820">
      <c r="A1820" s="3" t="str">
        <f>IFERROR(__xludf.DUMMYFUNCTION("""COMPUTED_VALUE"""),"blockchain-quotations-index-token")</f>
        <v>blockchain-quotations-index-token</v>
      </c>
      <c r="B1820" s="3" t="str">
        <f>IFERROR(__xludf.DUMMYFUNCTION("""COMPUTED_VALUE"""),"bqt")</f>
        <v>bqt</v>
      </c>
      <c r="C1820" s="3" t="str">
        <f>IFERROR(__xludf.DUMMYFUNCTION("""COMPUTED_VALUE"""),"Blockchain Quotations Index")</f>
        <v>Blockchain Quotations Index</v>
      </c>
    </row>
    <row r="1821">
      <c r="A1821" s="3" t="str">
        <f>IFERROR(__xludf.DUMMYFUNCTION("""COMPUTED_VALUE"""),"blockchainspace")</f>
        <v>blockchainspace</v>
      </c>
      <c r="B1821" s="3" t="str">
        <f>IFERROR(__xludf.DUMMYFUNCTION("""COMPUTED_VALUE"""),"guild")</f>
        <v>guild</v>
      </c>
      <c r="C1821" s="3" t="str">
        <f>IFERROR(__xludf.DUMMYFUNCTION("""COMPUTED_VALUE"""),"BlockchainSpace")</f>
        <v>BlockchainSpace</v>
      </c>
    </row>
    <row r="1822">
      <c r="A1822" s="3" t="str">
        <f>IFERROR(__xludf.DUMMYFUNCTION("""COMPUTED_VALUE"""),"block-commerce-protocol")</f>
        <v>block-commerce-protocol</v>
      </c>
      <c r="B1822" s="3" t="str">
        <f>IFERROR(__xludf.DUMMYFUNCTION("""COMPUTED_VALUE"""),"bcp")</f>
        <v>bcp</v>
      </c>
      <c r="C1822" s="3" t="str">
        <f>IFERROR(__xludf.DUMMYFUNCTION("""COMPUTED_VALUE"""),"Block Commerce Protocol")</f>
        <v>Block Commerce Protocol</v>
      </c>
    </row>
    <row r="1823">
      <c r="A1823" s="3" t="str">
        <f>IFERROR(__xludf.DUMMYFUNCTION("""COMPUTED_VALUE"""),"block-creatures")</f>
        <v>block-creatures</v>
      </c>
      <c r="B1823" s="3" t="str">
        <f>IFERROR(__xludf.DUMMYFUNCTION("""COMPUTED_VALUE"""),"moolah")</f>
        <v>moolah</v>
      </c>
      <c r="C1823" s="3" t="str">
        <f>IFERROR(__xludf.DUMMYFUNCTION("""COMPUTED_VALUE"""),"Block Creatures")</f>
        <v>Block Creatures</v>
      </c>
    </row>
    <row r="1824">
      <c r="A1824" s="3" t="str">
        <f>IFERROR(__xludf.DUMMYFUNCTION("""COMPUTED_VALUE"""),"block-e")</f>
        <v>block-e</v>
      </c>
      <c r="B1824" s="3" t="str">
        <f>IFERROR(__xludf.DUMMYFUNCTION("""COMPUTED_VALUE"""),"block-e")</f>
        <v>block-e</v>
      </c>
      <c r="C1824" s="3" t="str">
        <f>IFERROR(__xludf.DUMMYFUNCTION("""COMPUTED_VALUE"""),"BLOCK-E")</f>
        <v>BLOCK-E</v>
      </c>
    </row>
    <row r="1825">
      <c r="A1825" s="3" t="str">
        <f>IFERROR(__xludf.DUMMYFUNCTION("""COMPUTED_VALUE"""),"blockearth")</f>
        <v>blockearth</v>
      </c>
      <c r="B1825" s="3" t="str">
        <f>IFERROR(__xludf.DUMMYFUNCTION("""COMPUTED_VALUE"""),"blet")</f>
        <v>blet</v>
      </c>
      <c r="C1825" s="3" t="str">
        <f>IFERROR(__xludf.DUMMYFUNCTION("""COMPUTED_VALUE"""),"Blockearth")</f>
        <v>Blockearth</v>
      </c>
    </row>
    <row r="1826">
      <c r="A1826" s="3" t="str">
        <f>IFERROR(__xludf.DUMMYFUNCTION("""COMPUTED_VALUE"""),"block-forest")</f>
        <v>block-forest</v>
      </c>
      <c r="B1826" s="3" t="str">
        <f>IFERROR(__xludf.DUMMYFUNCTION("""COMPUTED_VALUE"""),"bft")</f>
        <v>bft</v>
      </c>
      <c r="C1826" s="3" t="str">
        <f>IFERROR(__xludf.DUMMYFUNCTION("""COMPUTED_VALUE"""),"Block Forest")</f>
        <v>Block Forest</v>
      </c>
    </row>
    <row r="1827">
      <c r="A1827" s="3" t="str">
        <f>IFERROR(__xludf.DUMMYFUNCTION("""COMPUTED_VALUE"""),"blockify-games")</f>
        <v>blockify-games</v>
      </c>
      <c r="B1827" s="3" t="str">
        <f>IFERROR(__xludf.DUMMYFUNCTION("""COMPUTED_VALUE"""),"blockify")</f>
        <v>blockify</v>
      </c>
      <c r="C1827" s="3" t="str">
        <f>IFERROR(__xludf.DUMMYFUNCTION("""COMPUTED_VALUE"""),"Blockify.Games")</f>
        <v>Blockify.Games</v>
      </c>
    </row>
    <row r="1828">
      <c r="A1828" s="3" t="str">
        <f>IFERROR(__xludf.DUMMYFUNCTION("""COMPUTED_VALUE"""),"blockmason-credit-protocol")</f>
        <v>blockmason-credit-protocol</v>
      </c>
      <c r="B1828" s="3" t="str">
        <f>IFERROR(__xludf.DUMMYFUNCTION("""COMPUTED_VALUE"""),"bcpt")</f>
        <v>bcpt</v>
      </c>
      <c r="C1828" s="3" t="str">
        <f>IFERROR(__xludf.DUMMYFUNCTION("""COMPUTED_VALUE"""),"Blockmason Credit Protocol")</f>
        <v>Blockmason Credit Protocol</v>
      </c>
    </row>
    <row r="1829">
      <c r="A1829" s="3" t="str">
        <f>IFERROR(__xludf.DUMMYFUNCTION("""COMPUTED_VALUE"""),"blockmason-link")</f>
        <v>blockmason-link</v>
      </c>
      <c r="B1829" s="3" t="str">
        <f>IFERROR(__xludf.DUMMYFUNCTION("""COMPUTED_VALUE"""),"blink")</f>
        <v>blink</v>
      </c>
      <c r="C1829" s="3" t="str">
        <f>IFERROR(__xludf.DUMMYFUNCTION("""COMPUTED_VALUE"""),"BlockMason Link")</f>
        <v>BlockMason Link</v>
      </c>
    </row>
    <row r="1830">
      <c r="A1830" s="3" t="str">
        <f>IFERROR(__xludf.DUMMYFUNCTION("""COMPUTED_VALUE"""),"blockmax")</f>
        <v>blockmax</v>
      </c>
      <c r="B1830" s="3" t="str">
        <f>IFERROR(__xludf.DUMMYFUNCTION("""COMPUTED_VALUE"""),"ocb")</f>
        <v>ocb</v>
      </c>
      <c r="C1830" s="3" t="str">
        <f>IFERROR(__xludf.DUMMYFUNCTION("""COMPUTED_VALUE"""),"BLOCKMAX")</f>
        <v>BLOCKMAX</v>
      </c>
    </row>
    <row r="1831">
      <c r="A1831" s="3" t="str">
        <f>IFERROR(__xludf.DUMMYFUNCTION("""COMPUTED_VALUE"""),"blockmine")</f>
        <v>blockmine</v>
      </c>
      <c r="B1831" s="3" t="str">
        <f>IFERROR(__xludf.DUMMYFUNCTION("""COMPUTED_VALUE"""),"gold nugget")</f>
        <v>gold nugget</v>
      </c>
      <c r="C1831" s="3" t="str">
        <f>IFERROR(__xludf.DUMMYFUNCTION("""COMPUTED_VALUE"""),"Blockmine")</f>
        <v>Blockmine</v>
      </c>
    </row>
    <row r="1832">
      <c r="A1832" s="3" t="str">
        <f>IFERROR(__xludf.DUMMYFUNCTION("""COMPUTED_VALUE"""),"block-monsters")</f>
        <v>block-monsters</v>
      </c>
      <c r="B1832" s="3" t="str">
        <f>IFERROR(__xludf.DUMMYFUNCTION("""COMPUTED_VALUE"""),"mnstrs")</f>
        <v>mnstrs</v>
      </c>
      <c r="C1832" s="3" t="str">
        <f>IFERROR(__xludf.DUMMYFUNCTION("""COMPUTED_VALUE"""),"Block Monsters")</f>
        <v>Block Monsters</v>
      </c>
    </row>
    <row r="1833">
      <c r="A1833" s="3" t="str">
        <f>IFERROR(__xludf.DUMMYFUNCTION("""COMPUTED_VALUE"""),"blocknet")</f>
        <v>blocknet</v>
      </c>
      <c r="B1833" s="3" t="str">
        <f>IFERROR(__xludf.DUMMYFUNCTION("""COMPUTED_VALUE"""),"block")</f>
        <v>block</v>
      </c>
      <c r="C1833" s="3" t="str">
        <f>IFERROR(__xludf.DUMMYFUNCTION("""COMPUTED_VALUE"""),"Blocknet")</f>
        <v>Blocknet</v>
      </c>
    </row>
    <row r="1834">
      <c r="A1834" s="3" t="str">
        <f>IFERROR(__xludf.DUMMYFUNCTION("""COMPUTED_VALUE"""),"blocknotex")</f>
        <v>blocknotex</v>
      </c>
      <c r="B1834" s="3" t="str">
        <f>IFERROR(__xludf.DUMMYFUNCTION("""COMPUTED_VALUE"""),"bnox")</f>
        <v>bnox</v>
      </c>
      <c r="C1834" s="3" t="str">
        <f>IFERROR(__xludf.DUMMYFUNCTION("""COMPUTED_VALUE"""),"BlockNoteX")</f>
        <v>BlockNoteX</v>
      </c>
    </row>
    <row r="1835">
      <c r="A1835" s="3" t="str">
        <f>IFERROR(__xludf.DUMMYFUNCTION("""COMPUTED_VALUE"""),"blockpad")</f>
        <v>blockpad</v>
      </c>
      <c r="B1835" s="3" t="str">
        <f>IFERROR(__xludf.DUMMYFUNCTION("""COMPUTED_VALUE"""),"blos")</f>
        <v>blos</v>
      </c>
      <c r="C1835" s="3" t="str">
        <f>IFERROR(__xludf.DUMMYFUNCTION("""COMPUTED_VALUE"""),"Blockius")</f>
        <v>Blockius</v>
      </c>
    </row>
    <row r="1836">
      <c r="A1836" s="3" t="str">
        <f>IFERROR(__xludf.DUMMYFUNCTION("""COMPUTED_VALUE"""),"blockpass")</f>
        <v>blockpass</v>
      </c>
      <c r="B1836" s="3" t="str">
        <f>IFERROR(__xludf.DUMMYFUNCTION("""COMPUTED_VALUE"""),"pass")</f>
        <v>pass</v>
      </c>
      <c r="C1836" s="3" t="str">
        <f>IFERROR(__xludf.DUMMYFUNCTION("""COMPUTED_VALUE"""),"Blockpass")</f>
        <v>Blockpass</v>
      </c>
    </row>
    <row r="1837">
      <c r="A1837" s="3" t="str">
        <f>IFERROR(__xludf.DUMMYFUNCTION("""COMPUTED_VALUE"""),"blockport")</f>
        <v>blockport</v>
      </c>
      <c r="B1837" s="3" t="str">
        <f>IFERROR(__xludf.DUMMYFUNCTION("""COMPUTED_VALUE"""),"bux")</f>
        <v>bux</v>
      </c>
      <c r="C1837" s="3" t="str">
        <f>IFERROR(__xludf.DUMMYFUNCTION("""COMPUTED_VALUE"""),"BUX")</f>
        <v>BUX</v>
      </c>
    </row>
    <row r="1838">
      <c r="A1838" s="3" t="str">
        <f>IFERROR(__xludf.DUMMYFUNCTION("""COMPUTED_VALUE"""),"blockrock")</f>
        <v>blockrock</v>
      </c>
      <c r="B1838" s="3" t="str">
        <f>IFERROR(__xludf.DUMMYFUNCTION("""COMPUTED_VALUE"""),"bro$")</f>
        <v>bro$</v>
      </c>
      <c r="C1838" s="3" t="str">
        <f>IFERROR(__xludf.DUMMYFUNCTION("""COMPUTED_VALUE"""),"BlockRock")</f>
        <v>BlockRock</v>
      </c>
    </row>
    <row r="1839">
      <c r="A1839" s="3" t="str">
        <f>IFERROR(__xludf.DUMMYFUNCTION("""COMPUTED_VALUE"""),"blocks")</f>
        <v>blocks</v>
      </c>
      <c r="B1839" s="3" t="str">
        <f>IFERROR(__xludf.DUMMYFUNCTION("""COMPUTED_VALUE"""),"blocks")</f>
        <v>blocks</v>
      </c>
      <c r="C1839" s="3" t="str">
        <f>IFERROR(__xludf.DUMMYFUNCTION("""COMPUTED_VALUE"""),"BLOCKS")</f>
        <v>BLOCKS</v>
      </c>
    </row>
    <row r="1840">
      <c r="A1840" s="3" t="str">
        <f>IFERROR(__xludf.DUMMYFUNCTION("""COMPUTED_VALUE"""),"blocksafu")</f>
        <v>blocksafu</v>
      </c>
      <c r="B1840" s="3" t="str">
        <f>IFERROR(__xludf.DUMMYFUNCTION("""COMPUTED_VALUE"""),"bsafu")</f>
        <v>bsafu</v>
      </c>
      <c r="C1840" s="3" t="str">
        <f>IFERROR(__xludf.DUMMYFUNCTION("""COMPUTED_VALUE"""),"BlockSafu")</f>
        <v>BlockSafu</v>
      </c>
    </row>
    <row r="1841">
      <c r="A1841" s="3" t="str">
        <f>IFERROR(__xludf.DUMMYFUNCTION("""COMPUTED_VALUE"""),"blocksmith-labs-forge")</f>
        <v>blocksmith-labs-forge</v>
      </c>
      <c r="B1841" s="3" t="str">
        <f>IFERROR(__xludf.DUMMYFUNCTION("""COMPUTED_VALUE"""),"$forge")</f>
        <v>$forge</v>
      </c>
      <c r="C1841" s="3" t="str">
        <f>IFERROR(__xludf.DUMMYFUNCTION("""COMPUTED_VALUE"""),"Blocksmith Labs Forge")</f>
        <v>Blocksmith Labs Forge</v>
      </c>
    </row>
    <row r="1842">
      <c r="A1842" s="3" t="str">
        <f>IFERROR(__xludf.DUMMYFUNCTION("""COMPUTED_VALUE"""),"blockspace-token")</f>
        <v>blockspace-token</v>
      </c>
      <c r="B1842" s="3" t="str">
        <f>IFERROR(__xludf.DUMMYFUNCTION("""COMPUTED_VALUE"""),"bls")</f>
        <v>bls</v>
      </c>
      <c r="C1842" s="3" t="str">
        <f>IFERROR(__xludf.DUMMYFUNCTION("""COMPUTED_VALUE"""),"Blocks Space")</f>
        <v>Blocks Space</v>
      </c>
    </row>
    <row r="1843">
      <c r="A1843" s="3" t="str">
        <f>IFERROR(__xludf.DUMMYFUNCTION("""COMPUTED_VALUE"""),"blocksport")</f>
        <v>blocksport</v>
      </c>
      <c r="B1843" s="3" t="str">
        <f>IFERROR(__xludf.DUMMYFUNCTION("""COMPUTED_VALUE"""),"bspt")</f>
        <v>bspt</v>
      </c>
      <c r="C1843" s="3" t="str">
        <f>IFERROR(__xludf.DUMMYFUNCTION("""COMPUTED_VALUE"""),"Blocksport")</f>
        <v>Blocksport</v>
      </c>
    </row>
    <row r="1844">
      <c r="A1844" s="3" t="str">
        <f>IFERROR(__xludf.DUMMYFUNCTION("""COMPUTED_VALUE"""),"blocksquare")</f>
        <v>blocksquare</v>
      </c>
      <c r="B1844" s="3" t="str">
        <f>IFERROR(__xludf.DUMMYFUNCTION("""COMPUTED_VALUE"""),"bst")</f>
        <v>bst</v>
      </c>
      <c r="C1844" s="3" t="str">
        <f>IFERROR(__xludf.DUMMYFUNCTION("""COMPUTED_VALUE"""),"Blocksquare")</f>
        <v>Blocksquare</v>
      </c>
    </row>
    <row r="1845">
      <c r="A1845" s="3" t="str">
        <f>IFERROR(__xludf.DUMMYFUNCTION("""COMPUTED_VALUE"""),"blockstack")</f>
        <v>blockstack</v>
      </c>
      <c r="B1845" s="3" t="str">
        <f>IFERROR(__xludf.DUMMYFUNCTION("""COMPUTED_VALUE"""),"stx")</f>
        <v>stx</v>
      </c>
      <c r="C1845" s="3" t="str">
        <f>IFERROR(__xludf.DUMMYFUNCTION("""COMPUTED_VALUE"""),"Stacks")</f>
        <v>Stacks</v>
      </c>
    </row>
    <row r="1846">
      <c r="A1846" s="3" t="str">
        <f>IFERROR(__xludf.DUMMYFUNCTION("""COMPUTED_VALUE"""),"blockster")</f>
        <v>blockster</v>
      </c>
      <c r="B1846" s="3" t="str">
        <f>IFERROR(__xludf.DUMMYFUNCTION("""COMPUTED_VALUE"""),"bxr")</f>
        <v>bxr</v>
      </c>
      <c r="C1846" s="3" t="str">
        <f>IFERROR(__xludf.DUMMYFUNCTION("""COMPUTED_VALUE"""),"Blockster")</f>
        <v>Blockster</v>
      </c>
    </row>
    <row r="1847">
      <c r="A1847" s="3" t="str">
        <f>IFERROR(__xludf.DUMMYFUNCTION("""COMPUTED_VALUE"""),"blockswap-network")</f>
        <v>blockswap-network</v>
      </c>
      <c r="B1847" s="3" t="str">
        <f>IFERROR(__xludf.DUMMYFUNCTION("""COMPUTED_VALUE"""),"cbsn")</f>
        <v>cbsn</v>
      </c>
      <c r="C1847" s="3" t="str">
        <f>IFERROR(__xludf.DUMMYFUNCTION("""COMPUTED_VALUE"""),"BlockSwap Network [OLD]")</f>
        <v>BlockSwap Network [OLD]</v>
      </c>
    </row>
    <row r="1848">
      <c r="A1848" s="3" t="str">
        <f>IFERROR(__xludf.DUMMYFUNCTION("""COMPUTED_VALUE"""),"blockswap-network-2")</f>
        <v>blockswap-network-2</v>
      </c>
      <c r="B1848" s="3" t="str">
        <f>IFERROR(__xludf.DUMMYFUNCTION("""COMPUTED_VALUE"""),"bsn")</f>
        <v>bsn</v>
      </c>
      <c r="C1848" s="3" t="str">
        <f>IFERROR(__xludf.DUMMYFUNCTION("""COMPUTED_VALUE"""),"Blockswap Network")</f>
        <v>Blockswap Network</v>
      </c>
    </row>
    <row r="1849">
      <c r="A1849" s="3" t="str">
        <f>IFERROR(__xludf.DUMMYFUNCTION("""COMPUTED_VALUE"""),"blocksworkz")</f>
        <v>blocksworkz</v>
      </c>
      <c r="B1849" s="3" t="str">
        <f>IFERROR(__xludf.DUMMYFUNCTION("""COMPUTED_VALUE"""),"blkz")</f>
        <v>blkz</v>
      </c>
      <c r="C1849" s="3" t="str">
        <f>IFERROR(__xludf.DUMMYFUNCTION("""COMPUTED_VALUE"""),"BlocksWorkz")</f>
        <v>BlocksWorkz</v>
      </c>
    </row>
    <row r="1850">
      <c r="A1850" s="3" t="str">
        <f>IFERROR(__xludf.DUMMYFUNCTION("""COMPUTED_VALUE"""),"blocktanium")</f>
        <v>blocktanium</v>
      </c>
      <c r="B1850" s="3" t="str">
        <f>IFERROR(__xludf.DUMMYFUNCTION("""COMPUTED_VALUE"""),"bkt")</f>
        <v>bkt</v>
      </c>
      <c r="C1850" s="3" t="str">
        <f>IFERROR(__xludf.DUMMYFUNCTION("""COMPUTED_VALUE"""),"Blocktanium")</f>
        <v>Blocktanium</v>
      </c>
    </row>
    <row r="1851">
      <c r="A1851" s="3" t="str">
        <f>IFERROR(__xludf.DUMMYFUNCTION("""COMPUTED_VALUE"""),"blockv")</f>
        <v>blockv</v>
      </c>
      <c r="B1851" s="3" t="str">
        <f>IFERROR(__xludf.DUMMYFUNCTION("""COMPUTED_VALUE"""),"vee")</f>
        <v>vee</v>
      </c>
      <c r="C1851" s="3" t="str">
        <f>IFERROR(__xludf.DUMMYFUNCTION("""COMPUTED_VALUE"""),"BLOCKv")</f>
        <v>BLOCKv</v>
      </c>
    </row>
    <row r="1852">
      <c r="A1852" s="3" t="str">
        <f>IFERROR(__xludf.DUMMYFUNCTION("""COMPUTED_VALUE"""),"blockwarrior")</f>
        <v>blockwarrior</v>
      </c>
      <c r="B1852" s="3" t="str">
        <f>IFERROR(__xludf.DUMMYFUNCTION("""COMPUTED_VALUE"""),"blwa")</f>
        <v>blwa</v>
      </c>
      <c r="C1852" s="3" t="str">
        <f>IFERROR(__xludf.DUMMYFUNCTION("""COMPUTED_VALUE"""),"BlockWarrior")</f>
        <v>BlockWarrior</v>
      </c>
    </row>
    <row r="1853">
      <c r="A1853" s="3" t="str">
        <f>IFERROR(__xludf.DUMMYFUNCTION("""COMPUTED_VALUE"""),"blockwrk")</f>
        <v>blockwrk</v>
      </c>
      <c r="B1853" s="3" t="str">
        <f>IFERROR(__xludf.DUMMYFUNCTION("""COMPUTED_VALUE"""),"wrk")</f>
        <v>wrk</v>
      </c>
      <c r="C1853" s="3" t="str">
        <f>IFERROR(__xludf.DUMMYFUNCTION("""COMPUTED_VALUE"""),"BlockWRK")</f>
        <v>BlockWRK</v>
      </c>
    </row>
    <row r="1854">
      <c r="A1854" s="3" t="str">
        <f>IFERROR(__xludf.DUMMYFUNCTION("""COMPUTED_VALUE"""),"blockxpress")</f>
        <v>blockxpress</v>
      </c>
      <c r="B1854" s="3" t="str">
        <f>IFERROR(__xludf.DUMMYFUNCTION("""COMPUTED_VALUE"""),"bx")</f>
        <v>bx</v>
      </c>
      <c r="C1854" s="3" t="str">
        <f>IFERROR(__xludf.DUMMYFUNCTION("""COMPUTED_VALUE"""),"BlockXpress")</f>
        <v>BlockXpress</v>
      </c>
    </row>
    <row r="1855">
      <c r="A1855" s="3" t="str">
        <f>IFERROR(__xludf.DUMMYFUNCTION("""COMPUTED_VALUE"""),"bloc-money")</f>
        <v>bloc-money</v>
      </c>
      <c r="B1855" s="3" t="str">
        <f>IFERROR(__xludf.DUMMYFUNCTION("""COMPUTED_VALUE"""),"bloc")</f>
        <v>bloc</v>
      </c>
      <c r="C1855" s="3" t="str">
        <f>IFERROR(__xludf.DUMMYFUNCTION("""COMPUTED_VALUE"""),"Bloc.Money")</f>
        <v>Bloc.Money</v>
      </c>
    </row>
    <row r="1856">
      <c r="A1856" s="3" t="str">
        <f>IFERROR(__xludf.DUMMYFUNCTION("""COMPUTED_VALUE"""),"blocsport-one")</f>
        <v>blocsport-one</v>
      </c>
      <c r="B1856" s="3" t="str">
        <f>IFERROR(__xludf.DUMMYFUNCTION("""COMPUTED_VALUE"""),"bls")</f>
        <v>bls</v>
      </c>
      <c r="C1856" s="3" t="str">
        <f>IFERROR(__xludf.DUMMYFUNCTION("""COMPUTED_VALUE"""),"Metacourt")</f>
        <v>Metacourt</v>
      </c>
    </row>
    <row r="1857">
      <c r="A1857" s="3" t="str">
        <f>IFERROR(__xludf.DUMMYFUNCTION("""COMPUTED_VALUE"""),"blocto-token")</f>
        <v>blocto-token</v>
      </c>
      <c r="B1857" s="3" t="str">
        <f>IFERROR(__xludf.DUMMYFUNCTION("""COMPUTED_VALUE"""),"blt")</f>
        <v>blt</v>
      </c>
      <c r="C1857" s="3" t="str">
        <f>IFERROR(__xludf.DUMMYFUNCTION("""COMPUTED_VALUE"""),"Blocto")</f>
        <v>Blocto</v>
      </c>
    </row>
    <row r="1858">
      <c r="A1858" s="3" t="str">
        <f>IFERROR(__xludf.DUMMYFUNCTION("""COMPUTED_VALUE"""),"blokpad")</f>
        <v>blokpad</v>
      </c>
      <c r="B1858" s="3" t="str">
        <f>IFERROR(__xludf.DUMMYFUNCTION("""COMPUTED_VALUE"""),"bpad")</f>
        <v>bpad</v>
      </c>
      <c r="C1858" s="3" t="str">
        <f>IFERROR(__xludf.DUMMYFUNCTION("""COMPUTED_VALUE"""),"BlokPad")</f>
        <v>BlokPad</v>
      </c>
    </row>
    <row r="1859">
      <c r="A1859" s="3" t="str">
        <f>IFERROR(__xludf.DUMMYFUNCTION("""COMPUTED_VALUE"""),"bloktopia")</f>
        <v>bloktopia</v>
      </c>
      <c r="B1859" s="3" t="str">
        <f>IFERROR(__xludf.DUMMYFUNCTION("""COMPUTED_VALUE"""),"blok")</f>
        <v>blok</v>
      </c>
      <c r="C1859" s="3" t="str">
        <f>IFERROR(__xludf.DUMMYFUNCTION("""COMPUTED_VALUE"""),"Bloktopia")</f>
        <v>Bloktopia</v>
      </c>
    </row>
    <row r="1860">
      <c r="A1860" s="3" t="str">
        <f>IFERROR(__xludf.DUMMYFUNCTION("""COMPUTED_VALUE"""),"bloom")</f>
        <v>bloom</v>
      </c>
      <c r="B1860" s="3" t="str">
        <f>IFERROR(__xludf.DUMMYFUNCTION("""COMPUTED_VALUE"""),"blt")</f>
        <v>blt</v>
      </c>
      <c r="C1860" s="3" t="str">
        <f>IFERROR(__xludf.DUMMYFUNCTION("""COMPUTED_VALUE"""),"Bloom")</f>
        <v>Bloom</v>
      </c>
    </row>
    <row r="1861">
      <c r="A1861" s="3" t="str">
        <f>IFERROR(__xludf.DUMMYFUNCTION("""COMPUTED_VALUE"""),"bloomzed-token")</f>
        <v>bloomzed-token</v>
      </c>
      <c r="B1861" s="3" t="str">
        <f>IFERROR(__xludf.DUMMYFUNCTION("""COMPUTED_VALUE"""),"blct")</f>
        <v>blct</v>
      </c>
      <c r="C1861" s="3" t="str">
        <f>IFERROR(__xludf.DUMMYFUNCTION("""COMPUTED_VALUE"""),"Bloomzed Loyalty Club Ticket")</f>
        <v>Bloomzed Loyalty Club Ticket</v>
      </c>
    </row>
    <row r="1862">
      <c r="A1862" s="3" t="str">
        <f>IFERROR(__xludf.DUMMYFUNCTION("""COMPUTED_VALUE"""),"blossomcoin")</f>
        <v>blossomcoin</v>
      </c>
      <c r="B1862" s="3" t="str">
        <f>IFERROR(__xludf.DUMMYFUNCTION("""COMPUTED_VALUE"""),"blosm")</f>
        <v>blosm</v>
      </c>
      <c r="C1862" s="3" t="str">
        <f>IFERROR(__xludf.DUMMYFUNCTION("""COMPUTED_VALUE"""),"BlossomCoin")</f>
        <v>BlossomCoin</v>
      </c>
    </row>
    <row r="1863">
      <c r="A1863" s="3" t="str">
        <f>IFERROR(__xludf.DUMMYFUNCTION("""COMPUTED_VALUE"""),"blowup")</f>
        <v>blowup</v>
      </c>
      <c r="B1863" s="3" t="str">
        <f>IFERROR(__xludf.DUMMYFUNCTION("""COMPUTED_VALUE"""),"$blow")</f>
        <v>$blow</v>
      </c>
      <c r="C1863" s="3" t="str">
        <f>IFERROR(__xludf.DUMMYFUNCTION("""COMPUTED_VALUE"""),"BlowUP")</f>
        <v>BlowUP</v>
      </c>
    </row>
    <row r="1864">
      <c r="A1864" s="3" t="str">
        <f>IFERROR(__xludf.DUMMYFUNCTION("""COMPUTED_VALUE"""),"blox")</f>
        <v>blox</v>
      </c>
      <c r="B1864" s="3" t="str">
        <f>IFERROR(__xludf.DUMMYFUNCTION("""COMPUTED_VALUE"""),"cdt")</f>
        <v>cdt</v>
      </c>
      <c r="C1864" s="3" t="str">
        <f>IFERROR(__xludf.DUMMYFUNCTION("""COMPUTED_VALUE"""),"Blox")</f>
        <v>Blox</v>
      </c>
    </row>
    <row r="1865">
      <c r="A1865" s="3" t="str">
        <f>IFERROR(__xludf.DUMMYFUNCTION("""COMPUTED_VALUE"""),"bloxmove-erc20")</f>
        <v>bloxmove-erc20</v>
      </c>
      <c r="B1865" s="3" t="str">
        <f>IFERROR(__xludf.DUMMYFUNCTION("""COMPUTED_VALUE"""),"blxm")</f>
        <v>blxm</v>
      </c>
      <c r="C1865" s="3" t="str">
        <f>IFERROR(__xludf.DUMMYFUNCTION("""COMPUTED_VALUE"""),"bloXmove")</f>
        <v>bloXmove</v>
      </c>
    </row>
    <row r="1866">
      <c r="A1866" s="3" t="str">
        <f>IFERROR(__xludf.DUMMYFUNCTION("""COMPUTED_VALUE"""),"blox-token")</f>
        <v>blox-token</v>
      </c>
      <c r="B1866" s="3" t="str">
        <f>IFERROR(__xludf.DUMMYFUNCTION("""COMPUTED_VALUE"""),"blox")</f>
        <v>blox</v>
      </c>
      <c r="C1866" s="3" t="str">
        <f>IFERROR(__xludf.DUMMYFUNCTION("""COMPUTED_VALUE"""),"Blox SDK")</f>
        <v>Blox SDK</v>
      </c>
    </row>
    <row r="1867">
      <c r="A1867" s="3" t="str">
        <f>IFERROR(__xludf.DUMMYFUNCTION("""COMPUTED_VALUE"""),"bluca")</f>
        <v>bluca</v>
      </c>
      <c r="B1867" s="3" t="str">
        <f>IFERROR(__xludf.DUMMYFUNCTION("""COMPUTED_VALUE"""),"bluc")</f>
        <v>bluc</v>
      </c>
      <c r="C1867" s="3" t="str">
        <f>IFERROR(__xludf.DUMMYFUNCTION("""COMPUTED_VALUE"""),"Bluca")</f>
        <v>Bluca</v>
      </c>
    </row>
    <row r="1868">
      <c r="A1868" s="3" t="str">
        <f>IFERROR(__xludf.DUMMYFUNCTION("""COMPUTED_VALUE"""),"blue")</f>
        <v>blue</v>
      </c>
      <c r="B1868" s="3" t="str">
        <f>IFERROR(__xludf.DUMMYFUNCTION("""COMPUTED_VALUE"""),"blue")</f>
        <v>blue</v>
      </c>
      <c r="C1868" s="3" t="str">
        <f>IFERROR(__xludf.DUMMYFUNCTION("""COMPUTED_VALUE"""),"Blue Protocol")</f>
        <v>Blue Protocol</v>
      </c>
    </row>
    <row r="1869">
      <c r="A1869" s="3" t="str">
        <f>IFERROR(__xludf.DUMMYFUNCTION("""COMPUTED_VALUE"""),"blueark")</f>
        <v>blueark</v>
      </c>
      <c r="B1869" s="3" t="str">
        <f>IFERROR(__xludf.DUMMYFUNCTION("""COMPUTED_VALUE"""),"brk")</f>
        <v>brk</v>
      </c>
      <c r="C1869" s="3" t="str">
        <f>IFERROR(__xludf.DUMMYFUNCTION("""COMPUTED_VALUE"""),"BlueArk")</f>
        <v>BlueArk</v>
      </c>
    </row>
    <row r="1870">
      <c r="A1870" s="3" t="str">
        <f>IFERROR(__xludf.DUMMYFUNCTION("""COMPUTED_VALUE"""),"blueart")</f>
        <v>blueart</v>
      </c>
      <c r="B1870" s="3" t="str">
        <f>IFERROR(__xludf.DUMMYFUNCTION("""COMPUTED_VALUE"""),"bla")</f>
        <v>bla</v>
      </c>
      <c r="C1870" s="3" t="str">
        <f>IFERROR(__xludf.DUMMYFUNCTION("""COMPUTED_VALUE"""),"BlueArt")</f>
        <v>BlueArt</v>
      </c>
    </row>
    <row r="1871">
      <c r="A1871" s="3" t="str">
        <f>IFERROR(__xludf.DUMMYFUNCTION("""COMPUTED_VALUE"""),"blue-baikal")</f>
        <v>blue-baikal</v>
      </c>
      <c r="B1871" s="3" t="str">
        <f>IFERROR(__xludf.DUMMYFUNCTION("""COMPUTED_VALUE"""),"bbc")</f>
        <v>bbc</v>
      </c>
      <c r="C1871" s="3" t="str">
        <f>IFERROR(__xludf.DUMMYFUNCTION("""COMPUTED_VALUE"""),"Blue Baikal")</f>
        <v>Blue Baikal</v>
      </c>
    </row>
    <row r="1872">
      <c r="A1872" s="3" t="str">
        <f>IFERROR(__xludf.DUMMYFUNCTION("""COMPUTED_VALUE"""),"bluebenx")</f>
        <v>bluebenx</v>
      </c>
      <c r="B1872" s="3" t="str">
        <f>IFERROR(__xludf.DUMMYFUNCTION("""COMPUTED_VALUE"""),"benx")</f>
        <v>benx</v>
      </c>
      <c r="C1872" s="3" t="str">
        <f>IFERROR(__xludf.DUMMYFUNCTION("""COMPUTED_VALUE"""),"BlueBenx [OLD]")</f>
        <v>BlueBenx [OLD]</v>
      </c>
    </row>
    <row r="1873">
      <c r="A1873" s="3" t="str">
        <f>IFERROR(__xludf.DUMMYFUNCTION("""COMPUTED_VALUE"""),"bluebenx-2")</f>
        <v>bluebenx-2</v>
      </c>
      <c r="B1873" s="3" t="str">
        <f>IFERROR(__xludf.DUMMYFUNCTION("""COMPUTED_VALUE"""),"benx")</f>
        <v>benx</v>
      </c>
      <c r="C1873" s="3" t="str">
        <f>IFERROR(__xludf.DUMMYFUNCTION("""COMPUTED_VALUE"""),"BlueBenx")</f>
        <v>BlueBenx</v>
      </c>
    </row>
    <row r="1874">
      <c r="A1874" s="3" t="str">
        <f>IFERROR(__xludf.DUMMYFUNCTION("""COMPUTED_VALUE"""),"bluebit")</f>
        <v>bluebit</v>
      </c>
      <c r="B1874" s="3" t="str">
        <f>IFERROR(__xludf.DUMMYFUNCTION("""COMPUTED_VALUE"""),"bbt")</f>
        <v>bbt</v>
      </c>
      <c r="C1874" s="3" t="str">
        <f>IFERROR(__xludf.DUMMYFUNCTION("""COMPUTED_VALUE"""),"BlueBit")</f>
        <v>BlueBit</v>
      </c>
    </row>
    <row r="1875">
      <c r="A1875" s="3" t="str">
        <f>IFERROR(__xludf.DUMMYFUNCTION("""COMPUTED_VALUE"""),"bluechips-token")</f>
        <v>bluechips-token</v>
      </c>
      <c r="B1875" s="3" t="str">
        <f>IFERROR(__xludf.DUMMYFUNCTION("""COMPUTED_VALUE"""),"bchip")</f>
        <v>bchip</v>
      </c>
      <c r="C1875" s="3" t="str">
        <f>IFERROR(__xludf.DUMMYFUNCTION("""COMPUTED_VALUE"""),"BLUECHIPS")</f>
        <v>BLUECHIPS</v>
      </c>
    </row>
    <row r="1876">
      <c r="A1876" s="3" t="str">
        <f>IFERROR(__xludf.DUMMYFUNCTION("""COMPUTED_VALUE"""),"bluecoin")</f>
        <v>bluecoin</v>
      </c>
      <c r="B1876" s="3" t="str">
        <f>IFERROR(__xludf.DUMMYFUNCTION("""COMPUTED_VALUE"""),"blu")</f>
        <v>blu</v>
      </c>
      <c r="C1876" s="3" t="str">
        <f>IFERROR(__xludf.DUMMYFUNCTION("""COMPUTED_VALUE"""),"Bluecoin")</f>
        <v>Bluecoin</v>
      </c>
    </row>
    <row r="1877">
      <c r="A1877" s="3" t="str">
        <f>IFERROR(__xludf.DUMMYFUNCTION("""COMPUTED_VALUE"""),"blue-earth-protocol")</f>
        <v>blue-earth-protocol</v>
      </c>
      <c r="B1877" s="3" t="str">
        <f>IFERROR(__xludf.DUMMYFUNCTION("""COMPUTED_VALUE"""),"bep")</f>
        <v>bep</v>
      </c>
      <c r="C1877" s="3" t="str">
        <f>IFERROR(__xludf.DUMMYFUNCTION("""COMPUTED_VALUE"""),"Blue Earth Protocol")</f>
        <v>Blue Earth Protocol</v>
      </c>
    </row>
    <row r="1878">
      <c r="A1878" s="3" t="str">
        <f>IFERROR(__xludf.DUMMYFUNCTION("""COMPUTED_VALUE"""),"blue-gold")</f>
        <v>blue-gold</v>
      </c>
      <c r="B1878" s="3" t="str">
        <f>IFERROR(__xludf.DUMMYFUNCTION("""COMPUTED_VALUE"""),"blg")</f>
        <v>blg</v>
      </c>
      <c r="C1878" s="3" t="str">
        <f>IFERROR(__xludf.DUMMYFUNCTION("""COMPUTED_VALUE"""),"Blue Gold")</f>
        <v>Blue Gold</v>
      </c>
    </row>
    <row r="1879">
      <c r="A1879" s="3" t="str">
        <f>IFERROR(__xludf.DUMMYFUNCTION("""COMPUTED_VALUE"""),"blue-horizon")</f>
        <v>blue-horizon</v>
      </c>
      <c r="B1879" s="3" t="str">
        <f>IFERROR(__xludf.DUMMYFUNCTION("""COMPUTED_VALUE"""),"blh")</f>
        <v>blh</v>
      </c>
      <c r="C1879" s="3" t="str">
        <f>IFERROR(__xludf.DUMMYFUNCTION("""COMPUTED_VALUE"""),"Blue Horizon")</f>
        <v>Blue Horizon</v>
      </c>
    </row>
    <row r="1880">
      <c r="A1880" s="3" t="str">
        <f>IFERROR(__xludf.DUMMYFUNCTION("""COMPUTED_VALUE"""),"bluejay")</f>
        <v>bluejay</v>
      </c>
      <c r="B1880" s="3" t="str">
        <f>IFERROR(__xludf.DUMMYFUNCTION("""COMPUTED_VALUE"""),"blu")</f>
        <v>blu</v>
      </c>
      <c r="C1880" s="3" t="str">
        <f>IFERROR(__xludf.DUMMYFUNCTION("""COMPUTED_VALUE"""),"Bluejay")</f>
        <v>Bluejay</v>
      </c>
    </row>
    <row r="1881">
      <c r="A1881" s="3" t="str">
        <f>IFERROR(__xludf.DUMMYFUNCTION("""COMPUTED_VALUE"""),"bluelight")</f>
        <v>bluelight</v>
      </c>
      <c r="B1881" s="3" t="str">
        <f>IFERROR(__xludf.DUMMYFUNCTION("""COMPUTED_VALUE"""),"kale")</f>
        <v>kale</v>
      </c>
      <c r="C1881" s="3" t="str">
        <f>IFERROR(__xludf.DUMMYFUNCTION("""COMPUTED_VALUE"""),"Bluelight")</f>
        <v>Bluelight</v>
      </c>
    </row>
    <row r="1882">
      <c r="A1882" s="3" t="str">
        <f>IFERROR(__xludf.DUMMYFUNCTION("""COMPUTED_VALUE"""),"blueshift")</f>
        <v>blueshift</v>
      </c>
      <c r="B1882" s="3" t="str">
        <f>IFERROR(__xludf.DUMMYFUNCTION("""COMPUTED_VALUE"""),"blues")</f>
        <v>blues</v>
      </c>
      <c r="C1882" s="3" t="str">
        <f>IFERROR(__xludf.DUMMYFUNCTION("""COMPUTED_VALUE"""),"Blueshift")</f>
        <v>Blueshift</v>
      </c>
    </row>
    <row r="1883">
      <c r="A1883" s="3" t="str">
        <f>IFERROR(__xludf.DUMMYFUNCTION("""COMPUTED_VALUE"""),"bluesparrow")</f>
        <v>bluesparrow</v>
      </c>
      <c r="B1883" s="3" t="str">
        <f>IFERROR(__xludf.DUMMYFUNCTION("""COMPUTED_VALUE"""),"bluesparrow")</f>
        <v>bluesparrow</v>
      </c>
      <c r="C1883" s="3" t="str">
        <f>IFERROR(__xludf.DUMMYFUNCTION("""COMPUTED_VALUE"""),"BlueSparrow")</f>
        <v>BlueSparrow</v>
      </c>
    </row>
    <row r="1884">
      <c r="A1884" s="3" t="str">
        <f>IFERROR(__xludf.DUMMYFUNCTION("""COMPUTED_VALUE"""),"bluesparrow-token")</f>
        <v>bluesparrow-token</v>
      </c>
      <c r="B1884" s="3" t="str">
        <f>IFERROR(__xludf.DUMMYFUNCTION("""COMPUTED_VALUE"""),"bluesparrow")</f>
        <v>bluesparrow</v>
      </c>
      <c r="C1884" s="3" t="str">
        <f>IFERROR(__xludf.DUMMYFUNCTION("""COMPUTED_VALUE"""),"BlueSparrow [OLD]")</f>
        <v>BlueSparrow [OLD]</v>
      </c>
    </row>
    <row r="1885">
      <c r="A1885" s="3" t="str">
        <f>IFERROR(__xludf.DUMMYFUNCTION("""COMPUTED_VALUE"""),"bluewizard")</f>
        <v>bluewizard</v>
      </c>
      <c r="B1885" s="3" t="str">
        <f>IFERROR(__xludf.DUMMYFUNCTION("""COMPUTED_VALUE"""),"wiz")</f>
        <v>wiz</v>
      </c>
      <c r="C1885" s="3" t="str">
        <f>IFERROR(__xludf.DUMMYFUNCTION("""COMPUTED_VALUE"""),"BlueWizard")</f>
        <v>BlueWizard</v>
      </c>
    </row>
    <row r="1886">
      <c r="A1886" s="3" t="str">
        <f>IFERROR(__xludf.DUMMYFUNCTION("""COMPUTED_VALUE"""),"blur-finance")</f>
        <v>blur-finance</v>
      </c>
      <c r="B1886" s="3" t="str">
        <f>IFERROR(__xludf.DUMMYFUNCTION("""COMPUTED_VALUE"""),"blr")</f>
        <v>blr</v>
      </c>
      <c r="C1886" s="3" t="str">
        <f>IFERROR(__xludf.DUMMYFUNCTION("""COMPUTED_VALUE"""),"Blur Finance")</f>
        <v>Blur Finance</v>
      </c>
    </row>
    <row r="1887">
      <c r="A1887" s="3" t="str">
        <f>IFERROR(__xludf.DUMMYFUNCTION("""COMPUTED_VALUE"""),"blurt")</f>
        <v>blurt</v>
      </c>
      <c r="B1887" s="3" t="str">
        <f>IFERROR(__xludf.DUMMYFUNCTION("""COMPUTED_VALUE"""),"blurt")</f>
        <v>blurt</v>
      </c>
      <c r="C1887" s="3" t="str">
        <f>IFERROR(__xludf.DUMMYFUNCTION("""COMPUTED_VALUE"""),"Blurt")</f>
        <v>Blurt</v>
      </c>
    </row>
    <row r="1888">
      <c r="A1888" s="3" t="str">
        <f>IFERROR(__xludf.DUMMYFUNCTION("""COMPUTED_VALUE"""),"bluzelle")</f>
        <v>bluzelle</v>
      </c>
      <c r="B1888" s="3" t="str">
        <f>IFERROR(__xludf.DUMMYFUNCTION("""COMPUTED_VALUE"""),"blz")</f>
        <v>blz</v>
      </c>
      <c r="C1888" s="3" t="str">
        <f>IFERROR(__xludf.DUMMYFUNCTION("""COMPUTED_VALUE"""),"Bluzelle")</f>
        <v>Bluzelle</v>
      </c>
    </row>
    <row r="1889">
      <c r="A1889" s="3" t="str">
        <f>IFERROR(__xludf.DUMMYFUNCTION("""COMPUTED_VALUE"""),"bmax")</f>
        <v>bmax</v>
      </c>
      <c r="B1889" s="3" t="str">
        <f>IFERROR(__xludf.DUMMYFUNCTION("""COMPUTED_VALUE"""),"bmax")</f>
        <v>bmax</v>
      </c>
      <c r="C1889" s="3" t="str">
        <f>IFERROR(__xludf.DUMMYFUNCTION("""COMPUTED_VALUE"""),"BMAX")</f>
        <v>BMAX</v>
      </c>
    </row>
    <row r="1890">
      <c r="A1890" s="3" t="str">
        <f>IFERROR(__xludf.DUMMYFUNCTION("""COMPUTED_VALUE"""),"bmchain-token")</f>
        <v>bmchain-token</v>
      </c>
      <c r="B1890" s="3" t="str">
        <f>IFERROR(__xludf.DUMMYFUNCTION("""COMPUTED_VALUE"""),"bmt")</f>
        <v>bmt</v>
      </c>
      <c r="C1890" s="3" t="str">
        <f>IFERROR(__xludf.DUMMYFUNCTION("""COMPUTED_VALUE"""),"BMCHAIN")</f>
        <v>BMCHAIN</v>
      </c>
    </row>
    <row r="1891">
      <c r="A1891" s="3" t="str">
        <f>IFERROR(__xludf.DUMMYFUNCTION("""COMPUTED_VALUE"""),"bnb48-club-token")</f>
        <v>bnb48-club-token</v>
      </c>
      <c r="B1891" s="3" t="str">
        <f>IFERROR(__xludf.DUMMYFUNCTION("""COMPUTED_VALUE"""),"koge")</f>
        <v>koge</v>
      </c>
      <c r="C1891" s="3" t="str">
        <f>IFERROR(__xludf.DUMMYFUNCTION("""COMPUTED_VALUE"""),"BNB48 Club")</f>
        <v>BNB48 Club</v>
      </c>
    </row>
    <row r="1892">
      <c r="A1892" s="3" t="str">
        <f>IFERROR(__xludf.DUMMYFUNCTION("""COMPUTED_VALUE"""),"bnb-axis")</f>
        <v>bnb-axis</v>
      </c>
      <c r="B1892" s="3" t="str">
        <f>IFERROR(__xludf.DUMMYFUNCTION("""COMPUTED_VALUE"""),"baxis")</f>
        <v>baxis</v>
      </c>
      <c r="C1892" s="3" t="str">
        <f>IFERROR(__xludf.DUMMYFUNCTION("""COMPUTED_VALUE"""),"BNB Axis")</f>
        <v>BNB Axis</v>
      </c>
    </row>
    <row r="1893">
      <c r="A1893" s="3" t="str">
        <f>IFERROR(__xludf.DUMMYFUNCTION("""COMPUTED_VALUE"""),"bnbback")</f>
        <v>bnbback</v>
      </c>
      <c r="B1893" s="3" t="str">
        <f>IFERROR(__xludf.DUMMYFUNCTION("""COMPUTED_VALUE"""),"bnbback")</f>
        <v>bnbback</v>
      </c>
      <c r="C1893" s="3" t="str">
        <f>IFERROR(__xludf.DUMMYFUNCTION("""COMPUTED_VALUE"""),"BNBBack")</f>
        <v>BNBBack</v>
      </c>
    </row>
    <row r="1894">
      <c r="A1894" s="3" t="str">
        <f>IFERROR(__xludf.DUMMYFUNCTION("""COMPUTED_VALUE"""),"bnb-bank")</f>
        <v>bnb-bank</v>
      </c>
      <c r="B1894" s="3" t="str">
        <f>IFERROR(__xludf.DUMMYFUNCTION("""COMPUTED_VALUE"""),"bbk")</f>
        <v>bbk</v>
      </c>
      <c r="C1894" s="3" t="str">
        <f>IFERROR(__xludf.DUMMYFUNCTION("""COMPUTED_VALUE"""),"BNB Bank")</f>
        <v>BNB Bank</v>
      </c>
    </row>
    <row r="1895">
      <c r="A1895" s="3" t="str">
        <f>IFERROR(__xludf.DUMMYFUNCTION("""COMPUTED_VALUE"""),"bnbdefi")</f>
        <v>bnbdefi</v>
      </c>
      <c r="B1895" s="3" t="str">
        <f>IFERROR(__xludf.DUMMYFUNCTION("""COMPUTED_VALUE"""),"$defi")</f>
        <v>$defi</v>
      </c>
      <c r="C1895" s="3" t="str">
        <f>IFERROR(__xludf.DUMMYFUNCTION("""COMPUTED_VALUE"""),"BNBDeFi")</f>
        <v>BNBDeFi</v>
      </c>
    </row>
    <row r="1896">
      <c r="A1896" s="3" t="str">
        <f>IFERROR(__xludf.DUMMYFUNCTION("""COMPUTED_VALUE"""),"bnb-diamond")</f>
        <v>bnb-diamond</v>
      </c>
      <c r="B1896" s="3" t="str">
        <f>IFERROR(__xludf.DUMMYFUNCTION("""COMPUTED_VALUE"""),"bnbd")</f>
        <v>bnbd</v>
      </c>
      <c r="C1896" s="3" t="str">
        <f>IFERROR(__xludf.DUMMYFUNCTION("""COMPUTED_VALUE"""),"BNB Diamond")</f>
        <v>BNB Diamond</v>
      </c>
    </row>
    <row r="1897">
      <c r="A1897" s="3" t="str">
        <f>IFERROR(__xludf.DUMMYFUNCTION("""COMPUTED_VALUE"""),"bnb-dragon")</f>
        <v>bnb-dragon</v>
      </c>
      <c r="B1897" s="3" t="str">
        <f>IFERROR(__xludf.DUMMYFUNCTION("""COMPUTED_VALUE"""),"bnbdragon")</f>
        <v>bnbdragon</v>
      </c>
      <c r="C1897" s="3" t="str">
        <f>IFERROR(__xludf.DUMMYFUNCTION("""COMPUTED_VALUE"""),"BnB Dragon")</f>
        <v>BnB Dragon</v>
      </c>
    </row>
    <row r="1898">
      <c r="A1898" s="3" t="str">
        <f>IFERROR(__xludf.DUMMYFUNCTION("""COMPUTED_VALUE"""),"bnbheroes-token")</f>
        <v>bnbheroes-token</v>
      </c>
      <c r="B1898" s="3" t="str">
        <f>IFERROR(__xludf.DUMMYFUNCTION("""COMPUTED_VALUE"""),"bnbh")</f>
        <v>bnbh</v>
      </c>
      <c r="C1898" s="3" t="str">
        <f>IFERROR(__xludf.DUMMYFUNCTION("""COMPUTED_VALUE"""),"BnbHeroes")</f>
        <v>BnbHeroes</v>
      </c>
    </row>
    <row r="1899">
      <c r="A1899" s="3" t="str">
        <f>IFERROR(__xludf.DUMMYFUNCTION("""COMPUTED_VALUE"""),"bnbpot")</f>
        <v>bnbpot</v>
      </c>
      <c r="B1899" s="3" t="str">
        <f>IFERROR(__xludf.DUMMYFUNCTION("""COMPUTED_VALUE"""),"bnbp")</f>
        <v>bnbp</v>
      </c>
      <c r="C1899" s="3" t="str">
        <f>IFERROR(__xludf.DUMMYFUNCTION("""COMPUTED_VALUE"""),"BNBPot")</f>
        <v>BNBPot</v>
      </c>
    </row>
    <row r="1900">
      <c r="A1900" s="3" t="str">
        <f>IFERROR(__xludf.DUMMYFUNCTION("""COMPUTED_VALUE"""),"bnb-superheroes")</f>
        <v>bnb-superheroes</v>
      </c>
      <c r="B1900" s="3" t="str">
        <f>IFERROR(__xludf.DUMMYFUNCTION("""COMPUTED_VALUE"""),"bsh")</f>
        <v>bsh</v>
      </c>
      <c r="C1900" s="3" t="str">
        <f>IFERROR(__xludf.DUMMYFUNCTION("""COMPUTED_VALUE"""),"BNB Superheroes")</f>
        <v>BNB Superheroes</v>
      </c>
    </row>
    <row r="1901">
      <c r="A1901" s="3" t="str">
        <f>IFERROR(__xludf.DUMMYFUNCTION("""COMPUTED_VALUE"""),"bnbtiger")</f>
        <v>bnbtiger</v>
      </c>
      <c r="B1901" s="3" t="str">
        <f>IFERROR(__xludf.DUMMYFUNCTION("""COMPUTED_VALUE"""),"bnbtiger")</f>
        <v>bnbtiger</v>
      </c>
      <c r="C1901" s="3" t="str">
        <f>IFERROR(__xludf.DUMMYFUNCTION("""COMPUTED_VALUE"""),"BNBTiger")</f>
        <v>BNBTiger</v>
      </c>
    </row>
    <row r="1902">
      <c r="A1902" s="3" t="str">
        <f>IFERROR(__xludf.DUMMYFUNCTION("""COMPUTED_VALUE"""),"bnext-b3x")</f>
        <v>bnext-b3x</v>
      </c>
      <c r="B1902" s="3" t="str">
        <f>IFERROR(__xludf.DUMMYFUNCTION("""COMPUTED_VALUE"""),"b3x")</f>
        <v>b3x</v>
      </c>
      <c r="C1902" s="3" t="str">
        <f>IFERROR(__xludf.DUMMYFUNCTION("""COMPUTED_VALUE"""),"Bnext B3X")</f>
        <v>Bnext B3X</v>
      </c>
    </row>
    <row r="1903">
      <c r="A1903" s="3" t="str">
        <f>IFERROR(__xludf.DUMMYFUNCTION("""COMPUTED_VALUE"""),"bnktothefuture")</f>
        <v>bnktothefuture</v>
      </c>
      <c r="B1903" s="3" t="str">
        <f>IFERROR(__xludf.DUMMYFUNCTION("""COMPUTED_VALUE"""),"bft")</f>
        <v>bft</v>
      </c>
      <c r="C1903" s="3" t="str">
        <f>IFERROR(__xludf.DUMMYFUNCTION("""COMPUTED_VALUE"""),"BnkToTheFuture")</f>
        <v>BnkToTheFuture</v>
      </c>
    </row>
    <row r="1904">
      <c r="A1904" s="3" t="str">
        <f>IFERROR(__xludf.DUMMYFUNCTION("""COMPUTED_VALUE"""),"bnpl-pay")</f>
        <v>bnpl-pay</v>
      </c>
      <c r="B1904" s="3" t="str">
        <f>IFERROR(__xludf.DUMMYFUNCTION("""COMPUTED_VALUE"""),"bnpl")</f>
        <v>bnpl</v>
      </c>
      <c r="C1904" s="3" t="str">
        <f>IFERROR(__xludf.DUMMYFUNCTION("""COMPUTED_VALUE"""),"BNPL Pay")</f>
        <v>BNPL Pay</v>
      </c>
    </row>
    <row r="1905">
      <c r="A1905" s="3" t="str">
        <f>IFERROR(__xludf.DUMMYFUNCTION("""COMPUTED_VALUE"""),"bnsd-finance")</f>
        <v>bnsd-finance</v>
      </c>
      <c r="B1905" s="3" t="str">
        <f>IFERROR(__xludf.DUMMYFUNCTION("""COMPUTED_VALUE"""),"bnsd")</f>
        <v>bnsd</v>
      </c>
      <c r="C1905" s="3" t="str">
        <f>IFERROR(__xludf.DUMMYFUNCTION("""COMPUTED_VALUE"""),"BNSD Finance")</f>
        <v>BNSD Finance</v>
      </c>
    </row>
    <row r="1906">
      <c r="A1906" s="3" t="str">
        <f>IFERROR(__xludf.DUMMYFUNCTION("""COMPUTED_VALUE"""),"bns-token")</f>
        <v>bns-token</v>
      </c>
      <c r="B1906" s="3" t="str">
        <f>IFERROR(__xludf.DUMMYFUNCTION("""COMPUTED_VALUE"""),"bns")</f>
        <v>bns</v>
      </c>
      <c r="C1906" s="3" t="str">
        <f>IFERROR(__xludf.DUMMYFUNCTION("""COMPUTED_VALUE"""),"BNS")</f>
        <v>BNS</v>
      </c>
    </row>
    <row r="1907">
      <c r="A1907" s="3" t="str">
        <f>IFERROR(__xludf.DUMMYFUNCTION("""COMPUTED_VALUE"""),"bns-token-old")</f>
        <v>bns-token-old</v>
      </c>
      <c r="B1907" s="3" t="str">
        <f>IFERROR(__xludf.DUMMYFUNCTION("""COMPUTED_VALUE"""),"bns")</f>
        <v>bns</v>
      </c>
      <c r="C1907" s="3" t="str">
        <f>IFERROR(__xludf.DUMMYFUNCTION("""COMPUTED_VALUE"""),"BNS Token [OLD]")</f>
        <v>BNS Token [OLD]</v>
      </c>
    </row>
    <row r="1908">
      <c r="A1908" s="3" t="str">
        <f>IFERROR(__xludf.DUMMYFUNCTION("""COMPUTED_VALUE"""),"bnx-finex")</f>
        <v>bnx-finex</v>
      </c>
      <c r="B1908" s="3" t="str">
        <f>IFERROR(__xludf.DUMMYFUNCTION("""COMPUTED_VALUE"""),"bnx")</f>
        <v>bnx</v>
      </c>
      <c r="C1908" s="3" t="str">
        <f>IFERROR(__xludf.DUMMYFUNCTION("""COMPUTED_VALUE"""),"Bnx Finex")</f>
        <v>Bnx Finex</v>
      </c>
    </row>
    <row r="1909">
      <c r="A1909" s="3" t="str">
        <f>IFERROR(__xludf.DUMMYFUNCTION("""COMPUTED_VALUE"""),"board")</f>
        <v>board</v>
      </c>
      <c r="B1909" s="3" t="str">
        <f>IFERROR(__xludf.DUMMYFUNCTION("""COMPUTED_VALUE"""),"board")</f>
        <v>board</v>
      </c>
      <c r="C1909" s="3" t="str">
        <f>IFERROR(__xludf.DUMMYFUNCTION("""COMPUTED_VALUE"""),"Board")</f>
        <v>Board</v>
      </c>
    </row>
    <row r="1910">
      <c r="A1910" s="3" t="str">
        <f>IFERROR(__xludf.DUMMYFUNCTION("""COMPUTED_VALUE"""),"bob")</f>
        <v>bob</v>
      </c>
      <c r="B1910" s="3" t="str">
        <f>IFERROR(__xludf.DUMMYFUNCTION("""COMPUTED_VALUE"""),"bob")</f>
        <v>bob</v>
      </c>
      <c r="C1910" s="3" t="str">
        <f>IFERROR(__xludf.DUMMYFUNCTION("""COMPUTED_VALUE"""),"BOB")</f>
        <v>BOB</v>
      </c>
    </row>
    <row r="1911">
      <c r="A1911" s="3" t="str">
        <f>IFERROR(__xludf.DUMMYFUNCTION("""COMPUTED_VALUE"""),"boba-brewery")</f>
        <v>boba-brewery</v>
      </c>
      <c r="B1911" s="3" t="str">
        <f>IFERROR(__xludf.DUMMYFUNCTION("""COMPUTED_VALUE"""),"bre")</f>
        <v>bre</v>
      </c>
      <c r="C1911" s="3" t="str">
        <f>IFERROR(__xludf.DUMMYFUNCTION("""COMPUTED_VALUE"""),"Boba Brewery")</f>
        <v>Boba Brewery</v>
      </c>
    </row>
    <row r="1912">
      <c r="A1912" s="3" t="str">
        <f>IFERROR(__xludf.DUMMYFUNCTION("""COMPUTED_VALUE"""),"bobadoge")</f>
        <v>bobadoge</v>
      </c>
      <c r="B1912" s="3" t="str">
        <f>IFERROR(__xludf.DUMMYFUNCTION("""COMPUTED_VALUE"""),"bdoge")</f>
        <v>bdoge</v>
      </c>
      <c r="C1912" s="3" t="str">
        <f>IFERROR(__xludf.DUMMYFUNCTION("""COMPUTED_VALUE"""),"BobaDoge")</f>
        <v>BobaDoge</v>
      </c>
    </row>
    <row r="1913">
      <c r="A1913" s="3" t="str">
        <f>IFERROR(__xludf.DUMMYFUNCTION("""COMPUTED_VALUE"""),"boba-network")</f>
        <v>boba-network</v>
      </c>
      <c r="B1913" s="3" t="str">
        <f>IFERROR(__xludf.DUMMYFUNCTION("""COMPUTED_VALUE"""),"boba")</f>
        <v>boba</v>
      </c>
      <c r="C1913" s="3" t="str">
        <f>IFERROR(__xludf.DUMMYFUNCTION("""COMPUTED_VALUE"""),"Boba Network")</f>
        <v>Boba Network</v>
      </c>
    </row>
    <row r="1914">
      <c r="A1914" s="3" t="str">
        <f>IFERROR(__xludf.DUMMYFUNCTION("""COMPUTED_VALUE"""),"bobatama")</f>
        <v>bobatama</v>
      </c>
      <c r="B1914" s="3" t="str">
        <f>IFERROR(__xludf.DUMMYFUNCTION("""COMPUTED_VALUE"""),"boba")</f>
        <v>boba</v>
      </c>
      <c r="C1914" s="3" t="str">
        <f>IFERROR(__xludf.DUMMYFUNCTION("""COMPUTED_VALUE"""),"Bobamask")</f>
        <v>Bobamask</v>
      </c>
    </row>
    <row r="1915">
      <c r="A1915" s="3" t="str">
        <f>IFERROR(__xludf.DUMMYFUNCTION("""COMPUTED_VALUE"""),"bobcoin")</f>
        <v>bobcoin</v>
      </c>
      <c r="B1915" s="3" t="str">
        <f>IFERROR(__xludf.DUMMYFUNCTION("""COMPUTED_VALUE"""),"bobc")</f>
        <v>bobc</v>
      </c>
      <c r="C1915" s="3" t="str">
        <f>IFERROR(__xludf.DUMMYFUNCTION("""COMPUTED_VALUE"""),"Bobcoin")</f>
        <v>Bobcoin</v>
      </c>
    </row>
    <row r="1916">
      <c r="A1916" s="3" t="str">
        <f>IFERROR(__xludf.DUMMYFUNCTION("""COMPUTED_VALUE"""),"bobo-cash")</f>
        <v>bobo-cash</v>
      </c>
      <c r="B1916" s="3" t="str">
        <f>IFERROR(__xludf.DUMMYFUNCTION("""COMPUTED_VALUE"""),"bobo")</f>
        <v>bobo</v>
      </c>
      <c r="C1916" s="3" t="str">
        <f>IFERROR(__xludf.DUMMYFUNCTION("""COMPUTED_VALUE"""),"Bobo Cash")</f>
        <v>Bobo Cash</v>
      </c>
    </row>
    <row r="1917">
      <c r="A1917" s="3" t="str">
        <f>IFERROR(__xludf.DUMMYFUNCTION("""COMPUTED_VALUE"""),"bobs_repair")</f>
        <v>bobs_repair</v>
      </c>
      <c r="B1917" s="3" t="str">
        <f>IFERROR(__xludf.DUMMYFUNCTION("""COMPUTED_VALUE"""),"bob")</f>
        <v>bob</v>
      </c>
      <c r="C1917" s="3" t="str">
        <f>IFERROR(__xludf.DUMMYFUNCTION("""COMPUTED_VALUE"""),"Bob's Repair")</f>
        <v>Bob's Repair</v>
      </c>
    </row>
    <row r="1918">
      <c r="A1918" s="3" t="str">
        <f>IFERROR(__xludf.DUMMYFUNCTION("""COMPUTED_VALUE"""),"bocoin")</f>
        <v>bocoin</v>
      </c>
      <c r="B1918" s="3" t="str">
        <f>IFERROR(__xludf.DUMMYFUNCTION("""COMPUTED_VALUE"""),"boc")</f>
        <v>boc</v>
      </c>
      <c r="C1918" s="3" t="str">
        <f>IFERROR(__xludf.DUMMYFUNCTION("""COMPUTED_VALUE"""),"BOCOIN")</f>
        <v>BOCOIN</v>
      </c>
    </row>
    <row r="1919">
      <c r="A1919" s="3" t="str">
        <f>IFERROR(__xludf.DUMMYFUNCTION("""COMPUTED_VALUE"""),"boda-token")</f>
        <v>boda-token</v>
      </c>
      <c r="B1919" s="3" t="str">
        <f>IFERROR(__xludf.DUMMYFUNCTION("""COMPUTED_VALUE"""),"bodav2")</f>
        <v>bodav2</v>
      </c>
      <c r="C1919" s="3" t="str">
        <f>IFERROR(__xludf.DUMMYFUNCTION("""COMPUTED_VALUE"""),"BODA")</f>
        <v>BODA</v>
      </c>
    </row>
    <row r="1920">
      <c r="A1920" s="3" t="str">
        <f>IFERROR(__xludf.DUMMYFUNCTION("""COMPUTED_VALUE"""),"bodhi-network")</f>
        <v>bodhi-network</v>
      </c>
      <c r="B1920" s="3" t="str">
        <f>IFERROR(__xludf.DUMMYFUNCTION("""COMPUTED_VALUE"""),"nbot")</f>
        <v>nbot</v>
      </c>
      <c r="C1920" s="3" t="str">
        <f>IFERROR(__xludf.DUMMYFUNCTION("""COMPUTED_VALUE"""),"Bodhi Network")</f>
        <v>Bodhi Network</v>
      </c>
    </row>
    <row r="1921">
      <c r="A1921" s="3" t="str">
        <f>IFERROR(__xludf.DUMMYFUNCTION("""COMPUTED_VALUE"""),"bodrumspor-fan-token")</f>
        <v>bodrumspor-fan-token</v>
      </c>
      <c r="B1921" s="3" t="str">
        <f>IFERROR(__xludf.DUMMYFUNCTION("""COMPUTED_VALUE"""),"bdrm")</f>
        <v>bdrm</v>
      </c>
      <c r="C1921" s="3" t="str">
        <f>IFERROR(__xludf.DUMMYFUNCTION("""COMPUTED_VALUE"""),"Bodrumspor Fan Token")</f>
        <v>Bodrumspor Fan Token</v>
      </c>
    </row>
    <row r="1922">
      <c r="A1922" s="3" t="str">
        <f>IFERROR(__xludf.DUMMYFUNCTION("""COMPUTED_VALUE"""),"bofb")</f>
        <v>bofb</v>
      </c>
      <c r="B1922" s="3" t="str">
        <f>IFERROR(__xludf.DUMMYFUNCTION("""COMPUTED_VALUE"""),"bofb")</f>
        <v>bofb</v>
      </c>
      <c r="C1922" s="3" t="str">
        <f>IFERROR(__xludf.DUMMYFUNCTION("""COMPUTED_VALUE"""),"bofb")</f>
        <v>bofb</v>
      </c>
    </row>
    <row r="1923">
      <c r="A1923" s="3" t="str">
        <f>IFERROR(__xludf.DUMMYFUNCTION("""COMPUTED_VALUE"""),"bogged-finance")</f>
        <v>bogged-finance</v>
      </c>
      <c r="B1923" s="3" t="str">
        <f>IFERROR(__xludf.DUMMYFUNCTION("""COMPUTED_VALUE"""),"bog")</f>
        <v>bog</v>
      </c>
      <c r="C1923" s="3" t="str">
        <f>IFERROR(__xludf.DUMMYFUNCTION("""COMPUTED_VALUE"""),"Bogged Finance")</f>
        <v>Bogged Finance</v>
      </c>
    </row>
    <row r="1924">
      <c r="A1924" s="3" t="str">
        <f>IFERROR(__xludf.DUMMYFUNCTION("""COMPUTED_VALUE"""),"bohr-2")</f>
        <v>bohr-2</v>
      </c>
      <c r="B1924" s="3" t="str">
        <f>IFERROR(__xludf.DUMMYFUNCTION("""COMPUTED_VALUE"""),"br")</f>
        <v>br</v>
      </c>
      <c r="C1924" s="3" t="str">
        <f>IFERROR(__xludf.DUMMYFUNCTION("""COMPUTED_VALUE"""),"BoHr")</f>
        <v>BoHr</v>
      </c>
    </row>
    <row r="1925">
      <c r="A1925" s="3" t="str">
        <f>IFERROR(__xludf.DUMMYFUNCTION("""COMPUTED_VALUE"""),"boid")</f>
        <v>boid</v>
      </c>
      <c r="B1925" s="3" t="str">
        <f>IFERROR(__xludf.DUMMYFUNCTION("""COMPUTED_VALUE"""),"boid")</f>
        <v>boid</v>
      </c>
      <c r="C1925" s="3" t="str">
        <f>IFERROR(__xludf.DUMMYFUNCTION("""COMPUTED_VALUE"""),"Boid")</f>
        <v>Boid</v>
      </c>
    </row>
    <row r="1926">
      <c r="A1926" s="3" t="str">
        <f>IFERROR(__xludf.DUMMYFUNCTION("""COMPUTED_VALUE"""),"boji")</f>
        <v>boji</v>
      </c>
      <c r="B1926" s="3" t="str">
        <f>IFERROR(__xludf.DUMMYFUNCTION("""COMPUTED_VALUE"""),"boji")</f>
        <v>boji</v>
      </c>
      <c r="C1926" s="3" t="str">
        <f>IFERROR(__xludf.DUMMYFUNCTION("""COMPUTED_VALUE"""),"Boji")</f>
        <v>Boji</v>
      </c>
    </row>
    <row r="1927">
      <c r="A1927" s="3" t="str">
        <f>IFERROR(__xludf.DUMMYFUNCTION("""COMPUTED_VALUE"""),"boku")</f>
        <v>boku</v>
      </c>
      <c r="B1927" s="3" t="str">
        <f>IFERROR(__xludf.DUMMYFUNCTION("""COMPUTED_VALUE"""),"boku")</f>
        <v>boku</v>
      </c>
      <c r="C1927" s="3" t="str">
        <f>IFERROR(__xludf.DUMMYFUNCTION("""COMPUTED_VALUE"""),"Boryoku Dragonz")</f>
        <v>Boryoku Dragonz</v>
      </c>
    </row>
    <row r="1928">
      <c r="A1928" s="3" t="str">
        <f>IFERROR(__xludf.DUMMYFUNCTION("""COMPUTED_VALUE"""),"bold-point")</f>
        <v>bold-point</v>
      </c>
      <c r="B1928" s="3" t="str">
        <f>IFERROR(__xludf.DUMMYFUNCTION("""COMPUTED_VALUE"""),"bpt")</f>
        <v>bpt</v>
      </c>
      <c r="C1928" s="3" t="str">
        <f>IFERROR(__xludf.DUMMYFUNCTION("""COMPUTED_VALUE"""),"Bold Point")</f>
        <v>Bold Point</v>
      </c>
    </row>
    <row r="1929">
      <c r="A1929" s="3" t="str">
        <f>IFERROR(__xludf.DUMMYFUNCTION("""COMPUTED_VALUE"""),"bole-token")</f>
        <v>bole-token</v>
      </c>
      <c r="B1929" s="3" t="str">
        <f>IFERROR(__xludf.DUMMYFUNCTION("""COMPUTED_VALUE"""),"bole")</f>
        <v>bole</v>
      </c>
      <c r="C1929" s="3" t="str">
        <f>IFERROR(__xludf.DUMMYFUNCTION("""COMPUTED_VALUE"""),"Boleld")</f>
        <v>Boleld</v>
      </c>
    </row>
    <row r="1930">
      <c r="A1930" s="3" t="str">
        <f>IFERROR(__xludf.DUMMYFUNCTION("""COMPUTED_VALUE"""),"bolide")</f>
        <v>bolide</v>
      </c>
      <c r="B1930" s="3" t="str">
        <f>IFERROR(__xludf.DUMMYFUNCTION("""COMPUTED_VALUE"""),"blid")</f>
        <v>blid</v>
      </c>
      <c r="C1930" s="3" t="str">
        <f>IFERROR(__xludf.DUMMYFUNCTION("""COMPUTED_VALUE"""),"Bolide")</f>
        <v>Bolide</v>
      </c>
    </row>
    <row r="1931">
      <c r="A1931" s="3" t="str">
        <f>IFERROR(__xludf.DUMMYFUNCTION("""COMPUTED_VALUE"""),"bolivarcoin")</f>
        <v>bolivarcoin</v>
      </c>
      <c r="B1931" s="3" t="str">
        <f>IFERROR(__xludf.DUMMYFUNCTION("""COMPUTED_VALUE"""),"boli")</f>
        <v>boli</v>
      </c>
      <c r="C1931" s="3" t="str">
        <f>IFERROR(__xludf.DUMMYFUNCTION("""COMPUTED_VALUE"""),"Bolivarcoin")</f>
        <v>Bolivarcoin</v>
      </c>
    </row>
    <row r="1932">
      <c r="A1932" s="3" t="str">
        <f>IFERROR(__xludf.DUMMYFUNCTION("""COMPUTED_VALUE"""),"bollycoin")</f>
        <v>bollycoin</v>
      </c>
      <c r="B1932" s="3" t="str">
        <f>IFERROR(__xludf.DUMMYFUNCTION("""COMPUTED_VALUE"""),"bolly")</f>
        <v>bolly</v>
      </c>
      <c r="C1932" s="3" t="str">
        <f>IFERROR(__xludf.DUMMYFUNCTION("""COMPUTED_VALUE"""),"BollyCoin")</f>
        <v>BollyCoin</v>
      </c>
    </row>
    <row r="1933">
      <c r="A1933" s="3" t="str">
        <f>IFERROR(__xludf.DUMMYFUNCTION("""COMPUTED_VALUE"""),"bologna-fc-fan-token")</f>
        <v>bologna-fc-fan-token</v>
      </c>
      <c r="B1933" s="3" t="str">
        <f>IFERROR(__xludf.DUMMYFUNCTION("""COMPUTED_VALUE"""),"bfc")</f>
        <v>bfc</v>
      </c>
      <c r="C1933" s="3" t="str">
        <f>IFERROR(__xludf.DUMMYFUNCTION("""COMPUTED_VALUE"""),"Bologna FC Fan Token")</f>
        <v>Bologna FC Fan Token</v>
      </c>
    </row>
    <row r="1934">
      <c r="A1934" s="3" t="str">
        <f>IFERROR(__xludf.DUMMYFUNCTION("""COMPUTED_VALUE"""),"bolt")</f>
        <v>bolt</v>
      </c>
      <c r="B1934" s="3" t="str">
        <f>IFERROR(__xludf.DUMMYFUNCTION("""COMPUTED_VALUE"""),"bolt")</f>
        <v>bolt</v>
      </c>
      <c r="C1934" s="3" t="str">
        <f>IFERROR(__xludf.DUMMYFUNCTION("""COMPUTED_VALUE"""),"Bolt")</f>
        <v>Bolt</v>
      </c>
    </row>
    <row r="1935">
      <c r="A1935" s="3" t="str">
        <f>IFERROR(__xludf.DUMMYFUNCTION("""COMPUTED_VALUE"""),"boltt-coin")</f>
        <v>boltt-coin</v>
      </c>
      <c r="B1935" s="3" t="str">
        <f>IFERROR(__xludf.DUMMYFUNCTION("""COMPUTED_VALUE"""),"boltt")</f>
        <v>boltt</v>
      </c>
      <c r="C1935" s="3" t="str">
        <f>IFERROR(__xludf.DUMMYFUNCTION("""COMPUTED_VALUE"""),"BolttCoin")</f>
        <v>BolttCoin</v>
      </c>
    </row>
    <row r="1936">
      <c r="A1936" s="3" t="str">
        <f>IFERROR(__xludf.DUMMYFUNCTION("""COMPUTED_VALUE"""),"bomb")</f>
        <v>bomb</v>
      </c>
      <c r="B1936" s="3" t="str">
        <f>IFERROR(__xludf.DUMMYFUNCTION("""COMPUTED_VALUE"""),"bomb")</f>
        <v>bomb</v>
      </c>
      <c r="C1936" s="3" t="str">
        <f>IFERROR(__xludf.DUMMYFUNCTION("""COMPUTED_VALUE"""),"BOMB")</f>
        <v>BOMB</v>
      </c>
    </row>
    <row r="1937">
      <c r="A1937" s="3" t="str">
        <f>IFERROR(__xludf.DUMMYFUNCTION("""COMPUTED_VALUE"""),"bombcrypto-coin")</f>
        <v>bombcrypto-coin</v>
      </c>
      <c r="B1937" s="3" t="str">
        <f>IFERROR(__xludf.DUMMYFUNCTION("""COMPUTED_VALUE"""),"bomb")</f>
        <v>bomb</v>
      </c>
      <c r="C1937" s="3" t="str">
        <f>IFERROR(__xludf.DUMMYFUNCTION("""COMPUTED_VALUE"""),"Bombcrypto Coin")</f>
        <v>Bombcrypto Coin</v>
      </c>
    </row>
    <row r="1938">
      <c r="A1938" s="3" t="str">
        <f>IFERROR(__xludf.DUMMYFUNCTION("""COMPUTED_VALUE"""),"bomber-coin")</f>
        <v>bomber-coin</v>
      </c>
      <c r="B1938" s="3" t="str">
        <f>IFERROR(__xludf.DUMMYFUNCTION("""COMPUTED_VALUE"""),"bcoin")</f>
        <v>bcoin</v>
      </c>
      <c r="C1938" s="3" t="str">
        <f>IFERROR(__xludf.DUMMYFUNCTION("""COMPUTED_VALUE"""),"BombCrypto")</f>
        <v>BombCrypto</v>
      </c>
    </row>
    <row r="1939">
      <c r="A1939" s="3" t="str">
        <f>IFERROR(__xludf.DUMMYFUNCTION("""COMPUTED_VALUE"""),"bomb-money")</f>
        <v>bomb-money</v>
      </c>
      <c r="B1939" s="3" t="str">
        <f>IFERROR(__xludf.DUMMYFUNCTION("""COMPUTED_VALUE"""),"bomb")</f>
        <v>bomb</v>
      </c>
      <c r="C1939" s="3" t="str">
        <f>IFERROR(__xludf.DUMMYFUNCTION("""COMPUTED_VALUE"""),"Bomb Money")</f>
        <v>Bomb Money</v>
      </c>
    </row>
    <row r="1940">
      <c r="A1940" s="3" t="str">
        <f>IFERROR(__xludf.DUMMYFUNCTION("""COMPUTED_VALUE"""),"bomb-money-bshare")</f>
        <v>bomb-money-bshare</v>
      </c>
      <c r="B1940" s="3" t="str">
        <f>IFERROR(__xludf.DUMMYFUNCTION("""COMPUTED_VALUE"""),"bshare")</f>
        <v>bshare</v>
      </c>
      <c r="C1940" s="3" t="str">
        <f>IFERROR(__xludf.DUMMYFUNCTION("""COMPUTED_VALUE"""),"Bomb Money BShare")</f>
        <v>Bomb Money BShare</v>
      </c>
    </row>
    <row r="1941">
      <c r="A1941" s="3" t="str">
        <f>IFERROR(__xludf.DUMMYFUNCTION("""COMPUTED_VALUE"""),"bondappetite-usd")</f>
        <v>bondappetite-usd</v>
      </c>
      <c r="B1941" s="3" t="str">
        <f>IFERROR(__xludf.DUMMYFUNCTION("""COMPUTED_VALUE"""),"usdap")</f>
        <v>usdap</v>
      </c>
      <c r="C1941" s="3" t="str">
        <f>IFERROR(__xludf.DUMMYFUNCTION("""COMPUTED_VALUE"""),"BondAppetite USD")</f>
        <v>BondAppetite USD</v>
      </c>
    </row>
    <row r="1942">
      <c r="A1942" s="3" t="str">
        <f>IFERROR(__xludf.DUMMYFUNCTION("""COMPUTED_VALUE"""),"bondappetit-gov-token")</f>
        <v>bondappetit-gov-token</v>
      </c>
      <c r="B1942" s="3" t="str">
        <f>IFERROR(__xludf.DUMMYFUNCTION("""COMPUTED_VALUE"""),"bag")</f>
        <v>bag</v>
      </c>
      <c r="C1942" s="3" t="str">
        <f>IFERROR(__xludf.DUMMYFUNCTION("""COMPUTED_VALUE"""),"BondAppetit Governance")</f>
        <v>BondAppetit Governance</v>
      </c>
    </row>
    <row r="1943">
      <c r="A1943" s="3" t="str">
        <f>IFERROR(__xludf.DUMMYFUNCTION("""COMPUTED_VALUE"""),"bonded-cronos")</f>
        <v>bonded-cronos</v>
      </c>
      <c r="B1943" s="3" t="str">
        <f>IFERROR(__xludf.DUMMYFUNCTION("""COMPUTED_VALUE"""),"bcro")</f>
        <v>bcro</v>
      </c>
      <c r="C1943" s="3" t="str">
        <f>IFERROR(__xludf.DUMMYFUNCTION("""COMPUTED_VALUE"""),"Bonded Cronos")</f>
        <v>Bonded Cronos</v>
      </c>
    </row>
    <row r="1944">
      <c r="A1944" s="3" t="str">
        <f>IFERROR(__xludf.DUMMYFUNCTION("""COMPUTED_VALUE"""),"bonded-damm")</f>
        <v>bonded-damm</v>
      </c>
      <c r="B1944" s="3" t="str">
        <f>IFERROR(__xludf.DUMMYFUNCTION("""COMPUTED_VALUE"""),"bdamm")</f>
        <v>bdamm</v>
      </c>
      <c r="C1944" s="3" t="str">
        <f>IFERROR(__xludf.DUMMYFUNCTION("""COMPUTED_VALUE"""),"Bonded dAMM")</f>
        <v>Bonded dAMM</v>
      </c>
    </row>
    <row r="1945">
      <c r="A1945" s="3" t="str">
        <f>IFERROR(__xludf.DUMMYFUNCTION("""COMPUTED_VALUE"""),"bondly")</f>
        <v>bondly</v>
      </c>
      <c r="B1945" s="3" t="str">
        <f>IFERROR(__xludf.DUMMYFUNCTION("""COMPUTED_VALUE"""),"bondly")</f>
        <v>bondly</v>
      </c>
      <c r="C1945" s="3" t="str">
        <f>IFERROR(__xludf.DUMMYFUNCTION("""COMPUTED_VALUE"""),"Forj")</f>
        <v>Forj</v>
      </c>
    </row>
    <row r="1946">
      <c r="A1946" s="3" t="str">
        <f>IFERROR(__xludf.DUMMYFUNCTION("""COMPUTED_VALUE"""),"bondly-defi")</f>
        <v>bondly-defi</v>
      </c>
      <c r="B1946" s="3" t="str">
        <f>IFERROR(__xludf.DUMMYFUNCTION("""COMPUTED_VALUE"""),"bond")</f>
        <v>bond</v>
      </c>
      <c r="C1946" s="3" t="str">
        <f>IFERROR(__xludf.DUMMYFUNCTION("""COMPUTED_VALUE"""),"Bondly")</f>
        <v>Bondly</v>
      </c>
    </row>
    <row r="1947">
      <c r="A1947" s="3" t="str">
        <f>IFERROR(__xludf.DUMMYFUNCTION("""COMPUTED_VALUE"""),"bone-2")</f>
        <v>bone-2</v>
      </c>
      <c r="B1947" s="3" t="str">
        <f>IFERROR(__xludf.DUMMYFUNCTION("""COMPUTED_VALUE"""),"bone")</f>
        <v>bone</v>
      </c>
      <c r="C1947" s="3" t="str">
        <f>IFERROR(__xludf.DUMMYFUNCTION("""COMPUTED_VALUE"""),"Bone")</f>
        <v>Bone</v>
      </c>
    </row>
    <row r="1948">
      <c r="A1948" s="3" t="str">
        <f>IFERROR(__xludf.DUMMYFUNCTION("""COMPUTED_VALUE"""),"bone-fragment")</f>
        <v>bone-fragment</v>
      </c>
      <c r="B1948" s="3" t="str">
        <f>IFERROR(__xludf.DUMMYFUNCTION("""COMPUTED_VALUE"""),"bft")</f>
        <v>bft</v>
      </c>
      <c r="C1948" s="3" t="str">
        <f>IFERROR(__xludf.DUMMYFUNCTION("""COMPUTED_VALUE"""),"Bone Fragment")</f>
        <v>Bone Fragment</v>
      </c>
    </row>
    <row r="1949">
      <c r="A1949" s="3" t="str">
        <f>IFERROR(__xludf.DUMMYFUNCTION("""COMPUTED_VALUE"""),"bone-shibaswap")</f>
        <v>bone-shibaswap</v>
      </c>
      <c r="B1949" s="3" t="str">
        <f>IFERROR(__xludf.DUMMYFUNCTION("""COMPUTED_VALUE"""),"bone")</f>
        <v>bone</v>
      </c>
      <c r="C1949" s="3" t="str">
        <f>IFERROR(__xludf.DUMMYFUNCTION("""COMPUTED_VALUE"""),"Bone ShibaSwap")</f>
        <v>Bone ShibaSwap</v>
      </c>
    </row>
    <row r="1950">
      <c r="A1950" s="3" t="str">
        <f>IFERROR(__xludf.DUMMYFUNCTION("""COMPUTED_VALUE"""),"boneswap")</f>
        <v>boneswap</v>
      </c>
      <c r="B1950" s="3" t="str">
        <f>IFERROR(__xludf.DUMMYFUNCTION("""COMPUTED_VALUE"""),"bone")</f>
        <v>bone</v>
      </c>
      <c r="C1950" s="3" t="str">
        <f>IFERROR(__xludf.DUMMYFUNCTION("""COMPUTED_VALUE"""),"BoneSwap")</f>
        <v>BoneSwap</v>
      </c>
    </row>
    <row r="1951">
      <c r="A1951" s="3" t="str">
        <f>IFERROR(__xludf.DUMMYFUNCTION("""COMPUTED_VALUE"""),"bone-token")</f>
        <v>bone-token</v>
      </c>
      <c r="B1951" s="3" t="str">
        <f>IFERROR(__xludf.DUMMYFUNCTION("""COMPUTED_VALUE"""),"bone")</f>
        <v>bone</v>
      </c>
      <c r="C1951" s="3" t="str">
        <f>IFERROR(__xludf.DUMMYFUNCTION("""COMPUTED_VALUE"""),"PolyPup Bone")</f>
        <v>PolyPup Bone</v>
      </c>
    </row>
    <row r="1952">
      <c r="A1952" s="3" t="str">
        <f>IFERROR(__xludf.DUMMYFUNCTION("""COMPUTED_VALUE"""),"bonfi")</f>
        <v>bonfi</v>
      </c>
      <c r="B1952" s="3" t="str">
        <f>IFERROR(__xludf.DUMMYFUNCTION("""COMPUTED_VALUE"""),"bnf")</f>
        <v>bnf</v>
      </c>
      <c r="C1952" s="3" t="str">
        <f>IFERROR(__xludf.DUMMYFUNCTION("""COMPUTED_VALUE"""),"BonFi")</f>
        <v>BonFi</v>
      </c>
    </row>
    <row r="1953">
      <c r="A1953" s="3" t="str">
        <f>IFERROR(__xludf.DUMMYFUNCTION("""COMPUTED_VALUE"""),"bonfida")</f>
        <v>bonfida</v>
      </c>
      <c r="B1953" s="3" t="str">
        <f>IFERROR(__xludf.DUMMYFUNCTION("""COMPUTED_VALUE"""),"fida")</f>
        <v>fida</v>
      </c>
      <c r="C1953" s="3" t="str">
        <f>IFERROR(__xludf.DUMMYFUNCTION("""COMPUTED_VALUE"""),"Bonfida")</f>
        <v>Bonfida</v>
      </c>
    </row>
    <row r="1954">
      <c r="A1954" s="3" t="str">
        <f>IFERROR(__xludf.DUMMYFUNCTION("""COMPUTED_VALUE"""),"bonfire")</f>
        <v>bonfire</v>
      </c>
      <c r="B1954" s="3" t="str">
        <f>IFERROR(__xludf.DUMMYFUNCTION("""COMPUTED_VALUE"""),"bonfire")</f>
        <v>bonfire</v>
      </c>
      <c r="C1954" s="3" t="str">
        <f>IFERROR(__xludf.DUMMYFUNCTION("""COMPUTED_VALUE"""),"Bonfire")</f>
        <v>Bonfire</v>
      </c>
    </row>
    <row r="1955">
      <c r="A1955" s="3" t="str">
        <f>IFERROR(__xludf.DUMMYFUNCTION("""COMPUTED_VALUE"""),"bongweedcoin")</f>
        <v>bongweedcoin</v>
      </c>
      <c r="B1955" s="3" t="str">
        <f>IFERROR(__xludf.DUMMYFUNCTION("""COMPUTED_VALUE"""),"bwc")</f>
        <v>bwc</v>
      </c>
      <c r="C1955" s="3" t="str">
        <f>IFERROR(__xludf.DUMMYFUNCTION("""COMPUTED_VALUE"""),"BongWeedCoin")</f>
        <v>BongWeedCoin</v>
      </c>
    </row>
    <row r="1956">
      <c r="A1956" s="3" t="str">
        <f>IFERROR(__xludf.DUMMYFUNCTION("""COMPUTED_VALUE"""),"bonorum-coin")</f>
        <v>bonorum-coin</v>
      </c>
      <c r="B1956" s="3" t="str">
        <f>IFERROR(__xludf.DUMMYFUNCTION("""COMPUTED_VALUE"""),"bono")</f>
        <v>bono</v>
      </c>
      <c r="C1956" s="3" t="str">
        <f>IFERROR(__xludf.DUMMYFUNCTION("""COMPUTED_VALUE"""),"Bonorum")</f>
        <v>Bonorum</v>
      </c>
    </row>
    <row r="1957">
      <c r="A1957" s="3" t="str">
        <f>IFERROR(__xludf.DUMMYFUNCTION("""COMPUTED_VALUE"""),"bontecoin")</f>
        <v>bontecoin</v>
      </c>
      <c r="B1957" s="3" t="str">
        <f>IFERROR(__xludf.DUMMYFUNCTION("""COMPUTED_VALUE"""),"bonte")</f>
        <v>bonte</v>
      </c>
      <c r="C1957" s="3" t="str">
        <f>IFERROR(__xludf.DUMMYFUNCTION("""COMPUTED_VALUE"""),"Bontecoin")</f>
        <v>Bontecoin</v>
      </c>
    </row>
    <row r="1958">
      <c r="A1958" s="3" t="str">
        <f>IFERROR(__xludf.DUMMYFUNCTION("""COMPUTED_VALUE"""),"booby-trap")</f>
        <v>booby-trap</v>
      </c>
      <c r="B1958" s="3" t="str">
        <f>IFERROR(__xludf.DUMMYFUNCTION("""COMPUTED_VALUE"""),"bbt")</f>
        <v>bbt</v>
      </c>
      <c r="C1958" s="3" t="str">
        <f>IFERROR(__xludf.DUMMYFUNCTION("""COMPUTED_VALUE"""),"Booby Trap")</f>
        <v>Booby Trap</v>
      </c>
    </row>
    <row r="1959">
      <c r="A1959" s="3" t="str">
        <f>IFERROR(__xludf.DUMMYFUNCTION("""COMPUTED_VALUE"""),"boo-finance")</f>
        <v>boo-finance</v>
      </c>
      <c r="B1959" s="3" t="str">
        <f>IFERROR(__xludf.DUMMYFUNCTION("""COMPUTED_VALUE"""),"boofi")</f>
        <v>boofi</v>
      </c>
      <c r="C1959" s="3" t="str">
        <f>IFERROR(__xludf.DUMMYFUNCTION("""COMPUTED_VALUE"""),"Boo Finance")</f>
        <v>Boo Finance</v>
      </c>
    </row>
    <row r="1960">
      <c r="A1960" s="3" t="str">
        <f>IFERROR(__xludf.DUMMYFUNCTION("""COMPUTED_VALUE"""),"boolean")</f>
        <v>boolean</v>
      </c>
      <c r="B1960" s="3" t="str">
        <f>IFERROR(__xludf.DUMMYFUNCTION("""COMPUTED_VALUE"""),"bool")</f>
        <v>bool</v>
      </c>
      <c r="C1960" s="3" t="str">
        <f>IFERROR(__xludf.DUMMYFUNCTION("""COMPUTED_VALUE"""),"Boolean")</f>
        <v>Boolean</v>
      </c>
    </row>
    <row r="1961">
      <c r="A1961" s="3" t="str">
        <f>IFERROR(__xludf.DUMMYFUNCTION("""COMPUTED_VALUE"""),"boo-mirrorworld")</f>
        <v>boo-mirrorworld</v>
      </c>
      <c r="B1961" s="3" t="str">
        <f>IFERROR(__xludf.DUMMYFUNCTION("""COMPUTED_VALUE"""),"xboo")</f>
        <v>xboo</v>
      </c>
      <c r="C1961" s="3" t="str">
        <f>IFERROR(__xludf.DUMMYFUNCTION("""COMPUTED_VALUE"""),"Boo MirrorWorld")</f>
        <v>Boo MirrorWorld</v>
      </c>
    </row>
    <row r="1962">
      <c r="A1962" s="3" t="str">
        <f>IFERROR(__xludf.DUMMYFUNCTION("""COMPUTED_VALUE"""),"boop")</f>
        <v>boop</v>
      </c>
      <c r="B1962" s="3" t="str">
        <f>IFERROR(__xludf.DUMMYFUNCTION("""COMPUTED_VALUE"""),"boop")</f>
        <v>boop</v>
      </c>
      <c r="C1962" s="3" t="str">
        <f>IFERROR(__xludf.DUMMYFUNCTION("""COMPUTED_VALUE"""),"Boop")</f>
        <v>Boop</v>
      </c>
    </row>
    <row r="1963">
      <c r="A1963" s="3" t="str">
        <f>IFERROR(__xludf.DUMMYFUNCTION("""COMPUTED_VALUE"""),"boorio")</f>
        <v>boorio</v>
      </c>
      <c r="B1963" s="3" t="str">
        <f>IFERROR(__xludf.DUMMYFUNCTION("""COMPUTED_VALUE"""),"orio")</f>
        <v>orio</v>
      </c>
      <c r="C1963" s="3" t="str">
        <f>IFERROR(__xludf.DUMMYFUNCTION("""COMPUTED_VALUE"""),"Boorio")</f>
        <v>Boorio</v>
      </c>
    </row>
    <row r="1964">
      <c r="A1964" s="3" t="str">
        <f>IFERROR(__xludf.DUMMYFUNCTION("""COMPUTED_VALUE"""),"boost")</f>
        <v>boost</v>
      </c>
      <c r="B1964" s="3" t="str">
        <f>IFERROR(__xludf.DUMMYFUNCTION("""COMPUTED_VALUE"""),"boost")</f>
        <v>boost</v>
      </c>
      <c r="C1964" s="3" t="str">
        <f>IFERROR(__xludf.DUMMYFUNCTION("""COMPUTED_VALUE"""),"Boost")</f>
        <v>Boost</v>
      </c>
    </row>
    <row r="1965">
      <c r="A1965" s="3" t="str">
        <f>IFERROR(__xludf.DUMMYFUNCTION("""COMPUTED_VALUE"""),"boosted-finance")</f>
        <v>boosted-finance</v>
      </c>
      <c r="B1965" s="3" t="str">
        <f>IFERROR(__xludf.DUMMYFUNCTION("""COMPUTED_VALUE"""),"boost")</f>
        <v>boost</v>
      </c>
      <c r="C1965" s="3" t="str">
        <f>IFERROR(__xludf.DUMMYFUNCTION("""COMPUTED_VALUE"""),"Boosted Finance")</f>
        <v>Boosted Finance</v>
      </c>
    </row>
    <row r="1966">
      <c r="A1966" s="3" t="str">
        <f>IFERROR(__xludf.DUMMYFUNCTION("""COMPUTED_VALUE"""),"boosted-lusd")</f>
        <v>boosted-lusd</v>
      </c>
      <c r="B1966" s="3" t="str">
        <f>IFERROR(__xludf.DUMMYFUNCTION("""COMPUTED_VALUE"""),"blusd")</f>
        <v>blusd</v>
      </c>
      <c r="C1966" s="3" t="str">
        <f>IFERROR(__xludf.DUMMYFUNCTION("""COMPUTED_VALUE"""),"Boosted LUSD")</f>
        <v>Boosted LUSD</v>
      </c>
    </row>
    <row r="1967">
      <c r="A1967" s="3" t="str">
        <f>IFERROR(__xludf.DUMMYFUNCTION("""COMPUTED_VALUE"""),"booster")</f>
        <v>booster</v>
      </c>
      <c r="B1967" s="3" t="str">
        <f>IFERROR(__xludf.DUMMYFUNCTION("""COMPUTED_VALUE"""),"boo")</f>
        <v>boo</v>
      </c>
      <c r="C1967" s="3" t="str">
        <f>IFERROR(__xludf.DUMMYFUNCTION("""COMPUTED_VALUE"""),"Booster")</f>
        <v>Booster</v>
      </c>
    </row>
    <row r="1968">
      <c r="A1968" s="3" t="str">
        <f>IFERROR(__xludf.DUMMYFUNCTION("""COMPUTED_VALUE"""),"boosto")</f>
        <v>boosto</v>
      </c>
      <c r="B1968" s="3" t="str">
        <f>IFERROR(__xludf.DUMMYFUNCTION("""COMPUTED_VALUE"""),"bst")</f>
        <v>bst</v>
      </c>
      <c r="C1968" s="3" t="str">
        <f>IFERROR(__xludf.DUMMYFUNCTION("""COMPUTED_VALUE"""),"BOOSTO")</f>
        <v>BOOSTO</v>
      </c>
    </row>
    <row r="1969">
      <c r="A1969" s="3" t="str">
        <f>IFERROR(__xludf.DUMMYFUNCTION("""COMPUTED_VALUE"""),"bora")</f>
        <v>bora</v>
      </c>
      <c r="B1969" s="3" t="str">
        <f>IFERROR(__xludf.DUMMYFUNCTION("""COMPUTED_VALUE"""),"bora")</f>
        <v>bora</v>
      </c>
      <c r="C1969" s="3" t="str">
        <f>IFERROR(__xludf.DUMMYFUNCTION("""COMPUTED_VALUE"""),"BORA")</f>
        <v>BORA</v>
      </c>
    </row>
    <row r="1970">
      <c r="A1970" s="3" t="str">
        <f>IFERROR(__xludf.DUMMYFUNCTION("""COMPUTED_VALUE"""),"borealis")</f>
        <v>borealis</v>
      </c>
      <c r="B1970" s="3" t="str">
        <f>IFERROR(__xludf.DUMMYFUNCTION("""COMPUTED_VALUE"""),"brl")</f>
        <v>brl</v>
      </c>
      <c r="C1970" s="3" t="str">
        <f>IFERROR(__xludf.DUMMYFUNCTION("""COMPUTED_VALUE"""),"Borealis")</f>
        <v>Borealis</v>
      </c>
    </row>
    <row r="1971">
      <c r="A1971" s="3" t="str">
        <f>IFERROR(__xludf.DUMMYFUNCTION("""COMPUTED_VALUE"""),"bored-apemove")</f>
        <v>bored-apemove</v>
      </c>
      <c r="B1971" s="3" t="str">
        <f>IFERROR(__xludf.DUMMYFUNCTION("""COMPUTED_VALUE"""),"bape")</f>
        <v>bape</v>
      </c>
      <c r="C1971" s="3" t="str">
        <f>IFERROR(__xludf.DUMMYFUNCTION("""COMPUTED_VALUE"""),"Bored APEmove")</f>
        <v>Bored APEmove</v>
      </c>
    </row>
    <row r="1972">
      <c r="A1972" s="3" t="str">
        <f>IFERROR(__xludf.DUMMYFUNCTION("""COMPUTED_VALUE"""),"bored-ape-social-club")</f>
        <v>bored-ape-social-club</v>
      </c>
      <c r="B1972" s="3" t="str">
        <f>IFERROR(__xludf.DUMMYFUNCTION("""COMPUTED_VALUE"""),"bape")</f>
        <v>bape</v>
      </c>
      <c r="C1972" s="3" t="str">
        <f>IFERROR(__xludf.DUMMYFUNCTION("""COMPUTED_VALUE"""),"Bored Ape Social Club")</f>
        <v>Bored Ape Social Club</v>
      </c>
    </row>
    <row r="1973">
      <c r="A1973" s="3" t="str">
        <f>IFERROR(__xludf.DUMMYFUNCTION("""COMPUTED_VALUE"""),"bored-battle-apes")</f>
        <v>bored-battle-apes</v>
      </c>
      <c r="B1973" s="3" t="str">
        <f>IFERROR(__xludf.DUMMYFUNCTION("""COMPUTED_VALUE"""),"bape")</f>
        <v>bape</v>
      </c>
      <c r="C1973" s="3" t="str">
        <f>IFERROR(__xludf.DUMMYFUNCTION("""COMPUTED_VALUE"""),"Bored Battle Apes")</f>
        <v>Bored Battle Apes</v>
      </c>
    </row>
    <row r="1974">
      <c r="A1974" s="3" t="str">
        <f>IFERROR(__xludf.DUMMYFUNCTION("""COMPUTED_VALUE"""),"bored-floki-yacht-club")</f>
        <v>bored-floki-yacht-club</v>
      </c>
      <c r="B1974" s="3" t="str">
        <f>IFERROR(__xludf.DUMMYFUNCTION("""COMPUTED_VALUE"""),"bfyc")</f>
        <v>bfyc</v>
      </c>
      <c r="C1974" s="3" t="str">
        <f>IFERROR(__xludf.DUMMYFUNCTION("""COMPUTED_VALUE"""),"Bored Floki Yacht Club")</f>
        <v>Bored Floki Yacht Club</v>
      </c>
    </row>
    <row r="1975">
      <c r="A1975" s="3" t="str">
        <f>IFERROR(__xludf.DUMMYFUNCTION("""COMPUTED_VALUE"""),"boredmemes")</f>
        <v>boredmemes</v>
      </c>
      <c r="B1975" s="3" t="str">
        <f>IFERROR(__xludf.DUMMYFUNCTION("""COMPUTED_VALUE"""),"boredm")</f>
        <v>boredm</v>
      </c>
      <c r="C1975" s="3" t="str">
        <f>IFERROR(__xludf.DUMMYFUNCTION("""COMPUTED_VALUE"""),"BoredMemes")</f>
        <v>BoredMemes</v>
      </c>
    </row>
    <row r="1976">
      <c r="A1976" s="3" t="str">
        <f>IFERROR(__xludf.DUMMYFUNCTION("""COMPUTED_VALUE"""),"boringdao")</f>
        <v>boringdao</v>
      </c>
      <c r="B1976" s="3" t="str">
        <f>IFERROR(__xludf.DUMMYFUNCTION("""COMPUTED_VALUE"""),"boring")</f>
        <v>boring</v>
      </c>
      <c r="C1976" s="3" t="str">
        <f>IFERROR(__xludf.DUMMYFUNCTION("""COMPUTED_VALUE"""),"BoringDAO")</f>
        <v>BoringDAO</v>
      </c>
    </row>
    <row r="1977">
      <c r="A1977" s="3" t="str">
        <f>IFERROR(__xludf.DUMMYFUNCTION("""COMPUTED_VALUE"""),"boringdao-btc")</f>
        <v>boringdao-btc</v>
      </c>
      <c r="B1977" s="3" t="str">
        <f>IFERROR(__xludf.DUMMYFUNCTION("""COMPUTED_VALUE"""),"obtc")</f>
        <v>obtc</v>
      </c>
      <c r="C1977" s="3" t="str">
        <f>IFERROR(__xludf.DUMMYFUNCTION("""COMPUTED_VALUE"""),"BoringDAO BTC")</f>
        <v>BoringDAO BTC</v>
      </c>
    </row>
    <row r="1978">
      <c r="A1978" s="3" t="str">
        <f>IFERROR(__xludf.DUMMYFUNCTION("""COMPUTED_VALUE"""),"boringdao-[old]")</f>
        <v>boringdao-[old]</v>
      </c>
      <c r="B1978" s="3" t="str">
        <f>IFERROR(__xludf.DUMMYFUNCTION("""COMPUTED_VALUE"""),"bor")</f>
        <v>bor</v>
      </c>
      <c r="C1978" s="3" t="str">
        <f>IFERROR(__xludf.DUMMYFUNCTION("""COMPUTED_VALUE"""),"BoringDAO [OLD]")</f>
        <v>BoringDAO [OLD]</v>
      </c>
    </row>
    <row r="1979">
      <c r="A1979" s="3" t="str">
        <f>IFERROR(__xludf.DUMMYFUNCTION("""COMPUTED_VALUE"""),"boring-protocol")</f>
        <v>boring-protocol</v>
      </c>
      <c r="B1979" s="3" t="str">
        <f>IFERROR(__xludf.DUMMYFUNCTION("""COMPUTED_VALUE"""),"bop")</f>
        <v>bop</v>
      </c>
      <c r="C1979" s="3" t="str">
        <f>IFERROR(__xludf.DUMMYFUNCTION("""COMPUTED_VALUE"""),"Boring Protocol")</f>
        <v>Boring Protocol</v>
      </c>
    </row>
    <row r="1980">
      <c r="A1980" s="3" t="str">
        <f>IFERROR(__xludf.DUMMYFUNCTION("""COMPUTED_VALUE"""),"bork")</f>
        <v>bork</v>
      </c>
      <c r="B1980" s="3" t="str">
        <f>IFERROR(__xludf.DUMMYFUNCTION("""COMPUTED_VALUE"""),"bork")</f>
        <v>bork</v>
      </c>
      <c r="C1980" s="3" t="str">
        <f>IFERROR(__xludf.DUMMYFUNCTION("""COMPUTED_VALUE"""),"Bork")</f>
        <v>Bork</v>
      </c>
    </row>
    <row r="1981">
      <c r="A1981" s="3" t="str">
        <f>IFERROR(__xludf.DUMMYFUNCTION("""COMPUTED_VALUE"""),"bork-inu")</f>
        <v>bork-inu</v>
      </c>
      <c r="B1981" s="3" t="str">
        <f>IFERROR(__xludf.DUMMYFUNCTION("""COMPUTED_VALUE"""),"bork")</f>
        <v>bork</v>
      </c>
      <c r="C1981" s="3" t="str">
        <f>IFERROR(__xludf.DUMMYFUNCTION("""COMPUTED_VALUE"""),"Bork Inu")</f>
        <v>Bork Inu</v>
      </c>
    </row>
    <row r="1982">
      <c r="A1982" s="3" t="str">
        <f>IFERROR(__xludf.DUMMYFUNCTION("""COMPUTED_VALUE"""),"boruto-inu")</f>
        <v>boruto-inu</v>
      </c>
      <c r="B1982" s="3" t="str">
        <f>IFERROR(__xludf.DUMMYFUNCTION("""COMPUTED_VALUE"""),"boruto")</f>
        <v>boruto</v>
      </c>
      <c r="C1982" s="3" t="str">
        <f>IFERROR(__xludf.DUMMYFUNCTION("""COMPUTED_VALUE"""),"Boruto Inu")</f>
        <v>Boruto Inu</v>
      </c>
    </row>
    <row r="1983">
      <c r="A1983" s="3" t="str">
        <f>IFERROR(__xludf.DUMMYFUNCTION("""COMPUTED_VALUE"""),"boryoku-genesis-dragonz-index")</f>
        <v>boryoku-genesis-dragonz-index</v>
      </c>
      <c r="B1983" s="3" t="str">
        <f>IFERROR(__xludf.DUMMYFUNCTION("""COMPUTED_VALUE"""),"drgnz")</f>
        <v>drgnz</v>
      </c>
      <c r="C1983" s="3" t="str">
        <f>IFERROR(__xludf.DUMMYFUNCTION("""COMPUTED_VALUE"""),"Boryoku Genesis Dragonz Index")</f>
        <v>Boryoku Genesis Dragonz Index</v>
      </c>
    </row>
    <row r="1984">
      <c r="A1984" s="3" t="str">
        <f>IFERROR(__xludf.DUMMYFUNCTION("""COMPUTED_VALUE"""),"bosagora")</f>
        <v>bosagora</v>
      </c>
      <c r="B1984" s="3" t="str">
        <f>IFERROR(__xludf.DUMMYFUNCTION("""COMPUTED_VALUE"""),"boa")</f>
        <v>boa</v>
      </c>
      <c r="C1984" s="3" t="str">
        <f>IFERROR(__xludf.DUMMYFUNCTION("""COMPUTED_VALUE"""),"BOSAGORA")</f>
        <v>BOSAGORA</v>
      </c>
    </row>
    <row r="1985">
      <c r="A1985" s="3" t="str">
        <f>IFERROR(__xludf.DUMMYFUNCTION("""COMPUTED_VALUE"""),"boson-protocol")</f>
        <v>boson-protocol</v>
      </c>
      <c r="B1985" s="3" t="str">
        <f>IFERROR(__xludf.DUMMYFUNCTION("""COMPUTED_VALUE"""),"boson")</f>
        <v>boson</v>
      </c>
      <c r="C1985" s="3" t="str">
        <f>IFERROR(__xludf.DUMMYFUNCTION("""COMPUTED_VALUE"""),"Boson Protocol")</f>
        <v>Boson Protocol</v>
      </c>
    </row>
    <row r="1986">
      <c r="A1986" s="3" t="str">
        <f>IFERROR(__xludf.DUMMYFUNCTION("""COMPUTED_VALUE"""),"boss")</f>
        <v>boss</v>
      </c>
      <c r="B1986" s="3" t="str">
        <f>IFERROR(__xludf.DUMMYFUNCTION("""COMPUTED_VALUE"""),"boss")</f>
        <v>boss</v>
      </c>
      <c r="C1986" s="3" t="str">
        <f>IFERROR(__xludf.DUMMYFUNCTION("""COMPUTED_VALUE"""),"Boss")</f>
        <v>Boss</v>
      </c>
    </row>
    <row r="1987">
      <c r="A1987" s="3" t="str">
        <f>IFERROR(__xludf.DUMMYFUNCTION("""COMPUTED_VALUE"""),"bossdao")</f>
        <v>bossdao</v>
      </c>
      <c r="B1987" s="3" t="str">
        <f>IFERROR(__xludf.DUMMYFUNCTION("""COMPUTED_VALUE"""),"boss")</f>
        <v>boss</v>
      </c>
      <c r="C1987" s="3" t="str">
        <f>IFERROR(__xludf.DUMMYFUNCTION("""COMPUTED_VALUE"""),"BossDao")</f>
        <v>BossDao</v>
      </c>
    </row>
    <row r="1988">
      <c r="A1988" s="3" t="str">
        <f>IFERROR(__xludf.DUMMYFUNCTION("""COMPUTED_VALUE"""),"bossswap")</f>
        <v>bossswap</v>
      </c>
      <c r="B1988" s="3" t="str">
        <f>IFERROR(__xludf.DUMMYFUNCTION("""COMPUTED_VALUE"""),"boss")</f>
        <v>boss</v>
      </c>
      <c r="C1988" s="3" t="str">
        <f>IFERROR(__xludf.DUMMYFUNCTION("""COMPUTED_VALUE"""),"Boss Swap")</f>
        <v>Boss Swap</v>
      </c>
    </row>
    <row r="1989">
      <c r="A1989" s="3" t="str">
        <f>IFERROR(__xludf.DUMMYFUNCTION("""COMPUTED_VALUE"""),"bostrom")</f>
        <v>bostrom</v>
      </c>
      <c r="B1989" s="3" t="str">
        <f>IFERROR(__xludf.DUMMYFUNCTION("""COMPUTED_VALUE"""),"boot")</f>
        <v>boot</v>
      </c>
      <c r="C1989" s="3" t="str">
        <f>IFERROR(__xludf.DUMMYFUNCTION("""COMPUTED_VALUE"""),"Bostrom")</f>
        <v>Bostrom</v>
      </c>
    </row>
    <row r="1990">
      <c r="A1990" s="3" t="str">
        <f>IFERROR(__xludf.DUMMYFUNCTION("""COMPUTED_VALUE"""),"botopiafinance")</f>
        <v>botopiafinance</v>
      </c>
      <c r="B1990" s="3" t="str">
        <f>IFERROR(__xludf.DUMMYFUNCTION("""COMPUTED_VALUE"""),"btop")</f>
        <v>btop</v>
      </c>
      <c r="C1990" s="3" t="str">
        <f>IFERROR(__xludf.DUMMYFUNCTION("""COMPUTED_VALUE"""),"BotopiaFinance")</f>
        <v>BotopiaFinance</v>
      </c>
    </row>
    <row r="1991">
      <c r="A1991" s="3" t="str">
        <f>IFERROR(__xludf.DUMMYFUNCTION("""COMPUTED_VALUE"""),"bot-planet")</f>
        <v>bot-planet</v>
      </c>
      <c r="B1991" s="3" t="str">
        <f>IFERROR(__xludf.DUMMYFUNCTION("""COMPUTED_VALUE"""),"bot")</f>
        <v>bot</v>
      </c>
      <c r="C1991" s="3" t="str">
        <f>IFERROR(__xludf.DUMMYFUNCTION("""COMPUTED_VALUE"""),"Bot Planet")</f>
        <v>Bot Planet</v>
      </c>
    </row>
    <row r="1992">
      <c r="A1992" s="3" t="str">
        <f>IFERROR(__xludf.DUMMYFUNCTION("""COMPUTED_VALUE"""),"botto")</f>
        <v>botto</v>
      </c>
      <c r="B1992" s="3" t="str">
        <f>IFERROR(__xludf.DUMMYFUNCTION("""COMPUTED_VALUE"""),"botto")</f>
        <v>botto</v>
      </c>
      <c r="C1992" s="3" t="str">
        <f>IFERROR(__xludf.DUMMYFUNCTION("""COMPUTED_VALUE"""),"Botto")</f>
        <v>Botto</v>
      </c>
    </row>
    <row r="1993">
      <c r="A1993" s="3" t="str">
        <f>IFERROR(__xludf.DUMMYFUNCTION("""COMPUTED_VALUE"""),"bottos")</f>
        <v>bottos</v>
      </c>
      <c r="B1993" s="3" t="str">
        <f>IFERROR(__xludf.DUMMYFUNCTION("""COMPUTED_VALUE"""),"bto")</f>
        <v>bto</v>
      </c>
      <c r="C1993" s="3" t="str">
        <f>IFERROR(__xludf.DUMMYFUNCTION("""COMPUTED_VALUE"""),"Bottos")</f>
        <v>Bottos</v>
      </c>
    </row>
    <row r="1994">
      <c r="A1994" s="3" t="str">
        <f>IFERROR(__xludf.DUMMYFUNCTION("""COMPUTED_VALUE"""),"botxcoin")</f>
        <v>botxcoin</v>
      </c>
      <c r="B1994" s="3" t="str">
        <f>IFERROR(__xludf.DUMMYFUNCTION("""COMPUTED_VALUE"""),"botx")</f>
        <v>botx</v>
      </c>
      <c r="C1994" s="3" t="str">
        <f>IFERROR(__xludf.DUMMYFUNCTION("""COMPUTED_VALUE"""),"BOTXCOIN")</f>
        <v>BOTXCOIN</v>
      </c>
    </row>
    <row r="1995">
      <c r="A1995" s="3" t="str">
        <f>IFERROR(__xludf.DUMMYFUNCTION("""COMPUTED_VALUE"""),"boulpik-token")</f>
        <v>boulpik-token</v>
      </c>
      <c r="B1995" s="3" t="str">
        <f>IFERROR(__xludf.DUMMYFUNCTION("""COMPUTED_VALUE"""),"boulpik")</f>
        <v>boulpik</v>
      </c>
      <c r="C1995" s="3" t="str">
        <f>IFERROR(__xludf.DUMMYFUNCTION("""COMPUTED_VALUE"""),"Boulpik Token")</f>
        <v>Boulpik Token</v>
      </c>
    </row>
    <row r="1996">
      <c r="A1996" s="3" t="str">
        <f>IFERROR(__xludf.DUMMYFUNCTION("""COMPUTED_VALUE"""),"bountie-hunter")</f>
        <v>bountie-hunter</v>
      </c>
      <c r="B1996" s="3" t="str">
        <f>IFERROR(__xludf.DUMMYFUNCTION("""COMPUTED_VALUE"""),"bountie")</f>
        <v>bountie</v>
      </c>
      <c r="C1996" s="3" t="str">
        <f>IFERROR(__xludf.DUMMYFUNCTION("""COMPUTED_VALUE"""),"Bountie Hunter")</f>
        <v>Bountie Hunter</v>
      </c>
    </row>
    <row r="1997">
      <c r="A1997" s="3" t="str">
        <f>IFERROR(__xludf.DUMMYFUNCTION("""COMPUTED_VALUE"""),"bounty")</f>
        <v>bounty</v>
      </c>
      <c r="B1997" s="3" t="str">
        <f>IFERROR(__xludf.DUMMYFUNCTION("""COMPUTED_VALUE"""),"bnty")</f>
        <v>bnty</v>
      </c>
      <c r="C1997" s="3" t="str">
        <f>IFERROR(__xludf.DUMMYFUNCTION("""COMPUTED_VALUE"""),"Bounty")</f>
        <v>Bounty</v>
      </c>
    </row>
    <row r="1998">
      <c r="A1998" s="3" t="str">
        <f>IFERROR(__xludf.DUMMYFUNCTION("""COMPUTED_VALUE"""),"bounty0x")</f>
        <v>bounty0x</v>
      </c>
      <c r="B1998" s="3" t="str">
        <f>IFERROR(__xludf.DUMMYFUNCTION("""COMPUTED_VALUE"""),"bnty")</f>
        <v>bnty</v>
      </c>
      <c r="C1998" s="3" t="str">
        <f>IFERROR(__xludf.DUMMYFUNCTION("""COMPUTED_VALUE"""),"Bounty0x")</f>
        <v>Bounty0x</v>
      </c>
    </row>
    <row r="1999">
      <c r="A1999" s="3" t="str">
        <f>IFERROR(__xludf.DUMMYFUNCTION("""COMPUTED_VALUE"""),"bountymarketcap")</f>
        <v>bountymarketcap</v>
      </c>
      <c r="B1999" s="3" t="str">
        <f>IFERROR(__xludf.DUMMYFUNCTION("""COMPUTED_VALUE"""),"bmc")</f>
        <v>bmc</v>
      </c>
      <c r="C1999" s="3" t="str">
        <f>IFERROR(__xludf.DUMMYFUNCTION("""COMPUTED_VALUE"""),"BountyMarketCap")</f>
        <v>BountyMarketCap</v>
      </c>
    </row>
    <row r="2000">
      <c r="A2000" s="3" t="str">
        <f>IFERROR(__xludf.DUMMYFUNCTION("""COMPUTED_VALUE"""),"boutspro")</f>
        <v>boutspro</v>
      </c>
      <c r="B2000" s="3" t="str">
        <f>IFERROR(__xludf.DUMMYFUNCTION("""COMPUTED_VALUE"""),"bouts")</f>
        <v>bouts</v>
      </c>
      <c r="C2000" s="3" t="str">
        <f>IFERROR(__xludf.DUMMYFUNCTION("""COMPUTED_VALUE"""),"BoutsPro")</f>
        <v>BoutsPro</v>
      </c>
    </row>
    <row r="2001">
      <c r="A2001" s="3" t="str">
        <f>IFERROR(__xludf.DUMMYFUNCTION("""COMPUTED_VALUE"""),"bovineverse-bvt")</f>
        <v>bovineverse-bvt</v>
      </c>
      <c r="B2001" s="3" t="str">
        <f>IFERROR(__xludf.DUMMYFUNCTION("""COMPUTED_VALUE"""),"bvt")</f>
        <v>bvt</v>
      </c>
      <c r="C2001" s="3" t="str">
        <f>IFERROR(__xludf.DUMMYFUNCTION("""COMPUTED_VALUE"""),"Bovineverse BVT")</f>
        <v>Bovineverse BVT</v>
      </c>
    </row>
    <row r="2002">
      <c r="A2002" s="3" t="str">
        <f>IFERROR(__xludf.DUMMYFUNCTION("""COMPUTED_VALUE"""),"bowscoin")</f>
        <v>bowscoin</v>
      </c>
      <c r="B2002" s="3" t="str">
        <f>IFERROR(__xludf.DUMMYFUNCTION("""COMPUTED_VALUE"""),"bsc")</f>
        <v>bsc</v>
      </c>
      <c r="C2002" s="3" t="str">
        <f>IFERROR(__xludf.DUMMYFUNCTION("""COMPUTED_VALUE"""),"BowsCoin")</f>
        <v>BowsCoin</v>
      </c>
    </row>
    <row r="2003">
      <c r="A2003" s="3" t="str">
        <f>IFERROR(__xludf.DUMMYFUNCTION("""COMPUTED_VALUE"""),"box")</f>
        <v>box</v>
      </c>
      <c r="B2003" s="3" t="str">
        <f>IFERROR(__xludf.DUMMYFUNCTION("""COMPUTED_VALUE"""),"box")</f>
        <v>box</v>
      </c>
      <c r="C2003" s="3" t="str">
        <f>IFERROR(__xludf.DUMMYFUNCTION("""COMPUTED_VALUE"""),"BOX")</f>
        <v>BOX</v>
      </c>
    </row>
    <row r="2004">
      <c r="A2004" s="3" t="str">
        <f>IFERROR(__xludf.DUMMYFUNCTION("""COMPUTED_VALUE"""),"boxaxis")</f>
        <v>boxaxis</v>
      </c>
      <c r="B2004" s="3" t="str">
        <f>IFERROR(__xludf.DUMMYFUNCTION("""COMPUTED_VALUE"""),"baxs")</f>
        <v>baxs</v>
      </c>
      <c r="C2004" s="3" t="str">
        <f>IFERROR(__xludf.DUMMYFUNCTION("""COMPUTED_VALUE"""),"BoxAxis")</f>
        <v>BoxAxis</v>
      </c>
    </row>
    <row r="2005">
      <c r="A2005" s="3" t="str">
        <f>IFERROR(__xludf.DUMMYFUNCTION("""COMPUTED_VALUE"""),"boxcasino")</f>
        <v>boxcasino</v>
      </c>
      <c r="B2005" s="3" t="str">
        <f>IFERROR(__xludf.DUMMYFUNCTION("""COMPUTED_VALUE"""),"boxc")</f>
        <v>boxc</v>
      </c>
      <c r="C2005" s="3" t="str">
        <f>IFERROR(__xludf.DUMMYFUNCTION("""COMPUTED_VALUE"""),"BOXCASINO")</f>
        <v>BOXCASINO</v>
      </c>
    </row>
    <row r="2006">
      <c r="A2006" s="3" t="str">
        <f>IFERROR(__xludf.DUMMYFUNCTION("""COMPUTED_VALUE"""),"boxch")</f>
        <v>boxch</v>
      </c>
      <c r="B2006" s="3" t="str">
        <f>IFERROR(__xludf.DUMMYFUNCTION("""COMPUTED_VALUE"""),"boxch")</f>
        <v>boxch</v>
      </c>
      <c r="C2006" s="3" t="str">
        <f>IFERROR(__xludf.DUMMYFUNCTION("""COMPUTED_VALUE"""),"Boxch")</f>
        <v>Boxch</v>
      </c>
    </row>
    <row r="2007">
      <c r="A2007" s="3" t="str">
        <f>IFERROR(__xludf.DUMMYFUNCTION("""COMPUTED_VALUE"""),"boxerdoge")</f>
        <v>boxerdoge</v>
      </c>
      <c r="B2007" s="3" t="str">
        <f>IFERROR(__xludf.DUMMYFUNCTION("""COMPUTED_VALUE"""),"boxerdoge")</f>
        <v>boxerdoge</v>
      </c>
      <c r="C2007" s="3" t="str">
        <f>IFERROR(__xludf.DUMMYFUNCTION("""COMPUTED_VALUE"""),"BoxerDOGE")</f>
        <v>BoxerDOGE</v>
      </c>
    </row>
    <row r="2008">
      <c r="A2008" s="3" t="str">
        <f>IFERROR(__xludf.DUMMYFUNCTION("""COMPUTED_VALUE"""),"boxer-inu")</f>
        <v>boxer-inu</v>
      </c>
      <c r="B2008" s="3" t="str">
        <f>IFERROR(__xludf.DUMMYFUNCTION("""COMPUTED_VALUE"""),"boxer")</f>
        <v>boxer</v>
      </c>
      <c r="C2008" s="3" t="str">
        <f>IFERROR(__xludf.DUMMYFUNCTION("""COMPUTED_VALUE"""),"Boxer Inu")</f>
        <v>Boxer Inu</v>
      </c>
    </row>
    <row r="2009">
      <c r="A2009" s="3" t="str">
        <f>IFERROR(__xludf.DUMMYFUNCTION("""COMPUTED_VALUE"""),"box-token")</f>
        <v>box-token</v>
      </c>
      <c r="B2009" s="3" t="str">
        <f>IFERROR(__xludf.DUMMYFUNCTION("""COMPUTED_VALUE"""),"box")</f>
        <v>box</v>
      </c>
      <c r="C2009" s="3" t="str">
        <f>IFERROR(__xludf.DUMMYFUNCTION("""COMPUTED_VALUE"""),"BOX Token")</f>
        <v>BOX Token</v>
      </c>
    </row>
    <row r="2010">
      <c r="A2010" s="3" t="str">
        <f>IFERROR(__xludf.DUMMYFUNCTION("""COMPUTED_VALUE"""),"bozkurt-token")</f>
        <v>bozkurt-token</v>
      </c>
      <c r="B2010" s="3" t="str">
        <f>IFERROR(__xludf.DUMMYFUNCTION("""COMPUTED_VALUE"""),"bt")</f>
        <v>bt</v>
      </c>
      <c r="C2010" s="3" t="str">
        <f>IFERROR(__xludf.DUMMYFUNCTION("""COMPUTED_VALUE"""),"Bozkurt")</f>
        <v>Bozkurt</v>
      </c>
    </row>
    <row r="2011">
      <c r="A2011" s="3" t="str">
        <f>IFERROR(__xludf.DUMMYFUNCTION("""COMPUTED_VALUE"""),"bpm")</f>
        <v>bpm</v>
      </c>
      <c r="B2011" s="3" t="str">
        <f>IFERROR(__xludf.DUMMYFUNCTION("""COMPUTED_VALUE"""),"bpm")</f>
        <v>bpm</v>
      </c>
      <c r="C2011" s="3" t="str">
        <f>IFERROR(__xludf.DUMMYFUNCTION("""COMPUTED_VALUE"""),"BPM")</f>
        <v>BPM</v>
      </c>
    </row>
    <row r="2012">
      <c r="A2012" s="3" t="str">
        <f>IFERROR(__xludf.DUMMYFUNCTION("""COMPUTED_VALUE"""),"b-protocol")</f>
        <v>b-protocol</v>
      </c>
      <c r="B2012" s="3" t="str">
        <f>IFERROR(__xludf.DUMMYFUNCTION("""COMPUTED_VALUE"""),"bpro")</f>
        <v>bpro</v>
      </c>
      <c r="C2012" s="3" t="str">
        <f>IFERROR(__xludf.DUMMYFUNCTION("""COMPUTED_VALUE"""),"B.Protocol")</f>
        <v>B.Protocol</v>
      </c>
    </row>
    <row r="2013">
      <c r="A2013" s="3" t="str">
        <f>IFERROR(__xludf.DUMMYFUNCTION("""COMPUTED_VALUE"""),"brainiac")</f>
        <v>brainiac</v>
      </c>
      <c r="B2013" s="3" t="str">
        <f>IFERROR(__xludf.DUMMYFUNCTION("""COMPUTED_VALUE"""),"brains")</f>
        <v>brains</v>
      </c>
      <c r="C2013" s="3" t="str">
        <f>IFERROR(__xludf.DUMMYFUNCTION("""COMPUTED_VALUE"""),"Brainiac")</f>
        <v>Brainiac</v>
      </c>
    </row>
    <row r="2014">
      <c r="A2014" s="3" t="str">
        <f>IFERROR(__xludf.DUMMYFUNCTION("""COMPUTED_VALUE"""),"braintrust")</f>
        <v>braintrust</v>
      </c>
      <c r="B2014" s="3" t="str">
        <f>IFERROR(__xludf.DUMMYFUNCTION("""COMPUTED_VALUE"""),"btrst")</f>
        <v>btrst</v>
      </c>
      <c r="C2014" s="3" t="str">
        <f>IFERROR(__xludf.DUMMYFUNCTION("""COMPUTED_VALUE"""),"Braintrust")</f>
        <v>Braintrust</v>
      </c>
    </row>
    <row r="2015">
      <c r="A2015" s="3" t="str">
        <f>IFERROR(__xludf.DUMMYFUNCTION("""COMPUTED_VALUE"""),"branaverse")</f>
        <v>branaverse</v>
      </c>
      <c r="B2015" s="3" t="str">
        <f>IFERROR(__xludf.DUMMYFUNCTION("""COMPUTED_VALUE"""),"brana")</f>
        <v>brana</v>
      </c>
      <c r="C2015" s="3" t="str">
        <f>IFERROR(__xludf.DUMMYFUNCTION("""COMPUTED_VALUE"""),"Branaverse")</f>
        <v>Branaverse</v>
      </c>
    </row>
    <row r="2016">
      <c r="A2016" s="3" t="str">
        <f>IFERROR(__xludf.DUMMYFUNCTION("""COMPUTED_VALUE"""),"brandpad-finance")</f>
        <v>brandpad-finance</v>
      </c>
      <c r="B2016" s="3" t="str">
        <f>IFERROR(__xludf.DUMMYFUNCTION("""COMPUTED_VALUE"""),"brand")</f>
        <v>brand</v>
      </c>
      <c r="C2016" s="3" t="str">
        <f>IFERROR(__xludf.DUMMYFUNCTION("""COMPUTED_VALUE"""),"BrandPad Finance")</f>
        <v>BrandPad Finance</v>
      </c>
    </row>
    <row r="2017">
      <c r="A2017" s="3" t="str">
        <f>IFERROR(__xludf.DUMMYFUNCTION("""COMPUTED_VALUE"""),"brank")</f>
        <v>brank</v>
      </c>
      <c r="B2017" s="3" t="str">
        <f>IFERROR(__xludf.DUMMYFUNCTION("""COMPUTED_VALUE"""),"brank")</f>
        <v>brank</v>
      </c>
      <c r="C2017" s="3" t="str">
        <f>IFERROR(__xludf.DUMMYFUNCTION("""COMPUTED_VALUE"""),"Brank")</f>
        <v>Brank</v>
      </c>
    </row>
    <row r="2018">
      <c r="A2018" s="3" t="str">
        <f>IFERROR(__xludf.DUMMYFUNCTION("""COMPUTED_VALUE"""),"brayzin-heist")</f>
        <v>brayzin-heist</v>
      </c>
      <c r="B2018" s="3" t="str">
        <f>IFERROR(__xludf.DUMMYFUNCTION("""COMPUTED_VALUE"""),"brzh")</f>
        <v>brzh</v>
      </c>
      <c r="C2018" s="3" t="str">
        <f>IFERROR(__xludf.DUMMYFUNCTION("""COMPUTED_VALUE"""),"Brayzin Heist")</f>
        <v>Brayzin Heist</v>
      </c>
    </row>
    <row r="2019">
      <c r="A2019" s="3" t="str">
        <f>IFERROR(__xludf.DUMMYFUNCTION("""COMPUTED_VALUE"""),"brazil-fan-token")</f>
        <v>brazil-fan-token</v>
      </c>
      <c r="B2019" s="3" t="str">
        <f>IFERROR(__xludf.DUMMYFUNCTION("""COMPUTED_VALUE"""),"bft")</f>
        <v>bft</v>
      </c>
      <c r="C2019" s="3" t="str">
        <f>IFERROR(__xludf.DUMMYFUNCTION("""COMPUTED_VALUE"""),"Brazil National Football Team Fan Token")</f>
        <v>Brazil National Football Team Fan Token</v>
      </c>
    </row>
    <row r="2020">
      <c r="A2020" s="3" t="str">
        <f>IFERROR(__xludf.DUMMYFUNCTION("""COMPUTED_VALUE"""),"brcp-token")</f>
        <v>brcp-token</v>
      </c>
      <c r="B2020" s="3" t="str">
        <f>IFERROR(__xludf.DUMMYFUNCTION("""COMPUTED_VALUE"""),"brcp")</f>
        <v>brcp</v>
      </c>
      <c r="C2020" s="3" t="str">
        <f>IFERROR(__xludf.DUMMYFUNCTION("""COMPUTED_VALUE"""),"BRCP")</f>
        <v>BRCP</v>
      </c>
    </row>
    <row r="2021">
      <c r="A2021" s="3" t="str">
        <f>IFERROR(__xludf.DUMMYFUNCTION("""COMPUTED_VALUE"""),"bread")</f>
        <v>bread</v>
      </c>
      <c r="B2021" s="3" t="str">
        <f>IFERROR(__xludf.DUMMYFUNCTION("""COMPUTED_VALUE"""),"brd")</f>
        <v>brd</v>
      </c>
      <c r="C2021" s="3" t="str">
        <f>IFERROR(__xludf.DUMMYFUNCTION("""COMPUTED_VALUE"""),"Bread")</f>
        <v>Bread</v>
      </c>
    </row>
    <row r="2022">
      <c r="A2022" s="3" t="str">
        <f>IFERROR(__xludf.DUMMYFUNCTION("""COMPUTED_VALUE"""),"breederdao")</f>
        <v>breederdao</v>
      </c>
      <c r="B2022" s="3" t="str">
        <f>IFERROR(__xludf.DUMMYFUNCTION("""COMPUTED_VALUE"""),"breed")</f>
        <v>breed</v>
      </c>
      <c r="C2022" s="3" t="str">
        <f>IFERROR(__xludf.DUMMYFUNCTION("""COMPUTED_VALUE"""),"BreederDAO")</f>
        <v>BreederDAO</v>
      </c>
    </row>
    <row r="2023">
      <c r="A2023" s="3" t="str">
        <f>IFERROR(__xludf.DUMMYFUNCTION("""COMPUTED_VALUE"""),"breezecoin")</f>
        <v>breezecoin</v>
      </c>
      <c r="B2023" s="3" t="str">
        <f>IFERROR(__xludf.DUMMYFUNCTION("""COMPUTED_VALUE"""),"brze")</f>
        <v>brze</v>
      </c>
      <c r="C2023" s="3" t="str">
        <f>IFERROR(__xludf.DUMMYFUNCTION("""COMPUTED_VALUE"""),"Breezecoin")</f>
        <v>Breezecoin</v>
      </c>
    </row>
    <row r="2024">
      <c r="A2024" s="3" t="str">
        <f>IFERROR(__xludf.DUMMYFUNCTION("""COMPUTED_VALUE"""),"brewlabs")</f>
        <v>brewlabs</v>
      </c>
      <c r="B2024" s="3" t="str">
        <f>IFERROR(__xludf.DUMMYFUNCTION("""COMPUTED_VALUE"""),"brewlabs")</f>
        <v>brewlabs</v>
      </c>
      <c r="C2024" s="3" t="str">
        <f>IFERROR(__xludf.DUMMYFUNCTION("""COMPUTED_VALUE"""),"Brewlabs")</f>
        <v>Brewlabs</v>
      </c>
    </row>
    <row r="2025">
      <c r="A2025" s="3" t="str">
        <f>IFERROR(__xludf.DUMMYFUNCTION("""COMPUTED_VALUE"""),"bribe")</f>
        <v>bribe</v>
      </c>
      <c r="B2025" s="3" t="str">
        <f>IFERROR(__xludf.DUMMYFUNCTION("""COMPUTED_VALUE"""),"bribe")</f>
        <v>bribe</v>
      </c>
      <c r="C2025" s="3" t="str">
        <f>IFERROR(__xludf.DUMMYFUNCTION("""COMPUTED_VALUE"""),"BRIBE")</f>
        <v>BRIBE</v>
      </c>
    </row>
    <row r="2026">
      <c r="A2026" s="3" t="str">
        <f>IFERROR(__xludf.DUMMYFUNCTION("""COMPUTED_VALUE"""),"bribe-token-2")</f>
        <v>bribe-token-2</v>
      </c>
      <c r="B2026" s="3" t="str">
        <f>IFERROR(__xludf.DUMMYFUNCTION("""COMPUTED_VALUE"""),"bribe")</f>
        <v>bribe</v>
      </c>
      <c r="C2026" s="3" t="str">
        <f>IFERROR(__xludf.DUMMYFUNCTION("""COMPUTED_VALUE"""),"BRIBE Token")</f>
        <v>BRIBE Token</v>
      </c>
    </row>
    <row r="2027">
      <c r="A2027" s="3" t="str">
        <f>IFERROR(__xludf.DUMMYFUNCTION("""COMPUTED_VALUE"""),"brick")</f>
        <v>brick</v>
      </c>
      <c r="B2027" s="3" t="str">
        <f>IFERROR(__xludf.DUMMYFUNCTION("""COMPUTED_VALUE"""),"brick")</f>
        <v>brick</v>
      </c>
      <c r="C2027" s="3" t="str">
        <f>IFERROR(__xludf.DUMMYFUNCTION("""COMPUTED_VALUE"""),"r/FortNiteBR Bricks")</f>
        <v>r/FortNiteBR Bricks</v>
      </c>
    </row>
    <row r="2028">
      <c r="A2028" s="3" t="str">
        <f>IFERROR(__xludf.DUMMYFUNCTION("""COMPUTED_VALUE"""),"brick-token")</f>
        <v>brick-token</v>
      </c>
      <c r="B2028" s="3" t="str">
        <f>IFERROR(__xludf.DUMMYFUNCTION("""COMPUTED_VALUE"""),"brick")</f>
        <v>brick</v>
      </c>
      <c r="C2028" s="3" t="str">
        <f>IFERROR(__xludf.DUMMYFUNCTION("""COMPUTED_VALUE"""),"Brick")</f>
        <v>Brick</v>
      </c>
    </row>
    <row r="2029">
      <c r="A2029" s="3" t="str">
        <f>IFERROR(__xludf.DUMMYFUNCTION("""COMPUTED_VALUE"""),"bridgecoin-2")</f>
        <v>bridgecoin-2</v>
      </c>
      <c r="B2029" s="3" t="str">
        <f>IFERROR(__xludf.DUMMYFUNCTION("""COMPUTED_VALUE"""),"brc")</f>
        <v>brc</v>
      </c>
      <c r="C2029" s="3" t="str">
        <f>IFERROR(__xludf.DUMMYFUNCTION("""COMPUTED_VALUE"""),"BridgeCoin")</f>
        <v>BridgeCoin</v>
      </c>
    </row>
    <row r="2030">
      <c r="A2030" s="3" t="str">
        <f>IFERROR(__xludf.DUMMYFUNCTION("""COMPUTED_VALUE"""),"bridge-mutual")</f>
        <v>bridge-mutual</v>
      </c>
      <c r="B2030" s="3" t="str">
        <f>IFERROR(__xludf.DUMMYFUNCTION("""COMPUTED_VALUE"""),"bmi")</f>
        <v>bmi</v>
      </c>
      <c r="C2030" s="3" t="str">
        <f>IFERROR(__xludf.DUMMYFUNCTION("""COMPUTED_VALUE"""),"Bridge Mutual")</f>
        <v>Bridge Mutual</v>
      </c>
    </row>
    <row r="2031">
      <c r="A2031" s="3" t="str">
        <f>IFERROR(__xludf.DUMMYFUNCTION("""COMPUTED_VALUE"""),"bridge-network")</f>
        <v>bridge-network</v>
      </c>
      <c r="B2031" s="3" t="str">
        <f>IFERROR(__xludf.DUMMYFUNCTION("""COMPUTED_VALUE"""),"brdg")</f>
        <v>brdg</v>
      </c>
      <c r="C2031" s="3" t="str">
        <f>IFERROR(__xludf.DUMMYFUNCTION("""COMPUTED_VALUE"""),"Bridge Network")</f>
        <v>Bridge Network</v>
      </c>
    </row>
    <row r="2032">
      <c r="A2032" s="3" t="str">
        <f>IFERROR(__xludf.DUMMYFUNCTION("""COMPUTED_VALUE"""),"bridge-oracle")</f>
        <v>bridge-oracle</v>
      </c>
      <c r="B2032" s="3" t="str">
        <f>IFERROR(__xludf.DUMMYFUNCTION("""COMPUTED_VALUE"""),"brg")</f>
        <v>brg</v>
      </c>
      <c r="C2032" s="3" t="str">
        <f>IFERROR(__xludf.DUMMYFUNCTION("""COMPUTED_VALUE"""),"Bridge Oracle")</f>
        <v>Bridge Oracle</v>
      </c>
    </row>
    <row r="2033">
      <c r="A2033" s="3" t="str">
        <f>IFERROR(__xludf.DUMMYFUNCTION("""COMPUTED_VALUE"""),"bridgesplit-brand-index")</f>
        <v>bridgesplit-brand-index</v>
      </c>
      <c r="B2033" s="3" t="str">
        <f>IFERROR(__xludf.DUMMYFUNCTION("""COMPUTED_VALUE"""),"bbi")</f>
        <v>bbi</v>
      </c>
      <c r="C2033" s="3" t="str">
        <f>IFERROR(__xludf.DUMMYFUNCTION("""COMPUTED_VALUE"""),"Bridgesplit Brand Index")</f>
        <v>Bridgesplit Brand Index</v>
      </c>
    </row>
    <row r="2034">
      <c r="A2034" s="3" t="str">
        <f>IFERROR(__xludf.DUMMYFUNCTION("""COMPUTED_VALUE"""),"bridgetech-usdt")</f>
        <v>bridgetech-usdt</v>
      </c>
      <c r="B2034" s="3" t="str">
        <f>IFERROR(__xludf.DUMMYFUNCTION("""COMPUTED_VALUE"""),"busdt")</f>
        <v>busdt</v>
      </c>
      <c r="C2034" s="3" t="str">
        <f>IFERROR(__xludf.DUMMYFUNCTION("""COMPUTED_VALUE"""),"BridgeTech USDT")</f>
        <v>BridgeTech USDT</v>
      </c>
    </row>
    <row r="2035">
      <c r="A2035" s="3" t="str">
        <f>IFERROR(__xludf.DUMMYFUNCTION("""COMPUTED_VALUE"""),"brig-finance")</f>
        <v>brig-finance</v>
      </c>
      <c r="B2035" s="3" t="str">
        <f>IFERROR(__xludf.DUMMYFUNCTION("""COMPUTED_VALUE"""),"brig")</f>
        <v>brig</v>
      </c>
      <c r="C2035" s="3" t="str">
        <f>IFERROR(__xludf.DUMMYFUNCTION("""COMPUTED_VALUE"""),"Brig Finance")</f>
        <v>Brig Finance</v>
      </c>
    </row>
    <row r="2036">
      <c r="A2036" s="3" t="str">
        <f>IFERROR(__xludf.DUMMYFUNCTION("""COMPUTED_VALUE"""),"bright-token")</f>
        <v>bright-token</v>
      </c>
      <c r="B2036" s="3" t="str">
        <f>IFERROR(__xludf.DUMMYFUNCTION("""COMPUTED_VALUE"""),"bright")</f>
        <v>bright</v>
      </c>
      <c r="C2036" s="3" t="str">
        <f>IFERROR(__xludf.DUMMYFUNCTION("""COMPUTED_VALUE"""),"BrightID")</f>
        <v>BrightID</v>
      </c>
    </row>
    <row r="2037">
      <c r="A2037" s="3" t="str">
        <f>IFERROR(__xludf.DUMMYFUNCTION("""COMPUTED_VALUE"""),"bright-union")</f>
        <v>bright-union</v>
      </c>
      <c r="B2037" s="3" t="str">
        <f>IFERROR(__xludf.DUMMYFUNCTION("""COMPUTED_VALUE"""),"bright")</f>
        <v>bright</v>
      </c>
      <c r="C2037" s="3" t="str">
        <f>IFERROR(__xludf.DUMMYFUNCTION("""COMPUTED_VALUE"""),"Bright Union")</f>
        <v>Bright Union</v>
      </c>
    </row>
    <row r="2038">
      <c r="A2038" s="3" t="str">
        <f>IFERROR(__xludf.DUMMYFUNCTION("""COMPUTED_VALUE"""),"brightypad")</f>
        <v>brightypad</v>
      </c>
      <c r="B2038" s="3" t="str">
        <f>IFERROR(__xludf.DUMMYFUNCTION("""COMPUTED_VALUE"""),"byp")</f>
        <v>byp</v>
      </c>
      <c r="C2038" s="3" t="str">
        <f>IFERROR(__xludf.DUMMYFUNCTION("""COMPUTED_VALUE"""),"BrightyPad")</f>
        <v>BrightyPad</v>
      </c>
    </row>
    <row r="2039">
      <c r="A2039" s="3" t="str">
        <f>IFERROR(__xludf.DUMMYFUNCTION("""COMPUTED_VALUE"""),"brinc-finance")</f>
        <v>brinc-finance</v>
      </c>
      <c r="B2039" s="3" t="str">
        <f>IFERROR(__xludf.DUMMYFUNCTION("""COMPUTED_VALUE"""),"brc")</f>
        <v>brc</v>
      </c>
      <c r="C2039" s="3" t="str">
        <f>IFERROR(__xludf.DUMMYFUNCTION("""COMPUTED_VALUE"""),"Brinc Finance")</f>
        <v>Brinc Finance</v>
      </c>
    </row>
    <row r="2040">
      <c r="A2040" s="3" t="str">
        <f>IFERROR(__xludf.DUMMYFUNCTION("""COMPUTED_VALUE"""),"bring")</f>
        <v>bring</v>
      </c>
      <c r="B2040" s="3" t="str">
        <f>IFERROR(__xludf.DUMMYFUNCTION("""COMPUTED_VALUE"""),"anoir")</f>
        <v>anoir</v>
      </c>
      <c r="C2040" s="3" t="str">
        <f>IFERROR(__xludf.DUMMYFUNCTION("""COMPUTED_VALUE"""),"Noir")</f>
        <v>Noir</v>
      </c>
    </row>
    <row r="2041">
      <c r="A2041" s="3" t="str">
        <f>IFERROR(__xludf.DUMMYFUNCTION("""COMPUTED_VALUE"""),"bring-finance")</f>
        <v>bring-finance</v>
      </c>
      <c r="B2041" s="3" t="str">
        <f>IFERROR(__xludf.DUMMYFUNCTION("""COMPUTED_VALUE"""),"brng")</f>
        <v>brng</v>
      </c>
      <c r="C2041" s="3" t="str">
        <f>IFERROR(__xludf.DUMMYFUNCTION("""COMPUTED_VALUE"""),"bRing.Finance")</f>
        <v>bRing.Finance</v>
      </c>
    </row>
    <row r="2042">
      <c r="A2042" s="3" t="str">
        <f>IFERROR(__xludf.DUMMYFUNCTION("""COMPUTED_VALUE"""),"brisepad")</f>
        <v>brisepad</v>
      </c>
      <c r="B2042" s="3" t="str">
        <f>IFERROR(__xludf.DUMMYFUNCTION("""COMPUTED_VALUE"""),"bpad")</f>
        <v>bpad</v>
      </c>
      <c r="C2042" s="3" t="str">
        <f>IFERROR(__xludf.DUMMYFUNCTION("""COMPUTED_VALUE"""),"Brisepad")</f>
        <v>Brisepad</v>
      </c>
    </row>
    <row r="2043">
      <c r="A2043" s="3" t="str">
        <f>IFERROR(__xludf.DUMMYFUNCTION("""COMPUTED_VALUE"""),"brise-paradise")</f>
        <v>brise-paradise</v>
      </c>
      <c r="B2043" s="3" t="str">
        <f>IFERROR(__xludf.DUMMYFUNCTION("""COMPUTED_VALUE"""),"prds")</f>
        <v>prds</v>
      </c>
      <c r="C2043" s="3" t="str">
        <f>IFERROR(__xludf.DUMMYFUNCTION("""COMPUTED_VALUE"""),"Brise Paradise")</f>
        <v>Brise Paradise</v>
      </c>
    </row>
    <row r="2044">
      <c r="A2044" s="3" t="str">
        <f>IFERROR(__xludf.DUMMYFUNCTION("""COMPUTED_VALUE"""),"briseswap")</f>
        <v>briseswap</v>
      </c>
      <c r="B2044" s="3" t="str">
        <f>IFERROR(__xludf.DUMMYFUNCTION("""COMPUTED_VALUE"""),"bswap")</f>
        <v>bswap</v>
      </c>
      <c r="C2044" s="3" t="str">
        <f>IFERROR(__xludf.DUMMYFUNCTION("""COMPUTED_VALUE"""),"Briseswap")</f>
        <v>Briseswap</v>
      </c>
    </row>
    <row r="2045">
      <c r="A2045" s="3" t="str">
        <f>IFERROR(__xludf.DUMMYFUNCTION("""COMPUTED_VALUE"""),"britto")</f>
        <v>britto</v>
      </c>
      <c r="B2045" s="3" t="str">
        <f>IFERROR(__xludf.DUMMYFUNCTION("""COMPUTED_VALUE"""),"brt")</f>
        <v>brt</v>
      </c>
      <c r="C2045" s="3" t="str">
        <f>IFERROR(__xludf.DUMMYFUNCTION("""COMPUTED_VALUE"""),"Britto")</f>
        <v>Britto</v>
      </c>
    </row>
    <row r="2046">
      <c r="A2046" s="3" t="str">
        <f>IFERROR(__xludf.DUMMYFUNCTION("""COMPUTED_VALUE"""),"brmv-token")</f>
        <v>brmv-token</v>
      </c>
      <c r="B2046" s="3" t="str">
        <f>IFERROR(__xludf.DUMMYFUNCTION("""COMPUTED_VALUE"""),"brmv")</f>
        <v>brmv</v>
      </c>
      <c r="C2046" s="3" t="str">
        <f>IFERROR(__xludf.DUMMYFUNCTION("""COMPUTED_VALUE"""),"BRMV")</f>
        <v>BRMV</v>
      </c>
    </row>
    <row r="2047">
      <c r="A2047" s="3" t="str">
        <f>IFERROR(__xludf.DUMMYFUNCTION("""COMPUTED_VALUE"""),"brn-metaverse")</f>
        <v>brn-metaverse</v>
      </c>
      <c r="B2047" s="3" t="str">
        <f>IFERROR(__xludf.DUMMYFUNCTION("""COMPUTED_VALUE"""),"brn")</f>
        <v>brn</v>
      </c>
      <c r="C2047" s="3" t="str">
        <f>IFERROR(__xludf.DUMMYFUNCTION("""COMPUTED_VALUE"""),"BRN Metaverse")</f>
        <v>BRN Metaverse</v>
      </c>
    </row>
    <row r="2048">
      <c r="A2048" s="3" t="str">
        <f>IFERROR(__xludf.DUMMYFUNCTION("""COMPUTED_VALUE"""),"brokkr")</f>
        <v>brokkr</v>
      </c>
      <c r="B2048" s="3" t="str">
        <f>IFERROR(__xludf.DUMMYFUNCTION("""COMPUTED_VALUE"""),"bro")</f>
        <v>bro</v>
      </c>
      <c r="C2048" s="3" t="str">
        <f>IFERROR(__xludf.DUMMYFUNCTION("""COMPUTED_VALUE"""),"Brokkr")</f>
        <v>Brokkr</v>
      </c>
    </row>
    <row r="2049">
      <c r="A2049" s="3" t="str">
        <f>IFERROR(__xludf.DUMMYFUNCTION("""COMPUTED_VALUE"""),"brokoli")</f>
        <v>brokoli</v>
      </c>
      <c r="B2049" s="3" t="str">
        <f>IFERROR(__xludf.DUMMYFUNCTION("""COMPUTED_VALUE"""),"brkl")</f>
        <v>brkl</v>
      </c>
      <c r="C2049" s="3" t="str">
        <f>IFERROR(__xludf.DUMMYFUNCTION("""COMPUTED_VALUE"""),"Brokoli")</f>
        <v>Brokoli</v>
      </c>
    </row>
    <row r="2050">
      <c r="A2050" s="3" t="str">
        <f>IFERROR(__xludf.DUMMYFUNCTION("""COMPUTED_VALUE"""),"broovs-projects")</f>
        <v>broovs-projects</v>
      </c>
      <c r="B2050" s="3" t="str">
        <f>IFERROR(__xludf.DUMMYFUNCTION("""COMPUTED_VALUE"""),"brs")</f>
        <v>brs</v>
      </c>
      <c r="C2050" s="3" t="str">
        <f>IFERROR(__xludf.DUMMYFUNCTION("""COMPUTED_VALUE"""),"Broovs Projects")</f>
        <v>Broovs Projects</v>
      </c>
    </row>
    <row r="2051">
      <c r="A2051" s="3" t="str">
        <f>IFERROR(__xludf.DUMMYFUNCTION("""COMPUTED_VALUE"""),"brother-music-platform")</f>
        <v>brother-music-platform</v>
      </c>
      <c r="B2051" s="3" t="str">
        <f>IFERROR(__xludf.DUMMYFUNCTION("""COMPUTED_VALUE"""),"bmp")</f>
        <v>bmp</v>
      </c>
      <c r="C2051" s="3" t="str">
        <f>IFERROR(__xludf.DUMMYFUNCTION("""COMPUTED_VALUE"""),"Brother Music Platform")</f>
        <v>Brother Music Platform</v>
      </c>
    </row>
    <row r="2052">
      <c r="A2052" s="3" t="str">
        <f>IFERROR(__xludf.DUMMYFUNCTION("""COMPUTED_VALUE"""),"bro-token")</f>
        <v>bro-token</v>
      </c>
      <c r="B2052" s="3" t="str">
        <f>IFERROR(__xludf.DUMMYFUNCTION("""COMPUTED_VALUE"""),"bro")</f>
        <v>bro</v>
      </c>
      <c r="C2052" s="3" t="str">
        <f>IFERROR(__xludf.DUMMYFUNCTION("""COMPUTED_VALUE"""),"Bro")</f>
        <v>Bro</v>
      </c>
    </row>
    <row r="2053">
      <c r="A2053" s="3" t="str">
        <f>IFERROR(__xludf.DUMMYFUNCTION("""COMPUTED_VALUE"""),"browniesswap")</f>
        <v>browniesswap</v>
      </c>
      <c r="B2053" s="3" t="str">
        <f>IFERROR(__xludf.DUMMYFUNCTION("""COMPUTED_VALUE"""),"brown")</f>
        <v>brown</v>
      </c>
      <c r="C2053" s="3" t="str">
        <f>IFERROR(__xludf.DUMMYFUNCTION("""COMPUTED_VALUE"""),"BrowniesSwap")</f>
        <v>BrowniesSwap</v>
      </c>
    </row>
    <row r="2054">
      <c r="A2054" s="3" t="str">
        <f>IFERROR(__xludf.DUMMYFUNCTION("""COMPUTED_VALUE"""),"brz")</f>
        <v>brz</v>
      </c>
      <c r="B2054" s="3" t="str">
        <f>IFERROR(__xludf.DUMMYFUNCTION("""COMPUTED_VALUE"""),"brz")</f>
        <v>brz</v>
      </c>
      <c r="C2054" s="3" t="str">
        <f>IFERROR(__xludf.DUMMYFUNCTION("""COMPUTED_VALUE"""),"Brazilian Digital")</f>
        <v>Brazilian Digital</v>
      </c>
    </row>
    <row r="2055">
      <c r="A2055" s="3" t="str">
        <f>IFERROR(__xludf.DUMMYFUNCTION("""COMPUTED_VALUE"""),"bscarmy")</f>
        <v>bscarmy</v>
      </c>
      <c r="B2055" s="3" t="str">
        <f>IFERROR(__xludf.DUMMYFUNCTION("""COMPUTED_VALUE"""),"barmy")</f>
        <v>barmy</v>
      </c>
      <c r="C2055" s="3" t="str">
        <f>IFERROR(__xludf.DUMMYFUNCTION("""COMPUTED_VALUE"""),"BscArmy")</f>
        <v>BscArmy</v>
      </c>
    </row>
    <row r="2056">
      <c r="A2056" s="3" t="str">
        <f>IFERROR(__xludf.DUMMYFUNCTION("""COMPUTED_VALUE"""),"bscbay")</f>
        <v>bscbay</v>
      </c>
      <c r="B2056" s="3" t="str">
        <f>IFERROR(__xludf.DUMMYFUNCTION("""COMPUTED_VALUE"""),"bscb")</f>
        <v>bscb</v>
      </c>
      <c r="C2056" s="3" t="str">
        <f>IFERROR(__xludf.DUMMYFUNCTION("""COMPUTED_VALUE"""),"BSCBAY")</f>
        <v>BSCBAY</v>
      </c>
    </row>
    <row r="2057">
      <c r="A2057" s="3" t="str">
        <f>IFERROR(__xludf.DUMMYFUNCTION("""COMPUTED_VALUE"""),"bscbets")</f>
        <v>bscbets</v>
      </c>
      <c r="B2057" s="3" t="str">
        <f>IFERROR(__xludf.DUMMYFUNCTION("""COMPUTED_VALUE"""),"bets")</f>
        <v>bets</v>
      </c>
      <c r="C2057" s="3" t="str">
        <f>IFERROR(__xludf.DUMMYFUNCTION("""COMPUTED_VALUE"""),"BSCBETS")</f>
        <v>BSCBETS</v>
      </c>
    </row>
    <row r="2058">
      <c r="A2058" s="3" t="str">
        <f>IFERROR(__xludf.DUMMYFUNCTION("""COMPUTED_VALUE"""),"bscbond")</f>
        <v>bscbond</v>
      </c>
      <c r="B2058" s="3" t="str">
        <f>IFERROR(__xludf.DUMMYFUNCTION("""COMPUTED_VALUE"""),"bscb")</f>
        <v>bscb</v>
      </c>
      <c r="C2058" s="3" t="str">
        <f>IFERROR(__xludf.DUMMYFUNCTION("""COMPUTED_VALUE"""),"BscBond")</f>
        <v>BscBond</v>
      </c>
    </row>
    <row r="2059">
      <c r="A2059" s="3" t="str">
        <f>IFERROR(__xludf.DUMMYFUNCTION("""COMPUTED_VALUE"""),"bsccrop")</f>
        <v>bsccrop</v>
      </c>
      <c r="B2059" s="3" t="str">
        <f>IFERROR(__xludf.DUMMYFUNCTION("""COMPUTED_VALUE"""),"bsccrop")</f>
        <v>bsccrop</v>
      </c>
      <c r="C2059" s="3" t="str">
        <f>IFERROR(__xludf.DUMMYFUNCTION("""COMPUTED_VALUE"""),"BSCCrop")</f>
        <v>BSCCrop</v>
      </c>
    </row>
    <row r="2060">
      <c r="A2060" s="3" t="str">
        <f>IFERROR(__xludf.DUMMYFUNCTION("""COMPUTED_VALUE"""),"bscex")</f>
        <v>bscex</v>
      </c>
      <c r="B2060" s="3" t="str">
        <f>IFERROR(__xludf.DUMMYFUNCTION("""COMPUTED_VALUE"""),"bscx")</f>
        <v>bscx</v>
      </c>
      <c r="C2060" s="3" t="str">
        <f>IFERROR(__xludf.DUMMYFUNCTION("""COMPUTED_VALUE"""),"BSCEX")</f>
        <v>BSCEX</v>
      </c>
    </row>
    <row r="2061">
      <c r="A2061" s="3" t="str">
        <f>IFERROR(__xludf.DUMMYFUNCTION("""COMPUTED_VALUE"""),"bscgold")</f>
        <v>bscgold</v>
      </c>
      <c r="B2061" s="3" t="str">
        <f>IFERROR(__xludf.DUMMYFUNCTION("""COMPUTED_VALUE"""),"bscgold")</f>
        <v>bscgold</v>
      </c>
      <c r="C2061" s="3" t="str">
        <f>IFERROR(__xludf.DUMMYFUNCTION("""COMPUTED_VALUE"""),"BSCGold")</f>
        <v>BSCGold</v>
      </c>
    </row>
    <row r="2062">
      <c r="A2062" s="3" t="str">
        <f>IFERROR(__xludf.DUMMYFUNCTION("""COMPUTED_VALUE"""),"bsclaunch")</f>
        <v>bsclaunch</v>
      </c>
      <c r="B2062" s="3" t="str">
        <f>IFERROR(__xludf.DUMMYFUNCTION("""COMPUTED_VALUE"""),"bsl")</f>
        <v>bsl</v>
      </c>
      <c r="C2062" s="3" t="str">
        <f>IFERROR(__xludf.DUMMYFUNCTION("""COMPUTED_VALUE"""),"BSClaunch")</f>
        <v>BSClaunch</v>
      </c>
    </row>
    <row r="2063">
      <c r="A2063" s="3" t="str">
        <f>IFERROR(__xludf.DUMMYFUNCTION("""COMPUTED_VALUE"""),"bsc-memepad")</f>
        <v>bsc-memepad</v>
      </c>
      <c r="B2063" s="3" t="str">
        <f>IFERROR(__xludf.DUMMYFUNCTION("""COMPUTED_VALUE"""),"bscm")</f>
        <v>bscm</v>
      </c>
      <c r="C2063" s="3" t="str">
        <f>IFERROR(__xludf.DUMMYFUNCTION("""COMPUTED_VALUE"""),"BSC MemePad")</f>
        <v>BSC MemePad</v>
      </c>
    </row>
    <row r="2064">
      <c r="A2064" s="3" t="str">
        <f>IFERROR(__xludf.DUMMYFUNCTION("""COMPUTED_VALUE"""),"bscpad")</f>
        <v>bscpad</v>
      </c>
      <c r="B2064" s="3" t="str">
        <f>IFERROR(__xludf.DUMMYFUNCTION("""COMPUTED_VALUE"""),"bscpad")</f>
        <v>bscpad</v>
      </c>
      <c r="C2064" s="3" t="str">
        <f>IFERROR(__xludf.DUMMYFUNCTION("""COMPUTED_VALUE"""),"BSCPAD")</f>
        <v>BSCPAD</v>
      </c>
    </row>
    <row r="2065">
      <c r="A2065" s="3" t="str">
        <f>IFERROR(__xludf.DUMMYFUNCTION("""COMPUTED_VALUE"""),"bscstarter")</f>
        <v>bscstarter</v>
      </c>
      <c r="B2065" s="3" t="str">
        <f>IFERROR(__xludf.DUMMYFUNCTION("""COMPUTED_VALUE"""),"start")</f>
        <v>start</v>
      </c>
      <c r="C2065" s="3" t="str">
        <f>IFERROR(__xludf.DUMMYFUNCTION("""COMPUTED_VALUE"""),"Starter.xyz")</f>
        <v>Starter.xyz</v>
      </c>
    </row>
    <row r="2066">
      <c r="A2066" s="3" t="str">
        <f>IFERROR(__xludf.DUMMYFUNCTION("""COMPUTED_VALUE"""),"bsc-station")</f>
        <v>bsc-station</v>
      </c>
      <c r="B2066" s="3" t="str">
        <f>IFERROR(__xludf.DUMMYFUNCTION("""COMPUTED_VALUE"""),"bscs")</f>
        <v>bscs</v>
      </c>
      <c r="C2066" s="3" t="str">
        <f>IFERROR(__xludf.DUMMYFUNCTION("""COMPUTED_VALUE"""),"BSC Station")</f>
        <v>BSC Station</v>
      </c>
    </row>
    <row r="2067">
      <c r="A2067" s="3" t="str">
        <f>IFERROR(__xludf.DUMMYFUNCTION("""COMPUTED_VALUE"""),"bscview")</f>
        <v>bscview</v>
      </c>
      <c r="B2067" s="3" t="str">
        <f>IFERROR(__xludf.DUMMYFUNCTION("""COMPUTED_VALUE"""),"bscv")</f>
        <v>bscv</v>
      </c>
      <c r="C2067" s="3" t="str">
        <f>IFERROR(__xludf.DUMMYFUNCTION("""COMPUTED_VALUE"""),"Bscview")</f>
        <v>Bscview</v>
      </c>
    </row>
    <row r="2068">
      <c r="A2068" s="3" t="str">
        <f>IFERROR(__xludf.DUMMYFUNCTION("""COMPUTED_VALUE"""),"bsdium")</f>
        <v>bsdium</v>
      </c>
      <c r="B2068" s="3" t="str">
        <f>IFERROR(__xludf.DUMMYFUNCTION("""COMPUTED_VALUE"""),"bscd")</f>
        <v>bscd</v>
      </c>
      <c r="C2068" s="3" t="str">
        <f>IFERROR(__xludf.DUMMYFUNCTION("""COMPUTED_VALUE"""),"BSDium")</f>
        <v>BSDium</v>
      </c>
    </row>
    <row r="2069">
      <c r="A2069" s="3" t="str">
        <f>IFERROR(__xludf.DUMMYFUNCTION("""COMPUTED_VALUE"""),"bsha3")</f>
        <v>bsha3</v>
      </c>
      <c r="B2069" s="3" t="str">
        <f>IFERROR(__xludf.DUMMYFUNCTION("""COMPUTED_VALUE"""),"bsha3")</f>
        <v>bsha3</v>
      </c>
      <c r="C2069" s="3" t="str">
        <f>IFERROR(__xludf.DUMMYFUNCTION("""COMPUTED_VALUE"""),"BSHA3")</f>
        <v>BSHA3</v>
      </c>
    </row>
    <row r="2070">
      <c r="A2070" s="3" t="str">
        <f>IFERROR(__xludf.DUMMYFUNCTION("""COMPUTED_VALUE"""),"bsocial")</f>
        <v>bsocial</v>
      </c>
      <c r="B2070" s="3" t="str">
        <f>IFERROR(__xludf.DUMMYFUNCTION("""COMPUTED_VALUE"""),"bins")</f>
        <v>bins</v>
      </c>
      <c r="C2070" s="3" t="str">
        <f>IFERROR(__xludf.DUMMYFUNCTION("""COMPUTED_VALUE"""),"BSocial")</f>
        <v>BSocial</v>
      </c>
    </row>
    <row r="2071">
      <c r="A2071" s="3" t="str">
        <f>IFERROR(__xludf.DUMMYFUNCTION("""COMPUTED_VALUE"""),"btc-2x-flexible-leverage-index")</f>
        <v>btc-2x-flexible-leverage-index</v>
      </c>
      <c r="B2071" s="3" t="str">
        <f>IFERROR(__xludf.DUMMYFUNCTION("""COMPUTED_VALUE"""),"btc2x-fli")</f>
        <v>btc2x-fli</v>
      </c>
      <c r="C2071" s="3" t="str">
        <f>IFERROR(__xludf.DUMMYFUNCTION("""COMPUTED_VALUE"""),"BTC 2x Flexible Leverage Index")</f>
        <v>BTC 2x Flexible Leverage Index</v>
      </c>
    </row>
    <row r="2072">
      <c r="A2072" s="3" t="str">
        <f>IFERROR(__xludf.DUMMYFUNCTION("""COMPUTED_VALUE"""),"btc-2x-flexible-leverage-index-polygon")</f>
        <v>btc-2x-flexible-leverage-index-polygon</v>
      </c>
      <c r="B2072" s="3" t="str">
        <f>IFERROR(__xludf.DUMMYFUNCTION("""COMPUTED_VALUE"""),"btc2x-fli-p")</f>
        <v>btc2x-fli-p</v>
      </c>
      <c r="C2072" s="3" t="str">
        <f>IFERROR(__xludf.DUMMYFUNCTION("""COMPUTED_VALUE"""),"BTC 2x Flexible Leverage Index (Polygon)")</f>
        <v>BTC 2x Flexible Leverage Index (Polygon)</v>
      </c>
    </row>
    <row r="2073">
      <c r="A2073" s="3" t="str">
        <f>IFERROR(__xludf.DUMMYFUNCTION("""COMPUTED_VALUE"""),"btcmoon")</f>
        <v>btcmoon</v>
      </c>
      <c r="B2073" s="3" t="str">
        <f>IFERROR(__xludf.DUMMYFUNCTION("""COMPUTED_VALUE"""),"btcm")</f>
        <v>btcm</v>
      </c>
      <c r="C2073" s="3" t="str">
        <f>IFERROR(__xludf.DUMMYFUNCTION("""COMPUTED_VALUE"""),"BTCMoon")</f>
        <v>BTCMoon</v>
      </c>
    </row>
    <row r="2074">
      <c r="A2074" s="3" t="str">
        <f>IFERROR(__xludf.DUMMYFUNCTION("""COMPUTED_VALUE"""),"btc-proxy")</f>
        <v>btc-proxy</v>
      </c>
      <c r="B2074" s="3" t="str">
        <f>IFERROR(__xludf.DUMMYFUNCTION("""COMPUTED_VALUE"""),"btcpx")</f>
        <v>btcpx</v>
      </c>
      <c r="C2074" s="3" t="str">
        <f>IFERROR(__xludf.DUMMYFUNCTION("""COMPUTED_VALUE"""),"BTC Proxy")</f>
        <v>BTC Proxy</v>
      </c>
    </row>
    <row r="2075">
      <c r="A2075" s="3" t="str">
        <f>IFERROR(__xludf.DUMMYFUNCTION("""COMPUTED_VALUE"""),"btc-standard-hashrate-token")</f>
        <v>btc-standard-hashrate-token</v>
      </c>
      <c r="B2075" s="3" t="str">
        <f>IFERROR(__xludf.DUMMYFUNCTION("""COMPUTED_VALUE"""),"btcst")</f>
        <v>btcst</v>
      </c>
      <c r="C2075" s="3" t="str">
        <f>IFERROR(__xludf.DUMMYFUNCTION("""COMPUTED_VALUE"""),"BTC Standard Hashrate Token")</f>
        <v>BTC Standard Hashrate Token</v>
      </c>
    </row>
    <row r="2076">
      <c r="A2076" s="3" t="str">
        <f>IFERROR(__xludf.DUMMYFUNCTION("""COMPUTED_VALUE"""),"btf")</f>
        <v>btf</v>
      </c>
      <c r="B2076" s="3" t="str">
        <f>IFERROR(__xludf.DUMMYFUNCTION("""COMPUTED_VALUE"""),"btf")</f>
        <v>btf</v>
      </c>
      <c r="C2076" s="3" t="str">
        <f>IFERROR(__xludf.DUMMYFUNCTION("""COMPUTED_VALUE"""),"Bitcoin Faith")</f>
        <v>Bitcoin Faith</v>
      </c>
    </row>
    <row r="2077">
      <c r="A2077" s="3" t="str">
        <f>IFERROR(__xludf.DUMMYFUNCTION("""COMPUTED_VALUE"""),"bt-finance")</f>
        <v>bt-finance</v>
      </c>
      <c r="B2077" s="3" t="str">
        <f>IFERROR(__xludf.DUMMYFUNCTION("""COMPUTED_VALUE"""),"bt")</f>
        <v>bt</v>
      </c>
      <c r="C2077" s="3" t="str">
        <f>IFERROR(__xludf.DUMMYFUNCTION("""COMPUTED_VALUE"""),"BT.Finance")</f>
        <v>BT.Finance</v>
      </c>
    </row>
    <row r="2078">
      <c r="A2078" s="3" t="str">
        <f>IFERROR(__xludf.DUMMYFUNCTION("""COMPUTED_VALUE"""),"btmiracles")</f>
        <v>btmiracles</v>
      </c>
      <c r="B2078" s="3" t="str">
        <f>IFERROR(__xludf.DUMMYFUNCTION("""COMPUTED_VALUE"""),"bm")</f>
        <v>bm</v>
      </c>
      <c r="C2078" s="3" t="str">
        <f>IFERROR(__xludf.DUMMYFUNCTION("""COMPUTED_VALUE"""),"BtMiracles")</f>
        <v>BtMiracles</v>
      </c>
    </row>
    <row r="2079">
      <c r="A2079" s="3" t="str">
        <f>IFERROR(__xludf.DUMMYFUNCTION("""COMPUTED_VALUE"""),"btour-chain")</f>
        <v>btour-chain</v>
      </c>
      <c r="B2079" s="3" t="str">
        <f>IFERROR(__xludf.DUMMYFUNCTION("""COMPUTED_VALUE"""),"msot")</f>
        <v>msot</v>
      </c>
      <c r="C2079" s="3" t="str">
        <f>IFERROR(__xludf.DUMMYFUNCTION("""COMPUTED_VALUE"""),"BTour Chain")</f>
        <v>BTour Chain</v>
      </c>
    </row>
    <row r="2080">
      <c r="A2080" s="3" t="str">
        <f>IFERROR(__xludf.DUMMYFUNCTION("""COMPUTED_VALUE"""),"btrips")</f>
        <v>btrips</v>
      </c>
      <c r="B2080" s="3" t="str">
        <f>IFERROR(__xludf.DUMMYFUNCTION("""COMPUTED_VALUE"""),"btr")</f>
        <v>btr</v>
      </c>
      <c r="C2080" s="3" t="str">
        <f>IFERROR(__xludf.DUMMYFUNCTION("""COMPUTED_VALUE"""),"BTRIPS")</f>
        <v>BTRIPS</v>
      </c>
    </row>
    <row r="2081">
      <c r="A2081" s="3" t="str">
        <f>IFERROR(__xludf.DUMMYFUNCTION("""COMPUTED_VALUE"""),"bts-chain")</f>
        <v>bts-chain</v>
      </c>
      <c r="B2081" s="3" t="str">
        <f>IFERROR(__xludf.DUMMYFUNCTION("""COMPUTED_VALUE"""),"btsc")</f>
        <v>btsc</v>
      </c>
      <c r="C2081" s="3" t="str">
        <f>IFERROR(__xludf.DUMMYFUNCTION("""COMPUTED_VALUE"""),"BTS Chain")</f>
        <v>BTS Chain</v>
      </c>
    </row>
    <row r="2082">
      <c r="A2082" s="3" t="str">
        <f>IFERROR(__xludf.DUMMYFUNCTION("""COMPUTED_VALUE"""),"btse-token")</f>
        <v>btse-token</v>
      </c>
      <c r="B2082" s="3" t="str">
        <f>IFERROR(__xludf.DUMMYFUNCTION("""COMPUTED_VALUE"""),"btse")</f>
        <v>btse</v>
      </c>
      <c r="C2082" s="3" t="str">
        <f>IFERROR(__xludf.DUMMYFUNCTION("""COMPUTED_VALUE"""),"BTSE Token")</f>
        <v>BTSE Token</v>
      </c>
    </row>
    <row r="2083">
      <c r="A2083" s="3" t="str">
        <f>IFERROR(__xludf.DUMMYFUNCTION("""COMPUTED_VALUE"""),"btu-protocol")</f>
        <v>btu-protocol</v>
      </c>
      <c r="B2083" s="3" t="str">
        <f>IFERROR(__xludf.DUMMYFUNCTION("""COMPUTED_VALUE"""),"btu")</f>
        <v>btu</v>
      </c>
      <c r="C2083" s="3" t="str">
        <f>IFERROR(__xludf.DUMMYFUNCTION("""COMPUTED_VALUE"""),"BTU Protocol")</f>
        <v>BTU Protocol</v>
      </c>
    </row>
    <row r="2084">
      <c r="A2084" s="3" t="str">
        <f>IFERROR(__xludf.DUMMYFUNCTION("""COMPUTED_VALUE"""),"bubblefong")</f>
        <v>bubblefong</v>
      </c>
      <c r="B2084" s="3" t="str">
        <f>IFERROR(__xludf.DUMMYFUNCTION("""COMPUTED_VALUE"""),"bbf")</f>
        <v>bbf</v>
      </c>
      <c r="C2084" s="3" t="str">
        <f>IFERROR(__xludf.DUMMYFUNCTION("""COMPUTED_VALUE"""),"Bubblefong")</f>
        <v>Bubblefong</v>
      </c>
    </row>
    <row r="2085">
      <c r="A2085" s="3" t="str">
        <f>IFERROR(__xludf.DUMMYFUNCTION("""COMPUTED_VALUE"""),"bubble-network")</f>
        <v>bubble-network</v>
      </c>
      <c r="B2085" s="3" t="str">
        <f>IFERROR(__xludf.DUMMYFUNCTION("""COMPUTED_VALUE"""),"bbl")</f>
        <v>bbl</v>
      </c>
      <c r="C2085" s="3" t="str">
        <f>IFERROR(__xludf.DUMMYFUNCTION("""COMPUTED_VALUE"""),"Bubble Network")</f>
        <v>Bubble Network</v>
      </c>
    </row>
    <row r="2086">
      <c r="A2086" s="3" t="str">
        <f>IFERROR(__xludf.DUMMYFUNCTION("""COMPUTED_VALUE"""),"buckhath-coin")</f>
        <v>buckhath-coin</v>
      </c>
      <c r="B2086" s="3" t="str">
        <f>IFERROR(__xludf.DUMMYFUNCTION("""COMPUTED_VALUE"""),"bhig")</f>
        <v>bhig</v>
      </c>
      <c r="C2086" s="3" t="str">
        <f>IFERROR(__xludf.DUMMYFUNCTION("""COMPUTED_VALUE"""),"BuckHath Coin")</f>
        <v>BuckHath Coin</v>
      </c>
    </row>
    <row r="2087">
      <c r="A2087" s="3" t="str">
        <f>IFERROR(__xludf.DUMMYFUNCTION("""COMPUTED_VALUE"""),"bucky-badger")</f>
        <v>bucky-badger</v>
      </c>
      <c r="B2087" s="3" t="str">
        <f>IFERROR(__xludf.DUMMYFUNCTION("""COMPUTED_VALUE"""),"bucky")</f>
        <v>bucky</v>
      </c>
      <c r="C2087" s="3" t="str">
        <f>IFERROR(__xludf.DUMMYFUNCTION("""COMPUTED_VALUE"""),"Bucky Badger")</f>
        <v>Bucky Badger</v>
      </c>
    </row>
    <row r="2088">
      <c r="A2088" s="3" t="str">
        <f>IFERROR(__xludf.DUMMYFUNCTION("""COMPUTED_VALUE"""),"buddy")</f>
        <v>buddy</v>
      </c>
      <c r="B2088" s="3" t="str">
        <f>IFERROR(__xludf.DUMMYFUNCTION("""COMPUTED_VALUE"""),"bud")</f>
        <v>bud</v>
      </c>
      <c r="C2088" s="3" t="str">
        <f>IFERROR(__xludf.DUMMYFUNCTION("""COMPUTED_VALUE"""),"Buddy")</f>
        <v>Buddy</v>
      </c>
    </row>
    <row r="2089">
      <c r="A2089" s="3" t="str">
        <f>IFERROR(__xludf.DUMMYFUNCTION("""COMPUTED_VALUE"""),"buddy-dao")</f>
        <v>buddy-dao</v>
      </c>
      <c r="B2089" s="3" t="str">
        <f>IFERROR(__xludf.DUMMYFUNCTION("""COMPUTED_VALUE"""),"bdy")</f>
        <v>bdy</v>
      </c>
      <c r="C2089" s="3" t="str">
        <f>IFERROR(__xludf.DUMMYFUNCTION("""COMPUTED_VALUE"""),"Buddy DAO")</f>
        <v>Buddy DAO</v>
      </c>
    </row>
    <row r="2090">
      <c r="A2090" s="3" t="str">
        <f>IFERROR(__xludf.DUMMYFUNCTION("""COMPUTED_VALUE"""),"buff-doge-coin")</f>
        <v>buff-doge-coin</v>
      </c>
      <c r="B2090" s="3" t="str">
        <f>IFERROR(__xludf.DUMMYFUNCTION("""COMPUTED_VALUE"""),"dogecoin")</f>
        <v>dogecoin</v>
      </c>
      <c r="C2090" s="3" t="str">
        <f>IFERROR(__xludf.DUMMYFUNCTION("""COMPUTED_VALUE"""),"Buff Doge Coin")</f>
        <v>Buff Doge Coin</v>
      </c>
    </row>
    <row r="2091">
      <c r="A2091" s="3" t="str">
        <f>IFERROR(__xludf.DUMMYFUNCTION("""COMPUTED_VALUE"""),"buffedshiba")</f>
        <v>buffedshiba</v>
      </c>
      <c r="B2091" s="3" t="str">
        <f>IFERROR(__xludf.DUMMYFUNCTION("""COMPUTED_VALUE"""),"bshib")</f>
        <v>bshib</v>
      </c>
      <c r="C2091" s="3" t="str">
        <f>IFERROR(__xludf.DUMMYFUNCTION("""COMPUTED_VALUE"""),"BuffedShiba")</f>
        <v>BuffedShiba</v>
      </c>
    </row>
    <row r="2092">
      <c r="A2092" s="3" t="str">
        <f>IFERROR(__xludf.DUMMYFUNCTION("""COMPUTED_VALUE"""),"buff-floki")</f>
        <v>buff-floki</v>
      </c>
      <c r="B2092" s="3" t="str">
        <f>IFERROR(__xludf.DUMMYFUNCTION("""COMPUTED_VALUE"""),"bufloki")</f>
        <v>bufloki</v>
      </c>
      <c r="C2092" s="3" t="str">
        <f>IFERROR(__xludf.DUMMYFUNCTION("""COMPUTED_VALUE"""),"Buff Floki")</f>
        <v>Buff Floki</v>
      </c>
    </row>
    <row r="2093">
      <c r="A2093" s="3" t="str">
        <f>IFERROR(__xludf.DUMMYFUNCTION("""COMPUTED_VALUE"""),"buff-samo")</f>
        <v>buff-samo</v>
      </c>
      <c r="B2093" s="3" t="str">
        <f>IFERROR(__xludf.DUMMYFUNCTION("""COMPUTED_VALUE"""),"bsamo")</f>
        <v>bsamo</v>
      </c>
      <c r="C2093" s="3" t="str">
        <f>IFERROR(__xludf.DUMMYFUNCTION("""COMPUTED_VALUE"""),"Buff Samo")</f>
        <v>Buff Samo</v>
      </c>
    </row>
    <row r="2094">
      <c r="A2094" s="3" t="str">
        <f>IFERROR(__xludf.DUMMYFUNCTION("""COMPUTED_VALUE"""),"buff-shiba-inu")</f>
        <v>buff-shiba-inu</v>
      </c>
      <c r="B2094" s="3" t="str">
        <f>IFERROR(__xludf.DUMMYFUNCTION("""COMPUTED_VALUE"""),"buffshiba")</f>
        <v>buffshiba</v>
      </c>
      <c r="C2094" s="3" t="str">
        <f>IFERROR(__xludf.DUMMYFUNCTION("""COMPUTED_VALUE"""),"Buff Shiba Inu")</f>
        <v>Buff Shiba Inu</v>
      </c>
    </row>
    <row r="2095">
      <c r="A2095" s="3" t="str">
        <f>IFERROR(__xludf.DUMMYFUNCTION("""COMPUTED_VALUE"""),"buffswap")</f>
        <v>buffswap</v>
      </c>
      <c r="B2095" s="3" t="str">
        <f>IFERROR(__xludf.DUMMYFUNCTION("""COMPUTED_VALUE"""),"buffs")</f>
        <v>buffs</v>
      </c>
      <c r="C2095" s="3" t="str">
        <f>IFERROR(__xludf.DUMMYFUNCTION("""COMPUTED_VALUE"""),"BuffSwap")</f>
        <v>BuffSwap</v>
      </c>
    </row>
    <row r="2096">
      <c r="A2096" s="3" t="str">
        <f>IFERROR(__xludf.DUMMYFUNCTION("""COMPUTED_VALUE"""),"bugg-finance")</f>
        <v>bugg-finance</v>
      </c>
      <c r="B2096" s="3" t="str">
        <f>IFERROR(__xludf.DUMMYFUNCTION("""COMPUTED_VALUE"""),"bugg")</f>
        <v>bugg</v>
      </c>
      <c r="C2096" s="3" t="str">
        <f>IFERROR(__xludf.DUMMYFUNCTION("""COMPUTED_VALUE"""),"BUGG Finance")</f>
        <v>BUGG Finance</v>
      </c>
    </row>
    <row r="2097">
      <c r="A2097" s="3" t="str">
        <f>IFERROR(__xludf.DUMMYFUNCTION("""COMPUTED_VALUE"""),"bugg-inu")</f>
        <v>bugg-inu</v>
      </c>
      <c r="B2097" s="3" t="str">
        <f>IFERROR(__xludf.DUMMYFUNCTION("""COMPUTED_VALUE"""),"bugg")</f>
        <v>bugg</v>
      </c>
      <c r="C2097" s="3" t="str">
        <f>IFERROR(__xludf.DUMMYFUNCTION("""COMPUTED_VALUE"""),"Bugg Inu")</f>
        <v>Bugg Inu</v>
      </c>
    </row>
    <row r="2098">
      <c r="A2098" s="3" t="str">
        <f>IFERROR(__xludf.DUMMYFUNCTION("""COMPUTED_VALUE"""),"buhund")</f>
        <v>buhund</v>
      </c>
      <c r="B2098" s="3" t="str">
        <f>IFERROR(__xludf.DUMMYFUNCTION("""COMPUTED_VALUE"""),"buh")</f>
        <v>buh</v>
      </c>
      <c r="C2098" s="3" t="str">
        <f>IFERROR(__xludf.DUMMYFUNCTION("""COMPUTED_VALUE"""),"Buhund")</f>
        <v>Buhund</v>
      </c>
    </row>
    <row r="2099">
      <c r="A2099" s="3" t="str">
        <f>IFERROR(__xludf.DUMMYFUNCTION("""COMPUTED_VALUE"""),"buidl-acadamey")</f>
        <v>buidl-acadamey</v>
      </c>
      <c r="B2099" s="3" t="str">
        <f>IFERROR(__xludf.DUMMYFUNCTION("""COMPUTED_VALUE"""),"$bdgv")</f>
        <v>$bdgv</v>
      </c>
      <c r="C2099" s="3" t="str">
        <f>IFERROR(__xludf.DUMMYFUNCTION("""COMPUTED_VALUE"""),"BUIDL Acadamey")</f>
        <v>BUIDL Acadamey</v>
      </c>
    </row>
    <row r="2100">
      <c r="A2100" s="3" t="str">
        <f>IFERROR(__xludf.DUMMYFUNCTION("""COMPUTED_VALUE"""),"build")</f>
        <v>build</v>
      </c>
      <c r="B2100" s="3" t="str">
        <f>IFERROR(__xludf.DUMMYFUNCTION("""COMPUTED_VALUE"""),"build")</f>
        <v>build</v>
      </c>
      <c r="C2100" s="3" t="str">
        <f>IFERROR(__xludf.DUMMYFUNCTION("""COMPUTED_VALUE"""),"BUILD")</f>
        <v>BUILD</v>
      </c>
    </row>
    <row r="2101">
      <c r="A2101" s="3" t="str">
        <f>IFERROR(__xludf.DUMMYFUNCTION("""COMPUTED_VALUE"""),"build-finance")</f>
        <v>build-finance</v>
      </c>
      <c r="B2101" s="3" t="str">
        <f>IFERROR(__xludf.DUMMYFUNCTION("""COMPUTED_VALUE"""),"build")</f>
        <v>build</v>
      </c>
      <c r="C2101" s="3" t="str">
        <f>IFERROR(__xludf.DUMMYFUNCTION("""COMPUTED_VALUE"""),"BUILD Finance")</f>
        <v>BUILD Finance</v>
      </c>
    </row>
    <row r="2102">
      <c r="A2102" s="3" t="str">
        <f>IFERROR(__xludf.DUMMYFUNCTION("""COMPUTED_VALUE"""),"buildup")</f>
        <v>buildup</v>
      </c>
      <c r="B2102" s="3" t="str">
        <f>IFERROR(__xludf.DUMMYFUNCTION("""COMPUTED_VALUE"""),"bup")</f>
        <v>bup</v>
      </c>
      <c r="C2102" s="3" t="str">
        <f>IFERROR(__xludf.DUMMYFUNCTION("""COMPUTED_VALUE"""),"BuildUp")</f>
        <v>BuildUp</v>
      </c>
    </row>
    <row r="2103">
      <c r="A2103" s="3" t="str">
        <f>IFERROR(__xludf.DUMMYFUNCTION("""COMPUTED_VALUE"""),"bukh")</f>
        <v>bukh</v>
      </c>
      <c r="B2103" s="3" t="str">
        <f>IFERROR(__xludf.DUMMYFUNCTION("""COMPUTED_VALUE"""),"bukh")</f>
        <v>bukh</v>
      </c>
      <c r="C2103" s="3" t="str">
        <f>IFERROR(__xludf.DUMMYFUNCTION("""COMPUTED_VALUE"""),"bUKHI")</f>
        <v>bUKHI</v>
      </c>
    </row>
    <row r="2104">
      <c r="A2104" s="3" t="str">
        <f>IFERROR(__xludf.DUMMYFUNCTION("""COMPUTED_VALUE"""),"bulk-network")</f>
        <v>bulk-network</v>
      </c>
      <c r="B2104" s="3" t="str">
        <f>IFERROR(__xludf.DUMMYFUNCTION("""COMPUTED_VALUE"""),"bulk")</f>
        <v>bulk</v>
      </c>
      <c r="C2104" s="3" t="str">
        <f>IFERROR(__xludf.DUMMYFUNCTION("""COMPUTED_VALUE"""),"Bulk Network")</f>
        <v>Bulk Network</v>
      </c>
    </row>
    <row r="2105">
      <c r="A2105" s="3" t="str">
        <f>IFERROR(__xludf.DUMMYFUNCTION("""COMPUTED_VALUE"""),"bullbankers")</f>
        <v>bullbankers</v>
      </c>
      <c r="B2105" s="3" t="str">
        <f>IFERROR(__xludf.DUMMYFUNCTION("""COMPUTED_VALUE"""),"bankers")</f>
        <v>bankers</v>
      </c>
      <c r="C2105" s="3" t="str">
        <f>IFERROR(__xludf.DUMMYFUNCTION("""COMPUTED_VALUE"""),"BullBankers")</f>
        <v>BullBankers</v>
      </c>
    </row>
    <row r="2106">
      <c r="A2106" s="3" t="str">
        <f>IFERROR(__xludf.DUMMYFUNCTION("""COMPUTED_VALUE"""),"bull-btc-club")</f>
        <v>bull-btc-club</v>
      </c>
      <c r="B2106" s="3" t="str">
        <f>IFERROR(__xludf.DUMMYFUNCTION("""COMPUTED_VALUE"""),"bbc")</f>
        <v>bbc</v>
      </c>
      <c r="C2106" s="3" t="str">
        <f>IFERROR(__xludf.DUMMYFUNCTION("""COMPUTED_VALUE"""),"Bull BTC Club")</f>
        <v>Bull BTC Club</v>
      </c>
    </row>
    <row r="2107">
      <c r="A2107" s="3" t="str">
        <f>IFERROR(__xludf.DUMMYFUNCTION("""COMPUTED_VALUE"""),"bull-coin")</f>
        <v>bull-coin</v>
      </c>
      <c r="B2107" s="3" t="str">
        <f>IFERROR(__xludf.DUMMYFUNCTION("""COMPUTED_VALUE"""),"bull")</f>
        <v>bull</v>
      </c>
      <c r="C2107" s="3" t="str">
        <f>IFERROR(__xludf.DUMMYFUNCTION("""COMPUTED_VALUE"""),"Bull Coin")</f>
        <v>Bull Coin</v>
      </c>
    </row>
    <row r="2108">
      <c r="A2108" s="3" t="str">
        <f>IFERROR(__xludf.DUMMYFUNCTION("""COMPUTED_VALUE"""),"bulldog-billionaires")</f>
        <v>bulldog-billionaires</v>
      </c>
      <c r="B2108" s="3" t="str">
        <f>IFERROR(__xludf.DUMMYFUNCTION("""COMPUTED_VALUE"""),"bone")</f>
        <v>bone</v>
      </c>
      <c r="C2108" s="3" t="str">
        <f>IFERROR(__xludf.DUMMYFUNCTION("""COMPUTED_VALUE"""),"Bulldog Billionaires")</f>
        <v>Bulldog Billionaires</v>
      </c>
    </row>
    <row r="2109">
      <c r="A2109" s="3" t="str">
        <f>IFERROR(__xludf.DUMMYFUNCTION("""COMPUTED_VALUE"""),"bulldog-coin")</f>
        <v>bulldog-coin</v>
      </c>
      <c r="B2109" s="3" t="str">
        <f>IFERROR(__xludf.DUMMYFUNCTION("""COMPUTED_VALUE"""),"bulldog")</f>
        <v>bulldog</v>
      </c>
      <c r="C2109" s="3" t="str">
        <f>IFERROR(__xludf.DUMMYFUNCTION("""COMPUTED_VALUE"""),"BullDog Coin")</f>
        <v>BullDog Coin</v>
      </c>
    </row>
    <row r="2110">
      <c r="A2110" s="3" t="str">
        <f>IFERROR(__xludf.DUMMYFUNCTION("""COMPUTED_VALUE"""),"bulldoge-chain")</f>
        <v>bulldoge-chain</v>
      </c>
      <c r="B2110" s="3" t="str">
        <f>IFERROR(__xludf.DUMMYFUNCTION("""COMPUTED_VALUE"""),"wbdc")</f>
        <v>wbdc</v>
      </c>
      <c r="C2110" s="3" t="str">
        <f>IFERROR(__xludf.DUMMYFUNCTION("""COMPUTED_VALUE"""),"BullDoge Chain")</f>
        <v>BullDoge Chain</v>
      </c>
    </row>
    <row r="2111">
      <c r="A2111" s="3" t="str">
        <f>IFERROR(__xludf.DUMMYFUNCTION("""COMPUTED_VALUE"""),"bulldoge-inu")</f>
        <v>bulldoge-inu</v>
      </c>
      <c r="B2111" s="3" t="str">
        <f>IFERROR(__xludf.DUMMYFUNCTION("""COMPUTED_VALUE"""),"bulld")</f>
        <v>bulld</v>
      </c>
      <c r="C2111" s="3" t="str">
        <f>IFERROR(__xludf.DUMMYFUNCTION("""COMPUTED_VALUE"""),"Bulldoge Inu")</f>
        <v>Bulldoge Inu</v>
      </c>
    </row>
    <row r="2112">
      <c r="A2112" s="3" t="str">
        <f>IFERROR(__xludf.DUMMYFUNCTION("""COMPUTED_VALUE"""),"bulldog-inu")</f>
        <v>bulldog-inu</v>
      </c>
      <c r="B2112" s="3" t="str">
        <f>IFERROR(__xludf.DUMMYFUNCTION("""COMPUTED_VALUE"""),"bull")</f>
        <v>bull</v>
      </c>
      <c r="C2112" s="3" t="str">
        <f>IFERROR(__xludf.DUMMYFUNCTION("""COMPUTED_VALUE"""),"BullDog Inu")</f>
        <v>BullDog Inu</v>
      </c>
    </row>
    <row r="2113">
      <c r="A2113" s="3" t="str">
        <f>IFERROR(__xludf.DUMMYFUNCTION("""COMPUTED_VALUE"""),"bulldogswap")</f>
        <v>bulldogswap</v>
      </c>
      <c r="B2113" s="3" t="str">
        <f>IFERROR(__xludf.DUMMYFUNCTION("""COMPUTED_VALUE"""),"budg")</f>
        <v>budg</v>
      </c>
      <c r="C2113" s="3" t="str">
        <f>IFERROR(__xludf.DUMMYFUNCTION("""COMPUTED_VALUE"""),"BullDogSwap")</f>
        <v>BullDogSwap</v>
      </c>
    </row>
    <row r="2114">
      <c r="A2114" s="3" t="str">
        <f>IFERROR(__xludf.DUMMYFUNCTION("""COMPUTED_VALUE"""),"bullet-2")</f>
        <v>bullet-2</v>
      </c>
      <c r="B2114" s="3" t="str">
        <f>IFERROR(__xludf.DUMMYFUNCTION("""COMPUTED_VALUE"""),"blt")</f>
        <v>blt</v>
      </c>
      <c r="C2114" s="3" t="str">
        <f>IFERROR(__xludf.DUMMYFUNCTION("""COMPUTED_VALUE"""),"Bullet")</f>
        <v>Bullet</v>
      </c>
    </row>
    <row r="2115">
      <c r="A2115" s="3" t="str">
        <f>IFERROR(__xludf.DUMMYFUNCTION("""COMPUTED_VALUE"""),"bullieverse")</f>
        <v>bullieverse</v>
      </c>
      <c r="B2115" s="3" t="str">
        <f>IFERROR(__xludf.DUMMYFUNCTION("""COMPUTED_VALUE"""),"bull")</f>
        <v>bull</v>
      </c>
      <c r="C2115" s="3" t="str">
        <f>IFERROR(__xludf.DUMMYFUNCTION("""COMPUTED_VALUE"""),"Bullieverse")</f>
        <v>Bullieverse</v>
      </c>
    </row>
    <row r="2116">
      <c r="A2116" s="3" t="str">
        <f>IFERROR(__xludf.DUMMYFUNCTION("""COMPUTED_VALUE"""),"bullion")</f>
        <v>bullion</v>
      </c>
      <c r="B2116" s="3" t="str">
        <f>IFERROR(__xludf.DUMMYFUNCTION("""COMPUTED_VALUE"""),"cbx")</f>
        <v>cbx</v>
      </c>
      <c r="C2116" s="3" t="str">
        <f>IFERROR(__xludf.DUMMYFUNCTION("""COMPUTED_VALUE"""),"Bullion")</f>
        <v>Bullion</v>
      </c>
    </row>
    <row r="2117">
      <c r="A2117" s="3" t="str">
        <f>IFERROR(__xludf.DUMMYFUNCTION("""COMPUTED_VALUE"""),"bullionfx")</f>
        <v>bullionfx</v>
      </c>
      <c r="B2117" s="3" t="str">
        <f>IFERROR(__xludf.DUMMYFUNCTION("""COMPUTED_VALUE"""),"bull")</f>
        <v>bull</v>
      </c>
      <c r="C2117" s="3" t="str">
        <f>IFERROR(__xludf.DUMMYFUNCTION("""COMPUTED_VALUE"""),"BullionFX")</f>
        <v>BullionFX</v>
      </c>
    </row>
    <row r="2118">
      <c r="A2118" s="3" t="str">
        <f>IFERROR(__xludf.DUMMYFUNCTION("""COMPUTED_VALUE"""),"bullish-af")</f>
        <v>bullish-af</v>
      </c>
      <c r="B2118" s="3" t="str">
        <f>IFERROR(__xludf.DUMMYFUNCTION("""COMPUTED_VALUE"""),"bullaf")</f>
        <v>bullaf</v>
      </c>
      <c r="C2118" s="3" t="str">
        <f>IFERROR(__xludf.DUMMYFUNCTION("""COMPUTED_VALUE"""),"Bullish AF")</f>
        <v>Bullish AF</v>
      </c>
    </row>
    <row r="2119">
      <c r="A2119" s="3" t="str">
        <f>IFERROR(__xludf.DUMMYFUNCTION("""COMPUTED_VALUE"""),"bullishapes")</f>
        <v>bullishapes</v>
      </c>
      <c r="B2119" s="3" t="str">
        <f>IFERROR(__xludf.DUMMYFUNCTION("""COMPUTED_VALUE"""),"bullish")</f>
        <v>bullish</v>
      </c>
      <c r="C2119" s="3" t="str">
        <f>IFERROR(__xludf.DUMMYFUNCTION("""COMPUTED_VALUE"""),"BullishApes")</f>
        <v>BullishApes</v>
      </c>
    </row>
    <row r="2120">
      <c r="A2120" s="3" t="str">
        <f>IFERROR(__xludf.DUMMYFUNCTION("""COMPUTED_VALUE"""),"bullperks")</f>
        <v>bullperks</v>
      </c>
      <c r="B2120" s="3" t="str">
        <f>IFERROR(__xludf.DUMMYFUNCTION("""COMPUTED_VALUE"""),"blp")</f>
        <v>blp</v>
      </c>
      <c r="C2120" s="3" t="str">
        <f>IFERROR(__xludf.DUMMYFUNCTION("""COMPUTED_VALUE"""),"BullPerks")</f>
        <v>BullPerks</v>
      </c>
    </row>
    <row r="2121">
      <c r="A2121" s="3" t="str">
        <f>IFERROR(__xludf.DUMMYFUNCTION("""COMPUTED_VALUE"""),"bullrise")</f>
        <v>bullrise</v>
      </c>
      <c r="B2121" s="3" t="str">
        <f>IFERROR(__xludf.DUMMYFUNCTION("""COMPUTED_VALUE"""),"bull")</f>
        <v>bull</v>
      </c>
      <c r="C2121" s="3" t="str">
        <f>IFERROR(__xludf.DUMMYFUNCTION("""COMPUTED_VALUE"""),"BullRise")</f>
        <v>BullRise</v>
      </c>
    </row>
    <row r="2122">
      <c r="A2122" s="3" t="str">
        <f>IFERROR(__xludf.DUMMYFUNCTION("""COMPUTED_VALUE"""),"bullshit-inu")</f>
        <v>bullshit-inu</v>
      </c>
      <c r="B2122" s="3" t="str">
        <f>IFERROR(__xludf.DUMMYFUNCTION("""COMPUTED_VALUE"""),"bull")</f>
        <v>bull</v>
      </c>
      <c r="C2122" s="3" t="str">
        <f>IFERROR(__xludf.DUMMYFUNCTION("""COMPUTED_VALUE"""),"Bullshit Inu")</f>
        <v>Bullshit Inu</v>
      </c>
    </row>
    <row r="2123">
      <c r="A2123" s="3" t="str">
        <f>IFERROR(__xludf.DUMMYFUNCTION("""COMPUTED_VALUE"""),"bullswap-protocol")</f>
        <v>bullswap-protocol</v>
      </c>
      <c r="B2123" s="3" t="str">
        <f>IFERROR(__xludf.DUMMYFUNCTION("""COMPUTED_VALUE"""),"bvl")</f>
        <v>bvl</v>
      </c>
      <c r="C2123" s="3" t="str">
        <f>IFERROR(__xludf.DUMMYFUNCTION("""COMPUTED_VALUE"""),"Bullswap Protocol")</f>
        <v>Bullswap Protocol</v>
      </c>
    </row>
    <row r="2124">
      <c r="A2124" s="3" t="str">
        <f>IFERROR(__xludf.DUMMYFUNCTION("""COMPUTED_VALUE"""),"bully-inu")</f>
        <v>bully-inu</v>
      </c>
      <c r="B2124" s="3" t="str">
        <f>IFERROR(__xludf.DUMMYFUNCTION("""COMPUTED_VALUE"""),"binu")</f>
        <v>binu</v>
      </c>
      <c r="C2124" s="3" t="str">
        <f>IFERROR(__xludf.DUMMYFUNCTION("""COMPUTED_VALUE"""),"Bully Inu")</f>
        <v>Bully Inu</v>
      </c>
    </row>
    <row r="2125">
      <c r="A2125" s="3" t="str">
        <f>IFERROR(__xludf.DUMMYFUNCTION("""COMPUTED_VALUE"""),"bumoon")</f>
        <v>bumoon</v>
      </c>
      <c r="B2125" s="3" t="str">
        <f>IFERROR(__xludf.DUMMYFUNCTION("""COMPUTED_VALUE"""),"bumn")</f>
        <v>bumn</v>
      </c>
      <c r="C2125" s="3" t="str">
        <f>IFERROR(__xludf.DUMMYFUNCTION("""COMPUTED_VALUE"""),"BUMooN")</f>
        <v>BUMooN</v>
      </c>
    </row>
    <row r="2126">
      <c r="A2126" s="3" t="str">
        <f>IFERROR(__xludf.DUMMYFUNCTION("""COMPUTED_VALUE"""),"bumper")</f>
        <v>bumper</v>
      </c>
      <c r="B2126" s="3" t="str">
        <f>IFERROR(__xludf.DUMMYFUNCTION("""COMPUTED_VALUE"""),"bump")</f>
        <v>bump</v>
      </c>
      <c r="C2126" s="3" t="str">
        <f>IFERROR(__xludf.DUMMYFUNCTION("""COMPUTED_VALUE"""),"Bumper")</f>
        <v>Bumper</v>
      </c>
    </row>
    <row r="2127">
      <c r="A2127" s="3" t="str">
        <f>IFERROR(__xludf.DUMMYFUNCTION("""COMPUTED_VALUE"""),"bundles")</f>
        <v>bundles</v>
      </c>
      <c r="B2127" s="3" t="str">
        <f>IFERROR(__xludf.DUMMYFUNCTION("""COMPUTED_VALUE"""),"bund")</f>
        <v>bund</v>
      </c>
      <c r="C2127" s="3" t="str">
        <f>IFERROR(__xludf.DUMMYFUNCTION("""COMPUTED_VALUE"""),"Bundles")</f>
        <v>Bundles</v>
      </c>
    </row>
    <row r="2128">
      <c r="A2128" s="3" t="str">
        <f>IFERROR(__xludf.DUMMYFUNCTION("""COMPUTED_VALUE"""),"bunicorn")</f>
        <v>bunicorn</v>
      </c>
      <c r="B2128" s="3" t="str">
        <f>IFERROR(__xludf.DUMMYFUNCTION("""COMPUTED_VALUE"""),"buni")</f>
        <v>buni</v>
      </c>
      <c r="C2128" s="3" t="str">
        <f>IFERROR(__xludf.DUMMYFUNCTION("""COMPUTED_VALUE"""),"Bunicorn")</f>
        <v>Bunicorn</v>
      </c>
    </row>
    <row r="2129">
      <c r="A2129" s="3" t="str">
        <f>IFERROR(__xludf.DUMMYFUNCTION("""COMPUTED_VALUE"""),"bunnycoin")</f>
        <v>bunnycoin</v>
      </c>
      <c r="B2129" s="3" t="str">
        <f>IFERROR(__xludf.DUMMYFUNCTION("""COMPUTED_VALUE"""),"bun")</f>
        <v>bun</v>
      </c>
      <c r="C2129" s="3" t="str">
        <f>IFERROR(__xludf.DUMMYFUNCTION("""COMPUTED_VALUE"""),"Bunnycoin")</f>
        <v>Bunnycoin</v>
      </c>
    </row>
    <row r="2130">
      <c r="A2130" s="3" t="str">
        <f>IFERROR(__xludf.DUMMYFUNCTION("""COMPUTED_VALUE"""),"bunnyducky")</f>
        <v>bunnyducky</v>
      </c>
      <c r="B2130" s="3" t="str">
        <f>IFERROR(__xludf.DUMMYFUNCTION("""COMPUTED_VALUE"""),"bud")</f>
        <v>bud</v>
      </c>
      <c r="C2130" s="3" t="str">
        <f>IFERROR(__xludf.DUMMYFUNCTION("""COMPUTED_VALUE"""),"BunnyDucky")</f>
        <v>BunnyDucky</v>
      </c>
    </row>
    <row r="2131">
      <c r="A2131" s="3" t="str">
        <f>IFERROR(__xludf.DUMMYFUNCTION("""COMPUTED_VALUE"""),"bunny-king-metaverse")</f>
        <v>bunny-king-metaverse</v>
      </c>
      <c r="B2131" s="3" t="str">
        <f>IFERROR(__xludf.DUMMYFUNCTION("""COMPUTED_VALUE"""),"bkm")</f>
        <v>bkm</v>
      </c>
      <c r="C2131" s="3" t="str">
        <f>IFERROR(__xludf.DUMMYFUNCTION("""COMPUTED_VALUE"""),"Bunny King Metaverse")</f>
        <v>Bunny King Metaverse</v>
      </c>
    </row>
    <row r="2132">
      <c r="A2132" s="3" t="str">
        <f>IFERROR(__xludf.DUMMYFUNCTION("""COMPUTED_VALUE"""),"bunnypark")</f>
        <v>bunnypark</v>
      </c>
      <c r="B2132" s="3" t="str">
        <f>IFERROR(__xludf.DUMMYFUNCTION("""COMPUTED_VALUE"""),"bp")</f>
        <v>bp</v>
      </c>
      <c r="C2132" s="3" t="str">
        <f>IFERROR(__xludf.DUMMYFUNCTION("""COMPUTED_VALUE"""),"BunnyPark")</f>
        <v>BunnyPark</v>
      </c>
    </row>
    <row r="2133">
      <c r="A2133" s="3" t="str">
        <f>IFERROR(__xludf.DUMMYFUNCTION("""COMPUTED_VALUE"""),"bunnypark-game")</f>
        <v>bunnypark-game</v>
      </c>
      <c r="B2133" s="3" t="str">
        <f>IFERROR(__xludf.DUMMYFUNCTION("""COMPUTED_VALUE"""),"bg")</f>
        <v>bg</v>
      </c>
      <c r="C2133" s="3" t="str">
        <f>IFERROR(__xludf.DUMMYFUNCTION("""COMPUTED_VALUE"""),"BunnyPark Game")</f>
        <v>BunnyPark Game</v>
      </c>
    </row>
    <row r="2134">
      <c r="A2134" s="3" t="str">
        <f>IFERROR(__xludf.DUMMYFUNCTION("""COMPUTED_VALUE"""),"bunnyrocket")</f>
        <v>bunnyrocket</v>
      </c>
      <c r="B2134" s="3" t="str">
        <f>IFERROR(__xludf.DUMMYFUNCTION("""COMPUTED_VALUE"""),"bunnyrocket")</f>
        <v>bunnyrocket</v>
      </c>
      <c r="C2134" s="3" t="str">
        <f>IFERROR(__xludf.DUMMYFUNCTION("""COMPUTED_VALUE"""),"BunnyRocket")</f>
        <v>BunnyRocket</v>
      </c>
    </row>
    <row r="2135">
      <c r="A2135" s="3" t="str">
        <f>IFERROR(__xludf.DUMMYFUNCTION("""COMPUTED_VALUE"""),"bunnytoken")</f>
        <v>bunnytoken</v>
      </c>
      <c r="B2135" s="3" t="str">
        <f>IFERROR(__xludf.DUMMYFUNCTION("""COMPUTED_VALUE"""),"bunny")</f>
        <v>bunny</v>
      </c>
      <c r="C2135" s="3" t="str">
        <f>IFERROR(__xludf.DUMMYFUNCTION("""COMPUTED_VALUE"""),"Bunny")</f>
        <v>Bunny</v>
      </c>
    </row>
    <row r="2136">
      <c r="A2136" s="3" t="str">
        <f>IFERROR(__xludf.DUMMYFUNCTION("""COMPUTED_VALUE"""),"bunny-token-polygon")</f>
        <v>bunny-token-polygon</v>
      </c>
      <c r="B2136" s="3" t="str">
        <f>IFERROR(__xludf.DUMMYFUNCTION("""COMPUTED_VALUE"""),"polybunny")</f>
        <v>polybunny</v>
      </c>
      <c r="C2136" s="3" t="str">
        <f>IFERROR(__xludf.DUMMYFUNCTION("""COMPUTED_VALUE"""),"Pancake Bunny Polygon")</f>
        <v>Pancake Bunny Polygon</v>
      </c>
    </row>
    <row r="2137">
      <c r="A2137" s="3" t="str">
        <f>IFERROR(__xludf.DUMMYFUNCTION("""COMPUTED_VALUE"""),"bunnyverse")</f>
        <v>bunnyverse</v>
      </c>
      <c r="B2137" s="3" t="str">
        <f>IFERROR(__xludf.DUMMYFUNCTION("""COMPUTED_VALUE"""),"bnv")</f>
        <v>bnv</v>
      </c>
      <c r="C2137" s="3" t="str">
        <f>IFERROR(__xludf.DUMMYFUNCTION("""COMPUTED_VALUE"""),"BunnyVerse")</f>
        <v>BunnyVerse</v>
      </c>
    </row>
    <row r="2138">
      <c r="A2138" s="3" t="str">
        <f>IFERROR(__xludf.DUMMYFUNCTION("""COMPUTED_VALUE"""),"bunny-zilla")</f>
        <v>bunny-zilla</v>
      </c>
      <c r="B2138" s="3" t="str">
        <f>IFERROR(__xludf.DUMMYFUNCTION("""COMPUTED_VALUE"""),"bunnyzilla")</f>
        <v>bunnyzilla</v>
      </c>
      <c r="C2138" s="3" t="str">
        <f>IFERROR(__xludf.DUMMYFUNCTION("""COMPUTED_VALUE"""),"Bunny Zilla")</f>
        <v>Bunny Zilla</v>
      </c>
    </row>
    <row r="2139">
      <c r="A2139" s="3" t="str">
        <f>IFERROR(__xludf.DUMMYFUNCTION("""COMPUTED_VALUE"""),"bunscake")</f>
        <v>bunscake</v>
      </c>
      <c r="B2139" s="3" t="str">
        <f>IFERROR(__xludf.DUMMYFUNCTION("""COMPUTED_VALUE"""),"bscake")</f>
        <v>bscake</v>
      </c>
      <c r="C2139" s="3" t="str">
        <f>IFERROR(__xludf.DUMMYFUNCTION("""COMPUTED_VALUE"""),"Bunscake")</f>
        <v>Bunscake</v>
      </c>
    </row>
    <row r="2140">
      <c r="A2140" s="3" t="str">
        <f>IFERROR(__xludf.DUMMYFUNCTION("""COMPUTED_VALUE"""),"burency")</f>
        <v>burency</v>
      </c>
      <c r="B2140" s="3" t="str">
        <f>IFERROR(__xludf.DUMMYFUNCTION("""COMPUTED_VALUE"""),"buy")</f>
        <v>buy</v>
      </c>
      <c r="C2140" s="3" t="str">
        <f>IFERROR(__xludf.DUMMYFUNCTION("""COMPUTED_VALUE"""),"Burency")</f>
        <v>Burency</v>
      </c>
    </row>
    <row r="2141">
      <c r="A2141" s="3" t="str">
        <f>IFERROR(__xludf.DUMMYFUNCTION("""COMPUTED_VALUE"""),"burger-swap")</f>
        <v>burger-swap</v>
      </c>
      <c r="B2141" s="3" t="str">
        <f>IFERROR(__xludf.DUMMYFUNCTION("""COMPUTED_VALUE"""),"burger")</f>
        <v>burger</v>
      </c>
      <c r="C2141" s="3" t="str">
        <f>IFERROR(__xludf.DUMMYFUNCTION("""COMPUTED_VALUE"""),"BurgerCities")</f>
        <v>BurgerCities</v>
      </c>
    </row>
    <row r="2142">
      <c r="A2142" s="3" t="str">
        <f>IFERROR(__xludf.DUMMYFUNCTION("""COMPUTED_VALUE"""),"burn1coin")</f>
        <v>burn1coin</v>
      </c>
      <c r="B2142" s="3" t="str">
        <f>IFERROR(__xludf.DUMMYFUNCTION("""COMPUTED_VALUE"""),"burn1coin")</f>
        <v>burn1coin</v>
      </c>
      <c r="C2142" s="3" t="str">
        <f>IFERROR(__xludf.DUMMYFUNCTION("""COMPUTED_VALUE"""),"Burn1Coin")</f>
        <v>Burn1Coin</v>
      </c>
    </row>
    <row r="2143">
      <c r="A2143" s="3" t="str">
        <f>IFERROR(__xludf.DUMMYFUNCTION("""COMPUTED_VALUE"""),"burndoge")</f>
        <v>burndoge</v>
      </c>
      <c r="B2143" s="3" t="str">
        <f>IFERROR(__xludf.DUMMYFUNCTION("""COMPUTED_VALUE"""),"burndoge")</f>
        <v>burndoge</v>
      </c>
      <c r="C2143" s="3" t="str">
        <f>IFERROR(__xludf.DUMMYFUNCTION("""COMPUTED_VALUE"""),"BurnDoge")</f>
        <v>BurnDoge</v>
      </c>
    </row>
    <row r="2144">
      <c r="A2144" s="3" t="str">
        <f>IFERROR(__xludf.DUMMYFUNCTION("""COMPUTED_VALUE"""),"burnfloki")</f>
        <v>burnfloki</v>
      </c>
      <c r="B2144" s="3" t="str">
        <f>IFERROR(__xludf.DUMMYFUNCTION("""COMPUTED_VALUE"""),"bfloki")</f>
        <v>bfloki</v>
      </c>
      <c r="C2144" s="3" t="str">
        <f>IFERROR(__xludf.DUMMYFUNCTION("""COMPUTED_VALUE"""),"BurnFloki")</f>
        <v>BurnFloki</v>
      </c>
    </row>
    <row r="2145">
      <c r="A2145" s="3" t="str">
        <f>IFERROR(__xludf.DUMMYFUNCTION("""COMPUTED_VALUE"""),"burningmoon")</f>
        <v>burningmoon</v>
      </c>
      <c r="B2145" s="3" t="str">
        <f>IFERROR(__xludf.DUMMYFUNCTION("""COMPUTED_VALUE"""),"bm")</f>
        <v>bm</v>
      </c>
      <c r="C2145" s="3" t="str">
        <f>IFERROR(__xludf.DUMMYFUNCTION("""COMPUTED_VALUE"""),"BurningMoon")</f>
        <v>BurningMoon</v>
      </c>
    </row>
    <row r="2146">
      <c r="A2146" s="3" t="str">
        <f>IFERROR(__xludf.DUMMYFUNCTION("""COMPUTED_VALUE"""),"burnt-cake")</f>
        <v>burnt-cake</v>
      </c>
      <c r="B2146" s="3" t="str">
        <f>IFERROR(__xludf.DUMMYFUNCTION("""COMPUTED_VALUE"""),"bcake")</f>
        <v>bcake</v>
      </c>
      <c r="C2146" s="3" t="str">
        <f>IFERROR(__xludf.DUMMYFUNCTION("""COMPUTED_VALUE"""),"Burnt Cake")</f>
        <v>Burnt Cake</v>
      </c>
    </row>
    <row r="2147">
      <c r="A2147" s="3" t="str">
        <f>IFERROR(__xludf.DUMMYFUNCTION("""COMPUTED_VALUE"""),"burnz")</f>
        <v>burnz</v>
      </c>
      <c r="B2147" s="3" t="str">
        <f>IFERROR(__xludf.DUMMYFUNCTION("""COMPUTED_VALUE"""),"burnz")</f>
        <v>burnz</v>
      </c>
      <c r="C2147" s="3" t="str">
        <f>IFERROR(__xludf.DUMMYFUNCTION("""COMPUTED_VALUE"""),"BURNZ")</f>
        <v>BURNZ</v>
      </c>
    </row>
    <row r="2148">
      <c r="A2148" s="3" t="str">
        <f>IFERROR(__xludf.DUMMYFUNCTION("""COMPUTED_VALUE"""),"burp")</f>
        <v>burp</v>
      </c>
      <c r="B2148" s="3" t="str">
        <f>IFERROR(__xludf.DUMMYFUNCTION("""COMPUTED_VALUE"""),"burp")</f>
        <v>burp</v>
      </c>
      <c r="C2148" s="3" t="str">
        <f>IFERROR(__xludf.DUMMYFUNCTION("""COMPUTED_VALUE"""),"Burp")</f>
        <v>Burp</v>
      </c>
    </row>
    <row r="2149">
      <c r="A2149" s="3" t="str">
        <f>IFERROR(__xludf.DUMMYFUNCTION("""COMPUTED_VALUE"""),"burrito-boyz-floor-index")</f>
        <v>burrito-boyz-floor-index</v>
      </c>
      <c r="B2149" s="3" t="str">
        <f>IFERROR(__xludf.DUMMYFUNCTION("""COMPUTED_VALUE"""),"burr")</f>
        <v>burr</v>
      </c>
      <c r="C2149" s="3" t="str">
        <f>IFERROR(__xludf.DUMMYFUNCTION("""COMPUTED_VALUE"""),"Burrito Boyz Floor Index")</f>
        <v>Burrito Boyz Floor Index</v>
      </c>
    </row>
    <row r="2150">
      <c r="A2150" s="3" t="str">
        <f>IFERROR(__xludf.DUMMYFUNCTION("""COMPUTED_VALUE"""),"burrow")</f>
        <v>burrow</v>
      </c>
      <c r="B2150" s="3" t="str">
        <f>IFERROR(__xludf.DUMMYFUNCTION("""COMPUTED_VALUE"""),"brrr")</f>
        <v>brrr</v>
      </c>
      <c r="C2150" s="3" t="str">
        <f>IFERROR(__xludf.DUMMYFUNCTION("""COMPUTED_VALUE"""),"Burrow")</f>
        <v>Burrow</v>
      </c>
    </row>
    <row r="2151">
      <c r="A2151" s="3" t="str">
        <f>IFERROR(__xludf.DUMMYFUNCTION("""COMPUTED_VALUE"""),"bursaspor-fan-token")</f>
        <v>bursaspor-fan-token</v>
      </c>
      <c r="B2151" s="3" t="str">
        <f>IFERROR(__xludf.DUMMYFUNCTION("""COMPUTED_VALUE"""),"tmsh")</f>
        <v>tmsh</v>
      </c>
      <c r="C2151" s="3" t="str">
        <f>IFERROR(__xludf.DUMMYFUNCTION("""COMPUTED_VALUE"""),"Bursaspor Fan Token")</f>
        <v>Bursaspor Fan Token</v>
      </c>
    </row>
    <row r="2152">
      <c r="A2152" s="3" t="str">
        <f>IFERROR(__xludf.DUMMYFUNCTION("""COMPUTED_VALUE"""),"busdx")</f>
        <v>busdx</v>
      </c>
      <c r="B2152" s="3" t="str">
        <f>IFERROR(__xludf.DUMMYFUNCTION("""COMPUTED_VALUE"""),"busdx")</f>
        <v>busdx</v>
      </c>
      <c r="C2152" s="3" t="str">
        <f>IFERROR(__xludf.DUMMYFUNCTION("""COMPUTED_VALUE"""),"BUSDX")</f>
        <v>BUSDX</v>
      </c>
    </row>
    <row r="2153">
      <c r="A2153" s="3" t="str">
        <f>IFERROR(__xludf.DUMMYFUNCTION("""COMPUTED_VALUE"""),"busdx-fuel")</f>
        <v>busdx-fuel</v>
      </c>
      <c r="B2153" s="3" t="str">
        <f>IFERROR(__xludf.DUMMYFUNCTION("""COMPUTED_VALUE"""),"xfuel")</f>
        <v>xfuel</v>
      </c>
      <c r="C2153" s="3" t="str">
        <f>IFERROR(__xludf.DUMMYFUNCTION("""COMPUTED_VALUE"""),"BUSDX Fuel")</f>
        <v>BUSDX Fuel</v>
      </c>
    </row>
    <row r="2154">
      <c r="A2154" s="3" t="str">
        <f>IFERROR(__xludf.DUMMYFUNCTION("""COMPUTED_VALUE"""),"busy-dao")</f>
        <v>busy-dao</v>
      </c>
      <c r="B2154" s="3" t="str">
        <f>IFERROR(__xludf.DUMMYFUNCTION("""COMPUTED_VALUE"""),"busy")</f>
        <v>busy</v>
      </c>
      <c r="C2154" s="3" t="str">
        <f>IFERROR(__xludf.DUMMYFUNCTION("""COMPUTED_VALUE"""),"Busy DAO")</f>
        <v>Busy DAO</v>
      </c>
    </row>
    <row r="2155">
      <c r="A2155" s="3" t="str">
        <f>IFERROR(__xludf.DUMMYFUNCTION("""COMPUTED_VALUE"""),"buttcoin-2")</f>
        <v>buttcoin-2</v>
      </c>
      <c r="B2155" s="3" t="str">
        <f>IFERROR(__xludf.DUMMYFUNCTION("""COMPUTED_VALUE"""),"butt")</f>
        <v>butt</v>
      </c>
      <c r="C2155" s="3" t="str">
        <f>IFERROR(__xludf.DUMMYFUNCTION("""COMPUTED_VALUE"""),"Button")</f>
        <v>Button</v>
      </c>
    </row>
    <row r="2156">
      <c r="A2156" s="3" t="str">
        <f>IFERROR(__xludf.DUMMYFUNCTION("""COMPUTED_VALUE"""),"butterfly-protocol-2")</f>
        <v>butterfly-protocol-2</v>
      </c>
      <c r="B2156" s="3" t="str">
        <f>IFERROR(__xludf.DUMMYFUNCTION("""COMPUTED_VALUE"""),"bfly")</f>
        <v>bfly</v>
      </c>
      <c r="C2156" s="3" t="str">
        <f>IFERROR(__xludf.DUMMYFUNCTION("""COMPUTED_VALUE"""),"Butterfly Protocol")</f>
        <v>Butterfly Protocol</v>
      </c>
    </row>
    <row r="2157">
      <c r="A2157" s="3" t="str">
        <f>IFERROR(__xludf.DUMMYFUNCTION("""COMPUTED_VALUE"""),"buying")</f>
        <v>buying</v>
      </c>
      <c r="B2157" s="3" t="str">
        <f>IFERROR(__xludf.DUMMYFUNCTION("""COMPUTED_VALUE"""),"buy")</f>
        <v>buy</v>
      </c>
      <c r="C2157" s="4" t="str">
        <f>IFERROR(__xludf.DUMMYFUNCTION("""COMPUTED_VALUE"""),"Buying.com")</f>
        <v>Buying.com</v>
      </c>
    </row>
    <row r="2158">
      <c r="A2158" s="3" t="str">
        <f>IFERROR(__xludf.DUMMYFUNCTION("""COMPUTED_VALUE"""),"buymainstreet")</f>
        <v>buymainstreet</v>
      </c>
      <c r="B2158" s="3" t="str">
        <f>IFERROR(__xludf.DUMMYFUNCTION("""COMPUTED_VALUE"""),"$mainst")</f>
        <v>$mainst</v>
      </c>
      <c r="C2158" s="3" t="str">
        <f>IFERROR(__xludf.DUMMYFUNCTION("""COMPUTED_VALUE"""),"BuyMainStreet")</f>
        <v>BuyMainStreet</v>
      </c>
    </row>
    <row r="2159">
      <c r="A2159" s="3" t="str">
        <f>IFERROR(__xludf.DUMMYFUNCTION("""COMPUTED_VALUE"""),"buymore")</f>
        <v>buymore</v>
      </c>
      <c r="B2159" s="3" t="str">
        <f>IFERROR(__xludf.DUMMYFUNCTION("""COMPUTED_VALUE"""),"more")</f>
        <v>more</v>
      </c>
      <c r="C2159" s="3" t="str">
        <f>IFERROR(__xludf.DUMMYFUNCTION("""COMPUTED_VALUE"""),"BuyMORE")</f>
        <v>BuyMORE</v>
      </c>
    </row>
    <row r="2160">
      <c r="A2160" s="3" t="str">
        <f>IFERROR(__xludf.DUMMYFUNCTION("""COMPUTED_VALUE"""),"buyucoin-token")</f>
        <v>buyucoin-token</v>
      </c>
      <c r="B2160" s="3" t="str">
        <f>IFERROR(__xludf.DUMMYFUNCTION("""COMPUTED_VALUE"""),"buc")</f>
        <v>buc</v>
      </c>
      <c r="C2160" s="3" t="str">
        <f>IFERROR(__xludf.DUMMYFUNCTION("""COMPUTED_VALUE"""),"BuyUCoin")</f>
        <v>BuyUCoin</v>
      </c>
    </row>
    <row r="2161">
      <c r="A2161" s="3" t="str">
        <f>IFERROR(__xludf.DUMMYFUNCTION("""COMPUTED_VALUE"""),"buzz")</f>
        <v>buzz</v>
      </c>
      <c r="B2161" s="3" t="str">
        <f>IFERROR(__xludf.DUMMYFUNCTION("""COMPUTED_VALUE"""),"buzz")</f>
        <v>buzz</v>
      </c>
      <c r="C2161" s="3" t="str">
        <f>IFERROR(__xludf.DUMMYFUNCTION("""COMPUTED_VALUE"""),"BUZZ")</f>
        <v>BUZZ</v>
      </c>
    </row>
    <row r="2162">
      <c r="A2162" s="3" t="str">
        <f>IFERROR(__xludf.DUMMYFUNCTION("""COMPUTED_VALUE"""),"buzzshow")</f>
        <v>buzzshow</v>
      </c>
      <c r="B2162" s="3" t="str">
        <f>IFERROR(__xludf.DUMMYFUNCTION("""COMPUTED_VALUE"""),"gldy")</f>
        <v>gldy</v>
      </c>
      <c r="C2162" s="3" t="str">
        <f>IFERROR(__xludf.DUMMYFUNCTION("""COMPUTED_VALUE"""),"Buzzshow")</f>
        <v>Buzzshow</v>
      </c>
    </row>
    <row r="2163">
      <c r="A2163" s="3" t="str">
        <f>IFERROR(__xludf.DUMMYFUNCTION("""COMPUTED_VALUE"""),"b-watch-box")</f>
        <v>b-watch-box</v>
      </c>
      <c r="B2163" s="3" t="str">
        <f>IFERROR(__xludf.DUMMYFUNCTION("""COMPUTED_VALUE"""),"box")</f>
        <v>box</v>
      </c>
      <c r="C2163" s="3" t="str">
        <f>IFERROR(__xludf.DUMMYFUNCTION("""COMPUTED_VALUE"""),"B.watch Box")</f>
        <v>B.watch Box</v>
      </c>
    </row>
    <row r="2164">
      <c r="A2164" s="3" t="str">
        <f>IFERROR(__xludf.DUMMYFUNCTION("""COMPUTED_VALUE"""),"bxh")</f>
        <v>bxh</v>
      </c>
      <c r="B2164" s="3" t="str">
        <f>IFERROR(__xludf.DUMMYFUNCTION("""COMPUTED_VALUE"""),"bxh")</f>
        <v>bxh</v>
      </c>
      <c r="C2164" s="3" t="str">
        <f>IFERROR(__xludf.DUMMYFUNCTION("""COMPUTED_VALUE"""),"BXH")</f>
        <v>BXH</v>
      </c>
    </row>
    <row r="2165">
      <c r="A2165" s="3" t="str">
        <f>IFERROR(__xludf.DUMMYFUNCTION("""COMPUTED_VALUE"""),"bxmi-token")</f>
        <v>bxmi-token</v>
      </c>
      <c r="B2165" s="3" t="str">
        <f>IFERROR(__xludf.DUMMYFUNCTION("""COMPUTED_VALUE"""),"bxmi")</f>
        <v>bxmi</v>
      </c>
      <c r="C2165" s="3" t="str">
        <f>IFERROR(__xludf.DUMMYFUNCTION("""COMPUTED_VALUE"""),"Bxmi")</f>
        <v>Bxmi</v>
      </c>
    </row>
    <row r="2166">
      <c r="A2166" s="3" t="str">
        <f>IFERROR(__xludf.DUMMYFUNCTION("""COMPUTED_VALUE"""),"bxtb-foundation")</f>
        <v>bxtb-foundation</v>
      </c>
      <c r="B2166" s="3" t="str">
        <f>IFERROR(__xludf.DUMMYFUNCTION("""COMPUTED_VALUE"""),"bxtb")</f>
        <v>bxtb</v>
      </c>
      <c r="C2166" s="3" t="str">
        <f>IFERROR(__xludf.DUMMYFUNCTION("""COMPUTED_VALUE"""),"BXTB Foundation")</f>
        <v>BXTB Foundation</v>
      </c>
    </row>
    <row r="2167">
      <c r="A2167" s="3" t="str">
        <f>IFERROR(__xludf.DUMMYFUNCTION("""COMPUTED_VALUE"""),"byepix")</f>
        <v>byepix</v>
      </c>
      <c r="B2167" s="3" t="str">
        <f>IFERROR(__xludf.DUMMYFUNCTION("""COMPUTED_VALUE"""),"epix")</f>
        <v>epix</v>
      </c>
      <c r="C2167" s="3" t="str">
        <f>IFERROR(__xludf.DUMMYFUNCTION("""COMPUTED_VALUE"""),"Byepix")</f>
        <v>Byepix</v>
      </c>
    </row>
    <row r="2168">
      <c r="A2168" s="3" t="str">
        <f>IFERROR(__xludf.DUMMYFUNCTION("""COMPUTED_VALUE"""),"byteball")</f>
        <v>byteball</v>
      </c>
      <c r="B2168" s="3" t="str">
        <f>IFERROR(__xludf.DUMMYFUNCTION("""COMPUTED_VALUE"""),"gbyte")</f>
        <v>gbyte</v>
      </c>
      <c r="C2168" s="3" t="str">
        <f>IFERROR(__xludf.DUMMYFUNCTION("""COMPUTED_VALUE"""),"Obyte")</f>
        <v>Obyte</v>
      </c>
    </row>
    <row r="2169">
      <c r="A2169" s="3" t="str">
        <f>IFERROR(__xludf.DUMMYFUNCTION("""COMPUTED_VALUE"""),"bytecoin")</f>
        <v>bytecoin</v>
      </c>
      <c r="B2169" s="3" t="str">
        <f>IFERROR(__xludf.DUMMYFUNCTION("""COMPUTED_VALUE"""),"bcn")</f>
        <v>bcn</v>
      </c>
      <c r="C2169" s="3" t="str">
        <f>IFERROR(__xludf.DUMMYFUNCTION("""COMPUTED_VALUE"""),"Bytecoin")</f>
        <v>Bytecoin</v>
      </c>
    </row>
    <row r="2170">
      <c r="A2170" s="3" t="str">
        <f>IFERROR(__xludf.DUMMYFUNCTION("""COMPUTED_VALUE"""),"byteex")</f>
        <v>byteex</v>
      </c>
      <c r="B2170" s="3" t="str">
        <f>IFERROR(__xludf.DUMMYFUNCTION("""COMPUTED_VALUE"""),"bx")</f>
        <v>bx</v>
      </c>
      <c r="C2170" s="3" t="str">
        <f>IFERROR(__xludf.DUMMYFUNCTION("""COMPUTED_VALUE"""),"ByteEx")</f>
        <v>ByteEx</v>
      </c>
    </row>
    <row r="2171">
      <c r="A2171" s="3" t="str">
        <f>IFERROR(__xludf.DUMMYFUNCTION("""COMPUTED_VALUE"""),"bytenext")</f>
        <v>bytenext</v>
      </c>
      <c r="B2171" s="3" t="str">
        <f>IFERROR(__xludf.DUMMYFUNCTION("""COMPUTED_VALUE"""),"bnu")</f>
        <v>bnu</v>
      </c>
      <c r="C2171" s="3" t="str">
        <f>IFERROR(__xludf.DUMMYFUNCTION("""COMPUTED_VALUE"""),"ByteNext")</f>
        <v>ByteNext</v>
      </c>
    </row>
    <row r="2172">
      <c r="A2172" s="3" t="str">
        <f>IFERROR(__xludf.DUMMYFUNCTION("""COMPUTED_VALUE"""),"bytom")</f>
        <v>bytom</v>
      </c>
      <c r="B2172" s="3" t="str">
        <f>IFERROR(__xludf.DUMMYFUNCTION("""COMPUTED_VALUE"""),"btm")</f>
        <v>btm</v>
      </c>
      <c r="C2172" s="3" t="str">
        <f>IFERROR(__xludf.DUMMYFUNCTION("""COMPUTED_VALUE"""),"Bytom")</f>
        <v>Bytom</v>
      </c>
    </row>
    <row r="2173">
      <c r="A2173" s="3" t="str">
        <f>IFERROR(__xludf.DUMMYFUNCTION("""COMPUTED_VALUE"""),"bytz")</f>
        <v>bytz</v>
      </c>
      <c r="B2173" s="3" t="str">
        <f>IFERROR(__xludf.DUMMYFUNCTION("""COMPUTED_VALUE"""),"bytz")</f>
        <v>bytz</v>
      </c>
      <c r="C2173" s="3" t="str">
        <f>IFERROR(__xludf.DUMMYFUNCTION("""COMPUTED_VALUE"""),"BYTZ")</f>
        <v>BYTZ</v>
      </c>
    </row>
    <row r="2174">
      <c r="A2174" s="3" t="str">
        <f>IFERROR(__xludf.DUMMYFUNCTION("""COMPUTED_VALUE"""),"bzx-protocol")</f>
        <v>bzx-protocol</v>
      </c>
      <c r="B2174" s="3" t="str">
        <f>IFERROR(__xludf.DUMMYFUNCTION("""COMPUTED_VALUE"""),"bzrx")</f>
        <v>bzrx</v>
      </c>
      <c r="C2174" s="3" t="str">
        <f>IFERROR(__xludf.DUMMYFUNCTION("""COMPUTED_VALUE"""),"bZx Protocol")</f>
        <v>bZx Protocol</v>
      </c>
    </row>
    <row r="2175">
      <c r="A2175" s="3" t="str">
        <f>IFERROR(__xludf.DUMMYFUNCTION("""COMPUTED_VALUE"""),"bzzone")</f>
        <v>bzzone</v>
      </c>
      <c r="B2175" s="3" t="str">
        <f>IFERROR(__xludf.DUMMYFUNCTION("""COMPUTED_VALUE"""),"bzzone")</f>
        <v>bzzone</v>
      </c>
      <c r="C2175" s="3" t="str">
        <f>IFERROR(__xludf.DUMMYFUNCTION("""COMPUTED_VALUE"""),"Bzzone")</f>
        <v>Bzzone</v>
      </c>
    </row>
    <row r="2176">
      <c r="A2176" s="3" t="str">
        <f>IFERROR(__xludf.DUMMYFUNCTION("""COMPUTED_VALUE"""),"c2x-2")</f>
        <v>c2x-2</v>
      </c>
      <c r="B2176" s="3" t="str">
        <f>IFERROR(__xludf.DUMMYFUNCTION("""COMPUTED_VALUE"""),"ctx")</f>
        <v>ctx</v>
      </c>
      <c r="C2176" s="3" t="str">
        <f>IFERROR(__xludf.DUMMYFUNCTION("""COMPUTED_VALUE"""),"C2X")</f>
        <v>C2X</v>
      </c>
    </row>
    <row r="2177">
      <c r="A2177" s="3" t="str">
        <f>IFERROR(__xludf.DUMMYFUNCTION("""COMPUTED_VALUE"""),"caashcow")</f>
        <v>caashcow</v>
      </c>
      <c r="B2177" s="3" t="str">
        <f>IFERROR(__xludf.DUMMYFUNCTION("""COMPUTED_VALUE"""),"cow")</f>
        <v>cow</v>
      </c>
      <c r="C2177" s="3" t="str">
        <f>IFERROR(__xludf.DUMMYFUNCTION("""COMPUTED_VALUE"""),"CaashCow")</f>
        <v>CaashCow</v>
      </c>
    </row>
    <row r="2178">
      <c r="A2178" s="3" t="str">
        <f>IFERROR(__xludf.DUMMYFUNCTION("""COMPUTED_VALUE"""),"caave")</f>
        <v>caave</v>
      </c>
      <c r="B2178" s="3" t="str">
        <f>IFERROR(__xludf.DUMMYFUNCTION("""COMPUTED_VALUE"""),"caave")</f>
        <v>caave</v>
      </c>
      <c r="C2178" s="3" t="str">
        <f>IFERROR(__xludf.DUMMYFUNCTION("""COMPUTED_VALUE"""),"cAAVE")</f>
        <v>cAAVE</v>
      </c>
    </row>
    <row r="2179">
      <c r="A2179" s="3" t="str">
        <f>IFERROR(__xludf.DUMMYFUNCTION("""COMPUTED_VALUE"""),"cabana-token")</f>
        <v>cabana-token</v>
      </c>
      <c r="B2179" s="3" t="str">
        <f>IFERROR(__xludf.DUMMYFUNCTION("""COMPUTED_VALUE"""),"cba")</f>
        <v>cba</v>
      </c>
      <c r="C2179" s="3" t="str">
        <f>IFERROR(__xludf.DUMMYFUNCTION("""COMPUTED_VALUE"""),"Cabana")</f>
        <v>Cabana</v>
      </c>
    </row>
    <row r="2180">
      <c r="A2180" s="3" t="str">
        <f>IFERROR(__xludf.DUMMYFUNCTION("""COMPUTED_VALUE"""),"cabin")</f>
        <v>cabin</v>
      </c>
      <c r="B2180" s="3" t="str">
        <f>IFERROR(__xludf.DUMMYFUNCTION("""COMPUTED_VALUE"""),"cabin")</f>
        <v>cabin</v>
      </c>
      <c r="C2180" s="3" t="str">
        <f>IFERROR(__xludf.DUMMYFUNCTION("""COMPUTED_VALUE"""),"Cabin")</f>
        <v>Cabin</v>
      </c>
    </row>
    <row r="2181">
      <c r="A2181" s="3" t="str">
        <f>IFERROR(__xludf.DUMMYFUNCTION("""COMPUTED_VALUE"""),"cache-gold")</f>
        <v>cache-gold</v>
      </c>
      <c r="B2181" s="3" t="str">
        <f>IFERROR(__xludf.DUMMYFUNCTION("""COMPUTED_VALUE"""),"cgt")</f>
        <v>cgt</v>
      </c>
      <c r="C2181" s="3" t="str">
        <f>IFERROR(__xludf.DUMMYFUNCTION("""COMPUTED_VALUE"""),"CACHE Gold")</f>
        <v>CACHE Gold</v>
      </c>
    </row>
    <row r="2182">
      <c r="A2182" s="3" t="str">
        <f>IFERROR(__xludf.DUMMYFUNCTION("""COMPUTED_VALUE"""),"cacti-club")</f>
        <v>cacti-club</v>
      </c>
      <c r="B2182" s="3" t="str">
        <f>IFERROR(__xludf.DUMMYFUNCTION("""COMPUTED_VALUE"""),"cacti")</f>
        <v>cacti</v>
      </c>
      <c r="C2182" s="3" t="str">
        <f>IFERROR(__xludf.DUMMYFUNCTION("""COMPUTED_VALUE"""),"Cacti Club")</f>
        <v>Cacti Club</v>
      </c>
    </row>
    <row r="2183">
      <c r="A2183" s="3" t="str">
        <f>IFERROR(__xludf.DUMMYFUNCTION("""COMPUTED_VALUE"""),"cad-coin")</f>
        <v>cad-coin</v>
      </c>
      <c r="B2183" s="3" t="str">
        <f>IFERROR(__xludf.DUMMYFUNCTION("""COMPUTED_VALUE"""),"cadc")</f>
        <v>cadc</v>
      </c>
      <c r="C2183" s="3" t="str">
        <f>IFERROR(__xludf.DUMMYFUNCTION("""COMPUTED_VALUE"""),"CAD Coin")</f>
        <v>CAD Coin</v>
      </c>
    </row>
    <row r="2184">
      <c r="A2184" s="3" t="str">
        <f>IFERROR(__xludf.DUMMYFUNCTION("""COMPUTED_VALUE"""),"cadenverse")</f>
        <v>cadenverse</v>
      </c>
      <c r="B2184" s="3" t="str">
        <f>IFERROR(__xludf.DUMMYFUNCTION("""COMPUTED_VALUE"""),"$cdv")</f>
        <v>$cdv</v>
      </c>
      <c r="C2184" s="3" t="str">
        <f>IFERROR(__xludf.DUMMYFUNCTION("""COMPUTED_VALUE"""),"Cadenverse")</f>
        <v>Cadenverse</v>
      </c>
    </row>
    <row r="2185">
      <c r="A2185" s="3" t="str">
        <f>IFERROR(__xludf.DUMMYFUNCTION("""COMPUTED_VALUE"""),"caduceus")</f>
        <v>caduceus</v>
      </c>
      <c r="B2185" s="3" t="str">
        <f>IFERROR(__xludf.DUMMYFUNCTION("""COMPUTED_VALUE"""),"cmp")</f>
        <v>cmp</v>
      </c>
      <c r="C2185" s="3" t="str">
        <f>IFERROR(__xludf.DUMMYFUNCTION("""COMPUTED_VALUE"""),"Caduceus")</f>
        <v>Caduceus</v>
      </c>
    </row>
    <row r="2186">
      <c r="A2186" s="3" t="str">
        <f>IFERROR(__xludf.DUMMYFUNCTION("""COMPUTED_VALUE"""),"cafeswap-token")</f>
        <v>cafeswap-token</v>
      </c>
      <c r="B2186" s="3" t="str">
        <f>IFERROR(__xludf.DUMMYFUNCTION("""COMPUTED_VALUE"""),"brew")</f>
        <v>brew</v>
      </c>
      <c r="C2186" s="3" t="str">
        <f>IFERROR(__xludf.DUMMYFUNCTION("""COMPUTED_VALUE"""),"CafeSwap")</f>
        <v>CafeSwap</v>
      </c>
    </row>
    <row r="2187">
      <c r="A2187" s="3" t="str">
        <f>IFERROR(__xludf.DUMMYFUNCTION("""COMPUTED_VALUE"""),"caica-coin")</f>
        <v>caica-coin</v>
      </c>
      <c r="B2187" s="3" t="str">
        <f>IFERROR(__xludf.DUMMYFUNCTION("""COMPUTED_VALUE"""),"cicc")</f>
        <v>cicc</v>
      </c>
      <c r="C2187" s="3" t="str">
        <f>IFERROR(__xludf.DUMMYFUNCTION("""COMPUTED_VALUE"""),"CAICA Coin")</f>
        <v>CAICA Coin</v>
      </c>
    </row>
    <row r="2188">
      <c r="A2188" s="3" t="str">
        <f>IFERROR(__xludf.DUMMYFUNCTION("""COMPUTED_VALUE"""),"caietf-finance")</f>
        <v>caietf-finance</v>
      </c>
      <c r="B2188" s="3" t="str">
        <f>IFERROR(__xludf.DUMMYFUNCTION("""COMPUTED_VALUE"""),"cai")</f>
        <v>cai</v>
      </c>
      <c r="C2188" s="3" t="str">
        <f>IFERROR(__xludf.DUMMYFUNCTION("""COMPUTED_VALUE"""),"CAIETF.Finance")</f>
        <v>CAIETF.Finance</v>
      </c>
    </row>
    <row r="2189">
      <c r="A2189" s="3" t="str">
        <f>IFERROR(__xludf.DUMMYFUNCTION("""COMPUTED_VALUE"""),"cairo-finance")</f>
        <v>cairo-finance</v>
      </c>
      <c r="B2189" s="3" t="str">
        <f>IFERROR(__xludf.DUMMYFUNCTION("""COMPUTED_VALUE"""),"cairo")</f>
        <v>cairo</v>
      </c>
      <c r="C2189" s="3" t="str">
        <f>IFERROR(__xludf.DUMMYFUNCTION("""COMPUTED_VALUE"""),"Cairo Finance [OLD]")</f>
        <v>Cairo Finance [OLD]</v>
      </c>
    </row>
    <row r="2190">
      <c r="A2190" s="3" t="str">
        <f>IFERROR(__xludf.DUMMYFUNCTION("""COMPUTED_VALUE"""),"cairo-finance-2")</f>
        <v>cairo-finance-2</v>
      </c>
      <c r="B2190" s="3" t="str">
        <f>IFERROR(__xludf.DUMMYFUNCTION("""COMPUTED_VALUE"""),"caf")</f>
        <v>caf</v>
      </c>
      <c r="C2190" s="3" t="str">
        <f>IFERROR(__xludf.DUMMYFUNCTION("""COMPUTED_VALUE"""),"CAIRO")</f>
        <v>CAIRO</v>
      </c>
    </row>
    <row r="2191">
      <c r="A2191" s="3" t="str">
        <f>IFERROR(__xludf.DUMMYFUNCTION("""COMPUTED_VALUE"""),"cake-bank")</f>
        <v>cake-bank</v>
      </c>
      <c r="B2191" s="3" t="str">
        <f>IFERROR(__xludf.DUMMYFUNCTION("""COMPUTED_VALUE"""),"cakebank")</f>
        <v>cakebank</v>
      </c>
      <c r="C2191" s="3" t="str">
        <f>IFERROR(__xludf.DUMMYFUNCTION("""COMPUTED_VALUE"""),"Cake Bank")</f>
        <v>Cake Bank</v>
      </c>
    </row>
    <row r="2192">
      <c r="A2192" s="3" t="str">
        <f>IFERROR(__xludf.DUMMYFUNCTION("""COMPUTED_VALUE"""),"cake-monster")</f>
        <v>cake-monster</v>
      </c>
      <c r="B2192" s="3" t="str">
        <f>IFERROR(__xludf.DUMMYFUNCTION("""COMPUTED_VALUE"""),"monsta")</f>
        <v>monsta</v>
      </c>
      <c r="C2192" s="3" t="str">
        <f>IFERROR(__xludf.DUMMYFUNCTION("""COMPUTED_VALUE"""),"Cake Monster")</f>
        <v>Cake Monster</v>
      </c>
    </row>
    <row r="2193">
      <c r="A2193" s="3" t="str">
        <f>IFERROR(__xludf.DUMMYFUNCTION("""COMPUTED_VALUE"""),"cakepad")</f>
        <v>cakepad</v>
      </c>
      <c r="B2193" s="3" t="str">
        <f>IFERROR(__xludf.DUMMYFUNCTION("""COMPUTED_VALUE"""),"ckp")</f>
        <v>ckp</v>
      </c>
      <c r="C2193" s="3" t="str">
        <f>IFERROR(__xludf.DUMMYFUNCTION("""COMPUTED_VALUE"""),"CakePad")</f>
        <v>CakePad</v>
      </c>
    </row>
    <row r="2194">
      <c r="A2194" s="3" t="str">
        <f>IFERROR(__xludf.DUMMYFUNCTION("""COMPUTED_VALUE"""),"cakepow")</f>
        <v>cakepow</v>
      </c>
      <c r="B2194" s="3" t="str">
        <f>IFERROR(__xludf.DUMMYFUNCTION("""COMPUTED_VALUE"""),"cakepow")</f>
        <v>cakepow</v>
      </c>
      <c r="C2194" s="3" t="str">
        <f>IFERROR(__xludf.DUMMYFUNCTION("""COMPUTED_VALUE"""),"CakePoW")</f>
        <v>CakePoW</v>
      </c>
    </row>
    <row r="2195">
      <c r="A2195" s="3" t="str">
        <f>IFERROR(__xludf.DUMMYFUNCTION("""COMPUTED_VALUE"""),"cakepunks")</f>
        <v>cakepunks</v>
      </c>
      <c r="B2195" s="3" t="str">
        <f>IFERROR(__xludf.DUMMYFUNCTION("""COMPUTED_VALUE"""),"cakepunks")</f>
        <v>cakepunks</v>
      </c>
      <c r="C2195" s="3" t="str">
        <f>IFERROR(__xludf.DUMMYFUNCTION("""COMPUTED_VALUE"""),"CAKEPUNKS")</f>
        <v>CAKEPUNKS</v>
      </c>
    </row>
    <row r="2196">
      <c r="A2196" s="3" t="str">
        <f>IFERROR(__xludf.DUMMYFUNCTION("""COMPUTED_VALUE"""),"cakeswap")</f>
        <v>cakeswap</v>
      </c>
      <c r="B2196" s="3" t="str">
        <f>IFERROR(__xludf.DUMMYFUNCTION("""COMPUTED_VALUE"""),"cakeswap")</f>
        <v>cakeswap</v>
      </c>
      <c r="C2196" s="3" t="str">
        <f>IFERROR(__xludf.DUMMYFUNCTION("""COMPUTED_VALUE"""),"CakeSwap")</f>
        <v>CakeSwap</v>
      </c>
    </row>
    <row r="2197">
      <c r="A2197" s="3" t="str">
        <f>IFERROR(__xludf.DUMMYFUNCTION("""COMPUTED_VALUE"""),"caketools")</f>
        <v>caketools</v>
      </c>
      <c r="B2197" s="3" t="str">
        <f>IFERROR(__xludf.DUMMYFUNCTION("""COMPUTED_VALUE"""),"ckt")</f>
        <v>ckt</v>
      </c>
      <c r="C2197" s="3" t="str">
        <f>IFERROR(__xludf.DUMMYFUNCTION("""COMPUTED_VALUE"""),"Caketools")</f>
        <v>Caketools</v>
      </c>
    </row>
    <row r="2198">
      <c r="A2198" s="3" t="str">
        <f>IFERROR(__xludf.DUMMYFUNCTION("""COMPUTED_VALUE"""),"cakewswap")</f>
        <v>cakewswap</v>
      </c>
      <c r="B2198" s="3" t="str">
        <f>IFERROR(__xludf.DUMMYFUNCTION("""COMPUTED_VALUE"""),"cakew")</f>
        <v>cakew</v>
      </c>
      <c r="C2198" s="3" t="str">
        <f>IFERROR(__xludf.DUMMYFUNCTION("""COMPUTED_VALUE"""),"CakeWSwap")</f>
        <v>CakeWSwap</v>
      </c>
    </row>
    <row r="2199">
      <c r="A2199" s="3" t="str">
        <f>IFERROR(__xludf.DUMMYFUNCTION("""COMPUTED_VALUE"""),"calamari-network")</f>
        <v>calamari-network</v>
      </c>
      <c r="B2199" s="3" t="str">
        <f>IFERROR(__xludf.DUMMYFUNCTION("""COMPUTED_VALUE"""),"kma")</f>
        <v>kma</v>
      </c>
      <c r="C2199" s="3" t="str">
        <f>IFERROR(__xludf.DUMMYFUNCTION("""COMPUTED_VALUE"""),"Calamari Network")</f>
        <v>Calamari Network</v>
      </c>
    </row>
    <row r="2200">
      <c r="A2200" s="3" t="str">
        <f>IFERROR(__xludf.DUMMYFUNCTION("""COMPUTED_VALUE"""),"calaswap")</f>
        <v>calaswap</v>
      </c>
      <c r="B2200" s="3" t="str">
        <f>IFERROR(__xludf.DUMMYFUNCTION("""COMPUTED_VALUE"""),"cls")</f>
        <v>cls</v>
      </c>
      <c r="C2200" s="3" t="str">
        <f>IFERROR(__xludf.DUMMYFUNCTION("""COMPUTED_VALUE"""),"Calaswap")</f>
        <v>Calaswap</v>
      </c>
    </row>
    <row r="2201">
      <c r="A2201" s="3" t="str">
        <f>IFERROR(__xludf.DUMMYFUNCTION("""COMPUTED_VALUE"""),"calaxy")</f>
        <v>calaxy</v>
      </c>
      <c r="B2201" s="3" t="str">
        <f>IFERROR(__xludf.DUMMYFUNCTION("""COMPUTED_VALUE"""),"clxy")</f>
        <v>clxy</v>
      </c>
      <c r="C2201" s="3" t="str">
        <f>IFERROR(__xludf.DUMMYFUNCTION("""COMPUTED_VALUE"""),"Calaxy")</f>
        <v>Calaxy</v>
      </c>
    </row>
    <row r="2202">
      <c r="A2202" s="3" t="str">
        <f>IFERROR(__xludf.DUMMYFUNCTION("""COMPUTED_VALUE"""),"calicoin")</f>
        <v>calicoin</v>
      </c>
      <c r="B2202" s="3" t="str">
        <f>IFERROR(__xludf.DUMMYFUNCTION("""COMPUTED_VALUE"""),"cali")</f>
        <v>cali</v>
      </c>
      <c r="C2202" s="3" t="str">
        <f>IFERROR(__xludf.DUMMYFUNCTION("""COMPUTED_VALUE"""),"CaliCoin")</f>
        <v>CaliCoin</v>
      </c>
    </row>
    <row r="2203">
      <c r="A2203" s="3" t="str">
        <f>IFERROR(__xludf.DUMMYFUNCTION("""COMPUTED_VALUE"""),"californium")</f>
        <v>californium</v>
      </c>
      <c r="B2203" s="3" t="str">
        <f>IFERROR(__xludf.DUMMYFUNCTION("""COMPUTED_VALUE"""),"cf")</f>
        <v>cf</v>
      </c>
      <c r="C2203" s="3" t="str">
        <f>IFERROR(__xludf.DUMMYFUNCTION("""COMPUTED_VALUE"""),"Californium")</f>
        <v>Californium</v>
      </c>
    </row>
    <row r="2204">
      <c r="A2204" s="3" t="str">
        <f>IFERROR(__xludf.DUMMYFUNCTION("""COMPUTED_VALUE"""),"callisto")</f>
        <v>callisto</v>
      </c>
      <c r="B2204" s="3" t="str">
        <f>IFERROR(__xludf.DUMMYFUNCTION("""COMPUTED_VALUE"""),"clo")</f>
        <v>clo</v>
      </c>
      <c r="C2204" s="3" t="str">
        <f>IFERROR(__xludf.DUMMYFUNCTION("""COMPUTED_VALUE"""),"Callisto Network")</f>
        <v>Callisto Network</v>
      </c>
    </row>
    <row r="2205">
      <c r="A2205" s="3" t="str">
        <f>IFERROR(__xludf.DUMMYFUNCTION("""COMPUTED_VALUE"""),"calo-app")</f>
        <v>calo-app</v>
      </c>
      <c r="B2205" s="3" t="str">
        <f>IFERROR(__xludf.DUMMYFUNCTION("""COMPUTED_VALUE"""),"calo")</f>
        <v>calo</v>
      </c>
      <c r="C2205" s="3" t="str">
        <f>IFERROR(__xludf.DUMMYFUNCTION("""COMPUTED_VALUE"""),"Calo")</f>
        <v>Calo</v>
      </c>
    </row>
    <row r="2206">
      <c r="A2206" s="3" t="str">
        <f>IFERROR(__xludf.DUMMYFUNCTION("""COMPUTED_VALUE"""),"calo-fit")</f>
        <v>calo-fit</v>
      </c>
      <c r="B2206" s="3" t="str">
        <f>IFERROR(__xludf.DUMMYFUNCTION("""COMPUTED_VALUE"""),"fit")</f>
        <v>fit</v>
      </c>
      <c r="C2206" s="3" t="str">
        <f>IFERROR(__xludf.DUMMYFUNCTION("""COMPUTED_VALUE"""),"Calo FIT")</f>
        <v>Calo FIT</v>
      </c>
    </row>
    <row r="2207">
      <c r="A2207" s="3" t="str">
        <f>IFERROR(__xludf.DUMMYFUNCTION("""COMPUTED_VALUE"""),"calo-indoor")</f>
        <v>calo-indoor</v>
      </c>
      <c r="B2207" s="3" t="str">
        <f>IFERROR(__xludf.DUMMYFUNCTION("""COMPUTED_VALUE"""),"ifit")</f>
        <v>ifit</v>
      </c>
      <c r="C2207" s="3" t="str">
        <f>IFERROR(__xludf.DUMMYFUNCTION("""COMPUTED_VALUE"""),"Calo Indoor")</f>
        <v>Calo Indoor</v>
      </c>
    </row>
    <row r="2208">
      <c r="A2208" s="3" t="str">
        <f>IFERROR(__xludf.DUMMYFUNCTION("""COMPUTED_VALUE"""),"camelcoin")</f>
        <v>camelcoin</v>
      </c>
      <c r="B2208" s="3" t="str">
        <f>IFERROR(__xludf.DUMMYFUNCTION("""COMPUTED_VALUE"""),"cml")</f>
        <v>cml</v>
      </c>
      <c r="C2208" s="3" t="str">
        <f>IFERROR(__xludf.DUMMYFUNCTION("""COMPUTED_VALUE"""),"Camelcoin")</f>
        <v>Camelcoin</v>
      </c>
    </row>
    <row r="2209">
      <c r="A2209" s="3" t="str">
        <f>IFERROR(__xludf.DUMMYFUNCTION("""COMPUTED_VALUE"""),"cameltoken")</f>
        <v>cameltoken</v>
      </c>
      <c r="B2209" s="3" t="str">
        <f>IFERROR(__xludf.DUMMYFUNCTION("""COMPUTED_VALUE"""),"cmlt")</f>
        <v>cmlt</v>
      </c>
      <c r="C2209" s="3" t="str">
        <f>IFERROR(__xludf.DUMMYFUNCTION("""COMPUTED_VALUE"""),"Camel")</f>
        <v>Camel</v>
      </c>
    </row>
    <row r="2210">
      <c r="A2210" s="3" t="str">
        <f>IFERROR(__xludf.DUMMYFUNCTION("""COMPUTED_VALUE"""),"camp")</f>
        <v>camp</v>
      </c>
      <c r="B2210" s="3" t="str">
        <f>IFERROR(__xludf.DUMMYFUNCTION("""COMPUTED_VALUE"""),"camp")</f>
        <v>camp</v>
      </c>
      <c r="C2210" s="3" t="str">
        <f>IFERROR(__xludf.DUMMYFUNCTION("""COMPUTED_VALUE"""),"Camp")</f>
        <v>Camp</v>
      </c>
    </row>
    <row r="2211">
      <c r="A2211" s="3" t="str">
        <f>IFERROR(__xludf.DUMMYFUNCTION("""COMPUTED_VALUE"""),"canadian-inuit-dog")</f>
        <v>canadian-inuit-dog</v>
      </c>
      <c r="B2211" s="3" t="str">
        <f>IFERROR(__xludf.DUMMYFUNCTION("""COMPUTED_VALUE"""),"cadinu")</f>
        <v>cadinu</v>
      </c>
      <c r="C2211" s="3" t="str">
        <f>IFERROR(__xludf.DUMMYFUNCTION("""COMPUTED_VALUE"""),"Canadian Inuit Dog")</f>
        <v>Canadian Inuit Dog</v>
      </c>
    </row>
    <row r="2212">
      <c r="A2212" s="3" t="str">
        <f>IFERROR(__xludf.DUMMYFUNCTION("""COMPUTED_VALUE"""),"canary")</f>
        <v>canary</v>
      </c>
      <c r="B2212" s="3" t="str">
        <f>IFERROR(__xludf.DUMMYFUNCTION("""COMPUTED_VALUE"""),"cnr")</f>
        <v>cnr</v>
      </c>
      <c r="C2212" s="3" t="str">
        <f>IFERROR(__xludf.DUMMYFUNCTION("""COMPUTED_VALUE"""),"Canary")</f>
        <v>Canary</v>
      </c>
    </row>
    <row r="2213">
      <c r="A2213" s="3" t="str">
        <f>IFERROR(__xludf.DUMMYFUNCTION("""COMPUTED_VALUE"""),"canary-dollar")</f>
        <v>canary-dollar</v>
      </c>
      <c r="B2213" s="3" t="str">
        <f>IFERROR(__xludf.DUMMYFUNCTION("""COMPUTED_VALUE"""),"cand")</f>
        <v>cand</v>
      </c>
      <c r="C2213" s="3" t="str">
        <f>IFERROR(__xludf.DUMMYFUNCTION("""COMPUTED_VALUE"""),"Canary Dollar")</f>
        <v>Canary Dollar</v>
      </c>
    </row>
    <row r="2214">
      <c r="A2214" s="3" t="str">
        <f>IFERROR(__xludf.DUMMYFUNCTION("""COMPUTED_VALUE"""),"canaryx")</f>
        <v>canaryx</v>
      </c>
      <c r="B2214" s="3" t="str">
        <f>IFERROR(__xludf.DUMMYFUNCTION("""COMPUTED_VALUE"""),"cnyx")</f>
        <v>cnyx</v>
      </c>
      <c r="C2214" s="3" t="str">
        <f>IFERROR(__xludf.DUMMYFUNCTION("""COMPUTED_VALUE"""),"CanaryX")</f>
        <v>CanaryX</v>
      </c>
    </row>
    <row r="2215">
      <c r="A2215" s="3" t="str">
        <f>IFERROR(__xludf.DUMMYFUNCTION("""COMPUTED_VALUE"""),"candela-coin")</f>
        <v>candela-coin</v>
      </c>
      <c r="B2215" s="3" t="str">
        <f>IFERROR(__xludf.DUMMYFUNCTION("""COMPUTED_VALUE"""),"cla")</f>
        <v>cla</v>
      </c>
      <c r="C2215" s="3" t="str">
        <f>IFERROR(__xludf.DUMMYFUNCTION("""COMPUTED_VALUE"""),"Candela Coin")</f>
        <v>Candela Coin</v>
      </c>
    </row>
    <row r="2216">
      <c r="A2216" s="3" t="str">
        <f>IFERROR(__xludf.DUMMYFUNCTION("""COMPUTED_VALUE"""),"can-devs-do-something-please")</f>
        <v>can-devs-do-something-please</v>
      </c>
      <c r="B2216" s="3" t="str">
        <f>IFERROR(__xludf.DUMMYFUNCTION("""COMPUTED_VALUE"""),"cddsp")</f>
        <v>cddsp</v>
      </c>
      <c r="C2216" s="3" t="str">
        <f>IFERROR(__xludf.DUMMYFUNCTION("""COMPUTED_VALUE"""),"Can Devs Do Something Please")</f>
        <v>Can Devs Do Something Please</v>
      </c>
    </row>
    <row r="2217">
      <c r="A2217" s="3" t="str">
        <f>IFERROR(__xludf.DUMMYFUNCTION("""COMPUTED_VALUE"""),"candylad")</f>
        <v>candylad</v>
      </c>
      <c r="B2217" s="3" t="str">
        <f>IFERROR(__xludf.DUMMYFUNCTION("""COMPUTED_VALUE"""),"candylad")</f>
        <v>candylad</v>
      </c>
      <c r="C2217" s="3" t="str">
        <f>IFERROR(__xludf.DUMMYFUNCTION("""COMPUTED_VALUE"""),"Candylad")</f>
        <v>Candylad</v>
      </c>
    </row>
    <row r="2218">
      <c r="A2218" s="3" t="str">
        <f>IFERROR(__xludf.DUMMYFUNCTION("""COMPUTED_VALUE"""),"cannabiscoin")</f>
        <v>cannabiscoin</v>
      </c>
      <c r="B2218" s="3" t="str">
        <f>IFERROR(__xludf.DUMMYFUNCTION("""COMPUTED_VALUE"""),"cann")</f>
        <v>cann</v>
      </c>
      <c r="C2218" s="3" t="str">
        <f>IFERROR(__xludf.DUMMYFUNCTION("""COMPUTED_VALUE"""),"CannabisCoin")</f>
        <v>CannabisCoin</v>
      </c>
    </row>
    <row r="2219">
      <c r="A2219" s="3" t="str">
        <f>IFERROR(__xludf.DUMMYFUNCTION("""COMPUTED_VALUE"""),"cannumo")</f>
        <v>cannumo</v>
      </c>
      <c r="B2219" s="3" t="str">
        <f>IFERROR(__xludf.DUMMYFUNCTION("""COMPUTED_VALUE"""),"canu")</f>
        <v>canu</v>
      </c>
      <c r="C2219" s="3" t="str">
        <f>IFERROR(__xludf.DUMMYFUNCTION("""COMPUTED_VALUE"""),"Cannumo")</f>
        <v>Cannumo</v>
      </c>
    </row>
    <row r="2220">
      <c r="A2220" s="3" t="str">
        <f>IFERROR(__xludf.DUMMYFUNCTION("""COMPUTED_VALUE"""),"cantina-royale")</f>
        <v>cantina-royale</v>
      </c>
      <c r="B2220" s="3" t="str">
        <f>IFERROR(__xludf.DUMMYFUNCTION("""COMPUTED_VALUE"""),"crt")</f>
        <v>crt</v>
      </c>
      <c r="C2220" s="3" t="str">
        <f>IFERROR(__xludf.DUMMYFUNCTION("""COMPUTED_VALUE"""),"Cantina Royale")</f>
        <v>Cantina Royale</v>
      </c>
    </row>
    <row r="2221">
      <c r="A2221" s="3" t="str">
        <f>IFERROR(__xludf.DUMMYFUNCTION("""COMPUTED_VALUE"""),"canto")</f>
        <v>canto</v>
      </c>
      <c r="B2221" s="3" t="str">
        <f>IFERROR(__xludf.DUMMYFUNCTION("""COMPUTED_VALUE"""),"canto")</f>
        <v>canto</v>
      </c>
      <c r="C2221" s="3" t="str">
        <f>IFERROR(__xludf.DUMMYFUNCTION("""COMPUTED_VALUE"""),"CANTO")</f>
        <v>CANTO</v>
      </c>
    </row>
    <row r="2222">
      <c r="A2222" s="3" t="str">
        <f>IFERROR(__xludf.DUMMYFUNCTION("""COMPUTED_VALUE"""),"canto-inu")</f>
        <v>canto-inu</v>
      </c>
      <c r="B2222" s="3" t="str">
        <f>IFERROR(__xludf.DUMMYFUNCTION("""COMPUTED_VALUE"""),"cinu")</f>
        <v>cinu</v>
      </c>
      <c r="C2222" s="3" t="str">
        <f>IFERROR(__xludf.DUMMYFUNCTION("""COMPUTED_VALUE"""),"Canto Inu")</f>
        <v>Canto Inu</v>
      </c>
    </row>
    <row r="2223">
      <c r="A2223" s="3" t="str">
        <f>IFERROR(__xludf.DUMMYFUNCTION("""COMPUTED_VALUE"""),"cap")</f>
        <v>cap</v>
      </c>
      <c r="B2223" s="3" t="str">
        <f>IFERROR(__xludf.DUMMYFUNCTION("""COMPUTED_VALUE"""),"cap")</f>
        <v>cap</v>
      </c>
      <c r="C2223" s="3" t="str">
        <f>IFERROR(__xludf.DUMMYFUNCTION("""COMPUTED_VALUE"""),"Cap")</f>
        <v>Cap</v>
      </c>
    </row>
    <row r="2224">
      <c r="A2224" s="3" t="str">
        <f>IFERROR(__xludf.DUMMYFUNCTION("""COMPUTED_VALUE"""),"capital-aggregator-token")</f>
        <v>capital-aggregator-token</v>
      </c>
      <c r="B2224" s="3" t="str">
        <f>IFERROR(__xludf.DUMMYFUNCTION("""COMPUTED_VALUE"""),"cat+")</f>
        <v>cat+</v>
      </c>
      <c r="C2224" s="3" t="str">
        <f>IFERROR(__xludf.DUMMYFUNCTION("""COMPUTED_VALUE"""),"Capital Aggregator")</f>
        <v>Capital Aggregator</v>
      </c>
    </row>
    <row r="2225">
      <c r="A2225" s="3" t="str">
        <f>IFERROR(__xludf.DUMMYFUNCTION("""COMPUTED_VALUE"""),"capital-dao-starter-token")</f>
        <v>capital-dao-starter-token</v>
      </c>
      <c r="B2225" s="3" t="str">
        <f>IFERROR(__xludf.DUMMYFUNCTION("""COMPUTED_VALUE"""),"cds")</f>
        <v>cds</v>
      </c>
      <c r="C2225" s="3" t="str">
        <f>IFERROR(__xludf.DUMMYFUNCTION("""COMPUTED_VALUE"""),"Capital DAO Starter")</f>
        <v>Capital DAO Starter</v>
      </c>
    </row>
    <row r="2226">
      <c r="A2226" s="3" t="str">
        <f>IFERROR(__xludf.DUMMYFUNCTION("""COMPUTED_VALUE"""),"capital-x-cell")</f>
        <v>capital-x-cell</v>
      </c>
      <c r="B2226" s="3" t="str">
        <f>IFERROR(__xludf.DUMMYFUNCTION("""COMPUTED_VALUE"""),"cxc")</f>
        <v>cxc</v>
      </c>
      <c r="C2226" s="3" t="str">
        <f>IFERROR(__xludf.DUMMYFUNCTION("""COMPUTED_VALUE"""),"CAPITAL X CELL")</f>
        <v>CAPITAL X CELL</v>
      </c>
    </row>
    <row r="2227">
      <c r="A2227" s="3" t="str">
        <f>IFERROR(__xludf.DUMMYFUNCTION("""COMPUTED_VALUE"""),"capitol")</f>
        <v>capitol</v>
      </c>
      <c r="B2227" s="3" t="str">
        <f>IFERROR(__xludf.DUMMYFUNCTION("""COMPUTED_VALUE"""),"cptl")</f>
        <v>cptl</v>
      </c>
      <c r="C2227" s="3" t="str">
        <f>IFERROR(__xludf.DUMMYFUNCTION("""COMPUTED_VALUE"""),"Capitol")</f>
        <v>Capitol</v>
      </c>
    </row>
    <row r="2228">
      <c r="A2228" s="3" t="str">
        <f>IFERROR(__xludf.DUMMYFUNCTION("""COMPUTED_VALUE"""),"cappasity")</f>
        <v>cappasity</v>
      </c>
      <c r="B2228" s="3" t="str">
        <f>IFERROR(__xludf.DUMMYFUNCTION("""COMPUTED_VALUE"""),"capp")</f>
        <v>capp</v>
      </c>
      <c r="C2228" s="3" t="str">
        <f>IFERROR(__xludf.DUMMYFUNCTION("""COMPUTED_VALUE"""),"Cappasity")</f>
        <v>Cappasity</v>
      </c>
    </row>
    <row r="2229">
      <c r="A2229" s="3" t="str">
        <f>IFERROR(__xludf.DUMMYFUNCTION("""COMPUTED_VALUE"""),"capricorn")</f>
        <v>capricorn</v>
      </c>
      <c r="B2229" s="3" t="str">
        <f>IFERROR(__xludf.DUMMYFUNCTION("""COMPUTED_VALUE"""),"corn")</f>
        <v>corn</v>
      </c>
      <c r="C2229" s="3" t="str">
        <f>IFERROR(__xludf.DUMMYFUNCTION("""COMPUTED_VALUE"""),"Capricorn")</f>
        <v>Capricorn</v>
      </c>
    </row>
    <row r="2230">
      <c r="A2230" s="3" t="str">
        <f>IFERROR(__xludf.DUMMYFUNCTION("""COMPUTED_VALUE"""),"captain")</f>
        <v>captain</v>
      </c>
      <c r="B2230" s="3" t="str">
        <f>IFERROR(__xludf.DUMMYFUNCTION("""COMPUTED_VALUE"""),"capt")</f>
        <v>capt</v>
      </c>
      <c r="C2230" s="3" t="str">
        <f>IFERROR(__xludf.DUMMYFUNCTION("""COMPUTED_VALUE"""),"Captain")</f>
        <v>Captain</v>
      </c>
    </row>
    <row r="2231">
      <c r="A2231" s="3" t="str">
        <f>IFERROR(__xludf.DUMMYFUNCTION("""COMPUTED_VALUE"""),"captain-inu")</f>
        <v>captain-inu</v>
      </c>
      <c r="B2231" s="3" t="str">
        <f>IFERROR(__xludf.DUMMYFUNCTION("""COMPUTED_VALUE"""),"cptinu")</f>
        <v>cptinu</v>
      </c>
      <c r="C2231" s="3" t="str">
        <f>IFERROR(__xludf.DUMMYFUNCTION("""COMPUTED_VALUE"""),"Captain Inu")</f>
        <v>Captain Inu</v>
      </c>
    </row>
    <row r="2232">
      <c r="A2232" s="3" t="str">
        <f>IFERROR(__xludf.DUMMYFUNCTION("""COMPUTED_VALUE"""),"captain-planet")</f>
        <v>captain-planet</v>
      </c>
      <c r="B2232" s="3" t="str">
        <f>IFERROR(__xludf.DUMMYFUNCTION("""COMPUTED_VALUE"""),"ctp")</f>
        <v>ctp</v>
      </c>
      <c r="C2232" s="3" t="str">
        <f>IFERROR(__xludf.DUMMYFUNCTION("""COMPUTED_VALUE"""),"Captain Planet")</f>
        <v>Captain Planet</v>
      </c>
    </row>
    <row r="2233">
      <c r="A2233" s="3" t="str">
        <f>IFERROR(__xludf.DUMMYFUNCTION("""COMPUTED_VALUE"""),"captain-shibarrow")</f>
        <v>captain-shibarrow</v>
      </c>
      <c r="B2233" s="3" t="str">
        <f>IFERROR(__xludf.DUMMYFUNCTION("""COMPUTED_VALUE"""),"shibarrow")</f>
        <v>shibarrow</v>
      </c>
      <c r="C2233" s="3" t="str">
        <f>IFERROR(__xludf.DUMMYFUNCTION("""COMPUTED_VALUE"""),"Captain Shibarrow")</f>
        <v>Captain Shibarrow</v>
      </c>
    </row>
    <row r="2234">
      <c r="A2234" s="3" t="str">
        <f>IFERROR(__xludf.DUMMYFUNCTION("""COMPUTED_VALUE"""),"capybara")</f>
        <v>capybara</v>
      </c>
      <c r="B2234" s="3" t="str">
        <f>IFERROR(__xludf.DUMMYFUNCTION("""COMPUTED_VALUE"""),"capy")</f>
        <v>capy</v>
      </c>
      <c r="C2234" s="3" t="str">
        <f>IFERROR(__xludf.DUMMYFUNCTION("""COMPUTED_VALUE"""),"Capybara")</f>
        <v>Capybara</v>
      </c>
    </row>
    <row r="2235">
      <c r="A2235" s="3" t="str">
        <f>IFERROR(__xludf.DUMMYFUNCTION("""COMPUTED_VALUE"""),"carat")</f>
        <v>carat</v>
      </c>
      <c r="B2235" s="3" t="str">
        <f>IFERROR(__xludf.DUMMYFUNCTION("""COMPUTED_VALUE"""),"carat")</f>
        <v>carat</v>
      </c>
      <c r="C2235" s="3" t="str">
        <f>IFERROR(__xludf.DUMMYFUNCTION("""COMPUTED_VALUE"""),"CARAT")</f>
        <v>CARAT</v>
      </c>
    </row>
    <row r="2236">
      <c r="A2236" s="3" t="str">
        <f>IFERROR(__xludf.DUMMYFUNCTION("""COMPUTED_VALUE"""),"carbofoot")</f>
        <v>carbofoot</v>
      </c>
      <c r="B2236" s="3" t="str">
        <f>IFERROR(__xludf.DUMMYFUNCTION("""COMPUTED_VALUE"""),"cfoot")</f>
        <v>cfoot</v>
      </c>
      <c r="C2236" s="3" t="str">
        <f>IFERROR(__xludf.DUMMYFUNCTION("""COMPUTED_VALUE"""),"CarboFoot")</f>
        <v>CarboFoot</v>
      </c>
    </row>
    <row r="2237">
      <c r="A2237" s="3" t="str">
        <f>IFERROR(__xludf.DUMMYFUNCTION("""COMPUTED_VALUE"""),"carbon")</f>
        <v>carbon</v>
      </c>
      <c r="B2237" s="3" t="str">
        <f>IFERROR(__xludf.DUMMYFUNCTION("""COMPUTED_VALUE"""),"crbn")</f>
        <v>crbn</v>
      </c>
      <c r="C2237" s="3" t="str">
        <f>IFERROR(__xludf.DUMMYFUNCTION("""COMPUTED_VALUE"""),"Carbon")</f>
        <v>Carbon</v>
      </c>
    </row>
    <row r="2238">
      <c r="A2238" s="3" t="str">
        <f>IFERROR(__xludf.DUMMYFUNCTION("""COMPUTED_VALUE"""),"carboncoin")</f>
        <v>carboncoin</v>
      </c>
      <c r="B2238" s="3" t="str">
        <f>IFERROR(__xludf.DUMMYFUNCTION("""COMPUTED_VALUE"""),"carbon")</f>
        <v>carbon</v>
      </c>
      <c r="C2238" s="3" t="str">
        <f>IFERROR(__xludf.DUMMYFUNCTION("""COMPUTED_VALUE"""),"Carboncoin")</f>
        <v>Carboncoin</v>
      </c>
    </row>
    <row r="2239">
      <c r="A2239" s="3" t="str">
        <f>IFERROR(__xludf.DUMMYFUNCTION("""COMPUTED_VALUE"""),"carbon-credit")</f>
        <v>carbon-credit</v>
      </c>
      <c r="B2239" s="3" t="str">
        <f>IFERROR(__xludf.DUMMYFUNCTION("""COMPUTED_VALUE"""),"cct")</f>
        <v>cct</v>
      </c>
      <c r="C2239" s="3" t="str">
        <f>IFERROR(__xludf.DUMMYFUNCTION("""COMPUTED_VALUE"""),"Carbon Credit")</f>
        <v>Carbon Credit</v>
      </c>
    </row>
    <row r="2240">
      <c r="A2240" s="3" t="str">
        <f>IFERROR(__xludf.DUMMYFUNCTION("""COMPUTED_VALUE"""),"carbonic")</f>
        <v>carbonic</v>
      </c>
      <c r="B2240" s="3" t="str">
        <f>IFERROR(__xludf.DUMMYFUNCTION("""COMPUTED_VALUE"""),"co2")</f>
        <v>co2</v>
      </c>
      <c r="C2240" s="3" t="str">
        <f>IFERROR(__xludf.DUMMYFUNCTION("""COMPUTED_VALUE"""),"Carbonic")</f>
        <v>Carbonic</v>
      </c>
    </row>
    <row r="2241">
      <c r="A2241" s="3" t="str">
        <f>IFERROR(__xludf.DUMMYFUNCTION("""COMPUTED_VALUE"""),"carbonic-shares")</f>
        <v>carbonic-shares</v>
      </c>
      <c r="B2241" s="3" t="str">
        <f>IFERROR(__xludf.DUMMYFUNCTION("""COMPUTED_VALUE"""),"sco2")</f>
        <v>sco2</v>
      </c>
      <c r="C2241" s="3" t="str">
        <f>IFERROR(__xludf.DUMMYFUNCTION("""COMPUTED_VALUE"""),"Carbonic Shares")</f>
        <v>Carbonic Shares</v>
      </c>
    </row>
    <row r="2242">
      <c r="A2242" s="3" t="str">
        <f>IFERROR(__xludf.DUMMYFUNCTION("""COMPUTED_VALUE"""),"carbon-labs")</f>
        <v>carbon-labs</v>
      </c>
      <c r="B2242" s="3" t="str">
        <f>IFERROR(__xludf.DUMMYFUNCTION("""COMPUTED_VALUE"""),"carb")</f>
        <v>carb</v>
      </c>
      <c r="C2242" s="3" t="str">
        <f>IFERROR(__xludf.DUMMYFUNCTION("""COMPUTED_VALUE"""),"Carbon Labs")</f>
        <v>Carbon Labs</v>
      </c>
    </row>
    <row r="2243">
      <c r="A2243" s="3" t="str">
        <f>IFERROR(__xludf.DUMMYFUNCTION("""COMPUTED_VALUE"""),"carbon-seed")</f>
        <v>carbon-seed</v>
      </c>
      <c r="B2243" s="3" t="str">
        <f>IFERROR(__xludf.DUMMYFUNCTION("""COMPUTED_VALUE"""),"carbon")</f>
        <v>carbon</v>
      </c>
      <c r="C2243" s="3" t="str">
        <f>IFERROR(__xludf.DUMMYFUNCTION("""COMPUTED_VALUE"""),"Carbon Seed")</f>
        <v>Carbon Seed</v>
      </c>
    </row>
    <row r="2244">
      <c r="A2244" s="3" t="str">
        <f>IFERROR(__xludf.DUMMYFUNCTION("""COMPUTED_VALUE"""),"car-coin")</f>
        <v>car-coin</v>
      </c>
      <c r="B2244" s="3" t="str">
        <f>IFERROR(__xludf.DUMMYFUNCTION("""COMPUTED_VALUE"""),"ccm")</f>
        <v>ccm</v>
      </c>
      <c r="C2244" s="3" t="str">
        <f>IFERROR(__xludf.DUMMYFUNCTION("""COMPUTED_VALUE"""),"Car Coin")</f>
        <v>Car Coin</v>
      </c>
    </row>
    <row r="2245">
      <c r="A2245" s="3" t="str">
        <f>IFERROR(__xludf.DUMMYFUNCTION("""COMPUTED_VALUE"""),"cardalonia")</f>
        <v>cardalonia</v>
      </c>
      <c r="B2245" s="3" t="str">
        <f>IFERROR(__xludf.DUMMYFUNCTION("""COMPUTED_VALUE"""),"lonia")</f>
        <v>lonia</v>
      </c>
      <c r="C2245" s="3" t="str">
        <f>IFERROR(__xludf.DUMMYFUNCTION("""COMPUTED_VALUE"""),"Cardalonia")</f>
        <v>Cardalonia</v>
      </c>
    </row>
    <row r="2246">
      <c r="A2246" s="3" t="str">
        <f>IFERROR(__xludf.DUMMYFUNCTION("""COMPUTED_VALUE"""),"cardano")</f>
        <v>cardano</v>
      </c>
      <c r="B2246" s="3" t="str">
        <f>IFERROR(__xludf.DUMMYFUNCTION("""COMPUTED_VALUE"""),"ada")</f>
        <v>ada</v>
      </c>
      <c r="C2246" s="3" t="str">
        <f>IFERROR(__xludf.DUMMYFUNCTION("""COMPUTED_VALUE"""),"Cardano")</f>
        <v>Cardano</v>
      </c>
    </row>
    <row r="2247">
      <c r="A2247" s="3" t="str">
        <f>IFERROR(__xludf.DUMMYFUNCTION("""COMPUTED_VALUE"""),"cardanoevo")</f>
        <v>cardanoevo</v>
      </c>
      <c r="B2247" s="3" t="str">
        <f>IFERROR(__xludf.DUMMYFUNCTION("""COMPUTED_VALUE"""),"cevo")</f>
        <v>cevo</v>
      </c>
      <c r="C2247" s="3" t="str">
        <f>IFERROR(__xludf.DUMMYFUNCTION("""COMPUTED_VALUE"""),"CardanoEvo")</f>
        <v>CardanoEvo</v>
      </c>
    </row>
    <row r="2248">
      <c r="A2248" s="3" t="str">
        <f>IFERROR(__xludf.DUMMYFUNCTION("""COMPUTED_VALUE"""),"cardence")</f>
        <v>cardence</v>
      </c>
      <c r="B2248" s="3" t="str">
        <f>IFERROR(__xludf.DUMMYFUNCTION("""COMPUTED_VALUE"""),"$crdn")</f>
        <v>$crdn</v>
      </c>
      <c r="C2248" s="3" t="str">
        <f>IFERROR(__xludf.DUMMYFUNCTION("""COMPUTED_VALUE"""),"Cardence")</f>
        <v>Cardence</v>
      </c>
    </row>
    <row r="2249">
      <c r="A2249" s="3" t="str">
        <f>IFERROR(__xludf.DUMMYFUNCTION("""COMPUTED_VALUE"""),"cardiocoin")</f>
        <v>cardiocoin</v>
      </c>
      <c r="B2249" s="3" t="str">
        <f>IFERROR(__xludf.DUMMYFUNCTION("""COMPUTED_VALUE"""),"crdc")</f>
        <v>crdc</v>
      </c>
      <c r="C2249" s="3" t="str">
        <f>IFERROR(__xludf.DUMMYFUNCTION("""COMPUTED_VALUE"""),"Cardiocoin")</f>
        <v>Cardiocoin</v>
      </c>
    </row>
    <row r="2250">
      <c r="A2250" s="3" t="str">
        <f>IFERROR(__xludf.DUMMYFUNCTION("""COMPUTED_VALUE"""),"cards-of-bsc")</f>
        <v>cards-of-bsc</v>
      </c>
      <c r="B2250" s="3" t="str">
        <f>IFERROR(__xludf.DUMMYFUNCTION("""COMPUTED_VALUE"""),"cob")</f>
        <v>cob</v>
      </c>
      <c r="C2250" s="3" t="str">
        <f>IFERROR(__xludf.DUMMYFUNCTION("""COMPUTED_VALUE"""),"Cards of BSC")</f>
        <v>Cards of BSC</v>
      </c>
    </row>
    <row r="2251">
      <c r="A2251" s="3" t="str">
        <f>IFERROR(__xludf.DUMMYFUNCTION("""COMPUTED_VALUE"""),"cardstack")</f>
        <v>cardstack</v>
      </c>
      <c r="B2251" s="3" t="str">
        <f>IFERROR(__xludf.DUMMYFUNCTION("""COMPUTED_VALUE"""),"card")</f>
        <v>card</v>
      </c>
      <c r="C2251" s="3" t="str">
        <f>IFERROR(__xludf.DUMMYFUNCTION("""COMPUTED_VALUE"""),"Cardstack")</f>
        <v>Cardstack</v>
      </c>
    </row>
    <row r="2252">
      <c r="A2252" s="3" t="str">
        <f>IFERROR(__xludf.DUMMYFUNCTION("""COMPUTED_VALUE"""),"cardstarter")</f>
        <v>cardstarter</v>
      </c>
      <c r="B2252" s="3" t="str">
        <f>IFERROR(__xludf.DUMMYFUNCTION("""COMPUTED_VALUE"""),"cards")</f>
        <v>cards</v>
      </c>
      <c r="C2252" s="3" t="str">
        <f>IFERROR(__xludf.DUMMYFUNCTION("""COMPUTED_VALUE"""),"Cardstarter")</f>
        <v>Cardstarter</v>
      </c>
    </row>
    <row r="2253">
      <c r="A2253" s="3" t="str">
        <f>IFERROR(__xludf.DUMMYFUNCTION("""COMPUTED_VALUE"""),"cardwallet")</f>
        <v>cardwallet</v>
      </c>
      <c r="B2253" s="3" t="str">
        <f>IFERROR(__xludf.DUMMYFUNCTION("""COMPUTED_VALUE"""),"cw")</f>
        <v>cw</v>
      </c>
      <c r="C2253" s="3" t="str">
        <f>IFERROR(__xludf.DUMMYFUNCTION("""COMPUTED_VALUE"""),"CardWallet")</f>
        <v>CardWallet</v>
      </c>
    </row>
    <row r="2254">
      <c r="A2254" s="3" t="str">
        <f>IFERROR(__xludf.DUMMYFUNCTION("""COMPUTED_VALUE"""),"care-coin")</f>
        <v>care-coin</v>
      </c>
      <c r="B2254" s="3" t="str">
        <f>IFERROR(__xludf.DUMMYFUNCTION("""COMPUTED_VALUE"""),"crc")</f>
        <v>crc</v>
      </c>
      <c r="C2254" s="3" t="str">
        <f>IFERROR(__xludf.DUMMYFUNCTION("""COMPUTED_VALUE"""),"Care Coin")</f>
        <v>Care Coin</v>
      </c>
    </row>
    <row r="2255">
      <c r="A2255" s="3" t="str">
        <f>IFERROR(__xludf.DUMMYFUNCTION("""COMPUTED_VALUE"""),"cargolink")</f>
        <v>cargolink</v>
      </c>
      <c r="B2255" s="3" t="str">
        <f>IFERROR(__xludf.DUMMYFUNCTION("""COMPUTED_VALUE"""),"clx")</f>
        <v>clx</v>
      </c>
      <c r="C2255" s="3" t="str">
        <f>IFERROR(__xludf.DUMMYFUNCTION("""COMPUTED_VALUE"""),"CargoLink")</f>
        <v>CargoLink</v>
      </c>
    </row>
    <row r="2256">
      <c r="A2256" s="3" t="str">
        <f>IFERROR(__xludf.DUMMYFUNCTION("""COMPUTED_VALUE"""),"cargox")</f>
        <v>cargox</v>
      </c>
      <c r="B2256" s="3" t="str">
        <f>IFERROR(__xludf.DUMMYFUNCTION("""COMPUTED_VALUE"""),"cxo")</f>
        <v>cxo</v>
      </c>
      <c r="C2256" s="3" t="str">
        <f>IFERROR(__xludf.DUMMYFUNCTION("""COMPUTED_VALUE"""),"CargoX")</f>
        <v>CargoX</v>
      </c>
    </row>
    <row r="2257">
      <c r="A2257" s="3" t="str">
        <f>IFERROR(__xludf.DUMMYFUNCTION("""COMPUTED_VALUE"""),"carma-coin")</f>
        <v>carma-coin</v>
      </c>
      <c r="B2257" s="3" t="str">
        <f>IFERROR(__xludf.DUMMYFUNCTION("""COMPUTED_VALUE"""),"carma")</f>
        <v>carma</v>
      </c>
      <c r="C2257" s="3" t="str">
        <f>IFERROR(__xludf.DUMMYFUNCTION("""COMPUTED_VALUE"""),"Carma Coin")</f>
        <v>Carma Coin</v>
      </c>
    </row>
    <row r="2258">
      <c r="A2258" s="3" t="str">
        <f>IFERROR(__xludf.DUMMYFUNCTION("""COMPUTED_VALUE"""),"carnomaly")</f>
        <v>carnomaly</v>
      </c>
      <c r="B2258" s="3" t="str">
        <f>IFERROR(__xludf.DUMMYFUNCTION("""COMPUTED_VALUE"""),"carr")</f>
        <v>carr</v>
      </c>
      <c r="C2258" s="3" t="str">
        <f>IFERROR(__xludf.DUMMYFUNCTION("""COMPUTED_VALUE"""),"Carnomaly")</f>
        <v>Carnomaly</v>
      </c>
    </row>
    <row r="2259">
      <c r="A2259" s="3" t="str">
        <f>IFERROR(__xludf.DUMMYFUNCTION("""COMPUTED_VALUE"""),"carr-finance")</f>
        <v>carr-finance</v>
      </c>
      <c r="B2259" s="3" t="str">
        <f>IFERROR(__xludf.DUMMYFUNCTION("""COMPUTED_VALUE"""),"crt")</f>
        <v>crt</v>
      </c>
      <c r="C2259" s="3" t="str">
        <f>IFERROR(__xludf.DUMMYFUNCTION("""COMPUTED_VALUE"""),"Carrot Finance")</f>
        <v>Carrot Finance</v>
      </c>
    </row>
    <row r="2260">
      <c r="A2260" s="3" t="str">
        <f>IFERROR(__xludf.DUMMYFUNCTION("""COMPUTED_VALUE"""),"carrot-stable-coin")</f>
        <v>carrot-stable-coin</v>
      </c>
      <c r="B2260" s="3" t="str">
        <f>IFERROR(__xludf.DUMMYFUNCTION("""COMPUTED_VALUE"""),"carrot")</f>
        <v>carrot</v>
      </c>
      <c r="C2260" s="3" t="str">
        <f>IFERROR(__xludf.DUMMYFUNCTION("""COMPUTED_VALUE"""),"Carrot Stable Coin")</f>
        <v>Carrot Stable Coin</v>
      </c>
    </row>
    <row r="2261">
      <c r="A2261" s="3" t="str">
        <f>IFERROR(__xludf.DUMMYFUNCTION("""COMPUTED_VALUE"""),"carrot-token")</f>
        <v>carrot-token</v>
      </c>
      <c r="B2261" s="3" t="str">
        <f>IFERROR(__xludf.DUMMYFUNCTION("""COMPUTED_VALUE"""),"carrot")</f>
        <v>carrot</v>
      </c>
      <c r="C2261" s="3" t="str">
        <f>IFERROR(__xludf.DUMMYFUNCTION("""COMPUTED_VALUE"""),"Carrot Token")</f>
        <v>Carrot Token</v>
      </c>
    </row>
    <row r="2262">
      <c r="A2262" s="3" t="str">
        <f>IFERROR(__xludf.DUMMYFUNCTION("""COMPUTED_VALUE"""),"carry")</f>
        <v>carry</v>
      </c>
      <c r="B2262" s="3" t="str">
        <f>IFERROR(__xludf.DUMMYFUNCTION("""COMPUTED_VALUE"""),"cre")</f>
        <v>cre</v>
      </c>
      <c r="C2262" s="3" t="str">
        <f>IFERROR(__xludf.DUMMYFUNCTION("""COMPUTED_VALUE"""),"Carry")</f>
        <v>Carry</v>
      </c>
    </row>
    <row r="2263">
      <c r="A2263" s="3" t="str">
        <f>IFERROR(__xludf.DUMMYFUNCTION("""COMPUTED_VALUE"""),"cartesi")</f>
        <v>cartesi</v>
      </c>
      <c r="B2263" s="3" t="str">
        <f>IFERROR(__xludf.DUMMYFUNCTION("""COMPUTED_VALUE"""),"ctsi")</f>
        <v>ctsi</v>
      </c>
      <c r="C2263" s="3" t="str">
        <f>IFERROR(__xludf.DUMMYFUNCTION("""COMPUTED_VALUE"""),"Cartesi")</f>
        <v>Cartesi</v>
      </c>
    </row>
    <row r="2264">
      <c r="A2264" s="3" t="str">
        <f>IFERROR(__xludf.DUMMYFUNCTION("""COMPUTED_VALUE"""),"carvertical")</f>
        <v>carvertical</v>
      </c>
      <c r="B2264" s="3" t="str">
        <f>IFERROR(__xludf.DUMMYFUNCTION("""COMPUTED_VALUE"""),"cv")</f>
        <v>cv</v>
      </c>
      <c r="C2264" s="3" t="str">
        <f>IFERROR(__xludf.DUMMYFUNCTION("""COMPUTED_VALUE"""),"carVertical")</f>
        <v>carVertical</v>
      </c>
    </row>
    <row r="2265">
      <c r="A2265" s="3" t="str">
        <f>IFERROR(__xludf.DUMMYFUNCTION("""COMPUTED_VALUE"""),"cash2")</f>
        <v>cash2</v>
      </c>
      <c r="B2265" s="3" t="str">
        <f>IFERROR(__xludf.DUMMYFUNCTION("""COMPUTED_VALUE"""),"cash2")</f>
        <v>cash2</v>
      </c>
      <c r="C2265" s="3" t="str">
        <f>IFERROR(__xludf.DUMMYFUNCTION("""COMPUTED_VALUE"""),"Cash2")</f>
        <v>Cash2</v>
      </c>
    </row>
    <row r="2266">
      <c r="A2266" s="3" t="str">
        <f>IFERROR(__xludf.DUMMYFUNCTION("""COMPUTED_VALUE"""),"cashaa")</f>
        <v>cashaa</v>
      </c>
      <c r="B2266" s="3" t="str">
        <f>IFERROR(__xludf.DUMMYFUNCTION("""COMPUTED_VALUE"""),"cas")</f>
        <v>cas</v>
      </c>
      <c r="C2266" s="3" t="str">
        <f>IFERROR(__xludf.DUMMYFUNCTION("""COMPUTED_VALUE"""),"Cashaa")</f>
        <v>Cashaa</v>
      </c>
    </row>
    <row r="2267">
      <c r="A2267" s="3" t="str">
        <f>IFERROR(__xludf.DUMMYFUNCTION("""COMPUTED_VALUE"""),"cashbackpro")</f>
        <v>cashbackpro</v>
      </c>
      <c r="B2267" s="3" t="str">
        <f>IFERROR(__xludf.DUMMYFUNCTION("""COMPUTED_VALUE"""),"cbp")</f>
        <v>cbp</v>
      </c>
      <c r="C2267" s="3" t="str">
        <f>IFERROR(__xludf.DUMMYFUNCTION("""COMPUTED_VALUE"""),"CashBackPro")</f>
        <v>CashBackPro</v>
      </c>
    </row>
    <row r="2268">
      <c r="A2268" s="3" t="str">
        <f>IFERROR(__xludf.DUMMYFUNCTION("""COMPUTED_VALUE"""),"cashbet-coin")</f>
        <v>cashbet-coin</v>
      </c>
      <c r="B2268" s="3" t="str">
        <f>IFERROR(__xludf.DUMMYFUNCTION("""COMPUTED_VALUE"""),"cbc")</f>
        <v>cbc</v>
      </c>
      <c r="C2268" s="3" t="str">
        <f>IFERROR(__xludf.DUMMYFUNCTION("""COMPUTED_VALUE"""),"CBC.network")</f>
        <v>CBC.network</v>
      </c>
    </row>
    <row r="2269">
      <c r="A2269" s="3" t="str">
        <f>IFERROR(__xludf.DUMMYFUNCTION("""COMPUTED_VALUE"""),"cashcats")</f>
        <v>cashcats</v>
      </c>
      <c r="B2269" s="3" t="str">
        <f>IFERROR(__xludf.DUMMYFUNCTION("""COMPUTED_VALUE"""),"$cats")</f>
        <v>$cats</v>
      </c>
      <c r="C2269" s="3" t="str">
        <f>IFERROR(__xludf.DUMMYFUNCTION("""COMPUTED_VALUE"""),"CashCats")</f>
        <v>CashCats</v>
      </c>
    </row>
    <row r="2270">
      <c r="A2270" s="3" t="str">
        <f>IFERROR(__xludf.DUMMYFUNCTION("""COMPUTED_VALUE"""),"cashcow")</f>
        <v>cashcow</v>
      </c>
      <c r="B2270" s="3" t="str">
        <f>IFERROR(__xludf.DUMMYFUNCTION("""COMPUTED_VALUE"""),"cow")</f>
        <v>cow</v>
      </c>
      <c r="C2270" s="3" t="str">
        <f>IFERROR(__xludf.DUMMYFUNCTION("""COMPUTED_VALUE"""),"CashCow")</f>
        <v>CashCow</v>
      </c>
    </row>
    <row r="2271">
      <c r="A2271" s="3" t="str">
        <f>IFERROR(__xludf.DUMMYFUNCTION("""COMPUTED_VALUE"""),"cashdog")</f>
        <v>cashdog</v>
      </c>
      <c r="B2271" s="3" t="str">
        <f>IFERROR(__xludf.DUMMYFUNCTION("""COMPUTED_VALUE"""),"cashdog")</f>
        <v>cashdog</v>
      </c>
      <c r="C2271" s="3" t="str">
        <f>IFERROR(__xludf.DUMMYFUNCTION("""COMPUTED_VALUE"""),"CashDog")</f>
        <v>CashDog</v>
      </c>
    </row>
    <row r="2272">
      <c r="A2272" s="3" t="str">
        <f>IFERROR(__xludf.DUMMYFUNCTION("""COMPUTED_VALUE"""),"cashera")</f>
        <v>cashera</v>
      </c>
      <c r="B2272" s="3" t="str">
        <f>IFERROR(__xludf.DUMMYFUNCTION("""COMPUTED_VALUE"""),"csr")</f>
        <v>csr</v>
      </c>
      <c r="C2272" s="3" t="str">
        <f>IFERROR(__xludf.DUMMYFUNCTION("""COMPUTED_VALUE"""),"Cashera")</f>
        <v>Cashera</v>
      </c>
    </row>
    <row r="2273">
      <c r="A2273" s="3" t="str">
        <f>IFERROR(__xludf.DUMMYFUNCTION("""COMPUTED_VALUE"""),"cashio-token")</f>
        <v>cashio-token</v>
      </c>
      <c r="B2273" s="3" t="str">
        <f>IFERROR(__xludf.DUMMYFUNCTION("""COMPUTED_VALUE"""),"cashio")</f>
        <v>cashio</v>
      </c>
      <c r="C2273" s="3" t="str">
        <f>IFERROR(__xludf.DUMMYFUNCTION("""COMPUTED_VALUE"""),"Cashio")</f>
        <v>Cashio</v>
      </c>
    </row>
    <row r="2274">
      <c r="A2274" s="3" t="str">
        <f>IFERROR(__xludf.DUMMYFUNCTION("""COMPUTED_VALUE"""),"cashpay")</f>
        <v>cashpay</v>
      </c>
      <c r="B2274" s="3" t="str">
        <f>IFERROR(__xludf.DUMMYFUNCTION("""COMPUTED_VALUE"""),"cpz")</f>
        <v>cpz</v>
      </c>
      <c r="C2274" s="3" t="str">
        <f>IFERROR(__xludf.DUMMYFUNCTION("""COMPUTED_VALUE"""),"CashPay")</f>
        <v>CashPay</v>
      </c>
    </row>
    <row r="2275">
      <c r="A2275" s="3" t="str">
        <f>IFERROR(__xludf.DUMMYFUNCTION("""COMPUTED_VALUE"""),"cash-tech")</f>
        <v>cash-tech</v>
      </c>
      <c r="B2275" s="3" t="str">
        <f>IFERROR(__xludf.DUMMYFUNCTION("""COMPUTED_VALUE"""),"cate")</f>
        <v>cate</v>
      </c>
      <c r="C2275" s="3" t="str">
        <f>IFERROR(__xludf.DUMMYFUNCTION("""COMPUTED_VALUE"""),"Cash Tech")</f>
        <v>Cash Tech</v>
      </c>
    </row>
    <row r="2276">
      <c r="A2276" s="3" t="str">
        <f>IFERROR(__xludf.DUMMYFUNCTION("""COMPUTED_VALUE"""),"cashthai")</f>
        <v>cashthai</v>
      </c>
      <c r="B2276" s="3" t="str">
        <f>IFERROR(__xludf.DUMMYFUNCTION("""COMPUTED_VALUE"""),"cthai")</f>
        <v>cthai</v>
      </c>
      <c r="C2276" s="3" t="str">
        <f>IFERROR(__xludf.DUMMYFUNCTION("""COMPUTED_VALUE"""),"CashThai")</f>
        <v>CashThai</v>
      </c>
    </row>
    <row r="2277">
      <c r="A2277" s="3" t="str">
        <f>IFERROR(__xludf.DUMMYFUNCTION("""COMPUTED_VALUE"""),"cashzone")</f>
        <v>cashzone</v>
      </c>
      <c r="B2277" s="3" t="str">
        <f>IFERROR(__xludf.DUMMYFUNCTION("""COMPUTED_VALUE"""),"cashz")</f>
        <v>cashz</v>
      </c>
      <c r="C2277" s="3" t="str">
        <f>IFERROR(__xludf.DUMMYFUNCTION("""COMPUTED_VALUE"""),"CashZone")</f>
        <v>CashZone</v>
      </c>
    </row>
    <row r="2278">
      <c r="A2278" s="3" t="str">
        <f>IFERROR(__xludf.DUMMYFUNCTION("""COMPUTED_VALUE"""),"casinocoin")</f>
        <v>casinocoin</v>
      </c>
      <c r="B2278" s="3" t="str">
        <f>IFERROR(__xludf.DUMMYFUNCTION("""COMPUTED_VALUE"""),"csc")</f>
        <v>csc</v>
      </c>
      <c r="C2278" s="3" t="str">
        <f>IFERROR(__xludf.DUMMYFUNCTION("""COMPUTED_VALUE"""),"Casinocoin")</f>
        <v>Casinocoin</v>
      </c>
    </row>
    <row r="2279">
      <c r="A2279" s="3" t="str">
        <f>IFERROR(__xludf.DUMMYFUNCTION("""COMPUTED_VALUE"""),"casinoxmetaverse")</f>
        <v>casinoxmetaverse</v>
      </c>
      <c r="B2279" s="3" t="str">
        <f>IFERROR(__xludf.DUMMYFUNCTION("""COMPUTED_VALUE"""),"$casio")</f>
        <v>$casio</v>
      </c>
      <c r="C2279" s="3" t="str">
        <f>IFERROR(__xludf.DUMMYFUNCTION("""COMPUTED_VALUE"""),"CasinoXMetaverse")</f>
        <v>CasinoXMetaverse</v>
      </c>
    </row>
    <row r="2280">
      <c r="A2280" s="3" t="str">
        <f>IFERROR(__xludf.DUMMYFUNCTION("""COMPUTED_VALUE"""),"casper-network")</f>
        <v>casper-network</v>
      </c>
      <c r="B2280" s="3" t="str">
        <f>IFERROR(__xludf.DUMMYFUNCTION("""COMPUTED_VALUE"""),"cspr")</f>
        <v>cspr</v>
      </c>
      <c r="C2280" s="3" t="str">
        <f>IFERROR(__xludf.DUMMYFUNCTION("""COMPUTED_VALUE"""),"Casper Network")</f>
        <v>Casper Network</v>
      </c>
    </row>
    <row r="2281">
      <c r="A2281" s="3" t="str">
        <f>IFERROR(__xludf.DUMMYFUNCTION("""COMPUTED_VALUE"""),"casperpad")</f>
        <v>casperpad</v>
      </c>
      <c r="B2281" s="3" t="str">
        <f>IFERROR(__xludf.DUMMYFUNCTION("""COMPUTED_VALUE"""),"cspd")</f>
        <v>cspd</v>
      </c>
      <c r="C2281" s="3" t="str">
        <f>IFERROR(__xludf.DUMMYFUNCTION("""COMPUTED_VALUE"""),"CasperPad")</f>
        <v>CasperPad</v>
      </c>
    </row>
    <row r="2282">
      <c r="A2282" s="3" t="str">
        <f>IFERROR(__xludf.DUMMYFUNCTION("""COMPUTED_VALUE"""),"castello-coin")</f>
        <v>castello-coin</v>
      </c>
      <c r="B2282" s="3" t="str">
        <f>IFERROR(__xludf.DUMMYFUNCTION("""COMPUTED_VALUE"""),"cast")</f>
        <v>cast</v>
      </c>
      <c r="C2282" s="3" t="str">
        <f>IFERROR(__xludf.DUMMYFUNCTION("""COMPUTED_VALUE"""),"Castello Coin")</f>
        <v>Castello Coin</v>
      </c>
    </row>
    <row r="2283">
      <c r="A2283" s="3" t="str">
        <f>IFERROR(__xludf.DUMMYFUNCTION("""COMPUTED_VALUE"""),"castweet")</f>
        <v>castweet</v>
      </c>
      <c r="B2283" s="3" t="str">
        <f>IFERROR(__xludf.DUMMYFUNCTION("""COMPUTED_VALUE"""),"ctt")</f>
        <v>ctt</v>
      </c>
      <c r="C2283" s="3" t="str">
        <f>IFERROR(__xludf.DUMMYFUNCTION("""COMPUTED_VALUE"""),"Castweet")</f>
        <v>Castweet</v>
      </c>
    </row>
    <row r="2284">
      <c r="A2284" s="3" t="str">
        <f>IFERROR(__xludf.DUMMYFUNCTION("""COMPUTED_VALUE"""),"cat")</f>
        <v>cat</v>
      </c>
      <c r="B2284" s="3" t="str">
        <f>IFERROR(__xludf.DUMMYFUNCTION("""COMPUTED_VALUE"""),"cat")</f>
        <v>cat</v>
      </c>
      <c r="C2284" s="3" t="str">
        <f>IFERROR(__xludf.DUMMYFUNCTION("""COMPUTED_VALUE"""),"CAT")</f>
        <v>CAT</v>
      </c>
    </row>
    <row r="2285">
      <c r="A2285" s="3" t="str">
        <f>IFERROR(__xludf.DUMMYFUNCTION("""COMPUTED_VALUE"""),"catalina-whales-index")</f>
        <v>catalina-whales-index</v>
      </c>
      <c r="B2285" s="3" t="str">
        <f>IFERROR(__xludf.DUMMYFUNCTION("""COMPUTED_VALUE"""),"whales")</f>
        <v>whales</v>
      </c>
      <c r="C2285" s="3" t="str">
        <f>IFERROR(__xludf.DUMMYFUNCTION("""COMPUTED_VALUE"""),"Catalina Whales Index")</f>
        <v>Catalina Whales Index</v>
      </c>
    </row>
    <row r="2286">
      <c r="A2286" s="3" t="str">
        <f>IFERROR(__xludf.DUMMYFUNCTION("""COMPUTED_VALUE"""),"catapult")</f>
        <v>catapult</v>
      </c>
      <c r="B2286" s="3" t="str">
        <f>IFERROR(__xludf.DUMMYFUNCTION("""COMPUTED_VALUE"""),"atd")</f>
        <v>atd</v>
      </c>
      <c r="C2286" s="3" t="str">
        <f>IFERROR(__xludf.DUMMYFUNCTION("""COMPUTED_VALUE"""),"A2DAO")</f>
        <v>A2DAO</v>
      </c>
    </row>
    <row r="2287">
      <c r="A2287" s="3" t="str">
        <f>IFERROR(__xludf.DUMMYFUNCTION("""COMPUTED_VALUE"""),"catapult-ac")</f>
        <v>catapult-ac</v>
      </c>
      <c r="B2287" s="3" t="str">
        <f>IFERROR(__xludf.DUMMYFUNCTION("""COMPUTED_VALUE"""),"cplt")</f>
        <v>cplt</v>
      </c>
      <c r="C2287" s="3" t="str">
        <f>IFERROR(__xludf.DUMMYFUNCTION("""COMPUTED_VALUE"""),"Catapult.ac")</f>
        <v>Catapult.ac</v>
      </c>
    </row>
    <row r="2288">
      <c r="A2288" s="3" t="str">
        <f>IFERROR(__xludf.DUMMYFUNCTION("""COMPUTED_VALUE"""),"catbonk")</f>
        <v>catbonk</v>
      </c>
      <c r="B2288" s="3" t="str">
        <f>IFERROR(__xludf.DUMMYFUNCTION("""COMPUTED_VALUE"""),"cabo")</f>
        <v>cabo</v>
      </c>
      <c r="C2288" s="3" t="str">
        <f>IFERROR(__xludf.DUMMYFUNCTION("""COMPUTED_VALUE"""),"Catbonk")</f>
        <v>Catbonk</v>
      </c>
    </row>
    <row r="2289">
      <c r="A2289" s="3" t="str">
        <f>IFERROR(__xludf.DUMMYFUNCTION("""COMPUTED_VALUE"""),"catboy-2")</f>
        <v>catboy-2</v>
      </c>
      <c r="B2289" s="3" t="str">
        <f>IFERROR(__xludf.DUMMYFUNCTION("""COMPUTED_VALUE"""),"catboy")</f>
        <v>catboy</v>
      </c>
      <c r="C2289" s="3" t="str">
        <f>IFERROR(__xludf.DUMMYFUNCTION("""COMPUTED_VALUE"""),"CatBoy")</f>
        <v>CatBoy</v>
      </c>
    </row>
    <row r="2290">
      <c r="A2290" s="3" t="str">
        <f>IFERROR(__xludf.DUMMYFUNCTION("""COMPUTED_VALUE"""),"catbread")</f>
        <v>catbread</v>
      </c>
      <c r="B2290" s="3" t="str">
        <f>IFERROR(__xludf.DUMMYFUNCTION("""COMPUTED_VALUE"""),"catbread")</f>
        <v>catbread</v>
      </c>
      <c r="C2290" s="3" t="str">
        <f>IFERROR(__xludf.DUMMYFUNCTION("""COMPUTED_VALUE"""),"CatBread")</f>
        <v>CatBread</v>
      </c>
    </row>
    <row r="2291">
      <c r="A2291" s="3" t="str">
        <f>IFERROR(__xludf.DUMMYFUNCTION("""COMPUTED_VALUE"""),"catcher-dao")</f>
        <v>catcher-dao</v>
      </c>
      <c r="B2291" s="3" t="str">
        <f>IFERROR(__xludf.DUMMYFUNCTION("""COMPUTED_VALUE"""),"cdao")</f>
        <v>cdao</v>
      </c>
      <c r="C2291" s="3" t="str">
        <f>IFERROR(__xludf.DUMMYFUNCTION("""COMPUTED_VALUE"""),"Catcher DAO")</f>
        <v>Catcher DAO</v>
      </c>
    </row>
    <row r="2292">
      <c r="A2292" s="3" t="str">
        <f>IFERROR(__xludf.DUMMYFUNCTION("""COMPUTED_VALUE"""),"catch-up")</f>
        <v>catch-up</v>
      </c>
      <c r="B2292" s="3" t="str">
        <f>IFERROR(__xludf.DUMMYFUNCTION("""COMPUTED_VALUE"""),"cu")</f>
        <v>cu</v>
      </c>
      <c r="C2292" s="3" t="str">
        <f>IFERROR(__xludf.DUMMYFUNCTION("""COMPUTED_VALUE"""),"Catch Up")</f>
        <v>Catch Up</v>
      </c>
    </row>
    <row r="2293">
      <c r="A2293" s="3" t="str">
        <f>IFERROR(__xludf.DUMMYFUNCTION("""COMPUTED_VALUE"""),"catchy")</f>
        <v>catchy</v>
      </c>
      <c r="B2293" s="3" t="str">
        <f>IFERROR(__xludf.DUMMYFUNCTION("""COMPUTED_VALUE"""),"catchy")</f>
        <v>catchy</v>
      </c>
      <c r="C2293" s="3" t="str">
        <f>IFERROR(__xludf.DUMMYFUNCTION("""COMPUTED_VALUE"""),"Catchy")</f>
        <v>Catchy</v>
      </c>
    </row>
    <row r="2294">
      <c r="A2294" s="3" t="str">
        <f>IFERROR(__xludf.DUMMYFUNCTION("""COMPUTED_VALUE"""),"catcoin-2")</f>
        <v>catcoin-2</v>
      </c>
      <c r="B2294" s="3" t="str">
        <f>IFERROR(__xludf.DUMMYFUNCTION("""COMPUTED_VALUE"""),"cat")</f>
        <v>cat</v>
      </c>
      <c r="C2294" s="3" t="str">
        <f>IFERROR(__xludf.DUMMYFUNCTION("""COMPUTED_VALUE"""),"CATCOIN")</f>
        <v>CATCOIN</v>
      </c>
    </row>
    <row r="2295">
      <c r="A2295" s="3" t="str">
        <f>IFERROR(__xludf.DUMMYFUNCTION("""COMPUTED_VALUE"""),"catcoin-cash")</f>
        <v>catcoin-cash</v>
      </c>
      <c r="B2295" s="3" t="str">
        <f>IFERROR(__xludf.DUMMYFUNCTION("""COMPUTED_VALUE"""),"catcoin")</f>
        <v>catcoin</v>
      </c>
      <c r="C2295" s="4" t="str">
        <f>IFERROR(__xludf.DUMMYFUNCTION("""COMPUTED_VALUE"""),"CatCoin.com")</f>
        <v>CatCoin.com</v>
      </c>
    </row>
    <row r="2296">
      <c r="A2296" s="3" t="str">
        <f>IFERROR(__xludf.DUMMYFUNCTION("""COMPUTED_VALUE"""),"catcoin-token")</f>
        <v>catcoin-token</v>
      </c>
      <c r="B2296" s="3" t="str">
        <f>IFERROR(__xludf.DUMMYFUNCTION("""COMPUTED_VALUE"""),"cats")</f>
        <v>cats</v>
      </c>
      <c r="C2296" s="3" t="str">
        <f>IFERROR(__xludf.DUMMYFUNCTION("""COMPUTED_VALUE"""),"CatCoin Token")</f>
        <v>CatCoin Token</v>
      </c>
    </row>
    <row r="2297">
      <c r="A2297" s="3" t="str">
        <f>IFERROR(__xludf.DUMMYFUNCTION("""COMPUTED_VALUE"""),"catecoin")</f>
        <v>catecoin</v>
      </c>
      <c r="B2297" s="3" t="str">
        <f>IFERROR(__xludf.DUMMYFUNCTION("""COMPUTED_VALUE"""),"cate")</f>
        <v>cate</v>
      </c>
      <c r="C2297" s="3" t="str">
        <f>IFERROR(__xludf.DUMMYFUNCTION("""COMPUTED_VALUE"""),"CateCoin")</f>
        <v>CateCoin</v>
      </c>
    </row>
    <row r="2298">
      <c r="A2298" s="3" t="str">
        <f>IFERROR(__xludf.DUMMYFUNCTION("""COMPUTED_VALUE"""),"catex-token")</f>
        <v>catex-token</v>
      </c>
      <c r="B2298" s="3" t="str">
        <f>IFERROR(__xludf.DUMMYFUNCTION("""COMPUTED_VALUE"""),"catt")</f>
        <v>catt</v>
      </c>
      <c r="C2298" s="3" t="str">
        <f>IFERROR(__xludf.DUMMYFUNCTION("""COMPUTED_VALUE"""),"Catex")</f>
        <v>Catex</v>
      </c>
    </row>
    <row r="2299">
      <c r="A2299" s="3" t="str">
        <f>IFERROR(__xludf.DUMMYFUNCTION("""COMPUTED_VALUE"""),"catge-coin")</f>
        <v>catge-coin</v>
      </c>
      <c r="B2299" s="3" t="str">
        <f>IFERROR(__xludf.DUMMYFUNCTION("""COMPUTED_VALUE"""),"catge")</f>
        <v>catge</v>
      </c>
      <c r="C2299" s="3" t="str">
        <f>IFERROR(__xludf.DUMMYFUNCTION("""COMPUTED_VALUE"""),"Catge Coin")</f>
        <v>Catge Coin</v>
      </c>
    </row>
    <row r="2300">
      <c r="A2300" s="3" t="str">
        <f>IFERROR(__xludf.DUMMYFUNCTION("""COMPUTED_VALUE"""),"catgirl")</f>
        <v>catgirl</v>
      </c>
      <c r="B2300" s="3" t="str">
        <f>IFERROR(__xludf.DUMMYFUNCTION("""COMPUTED_VALUE"""),"catgirl")</f>
        <v>catgirl</v>
      </c>
      <c r="C2300" s="3" t="str">
        <f>IFERROR(__xludf.DUMMYFUNCTION("""COMPUTED_VALUE"""),"Catgirl")</f>
        <v>Catgirl</v>
      </c>
    </row>
    <row r="2301">
      <c r="A2301" s="3" t="str">
        <f>IFERROR(__xludf.DUMMYFUNCTION("""COMPUTED_VALUE"""),"catheon-gaming")</f>
        <v>catheon-gaming</v>
      </c>
      <c r="B2301" s="3" t="str">
        <f>IFERROR(__xludf.DUMMYFUNCTION("""COMPUTED_VALUE"""),"catheon")</f>
        <v>catheon</v>
      </c>
      <c r="C2301" s="3" t="str">
        <f>IFERROR(__xludf.DUMMYFUNCTION("""COMPUTED_VALUE"""),"Catheon Gaming")</f>
        <v>Catheon Gaming</v>
      </c>
    </row>
    <row r="2302">
      <c r="A2302" s="3" t="str">
        <f>IFERROR(__xludf.DUMMYFUNCTION("""COMPUTED_VALUE"""),"cato")</f>
        <v>cato</v>
      </c>
      <c r="B2302" s="3" t="str">
        <f>IFERROR(__xludf.DUMMYFUNCTION("""COMPUTED_VALUE"""),"cato")</f>
        <v>cato</v>
      </c>
      <c r="C2302" s="3" t="str">
        <f>IFERROR(__xludf.DUMMYFUNCTION("""COMPUTED_VALUE"""),"CATO")</f>
        <v>CATO</v>
      </c>
    </row>
    <row r="2303">
      <c r="A2303" s="3" t="str">
        <f>IFERROR(__xludf.DUMMYFUNCTION("""COMPUTED_VALUE"""),"catocoin")</f>
        <v>catocoin</v>
      </c>
      <c r="B2303" s="3" t="str">
        <f>IFERROR(__xludf.DUMMYFUNCTION("""COMPUTED_VALUE"""),"cato")</f>
        <v>cato</v>
      </c>
      <c r="C2303" s="3" t="str">
        <f>IFERROR(__xludf.DUMMYFUNCTION("""COMPUTED_VALUE"""),"CatoCoin")</f>
        <v>CatoCoin</v>
      </c>
    </row>
    <row r="2304">
      <c r="A2304" s="3" t="str">
        <f>IFERROR(__xludf.DUMMYFUNCTION("""COMPUTED_VALUE"""),"catpay")</f>
        <v>catpay</v>
      </c>
      <c r="B2304" s="3" t="str">
        <f>IFERROR(__xludf.DUMMYFUNCTION("""COMPUTED_VALUE"""),"catpay")</f>
        <v>catpay</v>
      </c>
      <c r="C2304" s="3" t="str">
        <f>IFERROR(__xludf.DUMMYFUNCTION("""COMPUTED_VALUE"""),"CATpay")</f>
        <v>CATpay</v>
      </c>
    </row>
    <row r="2305">
      <c r="A2305" s="3" t="str">
        <f>IFERROR(__xludf.DUMMYFUNCTION("""COMPUTED_VALUE"""),"catscoin")</f>
        <v>catscoin</v>
      </c>
      <c r="B2305" s="3" t="str">
        <f>IFERROR(__xludf.DUMMYFUNCTION("""COMPUTED_VALUE"""),"cats")</f>
        <v>cats</v>
      </c>
      <c r="C2305" s="3" t="str">
        <f>IFERROR(__xludf.DUMMYFUNCTION("""COMPUTED_VALUE"""),"Catscoin")</f>
        <v>Catscoin</v>
      </c>
    </row>
    <row r="2306">
      <c r="A2306" s="3" t="str">
        <f>IFERROR(__xludf.DUMMYFUNCTION("""COMPUTED_VALUE"""),"cat-sphynx")</f>
        <v>cat-sphynx</v>
      </c>
      <c r="B2306" s="3" t="str">
        <f>IFERROR(__xludf.DUMMYFUNCTION("""COMPUTED_VALUE"""),"cpx")</f>
        <v>cpx</v>
      </c>
      <c r="C2306" s="3" t="str">
        <f>IFERROR(__xludf.DUMMYFUNCTION("""COMPUTED_VALUE"""),"Cat Sphynx")</f>
        <v>Cat Sphynx</v>
      </c>
    </row>
    <row r="2307">
      <c r="A2307" s="3" t="str">
        <f>IFERROR(__xludf.DUMMYFUNCTION("""COMPUTED_VALUE"""),"cat-token")</f>
        <v>cat-token</v>
      </c>
      <c r="B2307" s="3" t="str">
        <f>IFERROR(__xludf.DUMMYFUNCTION("""COMPUTED_VALUE"""),"cat")</f>
        <v>cat</v>
      </c>
      <c r="C2307" s="3" t="str">
        <f>IFERROR(__xludf.DUMMYFUNCTION("""COMPUTED_VALUE"""),"Mooncat CAT")</f>
        <v>Mooncat CAT</v>
      </c>
    </row>
    <row r="2308">
      <c r="A2308" s="3" t="str">
        <f>IFERROR(__xludf.DUMMYFUNCTION("""COMPUTED_VALUE"""),"catzcoin")</f>
        <v>catzcoin</v>
      </c>
      <c r="B2308" s="3" t="str">
        <f>IFERROR(__xludf.DUMMYFUNCTION("""COMPUTED_VALUE"""),"catz")</f>
        <v>catz</v>
      </c>
      <c r="C2308" s="3" t="str">
        <f>IFERROR(__xludf.DUMMYFUNCTION("""COMPUTED_VALUE"""),"CatzCoin")</f>
        <v>CatzCoin</v>
      </c>
    </row>
    <row r="2309">
      <c r="A2309" s="3" t="str">
        <f>IFERROR(__xludf.DUMMYFUNCTION("""COMPUTED_VALUE"""),"cavapoo")</f>
        <v>cavapoo</v>
      </c>
      <c r="B2309" s="3" t="str">
        <f>IFERROR(__xludf.DUMMYFUNCTION("""COMPUTED_VALUE"""),"cava")</f>
        <v>cava</v>
      </c>
      <c r="C2309" s="3" t="str">
        <f>IFERROR(__xludf.DUMMYFUNCTION("""COMPUTED_VALUE"""),"Cavapoo")</f>
        <v>Cavapoo</v>
      </c>
    </row>
    <row r="2310">
      <c r="A2310" s="3" t="str">
        <f>IFERROR(__xludf.DUMMYFUNCTION("""COMPUTED_VALUE"""),"cave")</f>
        <v>cave</v>
      </c>
      <c r="B2310" s="3" t="str">
        <f>IFERROR(__xludf.DUMMYFUNCTION("""COMPUTED_VALUE"""),"cave")</f>
        <v>cave</v>
      </c>
      <c r="C2310" s="3" t="str">
        <f>IFERROR(__xludf.DUMMYFUNCTION("""COMPUTED_VALUE"""),"CaveWorld")</f>
        <v>CaveWorld</v>
      </c>
    </row>
    <row r="2311">
      <c r="A2311" s="3" t="str">
        <f>IFERROR(__xludf.DUMMYFUNCTION("""COMPUTED_VALUE"""),"cbbn-token")</f>
        <v>cbbn-token</v>
      </c>
      <c r="B2311" s="3" t="str">
        <f>IFERROR(__xludf.DUMMYFUNCTION("""COMPUTED_VALUE"""),"cbbn")</f>
        <v>cbbn</v>
      </c>
      <c r="C2311" s="3" t="str">
        <f>IFERROR(__xludf.DUMMYFUNCTION("""COMPUTED_VALUE"""),"CBBN")</f>
        <v>CBBN</v>
      </c>
    </row>
    <row r="2312">
      <c r="A2312" s="3" t="str">
        <f>IFERROR(__xludf.DUMMYFUNCTION("""COMPUTED_VALUE"""),"cbdao")</f>
        <v>cbdao</v>
      </c>
      <c r="B2312" s="3" t="str">
        <f>IFERROR(__xludf.DUMMYFUNCTION("""COMPUTED_VALUE"""),"bree")</f>
        <v>bree</v>
      </c>
      <c r="C2312" s="3" t="str">
        <f>IFERROR(__xludf.DUMMYFUNCTION("""COMPUTED_VALUE"""),"CBDAO")</f>
        <v>CBDAO</v>
      </c>
    </row>
    <row r="2313">
      <c r="A2313" s="3" t="str">
        <f>IFERROR(__xludf.DUMMYFUNCTION("""COMPUTED_VALUE"""),"cbd-coin")</f>
        <v>cbd-coin</v>
      </c>
      <c r="B2313" s="3" t="str">
        <f>IFERROR(__xludf.DUMMYFUNCTION("""COMPUTED_VALUE"""),"cbd")</f>
        <v>cbd</v>
      </c>
      <c r="C2313" s="3" t="str">
        <f>IFERROR(__xludf.DUMMYFUNCTION("""COMPUTED_VALUE"""),"CBD Coin")</f>
        <v>CBD Coin</v>
      </c>
    </row>
    <row r="2314">
      <c r="A2314" s="3" t="str">
        <f>IFERROR(__xludf.DUMMYFUNCTION("""COMPUTED_VALUE"""),"cberry")</f>
        <v>cberry</v>
      </c>
      <c r="B2314" s="3" t="str">
        <f>IFERROR(__xludf.DUMMYFUNCTION("""COMPUTED_VALUE"""),"cby")</f>
        <v>cby</v>
      </c>
      <c r="C2314" s="3" t="str">
        <f>IFERROR(__xludf.DUMMYFUNCTION("""COMPUTED_VALUE"""),"CBerry")</f>
        <v>CBerry</v>
      </c>
    </row>
    <row r="2315">
      <c r="A2315" s="3" t="str">
        <f>IFERROR(__xludf.DUMMYFUNCTION("""COMPUTED_VALUE"""),"cbet-token")</f>
        <v>cbet-token</v>
      </c>
      <c r="B2315" s="3" t="str">
        <f>IFERROR(__xludf.DUMMYFUNCTION("""COMPUTED_VALUE"""),"cbet")</f>
        <v>cbet</v>
      </c>
      <c r="C2315" s="3" t="str">
        <f>IFERROR(__xludf.DUMMYFUNCTION("""COMPUTED_VALUE"""),"CBET")</f>
        <v>CBET</v>
      </c>
    </row>
    <row r="2316">
      <c r="A2316" s="3" t="str">
        <f>IFERROR(__xludf.DUMMYFUNCTION("""COMPUTED_VALUE"""),"cbomber")</f>
        <v>cbomber</v>
      </c>
      <c r="B2316" s="3" t="str">
        <f>IFERROR(__xludf.DUMMYFUNCTION("""COMPUTED_VALUE"""),"cbomber")</f>
        <v>cbomber</v>
      </c>
      <c r="C2316" s="3" t="str">
        <f>IFERROR(__xludf.DUMMYFUNCTION("""COMPUTED_VALUE"""),"CBOMBER")</f>
        <v>CBOMBER</v>
      </c>
    </row>
    <row r="2317">
      <c r="A2317" s="3" t="str">
        <f>IFERROR(__xludf.DUMMYFUNCTION("""COMPUTED_VALUE"""),"cca")</f>
        <v>cca</v>
      </c>
      <c r="B2317" s="3" t="str">
        <f>IFERROR(__xludf.DUMMYFUNCTION("""COMPUTED_VALUE"""),"cca")</f>
        <v>cca</v>
      </c>
      <c r="C2317" s="3" t="str">
        <f>IFERROR(__xludf.DUMMYFUNCTION("""COMPUTED_VALUE"""),"CCA")</f>
        <v>CCA</v>
      </c>
    </row>
    <row r="2318">
      <c r="A2318" s="3" t="str">
        <f>IFERROR(__xludf.DUMMYFUNCTION("""COMPUTED_VALUE"""),"c-charge")</f>
        <v>c-charge</v>
      </c>
      <c r="B2318" s="3" t="str">
        <f>IFERROR(__xludf.DUMMYFUNCTION("""COMPUTED_VALUE"""),"cchg")</f>
        <v>cchg</v>
      </c>
      <c r="C2318" s="3" t="str">
        <f>IFERROR(__xludf.DUMMYFUNCTION("""COMPUTED_VALUE"""),"C+Charge")</f>
        <v>C+Charge</v>
      </c>
    </row>
    <row r="2319">
      <c r="A2319" s="3" t="str">
        <f>IFERROR(__xludf.DUMMYFUNCTION("""COMPUTED_VALUE"""),"ccomp")</f>
        <v>ccomp</v>
      </c>
      <c r="B2319" s="3" t="str">
        <f>IFERROR(__xludf.DUMMYFUNCTION("""COMPUTED_VALUE"""),"ccomp")</f>
        <v>ccomp</v>
      </c>
      <c r="C2319" s="3" t="str">
        <f>IFERROR(__xludf.DUMMYFUNCTION("""COMPUTED_VALUE"""),"cCOMP")</f>
        <v>cCOMP</v>
      </c>
    </row>
    <row r="2320">
      <c r="A2320" s="3" t="str">
        <f>IFERROR(__xludf.DUMMYFUNCTION("""COMPUTED_VALUE"""),"ccore")</f>
        <v>ccore</v>
      </c>
      <c r="B2320" s="3" t="str">
        <f>IFERROR(__xludf.DUMMYFUNCTION("""COMPUTED_VALUE"""),"cco")</f>
        <v>cco</v>
      </c>
      <c r="C2320" s="3" t="str">
        <f>IFERROR(__xludf.DUMMYFUNCTION("""COMPUTED_VALUE"""),"Ccore")</f>
        <v>Ccore</v>
      </c>
    </row>
    <row r="2321">
      <c r="A2321" s="3" t="str">
        <f>IFERROR(__xludf.DUMMYFUNCTION("""COMPUTED_VALUE"""),"ccswap")</f>
        <v>ccswap</v>
      </c>
      <c r="B2321" s="3" t="str">
        <f>IFERROR(__xludf.DUMMYFUNCTION("""COMPUTED_VALUE"""),"cc")</f>
        <v>cc</v>
      </c>
      <c r="C2321" s="3" t="str">
        <f>IFERROR(__xludf.DUMMYFUNCTION("""COMPUTED_VALUE"""),"CCSwap")</f>
        <v>CCSwap</v>
      </c>
    </row>
    <row r="2322">
      <c r="A2322" s="3" t="str">
        <f>IFERROR(__xludf.DUMMYFUNCTION("""COMPUTED_VALUE"""),"ccuniverse")</f>
        <v>ccuniverse</v>
      </c>
      <c r="B2322" s="3" t="str">
        <f>IFERROR(__xludf.DUMMYFUNCTION("""COMPUTED_VALUE"""),"uvu")</f>
        <v>uvu</v>
      </c>
      <c r="C2322" s="3" t="str">
        <f>IFERROR(__xludf.DUMMYFUNCTION("""COMPUTED_VALUE"""),"CCUniverse")</f>
        <v>CCUniverse</v>
      </c>
    </row>
    <row r="2323">
      <c r="A2323" s="3" t="str">
        <f>IFERROR(__xludf.DUMMYFUNCTION("""COMPUTED_VALUE"""),"cdai")</f>
        <v>cdai</v>
      </c>
      <c r="B2323" s="3" t="str">
        <f>IFERROR(__xludf.DUMMYFUNCTION("""COMPUTED_VALUE"""),"cdai")</f>
        <v>cdai</v>
      </c>
      <c r="C2323" s="3" t="str">
        <f>IFERROR(__xludf.DUMMYFUNCTION("""COMPUTED_VALUE"""),"cDAI")</f>
        <v>cDAI</v>
      </c>
    </row>
    <row r="2324">
      <c r="A2324" s="3" t="str">
        <f>IFERROR(__xludf.DUMMYFUNCTION("""COMPUTED_VALUE"""),"cdbio")</f>
        <v>cdbio</v>
      </c>
      <c r="B2324" s="3" t="str">
        <f>IFERROR(__xludf.DUMMYFUNCTION("""COMPUTED_VALUE"""),"mcd")</f>
        <v>mcd</v>
      </c>
      <c r="C2324" s="3" t="str">
        <f>IFERROR(__xludf.DUMMYFUNCTION("""COMPUTED_VALUE"""),"CDbio")</f>
        <v>CDbio</v>
      </c>
    </row>
    <row r="2325">
      <c r="A2325" s="3" t="str">
        <f>IFERROR(__xludf.DUMMYFUNCTION("""COMPUTED_VALUE"""),"cdzexchange")</f>
        <v>cdzexchange</v>
      </c>
      <c r="B2325" s="3" t="str">
        <f>IFERROR(__xludf.DUMMYFUNCTION("""COMPUTED_VALUE"""),"cdz")</f>
        <v>cdz</v>
      </c>
      <c r="C2325" s="3" t="str">
        <f>IFERROR(__xludf.DUMMYFUNCTION("""COMPUTED_VALUE"""),"CDzExchange")</f>
        <v>CDzExchange</v>
      </c>
    </row>
    <row r="2326">
      <c r="A2326" s="3" t="str">
        <f>IFERROR(__xludf.DUMMYFUNCTION("""COMPUTED_VALUE"""),"cebiolabs")</f>
        <v>cebiolabs</v>
      </c>
      <c r="B2326" s="3" t="str">
        <f>IFERROR(__xludf.DUMMYFUNCTION("""COMPUTED_VALUE"""),"cbsl")</f>
        <v>cbsl</v>
      </c>
      <c r="C2326" s="3" t="str">
        <f>IFERROR(__xludf.DUMMYFUNCTION("""COMPUTED_VALUE"""),"CeBioLabs")</f>
        <v>CeBioLabs</v>
      </c>
    </row>
    <row r="2327">
      <c r="A2327" s="3" t="str">
        <f>IFERROR(__xludf.DUMMYFUNCTION("""COMPUTED_VALUE"""),"cedars")</f>
        <v>cedars</v>
      </c>
      <c r="B2327" s="3" t="str">
        <f>IFERROR(__xludf.DUMMYFUNCTION("""COMPUTED_VALUE"""),"ceds")</f>
        <v>ceds</v>
      </c>
      <c r="C2327" s="3" t="str">
        <f>IFERROR(__xludf.DUMMYFUNCTION("""COMPUTED_VALUE"""),"CEDARS")</f>
        <v>CEDARS</v>
      </c>
    </row>
    <row r="2328">
      <c r="A2328" s="3" t="str">
        <f>IFERROR(__xludf.DUMMYFUNCTION("""COMPUTED_VALUE"""),"ceek")</f>
        <v>ceek</v>
      </c>
      <c r="B2328" s="3" t="str">
        <f>IFERROR(__xludf.DUMMYFUNCTION("""COMPUTED_VALUE"""),"ceek")</f>
        <v>ceek</v>
      </c>
      <c r="C2328" s="3" t="str">
        <f>IFERROR(__xludf.DUMMYFUNCTION("""COMPUTED_VALUE"""),"CEEK Smart VR")</f>
        <v>CEEK Smart VR</v>
      </c>
    </row>
    <row r="2329">
      <c r="A2329" s="3" t="str">
        <f>IFERROR(__xludf.DUMMYFUNCTION("""COMPUTED_VALUE"""),"ceji")</f>
        <v>ceji</v>
      </c>
      <c r="B2329" s="3" t="str">
        <f>IFERROR(__xludf.DUMMYFUNCTION("""COMPUTED_VALUE"""),"ceji")</f>
        <v>ceji</v>
      </c>
      <c r="C2329" s="3" t="str">
        <f>IFERROR(__xludf.DUMMYFUNCTION("""COMPUTED_VALUE"""),"Ceji")</f>
        <v>Ceji</v>
      </c>
    </row>
    <row r="2330">
      <c r="A2330" s="3" t="str">
        <f>IFERROR(__xludf.DUMMYFUNCTION("""COMPUTED_VALUE"""),"celcoin")</f>
        <v>celcoin</v>
      </c>
      <c r="B2330" s="3" t="str">
        <f>IFERROR(__xludf.DUMMYFUNCTION("""COMPUTED_VALUE"""),"celc")</f>
        <v>celc</v>
      </c>
      <c r="C2330" s="3" t="str">
        <f>IFERROR(__xludf.DUMMYFUNCTION("""COMPUTED_VALUE"""),"CelCoin")</f>
        <v>CelCoin</v>
      </c>
    </row>
    <row r="2331">
      <c r="A2331" s="3" t="str">
        <f>IFERROR(__xludf.DUMMYFUNCTION("""COMPUTED_VALUE"""),"celeb")</f>
        <v>celeb</v>
      </c>
      <c r="B2331" s="3" t="str">
        <f>IFERROR(__xludf.DUMMYFUNCTION("""COMPUTED_VALUE"""),"celeb")</f>
        <v>celeb</v>
      </c>
      <c r="C2331" s="3" t="str">
        <f>IFERROR(__xludf.DUMMYFUNCTION("""COMPUTED_VALUE"""),"Celeb")</f>
        <v>Celeb</v>
      </c>
    </row>
    <row r="2332">
      <c r="A2332" s="3" t="str">
        <f>IFERROR(__xludf.DUMMYFUNCTION("""COMPUTED_VALUE"""),"celer-network")</f>
        <v>celer-network</v>
      </c>
      <c r="B2332" s="3" t="str">
        <f>IFERROR(__xludf.DUMMYFUNCTION("""COMPUTED_VALUE"""),"celr")</f>
        <v>celr</v>
      </c>
      <c r="C2332" s="3" t="str">
        <f>IFERROR(__xludf.DUMMYFUNCTION("""COMPUTED_VALUE"""),"Celer Network")</f>
        <v>Celer Network</v>
      </c>
    </row>
    <row r="2333">
      <c r="A2333" s="3" t="str">
        <f>IFERROR(__xludf.DUMMYFUNCTION("""COMPUTED_VALUE"""),"celery")</f>
        <v>celery</v>
      </c>
      <c r="B2333" s="3" t="str">
        <f>IFERROR(__xludf.DUMMYFUNCTION("""COMPUTED_VALUE"""),"cly")</f>
        <v>cly</v>
      </c>
      <c r="C2333" s="3" t="str">
        <f>IFERROR(__xludf.DUMMYFUNCTION("""COMPUTED_VALUE"""),"Celery")</f>
        <v>Celery</v>
      </c>
    </row>
    <row r="2334">
      <c r="A2334" s="3" t="str">
        <f>IFERROR(__xludf.DUMMYFUNCTION("""COMPUTED_VALUE"""),"celestial")</f>
        <v>celestial</v>
      </c>
      <c r="B2334" s="3" t="str">
        <f>IFERROR(__xludf.DUMMYFUNCTION("""COMPUTED_VALUE"""),"celt")</f>
        <v>celt</v>
      </c>
      <c r="C2334" s="3" t="str">
        <f>IFERROR(__xludf.DUMMYFUNCTION("""COMPUTED_VALUE"""),"Celestial")</f>
        <v>Celestial</v>
      </c>
    </row>
    <row r="2335">
      <c r="A2335" s="3" t="str">
        <f>IFERROR(__xludf.DUMMYFUNCTION("""COMPUTED_VALUE"""),"celestial-unity")</f>
        <v>celestial-unity</v>
      </c>
      <c r="B2335" s="3" t="str">
        <f>IFERROR(__xludf.DUMMYFUNCTION("""COMPUTED_VALUE"""),"cu")</f>
        <v>cu</v>
      </c>
      <c r="C2335" s="3" t="str">
        <f>IFERROR(__xludf.DUMMYFUNCTION("""COMPUTED_VALUE"""),"Celestial Unity")</f>
        <v>Celestial Unity</v>
      </c>
    </row>
    <row r="2336">
      <c r="A2336" s="3" t="str">
        <f>IFERROR(__xludf.DUMMYFUNCTION("""COMPUTED_VALUE"""),"celletf")</f>
        <v>celletf</v>
      </c>
      <c r="B2336" s="3" t="str">
        <f>IFERROR(__xludf.DUMMYFUNCTION("""COMPUTED_VALUE"""),"ecell")</f>
        <v>ecell</v>
      </c>
      <c r="C2336" s="3" t="str">
        <f>IFERROR(__xludf.DUMMYFUNCTION("""COMPUTED_VALUE"""),"Consensus Cell Network")</f>
        <v>Consensus Cell Network</v>
      </c>
    </row>
    <row r="2337">
      <c r="A2337" s="3" t="str">
        <f>IFERROR(__xludf.DUMMYFUNCTION("""COMPUTED_VALUE"""),"cellframe")</f>
        <v>cellframe</v>
      </c>
      <c r="B2337" s="3" t="str">
        <f>IFERROR(__xludf.DUMMYFUNCTION("""COMPUTED_VALUE"""),"cell")</f>
        <v>cell</v>
      </c>
      <c r="C2337" s="3" t="str">
        <f>IFERROR(__xludf.DUMMYFUNCTION("""COMPUTED_VALUE"""),"Cellframe")</f>
        <v>Cellframe</v>
      </c>
    </row>
    <row r="2338">
      <c r="A2338" s="3" t="str">
        <f>IFERROR(__xludf.DUMMYFUNCTION("""COMPUTED_VALUE"""),"celo")</f>
        <v>celo</v>
      </c>
      <c r="B2338" s="3" t="str">
        <f>IFERROR(__xludf.DUMMYFUNCTION("""COMPUTED_VALUE"""),"celo")</f>
        <v>celo</v>
      </c>
      <c r="C2338" s="3" t="str">
        <f>IFERROR(__xludf.DUMMYFUNCTION("""COMPUTED_VALUE"""),"Celo")</f>
        <v>Celo</v>
      </c>
    </row>
    <row r="2339">
      <c r="A2339" s="3" t="str">
        <f>IFERROR(__xludf.DUMMYFUNCTION("""COMPUTED_VALUE"""),"celo-dollar")</f>
        <v>celo-dollar</v>
      </c>
      <c r="B2339" s="3" t="str">
        <f>IFERROR(__xludf.DUMMYFUNCTION("""COMPUTED_VALUE"""),"cusd")</f>
        <v>cusd</v>
      </c>
      <c r="C2339" s="3" t="str">
        <f>IFERROR(__xludf.DUMMYFUNCTION("""COMPUTED_VALUE"""),"Celo Dollar")</f>
        <v>Celo Dollar</v>
      </c>
    </row>
    <row r="2340">
      <c r="A2340" s="3" t="str">
        <f>IFERROR(__xludf.DUMMYFUNCTION("""COMPUTED_VALUE"""),"celo-euro")</f>
        <v>celo-euro</v>
      </c>
      <c r="B2340" s="3" t="str">
        <f>IFERROR(__xludf.DUMMYFUNCTION("""COMPUTED_VALUE"""),"ceur")</f>
        <v>ceur</v>
      </c>
      <c r="C2340" s="3" t="str">
        <f>IFERROR(__xludf.DUMMYFUNCTION("""COMPUTED_VALUE"""),"Celo Euro")</f>
        <v>Celo Euro</v>
      </c>
    </row>
    <row r="2341">
      <c r="A2341" s="3" t="str">
        <f>IFERROR(__xludf.DUMMYFUNCTION("""COMPUTED_VALUE"""),"celo-euro-wormhole")</f>
        <v>celo-euro-wormhole</v>
      </c>
      <c r="B2341" s="3" t="str">
        <f>IFERROR(__xludf.DUMMYFUNCTION("""COMPUTED_VALUE"""),"ceur")</f>
        <v>ceur</v>
      </c>
      <c r="C2341" s="3" t="str">
        <f>IFERROR(__xludf.DUMMYFUNCTION("""COMPUTED_VALUE"""),"Celo Euro (Wormhole)")</f>
        <v>Celo Euro (Wormhole)</v>
      </c>
    </row>
    <row r="2342">
      <c r="A2342" s="3" t="str">
        <f>IFERROR(__xludf.DUMMYFUNCTION("""COMPUTED_VALUE"""),"celolaunch")</f>
        <v>celolaunch</v>
      </c>
      <c r="B2342" s="3" t="str">
        <f>IFERROR(__xludf.DUMMYFUNCTION("""COMPUTED_VALUE"""),"cla")</f>
        <v>cla</v>
      </c>
      <c r="C2342" s="3" t="str">
        <f>IFERROR(__xludf.DUMMYFUNCTION("""COMPUTED_VALUE"""),"CeloLaunch")</f>
        <v>CeloLaunch</v>
      </c>
    </row>
    <row r="2343">
      <c r="A2343" s="3" t="str">
        <f>IFERROR(__xludf.DUMMYFUNCTION("""COMPUTED_VALUE"""),"celo-real-creal")</f>
        <v>celo-real-creal</v>
      </c>
      <c r="B2343" s="3" t="str">
        <f>IFERROR(__xludf.DUMMYFUNCTION("""COMPUTED_VALUE"""),"creal")</f>
        <v>creal</v>
      </c>
      <c r="C2343" s="3" t="str">
        <f>IFERROR(__xludf.DUMMYFUNCTION("""COMPUTED_VALUE"""),"Celo Real (cREAL)")</f>
        <v>Celo Real (cREAL)</v>
      </c>
    </row>
    <row r="2344">
      <c r="A2344" s="3" t="str">
        <f>IFERROR(__xludf.DUMMYFUNCTION("""COMPUTED_VALUE"""),"celostarter")</f>
        <v>celostarter</v>
      </c>
      <c r="B2344" s="3" t="str">
        <f>IFERROR(__xludf.DUMMYFUNCTION("""COMPUTED_VALUE"""),"cstar")</f>
        <v>cstar</v>
      </c>
      <c r="C2344" s="3" t="str">
        <f>IFERROR(__xludf.DUMMYFUNCTION("""COMPUTED_VALUE"""),"CeloStarter")</f>
        <v>CeloStarter</v>
      </c>
    </row>
    <row r="2345">
      <c r="A2345" s="3" t="str">
        <f>IFERROR(__xludf.DUMMYFUNCTION("""COMPUTED_VALUE"""),"celsius-degree-token")</f>
        <v>celsius-degree-token</v>
      </c>
      <c r="B2345" s="3" t="str">
        <f>IFERROR(__xludf.DUMMYFUNCTION("""COMPUTED_VALUE"""),"cel")</f>
        <v>cel</v>
      </c>
      <c r="C2345" s="3" t="str">
        <f>IFERROR(__xludf.DUMMYFUNCTION("""COMPUTED_VALUE"""),"Celsius Network")</f>
        <v>Celsius Network</v>
      </c>
    </row>
    <row r="2346">
      <c r="A2346" s="3" t="str">
        <f>IFERROR(__xludf.DUMMYFUNCTION("""COMPUTED_VALUE"""),"celsiusx-wrapped-ada")</f>
        <v>celsiusx-wrapped-ada</v>
      </c>
      <c r="B2346" s="3" t="str">
        <f>IFERROR(__xludf.DUMMYFUNCTION("""COMPUTED_VALUE"""),"cxada")</f>
        <v>cxada</v>
      </c>
      <c r="C2346" s="3" t="str">
        <f>IFERROR(__xludf.DUMMYFUNCTION("""COMPUTED_VALUE"""),"CelsiusX Wrapped ADA")</f>
        <v>CelsiusX Wrapped ADA</v>
      </c>
    </row>
    <row r="2347">
      <c r="A2347" s="3" t="str">
        <f>IFERROR(__xludf.DUMMYFUNCTION("""COMPUTED_VALUE"""),"celsiusx-wrapped-btc")</f>
        <v>celsiusx-wrapped-btc</v>
      </c>
      <c r="B2347" s="3" t="str">
        <f>IFERROR(__xludf.DUMMYFUNCTION("""COMPUTED_VALUE"""),"cxbtc")</f>
        <v>cxbtc</v>
      </c>
      <c r="C2347" s="3" t="str">
        <f>IFERROR(__xludf.DUMMYFUNCTION("""COMPUTED_VALUE"""),"CelsiusX Wrapped BTC")</f>
        <v>CelsiusX Wrapped BTC</v>
      </c>
    </row>
    <row r="2348">
      <c r="A2348" s="3" t="str">
        <f>IFERROR(__xludf.DUMMYFUNCTION("""COMPUTED_VALUE"""),"celsiusx-wrapped-doge")</f>
        <v>celsiusx-wrapped-doge</v>
      </c>
      <c r="B2348" s="3" t="str">
        <f>IFERROR(__xludf.DUMMYFUNCTION("""COMPUTED_VALUE"""),"cxdoge")</f>
        <v>cxdoge</v>
      </c>
      <c r="C2348" s="3" t="str">
        <f>IFERROR(__xludf.DUMMYFUNCTION("""COMPUTED_VALUE"""),"CelsiusX Wrapped DOGE")</f>
        <v>CelsiusX Wrapped DOGE</v>
      </c>
    </row>
    <row r="2349">
      <c r="A2349" s="3" t="str">
        <f>IFERROR(__xludf.DUMMYFUNCTION("""COMPUTED_VALUE"""),"celsiusx-wrapped-eth")</f>
        <v>celsiusx-wrapped-eth</v>
      </c>
      <c r="B2349" s="3" t="str">
        <f>IFERROR(__xludf.DUMMYFUNCTION("""COMPUTED_VALUE"""),"cxeth")</f>
        <v>cxeth</v>
      </c>
      <c r="C2349" s="3" t="str">
        <f>IFERROR(__xludf.DUMMYFUNCTION("""COMPUTED_VALUE"""),"CelsiusX Wrapped ETH")</f>
        <v>CelsiusX Wrapped ETH</v>
      </c>
    </row>
    <row r="2350">
      <c r="A2350" s="3" t="str">
        <f>IFERROR(__xludf.DUMMYFUNCTION("""COMPUTED_VALUE"""),"cens-world")</f>
        <v>cens-world</v>
      </c>
      <c r="B2350" s="3" t="str">
        <f>IFERROR(__xludf.DUMMYFUNCTION("""COMPUTED_VALUE"""),"cens")</f>
        <v>cens</v>
      </c>
      <c r="C2350" s="3" t="str">
        <f>IFERROR(__xludf.DUMMYFUNCTION("""COMPUTED_VALUE"""),"Cens World")</f>
        <v>Cens World</v>
      </c>
    </row>
    <row r="2351">
      <c r="A2351" s="3" t="str">
        <f>IFERROR(__xludf.DUMMYFUNCTION("""COMPUTED_VALUE"""),"centaur")</f>
        <v>centaur</v>
      </c>
      <c r="B2351" s="3" t="str">
        <f>IFERROR(__xludf.DUMMYFUNCTION("""COMPUTED_VALUE"""),"cntr")</f>
        <v>cntr</v>
      </c>
      <c r="C2351" s="3" t="str">
        <f>IFERROR(__xludf.DUMMYFUNCTION("""COMPUTED_VALUE"""),"Centaur")</f>
        <v>Centaur</v>
      </c>
    </row>
    <row r="2352">
      <c r="A2352" s="3" t="str">
        <f>IFERROR(__xludf.DUMMYFUNCTION("""COMPUTED_VALUE"""),"centaurify")</f>
        <v>centaurify</v>
      </c>
      <c r="B2352" s="3" t="str">
        <f>IFERROR(__xludf.DUMMYFUNCTION("""COMPUTED_VALUE"""),"cent")</f>
        <v>cent</v>
      </c>
      <c r="C2352" s="3" t="str">
        <f>IFERROR(__xludf.DUMMYFUNCTION("""COMPUTED_VALUE"""),"Centaurify")</f>
        <v>Centaurify</v>
      </c>
    </row>
    <row r="2353">
      <c r="A2353" s="3" t="str">
        <f>IFERROR(__xludf.DUMMYFUNCTION("""COMPUTED_VALUE"""),"centcex")</f>
        <v>centcex</v>
      </c>
      <c r="B2353" s="3" t="str">
        <f>IFERROR(__xludf.DUMMYFUNCTION("""COMPUTED_VALUE"""),"cenx")</f>
        <v>cenx</v>
      </c>
      <c r="C2353" s="3" t="str">
        <f>IFERROR(__xludf.DUMMYFUNCTION("""COMPUTED_VALUE"""),"Centcex")</f>
        <v>Centcex</v>
      </c>
    </row>
    <row r="2354">
      <c r="A2354" s="3" t="str">
        <f>IFERROR(__xludf.DUMMYFUNCTION("""COMPUTED_VALUE"""),"centerprime")</f>
        <v>centerprime</v>
      </c>
      <c r="B2354" s="3" t="str">
        <f>IFERROR(__xludf.DUMMYFUNCTION("""COMPUTED_VALUE"""),"cpx")</f>
        <v>cpx</v>
      </c>
      <c r="C2354" s="3" t="str">
        <f>IFERROR(__xludf.DUMMYFUNCTION("""COMPUTED_VALUE"""),"CenterPrime")</f>
        <v>CenterPrime</v>
      </c>
    </row>
    <row r="2355">
      <c r="A2355" s="3" t="str">
        <f>IFERROR(__xludf.DUMMYFUNCTION("""COMPUTED_VALUE"""),"centralex")</f>
        <v>centralex</v>
      </c>
      <c r="B2355" s="3" t="str">
        <f>IFERROR(__xludf.DUMMYFUNCTION("""COMPUTED_VALUE"""),"cenx")</f>
        <v>cenx</v>
      </c>
      <c r="C2355" s="3" t="str">
        <f>IFERROR(__xludf.DUMMYFUNCTION("""COMPUTED_VALUE"""),"Centralex")</f>
        <v>Centralex</v>
      </c>
    </row>
    <row r="2356">
      <c r="A2356" s="3" t="str">
        <f>IFERROR(__xludf.DUMMYFUNCTION("""COMPUTED_VALUE"""),"centrality")</f>
        <v>centrality</v>
      </c>
      <c r="B2356" s="3" t="str">
        <f>IFERROR(__xludf.DUMMYFUNCTION("""COMPUTED_VALUE"""),"cennz")</f>
        <v>cennz</v>
      </c>
      <c r="C2356" s="3" t="str">
        <f>IFERROR(__xludf.DUMMYFUNCTION("""COMPUTED_VALUE"""),"CENNZnet")</f>
        <v>CENNZnet</v>
      </c>
    </row>
    <row r="2357">
      <c r="A2357" s="3" t="str">
        <f>IFERROR(__xludf.DUMMYFUNCTION("""COMPUTED_VALUE"""),"centric-cash")</f>
        <v>centric-cash</v>
      </c>
      <c r="B2357" s="3" t="str">
        <f>IFERROR(__xludf.DUMMYFUNCTION("""COMPUTED_VALUE"""),"cns")</f>
        <v>cns</v>
      </c>
      <c r="C2357" s="3" t="str">
        <f>IFERROR(__xludf.DUMMYFUNCTION("""COMPUTED_VALUE"""),"Centric Swap")</f>
        <v>Centric Swap</v>
      </c>
    </row>
    <row r="2358">
      <c r="A2358" s="3" t="str">
        <f>IFERROR(__xludf.DUMMYFUNCTION("""COMPUTED_VALUE"""),"centrifuge")</f>
        <v>centrifuge</v>
      </c>
      <c r="B2358" s="3" t="str">
        <f>IFERROR(__xludf.DUMMYFUNCTION("""COMPUTED_VALUE"""),"cfg")</f>
        <v>cfg</v>
      </c>
      <c r="C2358" s="3" t="str">
        <f>IFERROR(__xludf.DUMMYFUNCTION("""COMPUTED_VALUE"""),"Centrifuge")</f>
        <v>Centrifuge</v>
      </c>
    </row>
    <row r="2359">
      <c r="A2359" s="3" t="str">
        <f>IFERROR(__xludf.DUMMYFUNCTION("""COMPUTED_VALUE"""),"centurion")</f>
        <v>centurion</v>
      </c>
      <c r="B2359" s="3" t="str">
        <f>IFERROR(__xludf.DUMMYFUNCTION("""COMPUTED_VALUE"""),"cnt")</f>
        <v>cnt</v>
      </c>
      <c r="C2359" s="3" t="str">
        <f>IFERROR(__xludf.DUMMYFUNCTION("""COMPUTED_VALUE"""),"Centurion")</f>
        <v>Centurion</v>
      </c>
    </row>
    <row r="2360">
      <c r="A2360" s="3" t="str">
        <f>IFERROR(__xludf.DUMMYFUNCTION("""COMPUTED_VALUE"""),"centurion-inu")</f>
        <v>centurion-inu</v>
      </c>
      <c r="B2360" s="3" t="str">
        <f>IFERROR(__xludf.DUMMYFUNCTION("""COMPUTED_VALUE"""),"cent")</f>
        <v>cent</v>
      </c>
      <c r="C2360" s="3" t="str">
        <f>IFERROR(__xludf.DUMMYFUNCTION("""COMPUTED_VALUE"""),"Centurion Inu")</f>
        <v>Centurion Inu</v>
      </c>
    </row>
    <row r="2361">
      <c r="A2361" s="3" t="str">
        <f>IFERROR(__xludf.DUMMYFUNCTION("""COMPUTED_VALUE"""),"cerberus-2")</f>
        <v>cerberus-2</v>
      </c>
      <c r="B2361" s="3" t="str">
        <f>IFERROR(__xludf.DUMMYFUNCTION("""COMPUTED_VALUE"""),"crbrus")</f>
        <v>crbrus</v>
      </c>
      <c r="C2361" s="3" t="str">
        <f>IFERROR(__xludf.DUMMYFUNCTION("""COMPUTED_VALUE"""),"Cerberus")</f>
        <v>Cerberus</v>
      </c>
    </row>
    <row r="2362">
      <c r="A2362" s="3" t="str">
        <f>IFERROR(__xludf.DUMMYFUNCTION("""COMPUTED_VALUE"""),"cere-network")</f>
        <v>cere-network</v>
      </c>
      <c r="B2362" s="3" t="str">
        <f>IFERROR(__xludf.DUMMYFUNCTION("""COMPUTED_VALUE"""),"cere")</f>
        <v>cere</v>
      </c>
      <c r="C2362" s="3" t="str">
        <f>IFERROR(__xludf.DUMMYFUNCTION("""COMPUTED_VALUE"""),"Cere Network")</f>
        <v>Cere Network</v>
      </c>
    </row>
    <row r="2363">
      <c r="A2363" s="3" t="str">
        <f>IFERROR(__xludf.DUMMYFUNCTION("""COMPUTED_VALUE"""),"ceres")</f>
        <v>ceres</v>
      </c>
      <c r="B2363" s="3" t="str">
        <f>IFERROR(__xludf.DUMMYFUNCTION("""COMPUTED_VALUE"""),"ceres")</f>
        <v>ceres</v>
      </c>
      <c r="C2363" s="3" t="str">
        <f>IFERROR(__xludf.DUMMYFUNCTION("""COMPUTED_VALUE"""),"Ceres")</f>
        <v>Ceres</v>
      </c>
    </row>
    <row r="2364">
      <c r="A2364" s="3" t="str">
        <f>IFERROR(__xludf.DUMMYFUNCTION("""COMPUTED_VALUE"""),"cerium")</f>
        <v>cerium</v>
      </c>
      <c r="B2364" s="3" t="str">
        <f>IFERROR(__xludf.DUMMYFUNCTION("""COMPUTED_VALUE"""),"xce")</f>
        <v>xce</v>
      </c>
      <c r="C2364" s="3" t="str">
        <f>IFERROR(__xludf.DUMMYFUNCTION("""COMPUTED_VALUE"""),"Cerium")</f>
        <v>Cerium</v>
      </c>
    </row>
    <row r="2365">
      <c r="A2365" s="3" t="str">
        <f>IFERROR(__xludf.DUMMYFUNCTION("""COMPUTED_VALUE"""),"certik")</f>
        <v>certik</v>
      </c>
      <c r="B2365" s="3" t="str">
        <f>IFERROR(__xludf.DUMMYFUNCTION("""COMPUTED_VALUE"""),"ctk")</f>
        <v>ctk</v>
      </c>
      <c r="C2365" s="3" t="str">
        <f>IFERROR(__xludf.DUMMYFUNCTION("""COMPUTED_VALUE"""),"Shentu")</f>
        <v>Shentu</v>
      </c>
    </row>
    <row r="2366">
      <c r="A2366" s="3" t="str">
        <f>IFERROR(__xludf.DUMMYFUNCTION("""COMPUTED_VALUE"""),"certrise")</f>
        <v>certrise</v>
      </c>
      <c r="B2366" s="3" t="str">
        <f>IFERROR(__xludf.DUMMYFUNCTION("""COMPUTED_VALUE"""),"cert")</f>
        <v>cert</v>
      </c>
      <c r="C2366" s="3" t="str">
        <f>IFERROR(__xludf.DUMMYFUNCTION("""COMPUTED_VALUE"""),"CertRise")</f>
        <v>CertRise</v>
      </c>
    </row>
    <row r="2367">
      <c r="A2367" s="3" t="str">
        <f>IFERROR(__xludf.DUMMYFUNCTION("""COMPUTED_VALUE"""),"certurium")</f>
        <v>certurium</v>
      </c>
      <c r="B2367" s="3" t="str">
        <f>IFERROR(__xludf.DUMMYFUNCTION("""COMPUTED_VALUE"""),"crt")</f>
        <v>crt</v>
      </c>
      <c r="C2367" s="3" t="str">
        <f>IFERROR(__xludf.DUMMYFUNCTION("""COMPUTED_VALUE"""),"Certurium")</f>
        <v>Certurium</v>
      </c>
    </row>
    <row r="2368">
      <c r="A2368" s="3" t="str">
        <f>IFERROR(__xludf.DUMMYFUNCTION("""COMPUTED_VALUE"""),"cetf")</f>
        <v>cetf</v>
      </c>
      <c r="B2368" s="3" t="str">
        <f>IFERROR(__xludf.DUMMYFUNCTION("""COMPUTED_VALUE"""),"cetf")</f>
        <v>cetf</v>
      </c>
      <c r="C2368" s="3" t="str">
        <f>IFERROR(__xludf.DUMMYFUNCTION("""COMPUTED_VALUE"""),"Cell ETF")</f>
        <v>Cell ETF</v>
      </c>
    </row>
    <row r="2369">
      <c r="A2369" s="3" t="str">
        <f>IFERROR(__xludf.DUMMYFUNCTION("""COMPUTED_VALUE"""),"cexlt")</f>
        <v>cexlt</v>
      </c>
      <c r="B2369" s="3" t="str">
        <f>IFERROR(__xludf.DUMMYFUNCTION("""COMPUTED_VALUE"""),"clt")</f>
        <v>clt</v>
      </c>
      <c r="C2369" s="3" t="str">
        <f>IFERROR(__xludf.DUMMYFUNCTION("""COMPUTED_VALUE"""),"Cexlt")</f>
        <v>Cexlt</v>
      </c>
    </row>
    <row r="2370">
      <c r="A2370" s="3" t="str">
        <f>IFERROR(__xludf.DUMMYFUNCTION("""COMPUTED_VALUE"""),"cfl365-finance")</f>
        <v>cfl365-finance</v>
      </c>
      <c r="B2370" s="3" t="str">
        <f>IFERROR(__xludf.DUMMYFUNCTION("""COMPUTED_VALUE"""),"cfl365")</f>
        <v>cfl365</v>
      </c>
      <c r="C2370" s="3" t="str">
        <f>IFERROR(__xludf.DUMMYFUNCTION("""COMPUTED_VALUE"""),"CFL365 Finance")</f>
        <v>CFL365 Finance</v>
      </c>
    </row>
    <row r="2371">
      <c r="A2371" s="3" t="str">
        <f>IFERROR(__xludf.DUMMYFUNCTION("""COMPUTED_VALUE"""),"cforforum-token")</f>
        <v>cforforum-token</v>
      </c>
      <c r="B2371" s="3" t="str">
        <f>IFERROR(__xludf.DUMMYFUNCTION("""COMPUTED_VALUE"""),"cfo")</f>
        <v>cfo</v>
      </c>
      <c r="C2371" s="3" t="str">
        <f>IFERROR(__xludf.DUMMYFUNCTION("""COMPUTED_VALUE"""),"Cfoforum")</f>
        <v>Cfoforum</v>
      </c>
    </row>
    <row r="2372">
      <c r="A2372" s="3" t="str">
        <f>IFERROR(__xludf.DUMMYFUNCTION("""COMPUTED_VALUE"""),"cfx-quantum")</f>
        <v>cfx-quantum</v>
      </c>
      <c r="B2372" s="3" t="str">
        <f>IFERROR(__xludf.DUMMYFUNCTION("""COMPUTED_VALUE"""),"cfxq")</f>
        <v>cfxq</v>
      </c>
      <c r="C2372" s="3" t="str">
        <f>IFERROR(__xludf.DUMMYFUNCTION("""COMPUTED_VALUE"""),"CFX Quantum")</f>
        <v>CFX Quantum</v>
      </c>
    </row>
    <row r="2373">
      <c r="A2373" s="3" t="str">
        <f>IFERROR(__xludf.DUMMYFUNCTION("""COMPUTED_VALUE"""),"cgo")</f>
        <v>cgo</v>
      </c>
      <c r="B2373" s="3" t="str">
        <f>IFERROR(__xludf.DUMMYFUNCTION("""COMPUTED_VALUE"""),"cgo")</f>
        <v>cgo</v>
      </c>
      <c r="C2373" s="3" t="str">
        <f>IFERROR(__xludf.DUMMYFUNCTION("""COMPUTED_VALUE"""),"CGO")</f>
        <v>CGO</v>
      </c>
    </row>
    <row r="2374">
      <c r="A2374" s="3" t="str">
        <f>IFERROR(__xludf.DUMMYFUNCTION("""COMPUTED_VALUE"""),"chads-vc")</f>
        <v>chads-vc</v>
      </c>
      <c r="B2374" s="3" t="str">
        <f>IFERROR(__xludf.DUMMYFUNCTION("""COMPUTED_VALUE"""),"chads")</f>
        <v>chads</v>
      </c>
      <c r="C2374" s="3" t="str">
        <f>IFERROR(__xludf.DUMMYFUNCTION("""COMPUTED_VALUE"""),"CHADS VC")</f>
        <v>CHADS VC</v>
      </c>
    </row>
    <row r="2375">
      <c r="A2375" s="3" t="str">
        <f>IFERROR(__xludf.DUMMYFUNCTION("""COMPUTED_VALUE"""),"chain-2")</f>
        <v>chain-2</v>
      </c>
      <c r="B2375" s="3" t="str">
        <f>IFERROR(__xludf.DUMMYFUNCTION("""COMPUTED_VALUE"""),"xcn")</f>
        <v>xcn</v>
      </c>
      <c r="C2375" s="3" t="str">
        <f>IFERROR(__xludf.DUMMYFUNCTION("""COMPUTED_VALUE"""),"Chain")</f>
        <v>Chain</v>
      </c>
    </row>
    <row r="2376">
      <c r="A2376" s="3" t="str">
        <f>IFERROR(__xludf.DUMMYFUNCTION("""COMPUTED_VALUE"""),"chain4energy")</f>
        <v>chain4energy</v>
      </c>
      <c r="B2376" s="3" t="str">
        <f>IFERROR(__xludf.DUMMYFUNCTION("""COMPUTED_VALUE"""),"c4e")</f>
        <v>c4e</v>
      </c>
      <c r="C2376" s="3" t="str">
        <f>IFERROR(__xludf.DUMMYFUNCTION("""COMPUTED_VALUE"""),"Chain4Energy")</f>
        <v>Chain4Energy</v>
      </c>
    </row>
    <row r="2377">
      <c r="A2377" s="3" t="str">
        <f>IFERROR(__xludf.DUMMYFUNCTION("""COMPUTED_VALUE"""),"chainbing")</f>
        <v>chainbing</v>
      </c>
      <c r="B2377" s="3" t="str">
        <f>IFERROR(__xludf.DUMMYFUNCTION("""COMPUTED_VALUE"""),"cbg")</f>
        <v>cbg</v>
      </c>
      <c r="C2377" s="3" t="str">
        <f>IFERROR(__xludf.DUMMYFUNCTION("""COMPUTED_VALUE"""),"Chainbing")</f>
        <v>Chainbing</v>
      </c>
    </row>
    <row r="2378">
      <c r="A2378" s="3" t="str">
        <f>IFERROR(__xludf.DUMMYFUNCTION("""COMPUTED_VALUE"""),"chaincade")</f>
        <v>chaincade</v>
      </c>
      <c r="B2378" s="3" t="str">
        <f>IFERROR(__xludf.DUMMYFUNCTION("""COMPUTED_VALUE"""),"chaincade")</f>
        <v>chaincade</v>
      </c>
      <c r="C2378" s="3" t="str">
        <f>IFERROR(__xludf.DUMMYFUNCTION("""COMPUTED_VALUE"""),"ChainCade")</f>
        <v>ChainCade</v>
      </c>
    </row>
    <row r="2379">
      <c r="A2379" s="3" t="str">
        <f>IFERROR(__xludf.DUMMYFUNCTION("""COMPUTED_VALUE"""),"chaincoin")</f>
        <v>chaincoin</v>
      </c>
      <c r="B2379" s="3" t="str">
        <f>IFERROR(__xludf.DUMMYFUNCTION("""COMPUTED_VALUE"""),"chc")</f>
        <v>chc</v>
      </c>
      <c r="C2379" s="3" t="str">
        <f>IFERROR(__xludf.DUMMYFUNCTION("""COMPUTED_VALUE"""),"Chaincoin")</f>
        <v>Chaincoin</v>
      </c>
    </row>
    <row r="2380">
      <c r="A2380" s="3" t="str">
        <f>IFERROR(__xludf.DUMMYFUNCTION("""COMPUTED_VALUE"""),"chain-colosseum")</f>
        <v>chain-colosseum</v>
      </c>
      <c r="B2380" s="3" t="str">
        <f>IFERROR(__xludf.DUMMYFUNCTION("""COMPUTED_VALUE"""),"colos")</f>
        <v>colos</v>
      </c>
      <c r="C2380" s="3" t="str">
        <f>IFERROR(__xludf.DUMMYFUNCTION("""COMPUTED_VALUE"""),"Chain Colosseum")</f>
        <v>Chain Colosseum</v>
      </c>
    </row>
    <row r="2381">
      <c r="A2381" s="3" t="str">
        <f>IFERROR(__xludf.DUMMYFUNCTION("""COMPUTED_VALUE"""),"chaincorn")</f>
        <v>chaincorn</v>
      </c>
      <c r="B2381" s="3" t="str">
        <f>IFERROR(__xludf.DUMMYFUNCTION("""COMPUTED_VALUE"""),"cornx")</f>
        <v>cornx</v>
      </c>
      <c r="C2381" s="3" t="str">
        <f>IFERROR(__xludf.DUMMYFUNCTION("""COMPUTED_VALUE"""),"Chaincorn")</f>
        <v>Chaincorn</v>
      </c>
    </row>
    <row r="2382">
      <c r="A2382" s="3" t="str">
        <f>IFERROR(__xludf.DUMMYFUNCTION("""COMPUTED_VALUE"""),"chain-estate-dao")</f>
        <v>chain-estate-dao</v>
      </c>
      <c r="B2382" s="3" t="str">
        <f>IFERROR(__xludf.DUMMYFUNCTION("""COMPUTED_VALUE"""),"ches")</f>
        <v>ches</v>
      </c>
      <c r="C2382" s="3" t="str">
        <f>IFERROR(__xludf.DUMMYFUNCTION("""COMPUTED_VALUE"""),"Chain Estate DAO")</f>
        <v>Chain Estate DAO</v>
      </c>
    </row>
    <row r="2383">
      <c r="A2383" s="3" t="str">
        <f>IFERROR(__xludf.DUMMYFUNCTION("""COMPUTED_VALUE"""),"chainflip")</f>
        <v>chainflip</v>
      </c>
      <c r="B2383" s="3" t="str">
        <f>IFERROR(__xludf.DUMMYFUNCTION("""COMPUTED_VALUE"""),"flip")</f>
        <v>flip</v>
      </c>
      <c r="C2383" s="3" t="str">
        <f>IFERROR(__xludf.DUMMYFUNCTION("""COMPUTED_VALUE"""),"Chainflip")</f>
        <v>Chainflip</v>
      </c>
    </row>
    <row r="2384">
      <c r="A2384" s="3" t="str">
        <f>IFERROR(__xludf.DUMMYFUNCTION("""COMPUTED_VALUE"""),"chainflix")</f>
        <v>chainflix</v>
      </c>
      <c r="B2384" s="3" t="str">
        <f>IFERROR(__xludf.DUMMYFUNCTION("""COMPUTED_VALUE"""),"cfxt")</f>
        <v>cfxt</v>
      </c>
      <c r="C2384" s="3" t="str">
        <f>IFERROR(__xludf.DUMMYFUNCTION("""COMPUTED_VALUE"""),"Chainflix")</f>
        <v>Chainflix</v>
      </c>
    </row>
    <row r="2385">
      <c r="A2385" s="3" t="str">
        <f>IFERROR(__xludf.DUMMYFUNCTION("""COMPUTED_VALUE"""),"chain-games")</f>
        <v>chain-games</v>
      </c>
      <c r="B2385" s="3" t="str">
        <f>IFERROR(__xludf.DUMMYFUNCTION("""COMPUTED_VALUE"""),"chain")</f>
        <v>chain</v>
      </c>
      <c r="C2385" s="3" t="str">
        <f>IFERROR(__xludf.DUMMYFUNCTION("""COMPUTED_VALUE"""),"Chain Games")</f>
        <v>Chain Games</v>
      </c>
    </row>
    <row r="2386">
      <c r="A2386" s="3" t="str">
        <f>IFERROR(__xludf.DUMMYFUNCTION("""COMPUTED_VALUE"""),"chainge-finance")</f>
        <v>chainge-finance</v>
      </c>
      <c r="B2386" s="3" t="str">
        <f>IFERROR(__xludf.DUMMYFUNCTION("""COMPUTED_VALUE"""),"chng")</f>
        <v>chng</v>
      </c>
      <c r="C2386" s="3" t="str">
        <f>IFERROR(__xludf.DUMMYFUNCTION("""COMPUTED_VALUE"""),"Chainge Finance")</f>
        <v>Chainge Finance</v>
      </c>
    </row>
    <row r="2387">
      <c r="A2387" s="3" t="str">
        <f>IFERROR(__xludf.DUMMYFUNCTION("""COMPUTED_VALUE"""),"chain-guardians")</f>
        <v>chain-guardians</v>
      </c>
      <c r="B2387" s="3" t="str">
        <f>IFERROR(__xludf.DUMMYFUNCTION("""COMPUTED_VALUE"""),"cgg")</f>
        <v>cgg</v>
      </c>
      <c r="C2387" s="3" t="str">
        <f>IFERROR(__xludf.DUMMYFUNCTION("""COMPUTED_VALUE"""),"Chain Guardians")</f>
        <v>Chain Guardians</v>
      </c>
    </row>
    <row r="2388">
      <c r="A2388" s="3" t="str">
        <f>IFERROR(__xludf.DUMMYFUNCTION("""COMPUTED_VALUE"""),"chainium")</f>
        <v>chainium</v>
      </c>
      <c r="B2388" s="3" t="str">
        <f>IFERROR(__xludf.DUMMYFUNCTION("""COMPUTED_VALUE"""),"chx")</f>
        <v>chx</v>
      </c>
      <c r="C2388" s="3" t="str">
        <f>IFERROR(__xludf.DUMMYFUNCTION("""COMPUTED_VALUE"""),"WeOwn")</f>
        <v>WeOwn</v>
      </c>
    </row>
    <row r="2389">
      <c r="A2389" s="3" t="str">
        <f>IFERROR(__xludf.DUMMYFUNCTION("""COMPUTED_VALUE"""),"chainlink")</f>
        <v>chainlink</v>
      </c>
      <c r="B2389" s="3" t="str">
        <f>IFERROR(__xludf.DUMMYFUNCTION("""COMPUTED_VALUE"""),"link")</f>
        <v>link</v>
      </c>
      <c r="C2389" s="3" t="str">
        <f>IFERROR(__xludf.DUMMYFUNCTION("""COMPUTED_VALUE"""),"Chainlink")</f>
        <v>Chainlink</v>
      </c>
    </row>
    <row r="2390">
      <c r="A2390" s="3" t="str">
        <f>IFERROR(__xludf.DUMMYFUNCTION("""COMPUTED_VALUE"""),"chainlink-wormhole")</f>
        <v>chainlink-wormhole</v>
      </c>
      <c r="B2390" s="3" t="str">
        <f>IFERROR(__xludf.DUMMYFUNCTION("""COMPUTED_VALUE"""),"link")</f>
        <v>link</v>
      </c>
      <c r="C2390" s="3" t="str">
        <f>IFERROR(__xludf.DUMMYFUNCTION("""COMPUTED_VALUE"""),"Chainlink (Wormhole)")</f>
        <v>Chainlink (Wormhole)</v>
      </c>
    </row>
    <row r="2391">
      <c r="A2391" s="3" t="str">
        <f>IFERROR(__xludf.DUMMYFUNCTION("""COMPUTED_VALUE"""),"chainlist")</f>
        <v>chainlist</v>
      </c>
      <c r="B2391" s="3" t="str">
        <f>IFERROR(__xludf.DUMMYFUNCTION("""COMPUTED_VALUE"""),"clist")</f>
        <v>clist</v>
      </c>
      <c r="C2391" s="3" t="str">
        <f>IFERROR(__xludf.DUMMYFUNCTION("""COMPUTED_VALUE"""),"Chainlist")</f>
        <v>Chainlist</v>
      </c>
    </row>
    <row r="2392">
      <c r="A2392" s="3" t="str">
        <f>IFERROR(__xludf.DUMMYFUNCTION("""COMPUTED_VALUE"""),"chain-of-legends")</f>
        <v>chain-of-legends</v>
      </c>
      <c r="B2392" s="3" t="str">
        <f>IFERROR(__xludf.DUMMYFUNCTION("""COMPUTED_VALUE"""),"cleg")</f>
        <v>cleg</v>
      </c>
      <c r="C2392" s="3" t="str">
        <f>IFERROR(__xludf.DUMMYFUNCTION("""COMPUTED_VALUE"""),"Chain of Legends")</f>
        <v>Chain of Legends</v>
      </c>
    </row>
    <row r="2393">
      <c r="A2393" s="3" t="str">
        <f>IFERROR(__xludf.DUMMYFUNCTION("""COMPUTED_VALUE"""),"chainpay")</f>
        <v>chainpay</v>
      </c>
      <c r="B2393" s="3" t="str">
        <f>IFERROR(__xludf.DUMMYFUNCTION("""COMPUTED_VALUE"""),"cpay")</f>
        <v>cpay</v>
      </c>
      <c r="C2393" s="3" t="str">
        <f>IFERROR(__xludf.DUMMYFUNCTION("""COMPUTED_VALUE"""),"Chainpay")</f>
        <v>Chainpay</v>
      </c>
    </row>
    <row r="2394">
      <c r="A2394" s="3" t="str">
        <f>IFERROR(__xludf.DUMMYFUNCTION("""COMPUTED_VALUE"""),"chain-pet")</f>
        <v>chain-pet</v>
      </c>
      <c r="B2394" s="3" t="str">
        <f>IFERROR(__xludf.DUMMYFUNCTION("""COMPUTED_VALUE"""),"cpet")</f>
        <v>cpet</v>
      </c>
      <c r="C2394" s="3" t="str">
        <f>IFERROR(__xludf.DUMMYFUNCTION("""COMPUTED_VALUE"""),"Chain Pet")</f>
        <v>Chain Pet</v>
      </c>
    </row>
    <row r="2395">
      <c r="A2395" s="3" t="str">
        <f>IFERROR(__xludf.DUMMYFUNCTION("""COMPUTED_VALUE"""),"chainport")</f>
        <v>chainport</v>
      </c>
      <c r="B2395" s="3" t="str">
        <f>IFERROR(__xludf.DUMMYFUNCTION("""COMPUTED_VALUE"""),"portx")</f>
        <v>portx</v>
      </c>
      <c r="C2395" s="3" t="str">
        <f>IFERROR(__xludf.DUMMYFUNCTION("""COMPUTED_VALUE"""),"ChainPort")</f>
        <v>ChainPort</v>
      </c>
    </row>
    <row r="2396">
      <c r="A2396" s="3" t="str">
        <f>IFERROR(__xludf.DUMMYFUNCTION("""COMPUTED_VALUE"""),"chainsquare")</f>
        <v>chainsquare</v>
      </c>
      <c r="B2396" s="3" t="str">
        <f>IFERROR(__xludf.DUMMYFUNCTION("""COMPUTED_VALUE"""),"chs")</f>
        <v>chs</v>
      </c>
      <c r="C2396" s="3" t="str">
        <f>IFERROR(__xludf.DUMMYFUNCTION("""COMPUTED_VALUE"""),"Chainsquare")</f>
        <v>Chainsquare</v>
      </c>
    </row>
    <row r="2397">
      <c r="A2397" s="3" t="str">
        <f>IFERROR(__xludf.DUMMYFUNCTION("""COMPUTED_VALUE"""),"chainswap")</f>
        <v>chainswap</v>
      </c>
      <c r="B2397" s="3" t="str">
        <f>IFERROR(__xludf.DUMMYFUNCTION("""COMPUTED_VALUE"""),"asap")</f>
        <v>asap</v>
      </c>
      <c r="C2397" s="3" t="str">
        <f>IFERROR(__xludf.DUMMYFUNCTION("""COMPUTED_VALUE"""),"Chainswap")</f>
        <v>Chainswap</v>
      </c>
    </row>
    <row r="2398">
      <c r="A2398" s="3" t="str">
        <f>IFERROR(__xludf.DUMMYFUNCTION("""COMPUTED_VALUE"""),"chainswaps")</f>
        <v>chainswaps</v>
      </c>
      <c r="B2398" s="3" t="str">
        <f>IFERROR(__xludf.DUMMYFUNCTION("""COMPUTED_VALUE"""),"chain")</f>
        <v>chain</v>
      </c>
      <c r="C2398" s="3" t="str">
        <f>IFERROR(__xludf.DUMMYFUNCTION("""COMPUTED_VALUE"""),"ChainSwaps")</f>
        <v>ChainSwaps</v>
      </c>
    </row>
    <row r="2399">
      <c r="A2399" s="3" t="str">
        <f>IFERROR(__xludf.DUMMYFUNCTION("""COMPUTED_VALUE"""),"chain-wars-essence")</f>
        <v>chain-wars-essence</v>
      </c>
      <c r="B2399" s="3" t="str">
        <f>IFERROR(__xludf.DUMMYFUNCTION("""COMPUTED_VALUE"""),"cwe")</f>
        <v>cwe</v>
      </c>
      <c r="C2399" s="3" t="str">
        <f>IFERROR(__xludf.DUMMYFUNCTION("""COMPUTED_VALUE"""),"Chain Wars")</f>
        <v>Chain Wars</v>
      </c>
    </row>
    <row r="2400">
      <c r="A2400" s="3" t="str">
        <f>IFERROR(__xludf.DUMMYFUNCTION("""COMPUTED_VALUE"""),"chainx")</f>
        <v>chainx</v>
      </c>
      <c r="B2400" s="3" t="str">
        <f>IFERROR(__xludf.DUMMYFUNCTION("""COMPUTED_VALUE"""),"pcx")</f>
        <v>pcx</v>
      </c>
      <c r="C2400" s="3" t="str">
        <f>IFERROR(__xludf.DUMMYFUNCTION("""COMPUTED_VALUE"""),"ChainX")</f>
        <v>ChainX</v>
      </c>
    </row>
    <row r="2401">
      <c r="A2401" s="3" t="str">
        <f>IFERROR(__xludf.DUMMYFUNCTION("""COMPUTED_VALUE"""),"challenge-coin")</f>
        <v>challenge-coin</v>
      </c>
      <c r="B2401" s="3" t="str">
        <f>IFERROR(__xludf.DUMMYFUNCTION("""COMPUTED_VALUE"""),"hero")</f>
        <v>hero</v>
      </c>
      <c r="C2401" s="3" t="str">
        <f>IFERROR(__xludf.DUMMYFUNCTION("""COMPUTED_VALUE"""),"Challenge Coin")</f>
        <v>Challenge Coin</v>
      </c>
    </row>
    <row r="2402">
      <c r="A2402" s="3" t="str">
        <f>IFERROR(__xludf.DUMMYFUNCTION("""COMPUTED_VALUE"""),"challengedac")</f>
        <v>challengedac</v>
      </c>
      <c r="B2402" s="3" t="str">
        <f>IFERROR(__xludf.DUMMYFUNCTION("""COMPUTED_VALUE"""),"chl")</f>
        <v>chl</v>
      </c>
      <c r="C2402" s="3" t="str">
        <f>IFERROR(__xludf.DUMMYFUNCTION("""COMPUTED_VALUE"""),"ChallengeDAC")</f>
        <v>ChallengeDAC</v>
      </c>
    </row>
    <row r="2403">
      <c r="A2403" s="3" t="str">
        <f>IFERROR(__xludf.DUMMYFUNCTION("""COMPUTED_VALUE"""),"champion")</f>
        <v>champion</v>
      </c>
      <c r="B2403" s="3" t="str">
        <f>IFERROR(__xludf.DUMMYFUNCTION("""COMPUTED_VALUE"""),"cham")</f>
        <v>cham</v>
      </c>
      <c r="C2403" s="3" t="str">
        <f>IFERROR(__xludf.DUMMYFUNCTION("""COMPUTED_VALUE"""),"Champion")</f>
        <v>Champion</v>
      </c>
    </row>
    <row r="2404">
      <c r="A2404" s="3" t="str">
        <f>IFERROR(__xludf.DUMMYFUNCTION("""COMPUTED_VALUE"""),"change")</f>
        <v>change</v>
      </c>
      <c r="B2404" s="3" t="str">
        <f>IFERROR(__xludf.DUMMYFUNCTION("""COMPUTED_VALUE"""),"cag")</f>
        <v>cag</v>
      </c>
      <c r="C2404" s="3" t="str">
        <f>IFERROR(__xludf.DUMMYFUNCTION("""COMPUTED_VALUE"""),"Change")</f>
        <v>Change</v>
      </c>
    </row>
    <row r="2405">
      <c r="A2405" s="3" t="str">
        <f>IFERROR(__xludf.DUMMYFUNCTION("""COMPUTED_VALUE"""),"changenow")</f>
        <v>changenow</v>
      </c>
      <c r="B2405" s="3" t="str">
        <f>IFERROR(__xludf.DUMMYFUNCTION("""COMPUTED_VALUE"""),"now")</f>
        <v>now</v>
      </c>
      <c r="C2405" s="3" t="str">
        <f>IFERROR(__xludf.DUMMYFUNCTION("""COMPUTED_VALUE"""),"ChangeNOW")</f>
        <v>ChangeNOW</v>
      </c>
    </row>
    <row r="2406">
      <c r="A2406" s="3" t="str">
        <f>IFERROR(__xludf.DUMMYFUNCTION("""COMPUTED_VALUE"""),"changer")</f>
        <v>changer</v>
      </c>
      <c r="B2406" s="3" t="str">
        <f>IFERROR(__xludf.DUMMYFUNCTION("""COMPUTED_VALUE"""),"cng")</f>
        <v>cng</v>
      </c>
      <c r="C2406" s="3" t="str">
        <f>IFERROR(__xludf.DUMMYFUNCTION("""COMPUTED_VALUE"""),"Changer")</f>
        <v>Changer</v>
      </c>
    </row>
    <row r="2407">
      <c r="A2407" s="3" t="str">
        <f>IFERROR(__xludf.DUMMYFUNCTION("""COMPUTED_VALUE"""),"changex")</f>
        <v>changex</v>
      </c>
      <c r="B2407" s="3" t="str">
        <f>IFERROR(__xludf.DUMMYFUNCTION("""COMPUTED_VALUE"""),"change")</f>
        <v>change</v>
      </c>
      <c r="C2407" s="3" t="str">
        <f>IFERROR(__xludf.DUMMYFUNCTION("""COMPUTED_VALUE"""),"ChangeX")</f>
        <v>ChangeX</v>
      </c>
    </row>
    <row r="2408">
      <c r="A2408" s="3" t="str">
        <f>IFERROR(__xludf.DUMMYFUNCTION("""COMPUTED_VALUE"""),"channels")</f>
        <v>channels</v>
      </c>
      <c r="B2408" s="3" t="str">
        <f>IFERROR(__xludf.DUMMYFUNCTION("""COMPUTED_VALUE"""),"can")</f>
        <v>can</v>
      </c>
      <c r="C2408" s="3" t="str">
        <f>IFERROR(__xludf.DUMMYFUNCTION("""COMPUTED_VALUE"""),"Channels")</f>
        <v>Channels</v>
      </c>
    </row>
    <row r="2409">
      <c r="A2409" s="3" t="str">
        <f>IFERROR(__xludf.DUMMYFUNCTION("""COMPUTED_VALUE"""),"chaos")</f>
        <v>chaos</v>
      </c>
      <c r="B2409" s="3" t="str">
        <f>IFERROR(__xludf.DUMMYFUNCTION("""COMPUTED_VALUE"""),"chaos")</f>
        <v>chaos</v>
      </c>
      <c r="C2409" s="3" t="str">
        <f>IFERROR(__xludf.DUMMYFUNCTION("""COMPUTED_VALUE"""),"Chaos")</f>
        <v>Chaos</v>
      </c>
    </row>
    <row r="2410">
      <c r="A2410" s="3" t="str">
        <f>IFERROR(__xludf.DUMMYFUNCTION("""COMPUTED_VALUE"""),"chaotic-finance")</f>
        <v>chaotic-finance</v>
      </c>
      <c r="B2410" s="3" t="str">
        <f>IFERROR(__xludf.DUMMYFUNCTION("""COMPUTED_VALUE"""),"chaos")</f>
        <v>chaos</v>
      </c>
      <c r="C2410" s="3" t="str">
        <f>IFERROR(__xludf.DUMMYFUNCTION("""COMPUTED_VALUE"""),"Chaotic Finance")</f>
        <v>Chaotic Finance</v>
      </c>
    </row>
    <row r="2411">
      <c r="A2411" s="3" t="str">
        <f>IFERROR(__xludf.DUMMYFUNCTION("""COMPUTED_VALUE"""),"charactbit")</f>
        <v>charactbit</v>
      </c>
      <c r="B2411" s="3" t="str">
        <f>IFERROR(__xludf.DUMMYFUNCTION("""COMPUTED_VALUE"""),"chb")</f>
        <v>chb</v>
      </c>
      <c r="C2411" s="3" t="str">
        <f>IFERROR(__xludf.DUMMYFUNCTION("""COMPUTED_VALUE"""),"Charactbit")</f>
        <v>Charactbit</v>
      </c>
    </row>
    <row r="2412">
      <c r="A2412" s="3" t="str">
        <f>IFERROR(__xludf.DUMMYFUNCTION("""COMPUTED_VALUE"""),"charg-coin")</f>
        <v>charg-coin</v>
      </c>
      <c r="B2412" s="3" t="str">
        <f>IFERROR(__xludf.DUMMYFUNCTION("""COMPUTED_VALUE"""),"chg")</f>
        <v>chg</v>
      </c>
      <c r="C2412" s="3" t="str">
        <f>IFERROR(__xludf.DUMMYFUNCTION("""COMPUTED_VALUE"""),"Charg Coin")</f>
        <v>Charg Coin</v>
      </c>
    </row>
    <row r="2413">
      <c r="A2413" s="3" t="str">
        <f>IFERROR(__xludf.DUMMYFUNCTION("""COMPUTED_VALUE"""),"chargedefi-charge")</f>
        <v>chargedefi-charge</v>
      </c>
      <c r="B2413" s="3" t="str">
        <f>IFERROR(__xludf.DUMMYFUNCTION("""COMPUTED_VALUE"""),"charge")</f>
        <v>charge</v>
      </c>
      <c r="C2413" s="3" t="str">
        <f>IFERROR(__xludf.DUMMYFUNCTION("""COMPUTED_VALUE"""),"ChargeDeFi Charge")</f>
        <v>ChargeDeFi Charge</v>
      </c>
    </row>
    <row r="2414">
      <c r="A2414" s="3" t="str">
        <f>IFERROR(__xludf.DUMMYFUNCTION("""COMPUTED_VALUE"""),"chargedefi-static")</f>
        <v>chargedefi-static</v>
      </c>
      <c r="B2414" s="3" t="str">
        <f>IFERROR(__xludf.DUMMYFUNCTION("""COMPUTED_VALUE"""),"static")</f>
        <v>static</v>
      </c>
      <c r="C2414" s="3" t="str">
        <f>IFERROR(__xludf.DUMMYFUNCTION("""COMPUTED_VALUE"""),"ChargeDeFi Static")</f>
        <v>ChargeDeFi Static</v>
      </c>
    </row>
    <row r="2415">
      <c r="A2415" s="3" t="str">
        <f>IFERROR(__xludf.DUMMYFUNCTION("""COMPUTED_VALUE"""),"charged-particles")</f>
        <v>charged-particles</v>
      </c>
      <c r="B2415" s="3" t="str">
        <f>IFERROR(__xludf.DUMMYFUNCTION("""COMPUTED_VALUE"""),"ionx")</f>
        <v>ionx</v>
      </c>
      <c r="C2415" s="3" t="str">
        <f>IFERROR(__xludf.DUMMYFUNCTION("""COMPUTED_VALUE"""),"Charged Particles")</f>
        <v>Charged Particles</v>
      </c>
    </row>
    <row r="2416">
      <c r="A2416" s="3" t="str">
        <f>IFERROR(__xludf.DUMMYFUNCTION("""COMPUTED_VALUE"""),"charitas")</f>
        <v>charitas</v>
      </c>
      <c r="B2416" s="3" t="str">
        <f>IFERROR(__xludf.DUMMYFUNCTION("""COMPUTED_VALUE"""),"char")</f>
        <v>char</v>
      </c>
      <c r="C2416" s="3" t="str">
        <f>IFERROR(__xludf.DUMMYFUNCTION("""COMPUTED_VALUE"""),"Charitas")</f>
        <v>Charitas</v>
      </c>
    </row>
    <row r="2417">
      <c r="A2417" s="3" t="str">
        <f>IFERROR(__xludf.DUMMYFUNCTION("""COMPUTED_VALUE"""),"charity-alfa")</f>
        <v>charity-alfa</v>
      </c>
      <c r="B2417" s="3" t="str">
        <f>IFERROR(__xludf.DUMMYFUNCTION("""COMPUTED_VALUE"""),"mich")</f>
        <v>mich</v>
      </c>
      <c r="C2417" s="3" t="str">
        <f>IFERROR(__xludf.DUMMYFUNCTION("""COMPUTED_VALUE"""),"Charity Alfa")</f>
        <v>Charity Alfa</v>
      </c>
    </row>
    <row r="2418">
      <c r="A2418" s="3" t="str">
        <f>IFERROR(__xludf.DUMMYFUNCTION("""COMPUTED_VALUE"""),"charitydao")</f>
        <v>charitydao</v>
      </c>
      <c r="B2418" s="3" t="str">
        <f>IFERROR(__xludf.DUMMYFUNCTION("""COMPUTED_VALUE"""),"chd")</f>
        <v>chd</v>
      </c>
      <c r="C2418" s="3" t="str">
        <f>IFERROR(__xludf.DUMMYFUNCTION("""COMPUTED_VALUE"""),"CharityDAO")</f>
        <v>CharityDAO</v>
      </c>
    </row>
    <row r="2419">
      <c r="A2419" s="3" t="str">
        <f>IFERROR(__xludf.DUMMYFUNCTION("""COMPUTED_VALUE"""),"charizard-inu")</f>
        <v>charizard-inu</v>
      </c>
      <c r="B2419" s="3" t="str">
        <f>IFERROR(__xludf.DUMMYFUNCTION("""COMPUTED_VALUE"""),"charizard")</f>
        <v>charizard</v>
      </c>
      <c r="C2419" s="3" t="str">
        <f>IFERROR(__xludf.DUMMYFUNCTION("""COMPUTED_VALUE"""),"Charizard Inu")</f>
        <v>Charizard Inu</v>
      </c>
    </row>
    <row r="2420">
      <c r="A2420" s="3" t="str">
        <f>IFERROR(__xludf.DUMMYFUNCTION("""COMPUTED_VALUE"""),"charli3")</f>
        <v>charli3</v>
      </c>
      <c r="B2420" s="3" t="str">
        <f>IFERROR(__xludf.DUMMYFUNCTION("""COMPUTED_VALUE"""),"c3")</f>
        <v>c3</v>
      </c>
      <c r="C2420" s="3" t="str">
        <f>IFERROR(__xludf.DUMMYFUNCTION("""COMPUTED_VALUE"""),"Charli3")</f>
        <v>Charli3</v>
      </c>
    </row>
    <row r="2421">
      <c r="A2421" s="3" t="str">
        <f>IFERROR(__xludf.DUMMYFUNCTION("""COMPUTED_VALUE"""),"charlie-finance")</f>
        <v>charlie-finance</v>
      </c>
      <c r="B2421" s="3" t="str">
        <f>IFERROR(__xludf.DUMMYFUNCTION("""COMPUTED_VALUE"""),"cht")</f>
        <v>cht</v>
      </c>
      <c r="C2421" s="3" t="str">
        <f>IFERROR(__xludf.DUMMYFUNCTION("""COMPUTED_VALUE"""),"Charlie Finance")</f>
        <v>Charlie Finance</v>
      </c>
    </row>
    <row r="2422">
      <c r="A2422" s="3" t="str">
        <f>IFERROR(__xludf.DUMMYFUNCTION("""COMPUTED_VALUE"""),"charm")</f>
        <v>charm</v>
      </c>
      <c r="B2422" s="3" t="str">
        <f>IFERROR(__xludf.DUMMYFUNCTION("""COMPUTED_VALUE"""),"charm")</f>
        <v>charm</v>
      </c>
      <c r="C2422" s="3" t="str">
        <f>IFERROR(__xludf.DUMMYFUNCTION("""COMPUTED_VALUE"""),"Charm")</f>
        <v>Charm</v>
      </c>
    </row>
    <row r="2423">
      <c r="A2423" s="3" t="str">
        <f>IFERROR(__xludf.DUMMYFUNCTION("""COMPUTED_VALUE"""),"chartex")</f>
        <v>chartex</v>
      </c>
      <c r="B2423" s="3" t="str">
        <f>IFERROR(__xludf.DUMMYFUNCTION("""COMPUTED_VALUE"""),"chart")</f>
        <v>chart</v>
      </c>
      <c r="C2423" s="3" t="str">
        <f>IFERROR(__xludf.DUMMYFUNCTION("""COMPUTED_VALUE"""),"ChartEx")</f>
        <v>ChartEx</v>
      </c>
    </row>
    <row r="2424">
      <c r="A2424" s="3" t="str">
        <f>IFERROR(__xludf.DUMMYFUNCTION("""COMPUTED_VALUE"""),"checkdot")</f>
        <v>checkdot</v>
      </c>
      <c r="B2424" s="3" t="str">
        <f>IFERROR(__xludf.DUMMYFUNCTION("""COMPUTED_VALUE"""),"cdt")</f>
        <v>cdt</v>
      </c>
      <c r="C2424" s="3" t="str">
        <f>IFERROR(__xludf.DUMMYFUNCTION("""COMPUTED_VALUE"""),"CheckDot")</f>
        <v>CheckDot</v>
      </c>
    </row>
    <row r="2425">
      <c r="A2425" s="3" t="str">
        <f>IFERROR(__xludf.DUMMYFUNCTION("""COMPUTED_VALUE"""),"checkerchain")</f>
        <v>checkerchain</v>
      </c>
      <c r="B2425" s="3" t="str">
        <f>IFERROR(__xludf.DUMMYFUNCTION("""COMPUTED_VALUE"""),"checkr")</f>
        <v>checkr</v>
      </c>
      <c r="C2425" s="3" t="str">
        <f>IFERROR(__xludf.DUMMYFUNCTION("""COMPUTED_VALUE"""),"CheckerChain")</f>
        <v>CheckerChain</v>
      </c>
    </row>
    <row r="2426">
      <c r="A2426" s="3" t="str">
        <f>IFERROR(__xludf.DUMMYFUNCTION("""COMPUTED_VALUE"""),"checoin")</f>
        <v>checoin</v>
      </c>
      <c r="B2426" s="3" t="str">
        <f>IFERROR(__xludf.DUMMYFUNCTION("""COMPUTED_VALUE"""),"checoin")</f>
        <v>checoin</v>
      </c>
      <c r="C2426" s="3" t="str">
        <f>IFERROR(__xludf.DUMMYFUNCTION("""COMPUTED_VALUE"""),"CheCoin")</f>
        <v>CheCoin</v>
      </c>
    </row>
    <row r="2427">
      <c r="A2427" s="3" t="str">
        <f>IFERROR(__xludf.DUMMYFUNCTION("""COMPUTED_VALUE"""),"chedda")</f>
        <v>chedda</v>
      </c>
      <c r="B2427" s="3" t="str">
        <f>IFERROR(__xludf.DUMMYFUNCTION("""COMPUTED_VALUE"""),"chedda")</f>
        <v>chedda</v>
      </c>
      <c r="C2427" s="3" t="str">
        <f>IFERROR(__xludf.DUMMYFUNCTION("""COMPUTED_VALUE"""),"Chedda")</f>
        <v>Chedda</v>
      </c>
    </row>
    <row r="2428">
      <c r="A2428" s="3" t="str">
        <f>IFERROR(__xludf.DUMMYFUNCTION("""COMPUTED_VALUE"""),"cheebs")</f>
        <v>cheebs</v>
      </c>
      <c r="B2428" s="3" t="str">
        <f>IFERROR(__xludf.DUMMYFUNCTION("""COMPUTED_VALUE"""),"chee")</f>
        <v>chee</v>
      </c>
      <c r="C2428" s="3" t="str">
        <f>IFERROR(__xludf.DUMMYFUNCTION("""COMPUTED_VALUE"""),"CHEEBS")</f>
        <v>CHEEBS</v>
      </c>
    </row>
    <row r="2429">
      <c r="A2429" s="3" t="str">
        <f>IFERROR(__xludf.DUMMYFUNCTION("""COMPUTED_VALUE"""),"cheems")</f>
        <v>cheems</v>
      </c>
      <c r="B2429" s="3" t="str">
        <f>IFERROR(__xludf.DUMMYFUNCTION("""COMPUTED_VALUE"""),"cheems")</f>
        <v>cheems</v>
      </c>
      <c r="C2429" s="3" t="str">
        <f>IFERROR(__xludf.DUMMYFUNCTION("""COMPUTED_VALUE"""),"Cheems")</f>
        <v>Cheems</v>
      </c>
    </row>
    <row r="2430">
      <c r="A2430" s="3" t="str">
        <f>IFERROR(__xludf.DUMMYFUNCTION("""COMPUTED_VALUE"""),"cheems-inu")</f>
        <v>cheems-inu</v>
      </c>
      <c r="B2430" s="3" t="str">
        <f>IFERROR(__xludf.DUMMYFUNCTION("""COMPUTED_VALUE"""),"$cinu")</f>
        <v>$cinu</v>
      </c>
      <c r="C2430" s="3" t="str">
        <f>IFERROR(__xludf.DUMMYFUNCTION("""COMPUTED_VALUE"""),"CHEEMS INU")</f>
        <v>CHEEMS INU</v>
      </c>
    </row>
    <row r="2431">
      <c r="A2431" s="3" t="str">
        <f>IFERROR(__xludf.DUMMYFUNCTION("""COMPUTED_VALUE"""),"cheersland")</f>
        <v>cheersland</v>
      </c>
      <c r="B2431" s="3" t="str">
        <f>IFERROR(__xludf.DUMMYFUNCTION("""COMPUTED_VALUE"""),"cheers")</f>
        <v>cheers</v>
      </c>
      <c r="C2431" s="3" t="str">
        <f>IFERROR(__xludf.DUMMYFUNCTION("""COMPUTED_VALUE"""),"CheersLand")</f>
        <v>CheersLand</v>
      </c>
    </row>
    <row r="2432">
      <c r="A2432" s="3" t="str">
        <f>IFERROR(__xludf.DUMMYFUNCTION("""COMPUTED_VALUE"""),"cheese")</f>
        <v>cheese</v>
      </c>
      <c r="B2432" s="3" t="str">
        <f>IFERROR(__xludf.DUMMYFUNCTION("""COMPUTED_VALUE"""),"cheese")</f>
        <v>cheese</v>
      </c>
      <c r="C2432" s="3" t="str">
        <f>IFERROR(__xludf.DUMMYFUNCTION("""COMPUTED_VALUE"""),"Cheese")</f>
        <v>Cheese</v>
      </c>
    </row>
    <row r="2433">
      <c r="A2433" s="3" t="str">
        <f>IFERROR(__xludf.DUMMYFUNCTION("""COMPUTED_VALUE"""),"cheesecakeswap")</f>
        <v>cheesecakeswap</v>
      </c>
      <c r="B2433" s="3" t="str">
        <f>IFERROR(__xludf.DUMMYFUNCTION("""COMPUTED_VALUE"""),"ccake")</f>
        <v>ccake</v>
      </c>
      <c r="C2433" s="3" t="str">
        <f>IFERROR(__xludf.DUMMYFUNCTION("""COMPUTED_VALUE"""),"CheesecakeSwap")</f>
        <v>CheesecakeSwap</v>
      </c>
    </row>
    <row r="2434">
      <c r="A2434" s="3" t="str">
        <f>IFERROR(__xludf.DUMMYFUNCTION("""COMPUTED_VALUE"""),"cheesedao")</f>
        <v>cheesedao</v>
      </c>
      <c r="B2434" s="3" t="str">
        <f>IFERROR(__xludf.DUMMYFUNCTION("""COMPUTED_VALUE"""),"cheez")</f>
        <v>cheez</v>
      </c>
      <c r="C2434" s="3" t="str">
        <f>IFERROR(__xludf.DUMMYFUNCTION("""COMPUTED_VALUE"""),"CheeseDAO")</f>
        <v>CheeseDAO</v>
      </c>
    </row>
    <row r="2435">
      <c r="A2435" s="3" t="str">
        <f>IFERROR(__xludf.DUMMYFUNCTION("""COMPUTED_VALUE"""),"cheesesoda-token")</f>
        <v>cheesesoda-token</v>
      </c>
      <c r="B2435" s="3" t="str">
        <f>IFERROR(__xludf.DUMMYFUNCTION("""COMPUTED_VALUE"""),"soda")</f>
        <v>soda</v>
      </c>
      <c r="C2435" s="3" t="str">
        <f>IFERROR(__xludf.DUMMYFUNCTION("""COMPUTED_VALUE"""),"CheeseSoda")</f>
        <v>CheeseSoda</v>
      </c>
    </row>
    <row r="2436">
      <c r="A2436" s="3" t="str">
        <f>IFERROR(__xludf.DUMMYFUNCTION("""COMPUTED_VALUE"""),"cheeseswap")</f>
        <v>cheeseswap</v>
      </c>
      <c r="B2436" s="3" t="str">
        <f>IFERROR(__xludf.DUMMYFUNCTION("""COMPUTED_VALUE"""),"chs")</f>
        <v>chs</v>
      </c>
      <c r="C2436" s="3" t="str">
        <f>IFERROR(__xludf.DUMMYFUNCTION("""COMPUTED_VALUE"""),"CheeseSwap")</f>
        <v>CheeseSwap</v>
      </c>
    </row>
    <row r="2437">
      <c r="A2437" s="3" t="str">
        <f>IFERROR(__xludf.DUMMYFUNCTION("""COMPUTED_VALUE"""),"cheese-swap")</f>
        <v>cheese-swap</v>
      </c>
      <c r="B2437" s="3" t="str">
        <f>IFERROR(__xludf.DUMMYFUNCTION("""COMPUTED_VALUE"""),"cheese")</f>
        <v>cheese</v>
      </c>
      <c r="C2437" s="3" t="str">
        <f>IFERROR(__xludf.DUMMYFUNCTION("""COMPUTED_VALUE"""),"Cheese Swap")</f>
        <v>Cheese Swap</v>
      </c>
    </row>
    <row r="2438">
      <c r="A2438" s="3" t="str">
        <f>IFERROR(__xludf.DUMMYFUNCTION("""COMPUTED_VALUE"""),"cheesus")</f>
        <v>cheesus</v>
      </c>
      <c r="B2438" s="3" t="str">
        <f>IFERROR(__xludf.DUMMYFUNCTION("""COMPUTED_VALUE"""),"cheesus")</f>
        <v>cheesus</v>
      </c>
      <c r="C2438" s="3" t="str">
        <f>IFERROR(__xludf.DUMMYFUNCTION("""COMPUTED_VALUE"""),"Cheesus")</f>
        <v>Cheesus</v>
      </c>
    </row>
    <row r="2439">
      <c r="A2439" s="3" t="str">
        <f>IFERROR(__xludf.DUMMYFUNCTION("""COMPUTED_VALUE"""),"chefcake")</f>
        <v>chefcake</v>
      </c>
      <c r="B2439" s="3" t="str">
        <f>IFERROR(__xludf.DUMMYFUNCTION("""COMPUTED_VALUE"""),"chefcake")</f>
        <v>chefcake</v>
      </c>
      <c r="C2439" s="3" t="str">
        <f>IFERROR(__xludf.DUMMYFUNCTION("""COMPUTED_VALUE"""),"ChefCake")</f>
        <v>ChefCake</v>
      </c>
    </row>
    <row r="2440">
      <c r="A2440" s="3" t="str">
        <f>IFERROR(__xludf.DUMMYFUNCTION("""COMPUTED_VALUE"""),"chellitcoin")</f>
        <v>chellitcoin</v>
      </c>
      <c r="B2440" s="3" t="str">
        <f>IFERROR(__xludf.DUMMYFUNCTION("""COMPUTED_VALUE"""),"chlt")</f>
        <v>chlt</v>
      </c>
      <c r="C2440" s="3" t="str">
        <f>IFERROR(__xludf.DUMMYFUNCTION("""COMPUTED_VALUE"""),"Chellitcoin")</f>
        <v>Chellitcoin</v>
      </c>
    </row>
    <row r="2441">
      <c r="A2441" s="3" t="str">
        <f>IFERROR(__xludf.DUMMYFUNCTION("""COMPUTED_VALUE"""),"chemix-ecology-governance-token")</f>
        <v>chemix-ecology-governance-token</v>
      </c>
      <c r="B2441" s="3" t="str">
        <f>IFERROR(__xludf.DUMMYFUNCTION("""COMPUTED_VALUE"""),"kun")</f>
        <v>kun</v>
      </c>
      <c r="C2441" s="3" t="str">
        <f>IFERROR(__xludf.DUMMYFUNCTION("""COMPUTED_VALUE"""),"Chemix Ecology Governance")</f>
        <v>Chemix Ecology Governance</v>
      </c>
    </row>
    <row r="2442">
      <c r="A2442" s="3" t="str">
        <f>IFERROR(__xludf.DUMMYFUNCTION("""COMPUTED_VALUE"""),"cheqd-network")</f>
        <v>cheqd-network</v>
      </c>
      <c r="B2442" s="3" t="str">
        <f>IFERROR(__xludf.DUMMYFUNCTION("""COMPUTED_VALUE"""),"cheq")</f>
        <v>cheq</v>
      </c>
      <c r="C2442" s="3" t="str">
        <f>IFERROR(__xludf.DUMMYFUNCTION("""COMPUTED_VALUE"""),"CHEQD Network")</f>
        <v>CHEQD Network</v>
      </c>
    </row>
    <row r="2443">
      <c r="A2443" s="3" t="str">
        <f>IFERROR(__xludf.DUMMYFUNCTION("""COMPUTED_VALUE"""),"cherish")</f>
        <v>cherish</v>
      </c>
      <c r="B2443" s="3" t="str">
        <f>IFERROR(__xludf.DUMMYFUNCTION("""COMPUTED_VALUE"""),"chc")</f>
        <v>chc</v>
      </c>
      <c r="C2443" s="3" t="str">
        <f>IFERROR(__xludf.DUMMYFUNCTION("""COMPUTED_VALUE"""),"Cherish")</f>
        <v>Cherish</v>
      </c>
    </row>
    <row r="2444">
      <c r="A2444" s="3" t="str">
        <f>IFERROR(__xludf.DUMMYFUNCTION("""COMPUTED_VALUE"""),"cherry-network")</f>
        <v>cherry-network</v>
      </c>
      <c r="B2444" s="3" t="str">
        <f>IFERROR(__xludf.DUMMYFUNCTION("""COMPUTED_VALUE"""),"cher")</f>
        <v>cher</v>
      </c>
      <c r="C2444" s="3" t="str">
        <f>IFERROR(__xludf.DUMMYFUNCTION("""COMPUTED_VALUE"""),"Cherry Network")</f>
        <v>Cherry Network</v>
      </c>
    </row>
    <row r="2445">
      <c r="A2445" s="3" t="str">
        <f>IFERROR(__xludf.DUMMYFUNCTION("""COMPUTED_VALUE"""),"cherrypye")</f>
        <v>cherrypye</v>
      </c>
      <c r="B2445" s="3" t="str">
        <f>IFERROR(__xludf.DUMMYFUNCTION("""COMPUTED_VALUE"""),"cherrypye")</f>
        <v>cherrypye</v>
      </c>
      <c r="C2445" s="3" t="str">
        <f>IFERROR(__xludf.DUMMYFUNCTION("""COMPUTED_VALUE"""),"CHERRYPYE")</f>
        <v>CHERRYPYE</v>
      </c>
    </row>
    <row r="2446">
      <c r="A2446" s="3" t="str">
        <f>IFERROR(__xludf.DUMMYFUNCTION("""COMPUTED_VALUE"""),"cherryswap")</f>
        <v>cherryswap</v>
      </c>
      <c r="B2446" s="3" t="str">
        <f>IFERROR(__xludf.DUMMYFUNCTION("""COMPUTED_VALUE"""),"che")</f>
        <v>che</v>
      </c>
      <c r="C2446" s="3" t="str">
        <f>IFERROR(__xludf.DUMMYFUNCTION("""COMPUTED_VALUE"""),"CherrySwap")</f>
        <v>CherrySwap</v>
      </c>
    </row>
    <row r="2447">
      <c r="A2447" s="3" t="str">
        <f>IFERROR(__xludf.DUMMYFUNCTION("""COMPUTED_VALUE"""),"cherry-token")</f>
        <v>cherry-token</v>
      </c>
      <c r="B2447" s="3" t="str">
        <f>IFERROR(__xludf.DUMMYFUNCTION("""COMPUTED_VALUE"""),"yt")</f>
        <v>yt</v>
      </c>
      <c r="C2447" s="3" t="str">
        <f>IFERROR(__xludf.DUMMYFUNCTION("""COMPUTED_VALUE"""),"Cherry YT")</f>
        <v>Cherry YT</v>
      </c>
    </row>
    <row r="2448">
      <c r="A2448" s="3" t="str">
        <f>IFERROR(__xludf.DUMMYFUNCTION("""COMPUTED_VALUE"""),"chesscoin-0-32")</f>
        <v>chesscoin-0-32</v>
      </c>
      <c r="B2448" s="3" t="str">
        <f>IFERROR(__xludf.DUMMYFUNCTION("""COMPUTED_VALUE"""),"chess")</f>
        <v>chess</v>
      </c>
      <c r="C2448" s="3" t="str">
        <f>IFERROR(__xludf.DUMMYFUNCTION("""COMPUTED_VALUE"""),"ChessCoin 0.32%")</f>
        <v>ChessCoin 0.32%</v>
      </c>
    </row>
    <row r="2449">
      <c r="A2449" s="3" t="str">
        <f>IFERROR(__xludf.DUMMYFUNCTION("""COMPUTED_VALUE"""),"chex-token")</f>
        <v>chex-token</v>
      </c>
      <c r="B2449" s="3" t="str">
        <f>IFERROR(__xludf.DUMMYFUNCTION("""COMPUTED_VALUE"""),"chex")</f>
        <v>chex</v>
      </c>
      <c r="C2449" s="3" t="str">
        <f>IFERROR(__xludf.DUMMYFUNCTION("""COMPUTED_VALUE"""),"CHEX Token")</f>
        <v>CHEX Token</v>
      </c>
    </row>
    <row r="2450">
      <c r="A2450" s="3" t="str">
        <f>IFERROR(__xludf.DUMMYFUNCTION("""COMPUTED_VALUE"""),"chhipscoin")</f>
        <v>chhipscoin</v>
      </c>
      <c r="B2450" s="3" t="str">
        <f>IFERROR(__xludf.DUMMYFUNCTION("""COMPUTED_VALUE"""),"chh")</f>
        <v>chh</v>
      </c>
      <c r="C2450" s="3" t="str">
        <f>IFERROR(__xludf.DUMMYFUNCTION("""COMPUTED_VALUE"""),"CHHIPSCOIN")</f>
        <v>CHHIPSCOIN</v>
      </c>
    </row>
    <row r="2451">
      <c r="A2451" s="3" t="str">
        <f>IFERROR(__xludf.DUMMYFUNCTION("""COMPUTED_VALUE"""),"chia")</f>
        <v>chia</v>
      </c>
      <c r="B2451" s="3" t="str">
        <f>IFERROR(__xludf.DUMMYFUNCTION("""COMPUTED_VALUE"""),"xch")</f>
        <v>xch</v>
      </c>
      <c r="C2451" s="3" t="str">
        <f>IFERROR(__xludf.DUMMYFUNCTION("""COMPUTED_VALUE"""),"Chia")</f>
        <v>Chia</v>
      </c>
    </row>
    <row r="2452">
      <c r="A2452" s="3" t="str">
        <f>IFERROR(__xludf.DUMMYFUNCTION("""COMPUTED_VALUE"""),"chiba-inu")</f>
        <v>chiba-inu</v>
      </c>
      <c r="B2452" s="3" t="str">
        <f>IFERROR(__xludf.DUMMYFUNCTION("""COMPUTED_VALUE"""),"chiba")</f>
        <v>chiba</v>
      </c>
      <c r="C2452" s="3" t="str">
        <f>IFERROR(__xludf.DUMMYFUNCTION("""COMPUTED_VALUE"""),"Chiba Inu")</f>
        <v>Chiba Inu</v>
      </c>
    </row>
    <row r="2453">
      <c r="A2453" s="3" t="str">
        <f>IFERROR(__xludf.DUMMYFUNCTION("""COMPUTED_VALUE"""),"chicken")</f>
        <v>chicken</v>
      </c>
      <c r="B2453" s="3" t="str">
        <f>IFERROR(__xludf.DUMMYFUNCTION("""COMPUTED_VALUE"""),"kfc")</f>
        <v>kfc</v>
      </c>
      <c r="C2453" s="3" t="str">
        <f>IFERROR(__xludf.DUMMYFUNCTION("""COMPUTED_VALUE"""),"Chicken")</f>
        <v>Chicken</v>
      </c>
    </row>
    <row r="2454">
      <c r="A2454" s="3" t="str">
        <f>IFERROR(__xludf.DUMMYFUNCTION("""COMPUTED_VALUE"""),"chickenlegs")</f>
        <v>chickenlegs</v>
      </c>
      <c r="B2454" s="3" t="str">
        <f>IFERROR(__xludf.DUMMYFUNCTION("""COMPUTED_VALUE"""),"corn")</f>
        <v>corn</v>
      </c>
      <c r="C2454" s="3" t="str">
        <f>IFERROR(__xludf.DUMMYFUNCTION("""COMPUTED_VALUE"""),"ChickenLegs")</f>
        <v>ChickenLegs</v>
      </c>
    </row>
    <row r="2455">
      <c r="A2455" s="3" t="str">
        <f>IFERROR(__xludf.DUMMYFUNCTION("""COMPUTED_VALUE"""),"chi-coin")</f>
        <v>chi-coin</v>
      </c>
      <c r="B2455" s="3" t="str">
        <f>IFERROR(__xludf.DUMMYFUNCTION("""COMPUTED_VALUE"""),"chi")</f>
        <v>chi</v>
      </c>
      <c r="C2455" s="3" t="str">
        <f>IFERROR(__xludf.DUMMYFUNCTION("""COMPUTED_VALUE"""),"CHI Coin")</f>
        <v>CHI Coin</v>
      </c>
    </row>
    <row r="2456">
      <c r="A2456" s="3" t="str">
        <f>IFERROR(__xludf.DUMMYFUNCTION("""COMPUTED_VALUE"""),"chi-gastoken")</f>
        <v>chi-gastoken</v>
      </c>
      <c r="B2456" s="3" t="str">
        <f>IFERROR(__xludf.DUMMYFUNCTION("""COMPUTED_VALUE"""),"chi")</f>
        <v>chi</v>
      </c>
      <c r="C2456" s="3" t="str">
        <f>IFERROR(__xludf.DUMMYFUNCTION("""COMPUTED_VALUE"""),"Chi Gas")</f>
        <v>Chi Gas</v>
      </c>
    </row>
    <row r="2457">
      <c r="A2457" s="3" t="str">
        <f>IFERROR(__xludf.DUMMYFUNCTION("""COMPUTED_VALUE"""),"chihiro-inu")</f>
        <v>chihiro-inu</v>
      </c>
      <c r="B2457" s="3" t="str">
        <f>IFERROR(__xludf.DUMMYFUNCTION("""COMPUTED_VALUE"""),"chiro")</f>
        <v>chiro</v>
      </c>
      <c r="C2457" s="3" t="str">
        <f>IFERROR(__xludf.DUMMYFUNCTION("""COMPUTED_VALUE"""),"Chihiro Inu")</f>
        <v>Chihiro Inu</v>
      </c>
    </row>
    <row r="2458">
      <c r="A2458" s="3" t="str">
        <f>IFERROR(__xludf.DUMMYFUNCTION("""COMPUTED_VALUE"""),"chihuahua")</f>
        <v>chihuahua</v>
      </c>
      <c r="B2458" s="3" t="str">
        <f>IFERROR(__xludf.DUMMYFUNCTION("""COMPUTED_VALUE"""),"hua")</f>
        <v>hua</v>
      </c>
      <c r="C2458" s="3" t="str">
        <f>IFERROR(__xludf.DUMMYFUNCTION("""COMPUTED_VALUE"""),"Chihuahua")</f>
        <v>Chihuahua</v>
      </c>
    </row>
    <row r="2459">
      <c r="A2459" s="3" t="str">
        <f>IFERROR(__xludf.DUMMYFUNCTION("""COMPUTED_VALUE"""),"chihuahua-in-space")</f>
        <v>chihuahua-in-space</v>
      </c>
      <c r="B2459" s="3" t="str">
        <f>IFERROR(__xludf.DUMMYFUNCTION("""COMPUTED_VALUE"""),"cis")</f>
        <v>cis</v>
      </c>
      <c r="C2459" s="3" t="str">
        <f>IFERROR(__xludf.DUMMYFUNCTION("""COMPUTED_VALUE"""),"Chihuahua In Space")</f>
        <v>Chihuahua In Space</v>
      </c>
    </row>
    <row r="2460">
      <c r="A2460" s="3" t="str">
        <f>IFERROR(__xludf.DUMMYFUNCTION("""COMPUTED_VALUE"""),"chihuahuasol")</f>
        <v>chihuahuasol</v>
      </c>
      <c r="B2460" s="3" t="str">
        <f>IFERROR(__xludf.DUMMYFUNCTION("""COMPUTED_VALUE"""),"chih")</f>
        <v>chih</v>
      </c>
      <c r="C2460" s="3" t="str">
        <f>IFERROR(__xludf.DUMMYFUNCTION("""COMPUTED_VALUE"""),"ChihuahuaSol")</f>
        <v>ChihuahuaSol</v>
      </c>
    </row>
    <row r="2461">
      <c r="A2461" s="3" t="str">
        <f>IFERROR(__xludf.DUMMYFUNCTION("""COMPUTED_VALUE"""),"chihuahua-token")</f>
        <v>chihuahua-token</v>
      </c>
      <c r="B2461" s="3" t="str">
        <f>IFERROR(__xludf.DUMMYFUNCTION("""COMPUTED_VALUE"""),"huahua")</f>
        <v>huahua</v>
      </c>
      <c r="C2461" s="3" t="str">
        <f>IFERROR(__xludf.DUMMYFUNCTION("""COMPUTED_VALUE"""),"Chihuahua Chain")</f>
        <v>Chihuahua Chain</v>
      </c>
    </row>
    <row r="2462">
      <c r="A2462" s="3" t="str">
        <f>IFERROR(__xludf.DUMMYFUNCTION("""COMPUTED_VALUE"""),"chihuahua-token-19fcd0de-eb4d-4fd7-bc4a-a202247dfdbb")</f>
        <v>chihuahua-token-19fcd0de-eb4d-4fd7-bc4a-a202247dfdbb</v>
      </c>
      <c r="B2462" s="3" t="str">
        <f>IFERROR(__xludf.DUMMYFUNCTION("""COMPUTED_VALUE"""),"chh")</f>
        <v>chh</v>
      </c>
      <c r="C2462" s="3" t="str">
        <f>IFERROR(__xludf.DUMMYFUNCTION("""COMPUTED_VALUE"""),"Chihuahua Token")</f>
        <v>Chihuahua Token</v>
      </c>
    </row>
    <row r="2463">
      <c r="A2463" s="3" t="str">
        <f>IFERROR(__xludf.DUMMYFUNCTION("""COMPUTED_VALUE"""),"chihuahuax")</f>
        <v>chihuahuax</v>
      </c>
      <c r="B2463" s="3" t="str">
        <f>IFERROR(__xludf.DUMMYFUNCTION("""COMPUTED_VALUE"""),"chihua")</f>
        <v>chihua</v>
      </c>
      <c r="C2463" s="3" t="str">
        <f>IFERROR(__xludf.DUMMYFUNCTION("""COMPUTED_VALUE"""),"Chihuahuax")</f>
        <v>Chihuahuax</v>
      </c>
    </row>
    <row r="2464">
      <c r="A2464" s="3" t="str">
        <f>IFERROR(__xludf.DUMMYFUNCTION("""COMPUTED_VALUE"""),"chihua-token")</f>
        <v>chihua-token</v>
      </c>
      <c r="B2464" s="3" t="str">
        <f>IFERROR(__xludf.DUMMYFUNCTION("""COMPUTED_VALUE"""),"chihua")</f>
        <v>chihua</v>
      </c>
      <c r="C2464" s="3" t="str">
        <f>IFERROR(__xludf.DUMMYFUNCTION("""COMPUTED_VALUE"""),"Chihua")</f>
        <v>Chihua</v>
      </c>
    </row>
    <row r="2465">
      <c r="A2465" s="3" t="str">
        <f>IFERROR(__xludf.DUMMYFUNCTION("""COMPUTED_VALUE"""),"chikincoin")</f>
        <v>chikincoin</v>
      </c>
      <c r="B2465" s="3" t="str">
        <f>IFERROR(__xludf.DUMMYFUNCTION("""COMPUTED_VALUE"""),"ckc")</f>
        <v>ckc</v>
      </c>
      <c r="C2465" s="3" t="str">
        <f>IFERROR(__xludf.DUMMYFUNCTION("""COMPUTED_VALUE"""),"ChikinCoin")</f>
        <v>ChikinCoin</v>
      </c>
    </row>
    <row r="2466">
      <c r="A2466" s="3" t="str">
        <f>IFERROR(__xludf.DUMMYFUNCTION("""COMPUTED_VALUE"""),"chikn-egg")</f>
        <v>chikn-egg</v>
      </c>
      <c r="B2466" s="3" t="str">
        <f>IFERROR(__xludf.DUMMYFUNCTION("""COMPUTED_VALUE"""),"egg")</f>
        <v>egg</v>
      </c>
      <c r="C2466" s="3" t="str">
        <f>IFERROR(__xludf.DUMMYFUNCTION("""COMPUTED_VALUE"""),"Chikn Egg")</f>
        <v>Chikn Egg</v>
      </c>
    </row>
    <row r="2467">
      <c r="A2467" s="3" t="str">
        <f>IFERROR(__xludf.DUMMYFUNCTION("""COMPUTED_VALUE"""),"chikn-feed")</f>
        <v>chikn-feed</v>
      </c>
      <c r="B2467" s="3" t="str">
        <f>IFERROR(__xludf.DUMMYFUNCTION("""COMPUTED_VALUE"""),"feed")</f>
        <v>feed</v>
      </c>
      <c r="C2467" s="3" t="str">
        <f>IFERROR(__xludf.DUMMYFUNCTION("""COMPUTED_VALUE"""),"chikn feed")</f>
        <v>chikn feed</v>
      </c>
    </row>
    <row r="2468">
      <c r="A2468" s="3" t="str">
        <f>IFERROR(__xludf.DUMMYFUNCTION("""COMPUTED_VALUE"""),"chikn-fert")</f>
        <v>chikn-fert</v>
      </c>
      <c r="B2468" s="3" t="str">
        <f>IFERROR(__xludf.DUMMYFUNCTION("""COMPUTED_VALUE"""),"fert")</f>
        <v>fert</v>
      </c>
      <c r="C2468" s="3" t="str">
        <f>IFERROR(__xludf.DUMMYFUNCTION("""COMPUTED_VALUE"""),"Chikn Fert")</f>
        <v>Chikn Fert</v>
      </c>
    </row>
    <row r="2469">
      <c r="A2469" s="3" t="str">
        <f>IFERROR(__xludf.DUMMYFUNCTION("""COMPUTED_VALUE"""),"childhoods-end")</f>
        <v>childhoods-end</v>
      </c>
      <c r="B2469" s="3" t="str">
        <f>IFERROR(__xludf.DUMMYFUNCTION("""COMPUTED_VALUE"""),"o")</f>
        <v>o</v>
      </c>
      <c r="C2469" s="3" t="str">
        <f>IFERROR(__xludf.DUMMYFUNCTION("""COMPUTED_VALUE"""),"Childhoods End")</f>
        <v>Childhoods End</v>
      </c>
    </row>
    <row r="2470">
      <c r="A2470" s="3" t="str">
        <f>IFERROR(__xludf.DUMMYFUNCTION("""COMPUTED_VALUE"""),"chiliz")</f>
        <v>chiliz</v>
      </c>
      <c r="B2470" s="3" t="str">
        <f>IFERROR(__xludf.DUMMYFUNCTION("""COMPUTED_VALUE"""),"chz")</f>
        <v>chz</v>
      </c>
      <c r="C2470" s="3" t="str">
        <f>IFERROR(__xludf.DUMMYFUNCTION("""COMPUTED_VALUE"""),"Chiliz")</f>
        <v>Chiliz</v>
      </c>
    </row>
    <row r="2471">
      <c r="A2471" s="3" t="str">
        <f>IFERROR(__xludf.DUMMYFUNCTION("""COMPUTED_VALUE"""),"chimaera")</f>
        <v>chimaera</v>
      </c>
      <c r="B2471" s="3" t="str">
        <f>IFERROR(__xludf.DUMMYFUNCTION("""COMPUTED_VALUE"""),"wchi")</f>
        <v>wchi</v>
      </c>
      <c r="C2471" s="3" t="str">
        <f>IFERROR(__xludf.DUMMYFUNCTION("""COMPUTED_VALUE"""),"XAYA")</f>
        <v>XAYA</v>
      </c>
    </row>
    <row r="2472">
      <c r="A2472" s="3" t="str">
        <f>IFERROR(__xludf.DUMMYFUNCTION("""COMPUTED_VALUE"""),"chimeras")</f>
        <v>chimeras</v>
      </c>
      <c r="B2472" s="3" t="str">
        <f>IFERROR(__xludf.DUMMYFUNCTION("""COMPUTED_VALUE"""),"chim")</f>
        <v>chim</v>
      </c>
      <c r="C2472" s="3" t="str">
        <f>IFERROR(__xludf.DUMMYFUNCTION("""COMPUTED_VALUE"""),"Chimeras")</f>
        <v>Chimeras</v>
      </c>
    </row>
    <row r="2473">
      <c r="A2473" s="3" t="str">
        <f>IFERROR(__xludf.DUMMYFUNCTION("""COMPUTED_VALUE"""),"chimp-fight")</f>
        <v>chimp-fight</v>
      </c>
      <c r="B2473" s="3" t="str">
        <f>IFERROR(__xludf.DUMMYFUNCTION("""COMPUTED_VALUE"""),"nana")</f>
        <v>nana</v>
      </c>
      <c r="C2473" s="3" t="str">
        <f>IFERROR(__xludf.DUMMYFUNCTION("""COMPUTED_VALUE"""),"Nana")</f>
        <v>Nana</v>
      </c>
    </row>
    <row r="2474">
      <c r="A2474" s="3" t="str">
        <f>IFERROR(__xludf.DUMMYFUNCTION("""COMPUTED_VALUE"""),"chinaom")</f>
        <v>chinaom</v>
      </c>
      <c r="B2474" s="3" t="str">
        <f>IFERROR(__xludf.DUMMYFUNCTION("""COMPUTED_VALUE"""),"com")</f>
        <v>com</v>
      </c>
      <c r="C2474" s="3" t="str">
        <f>IFERROR(__xludf.DUMMYFUNCTION("""COMPUTED_VALUE"""),"ChinaOM")</f>
        <v>ChinaOM</v>
      </c>
    </row>
    <row r="2475">
      <c r="A2475" s="3" t="str">
        <f>IFERROR(__xludf.DUMMYFUNCTION("""COMPUTED_VALUE"""),"chip")</f>
        <v>chip</v>
      </c>
      <c r="B2475" s="3" t="str">
        <f>IFERROR(__xludf.DUMMYFUNCTION("""COMPUTED_VALUE"""),"chip")</f>
        <v>chip</v>
      </c>
      <c r="C2475" s="3" t="str">
        <f>IFERROR(__xludf.DUMMYFUNCTION("""COMPUTED_VALUE"""),"Chip")</f>
        <v>Chip</v>
      </c>
    </row>
    <row r="2476">
      <c r="A2476" s="3" t="str">
        <f>IFERROR(__xludf.DUMMYFUNCTION("""COMPUTED_VALUE"""),"chipstars")</f>
        <v>chipstars</v>
      </c>
      <c r="B2476" s="3" t="str">
        <f>IFERROR(__xludf.DUMMYFUNCTION("""COMPUTED_VALUE"""),"chips")</f>
        <v>chips</v>
      </c>
      <c r="C2476" s="3" t="str">
        <f>IFERROR(__xludf.DUMMYFUNCTION("""COMPUTED_VALUE"""),"Chipstars")</f>
        <v>Chipstars</v>
      </c>
    </row>
    <row r="2477">
      <c r="A2477" s="3" t="str">
        <f>IFERROR(__xludf.DUMMYFUNCTION("""COMPUTED_VALUE"""),"chipz")</f>
        <v>chipz</v>
      </c>
      <c r="B2477" s="3" t="str">
        <f>IFERROR(__xludf.DUMMYFUNCTION("""COMPUTED_VALUE"""),"chpz")</f>
        <v>chpz</v>
      </c>
      <c r="C2477" s="3" t="str">
        <f>IFERROR(__xludf.DUMMYFUNCTION("""COMPUTED_VALUE"""),"Chipz")</f>
        <v>Chipz</v>
      </c>
    </row>
    <row r="2478">
      <c r="A2478" s="3" t="str">
        <f>IFERROR(__xludf.DUMMYFUNCTION("""COMPUTED_VALUE"""),"chirpley")</f>
        <v>chirpley</v>
      </c>
      <c r="B2478" s="3" t="str">
        <f>IFERROR(__xludf.DUMMYFUNCTION("""COMPUTED_VALUE"""),"chrp")</f>
        <v>chrp</v>
      </c>
      <c r="C2478" s="3" t="str">
        <f>IFERROR(__xludf.DUMMYFUNCTION("""COMPUTED_VALUE"""),"Chirpley")</f>
        <v>Chirpley</v>
      </c>
    </row>
    <row r="2479">
      <c r="A2479" s="3" t="str">
        <f>IFERROR(__xludf.DUMMYFUNCTION("""COMPUTED_VALUE"""),"chiva-token")</f>
        <v>chiva-token</v>
      </c>
      <c r="B2479" s="3" t="str">
        <f>IFERROR(__xludf.DUMMYFUNCTION("""COMPUTED_VALUE"""),"chiv")</f>
        <v>chiv</v>
      </c>
      <c r="C2479" s="3" t="str">
        <f>IFERROR(__xludf.DUMMYFUNCTION("""COMPUTED_VALUE"""),"Chiva")</f>
        <v>Chiva</v>
      </c>
    </row>
    <row r="2480">
      <c r="A2480" s="3" t="str">
        <f>IFERROR(__xludf.DUMMYFUNCTION("""COMPUTED_VALUE"""),"chives-coin")</f>
        <v>chives-coin</v>
      </c>
      <c r="B2480" s="3" t="str">
        <f>IFERROR(__xludf.DUMMYFUNCTION("""COMPUTED_VALUE"""),"xcc")</f>
        <v>xcc</v>
      </c>
      <c r="C2480" s="3" t="str">
        <f>IFERROR(__xludf.DUMMYFUNCTION("""COMPUTED_VALUE"""),"Chives Coin")</f>
        <v>Chives Coin</v>
      </c>
    </row>
    <row r="2481">
      <c r="A2481" s="3" t="str">
        <f>IFERROR(__xludf.DUMMYFUNCTION("""COMPUTED_VALUE"""),"chiwawa")</f>
        <v>chiwawa</v>
      </c>
      <c r="B2481" s="3" t="str">
        <f>IFERROR(__xludf.DUMMYFUNCTION("""COMPUTED_VALUE"""),"chiwa")</f>
        <v>chiwa</v>
      </c>
      <c r="C2481" s="3" t="str">
        <f>IFERROR(__xludf.DUMMYFUNCTION("""COMPUTED_VALUE"""),"Chiwawa")</f>
        <v>Chiwawa</v>
      </c>
    </row>
    <row r="2482">
      <c r="A2482" s="3" t="str">
        <f>IFERROR(__xludf.DUMMYFUNCTION("""COMPUTED_VALUE"""),"choccyswap")</f>
        <v>choccyswap</v>
      </c>
      <c r="B2482" s="3" t="str">
        <f>IFERROR(__xludf.DUMMYFUNCTION("""COMPUTED_VALUE"""),"ccy")</f>
        <v>ccy</v>
      </c>
      <c r="C2482" s="3" t="str">
        <f>IFERROR(__xludf.DUMMYFUNCTION("""COMPUTED_VALUE"""),"ChoccySwap")</f>
        <v>ChoccySwap</v>
      </c>
    </row>
    <row r="2483">
      <c r="A2483" s="3" t="str">
        <f>IFERROR(__xludf.DUMMYFUNCTION("""COMPUTED_VALUE"""),"choice-coin")</f>
        <v>choice-coin</v>
      </c>
      <c r="B2483" s="3" t="str">
        <f>IFERROR(__xludf.DUMMYFUNCTION("""COMPUTED_VALUE"""),"choice")</f>
        <v>choice</v>
      </c>
      <c r="C2483" s="3" t="str">
        <f>IFERROR(__xludf.DUMMYFUNCTION("""COMPUTED_VALUE"""),"Choice Coin")</f>
        <v>Choice Coin</v>
      </c>
    </row>
    <row r="2484">
      <c r="A2484" s="3" t="str">
        <f>IFERROR(__xludf.DUMMYFUNCTION("""COMPUTED_VALUE"""),"choise")</f>
        <v>choise</v>
      </c>
      <c r="B2484" s="3" t="str">
        <f>IFERROR(__xludf.DUMMYFUNCTION("""COMPUTED_VALUE"""),"cho")</f>
        <v>cho</v>
      </c>
      <c r="C2484" s="4" t="str">
        <f>IFERROR(__xludf.DUMMYFUNCTION("""COMPUTED_VALUE"""),"Choise.com")</f>
        <v>Choise.com</v>
      </c>
    </row>
    <row r="2485">
      <c r="A2485" s="3" t="str">
        <f>IFERROR(__xludf.DUMMYFUNCTION("""COMPUTED_VALUE"""),"chonk")</f>
        <v>chonk</v>
      </c>
      <c r="B2485" s="3" t="str">
        <f>IFERROR(__xludf.DUMMYFUNCTION("""COMPUTED_VALUE"""),"chonk")</f>
        <v>chonk</v>
      </c>
      <c r="C2485" s="3" t="str">
        <f>IFERROR(__xludf.DUMMYFUNCTION("""COMPUTED_VALUE"""),"Chonk")</f>
        <v>Chonk</v>
      </c>
    </row>
    <row r="2486">
      <c r="A2486" s="3" t="str">
        <f>IFERROR(__xludf.DUMMYFUNCTION("""COMPUTED_VALUE"""),"chopper-inu")</f>
        <v>chopper-inu</v>
      </c>
      <c r="B2486" s="3" t="str">
        <f>IFERROR(__xludf.DUMMYFUNCTION("""COMPUTED_VALUE"""),"chopper")</f>
        <v>chopper</v>
      </c>
      <c r="C2486" s="3" t="str">
        <f>IFERROR(__xludf.DUMMYFUNCTION("""COMPUTED_VALUE"""),"Chopper Inu")</f>
        <v>Chopper Inu</v>
      </c>
    </row>
    <row r="2487">
      <c r="A2487" s="3" t="str">
        <f>IFERROR(__xludf.DUMMYFUNCTION("""COMPUTED_VALUE"""),"chorusx")</f>
        <v>chorusx</v>
      </c>
      <c r="B2487" s="3" t="str">
        <f>IFERROR(__xludf.DUMMYFUNCTION("""COMPUTED_VALUE"""),"cx1")</f>
        <v>cx1</v>
      </c>
      <c r="C2487" s="3" t="str">
        <f>IFERROR(__xludf.DUMMYFUNCTION("""COMPUTED_VALUE"""),"ChorusX")</f>
        <v>ChorusX</v>
      </c>
    </row>
    <row r="2488">
      <c r="A2488" s="3" t="str">
        <f>IFERROR(__xludf.DUMMYFUNCTION("""COMPUTED_VALUE"""),"chow-chow-finance")</f>
        <v>chow-chow-finance</v>
      </c>
      <c r="B2488" s="3" t="str">
        <f>IFERROR(__xludf.DUMMYFUNCTION("""COMPUTED_VALUE"""),"chow")</f>
        <v>chow</v>
      </c>
      <c r="C2488" s="3" t="str">
        <f>IFERROR(__xludf.DUMMYFUNCTION("""COMPUTED_VALUE"""),"Chow Chow Finance")</f>
        <v>Chow Chow Finance</v>
      </c>
    </row>
    <row r="2489">
      <c r="A2489" s="3" t="str">
        <f>IFERROR(__xludf.DUMMYFUNCTION("""COMPUTED_VALUE"""),"chromaway")</f>
        <v>chromaway</v>
      </c>
      <c r="B2489" s="3" t="str">
        <f>IFERROR(__xludf.DUMMYFUNCTION("""COMPUTED_VALUE"""),"chr")</f>
        <v>chr</v>
      </c>
      <c r="C2489" s="3" t="str">
        <f>IFERROR(__xludf.DUMMYFUNCTION("""COMPUTED_VALUE"""),"Chromia")</f>
        <v>Chromia</v>
      </c>
    </row>
    <row r="2490">
      <c r="A2490" s="3" t="str">
        <f>IFERROR(__xludf.DUMMYFUNCTION("""COMPUTED_VALUE"""),"chrome-swap")</f>
        <v>chrome-swap</v>
      </c>
      <c r="B2490" s="3" t="str">
        <f>IFERROR(__xludf.DUMMYFUNCTION("""COMPUTED_VALUE"""),"csw")</f>
        <v>csw</v>
      </c>
      <c r="C2490" s="3" t="str">
        <f>IFERROR(__xludf.DUMMYFUNCTION("""COMPUTED_VALUE"""),"Chrome Swap")</f>
        <v>Chrome Swap</v>
      </c>
    </row>
    <row r="2491">
      <c r="A2491" s="3" t="str">
        <f>IFERROR(__xludf.DUMMYFUNCTION("""COMPUTED_VALUE"""),"chronicle")</f>
        <v>chronicle</v>
      </c>
      <c r="B2491" s="3" t="str">
        <f>IFERROR(__xludf.DUMMYFUNCTION("""COMPUTED_VALUE"""),"xnl")</f>
        <v>xnl</v>
      </c>
      <c r="C2491" s="3" t="str">
        <f>IFERROR(__xludf.DUMMYFUNCTION("""COMPUTED_VALUE"""),"Chronicle")</f>
        <v>Chronicle</v>
      </c>
    </row>
    <row r="2492">
      <c r="A2492" s="3" t="str">
        <f>IFERROR(__xludf.DUMMYFUNCTION("""COMPUTED_VALUE"""),"chronicum")</f>
        <v>chronicum</v>
      </c>
      <c r="B2492" s="3" t="str">
        <f>IFERROR(__xludf.DUMMYFUNCTION("""COMPUTED_VALUE"""),"chro")</f>
        <v>chro</v>
      </c>
      <c r="C2492" s="3" t="str">
        <f>IFERROR(__xludf.DUMMYFUNCTION("""COMPUTED_VALUE"""),"Chronicum")</f>
        <v>Chronicum</v>
      </c>
    </row>
    <row r="2493">
      <c r="A2493" s="3" t="str">
        <f>IFERROR(__xludf.DUMMYFUNCTION("""COMPUTED_VALUE"""),"chronobank")</f>
        <v>chronobank</v>
      </c>
      <c r="B2493" s="3" t="str">
        <f>IFERROR(__xludf.DUMMYFUNCTION("""COMPUTED_VALUE"""),"time")</f>
        <v>time</v>
      </c>
      <c r="C2493" s="3" t="str">
        <f>IFERROR(__xludf.DUMMYFUNCTION("""COMPUTED_VALUE"""),"chrono.tech")</f>
        <v>chrono.tech</v>
      </c>
    </row>
    <row r="2494">
      <c r="A2494" s="3" t="str">
        <f>IFERROR(__xludf.DUMMYFUNCTION("""COMPUTED_VALUE"""),"chronologic")</f>
        <v>chronologic</v>
      </c>
      <c r="B2494" s="3" t="str">
        <f>IFERROR(__xludf.DUMMYFUNCTION("""COMPUTED_VALUE"""),"day")</f>
        <v>day</v>
      </c>
      <c r="C2494" s="3" t="str">
        <f>IFERROR(__xludf.DUMMYFUNCTION("""COMPUTED_VALUE"""),"Chronologic")</f>
        <v>Chronologic</v>
      </c>
    </row>
    <row r="2495">
      <c r="A2495" s="3" t="str">
        <f>IFERROR(__xludf.DUMMYFUNCTION("""COMPUTED_VALUE"""),"chronoly")</f>
        <v>chronoly</v>
      </c>
      <c r="B2495" s="3" t="str">
        <f>IFERROR(__xludf.DUMMYFUNCTION("""COMPUTED_VALUE"""),"crno")</f>
        <v>crno</v>
      </c>
      <c r="C2495" s="3" t="str">
        <f>IFERROR(__xludf.DUMMYFUNCTION("""COMPUTED_VALUE"""),"Chronoly")</f>
        <v>Chronoly</v>
      </c>
    </row>
    <row r="2496">
      <c r="A2496" s="3" t="str">
        <f>IFERROR(__xludf.DUMMYFUNCTION("""COMPUTED_VALUE"""),"chubbies")</f>
        <v>chubbies</v>
      </c>
      <c r="B2496" s="3" t="str">
        <f>IFERROR(__xludf.DUMMYFUNCTION("""COMPUTED_VALUE"""),"chubbies20")</f>
        <v>chubbies20</v>
      </c>
      <c r="C2496" s="3" t="str">
        <f>IFERROR(__xludf.DUMMYFUNCTION("""COMPUTED_VALUE"""),"Chubbies")</f>
        <v>Chubbies</v>
      </c>
    </row>
    <row r="2497">
      <c r="A2497" s="3" t="str">
        <f>IFERROR(__xludf.DUMMYFUNCTION("""COMPUTED_VALUE"""),"chubbyakita")</f>
        <v>chubbyakita</v>
      </c>
      <c r="B2497" s="3" t="str">
        <f>IFERROR(__xludf.DUMMYFUNCTION("""COMPUTED_VALUE"""),"cakita")</f>
        <v>cakita</v>
      </c>
      <c r="C2497" s="3" t="str">
        <f>IFERROR(__xludf.DUMMYFUNCTION("""COMPUTED_VALUE"""),"ChubbyAkita")</f>
        <v>ChubbyAkita</v>
      </c>
    </row>
    <row r="2498">
      <c r="A2498" s="3" t="str">
        <f>IFERROR(__xludf.DUMMYFUNCTION("""COMPUTED_VALUE"""),"chug-token")</f>
        <v>chug-token</v>
      </c>
      <c r="B2498" s="3" t="str">
        <f>IFERROR(__xludf.DUMMYFUNCTION("""COMPUTED_VALUE"""),"chug")</f>
        <v>chug</v>
      </c>
      <c r="C2498" s="3" t="str">
        <f>IFERROR(__xludf.DUMMYFUNCTION("""COMPUTED_VALUE"""),"CHUG")</f>
        <v>CHUG</v>
      </c>
    </row>
    <row r="2499">
      <c r="A2499" s="3" t="str">
        <f>IFERROR(__xludf.DUMMYFUNCTION("""COMPUTED_VALUE"""),"chumbai-valley")</f>
        <v>chumbai-valley</v>
      </c>
      <c r="B2499" s="3" t="str">
        <f>IFERROR(__xludf.DUMMYFUNCTION("""COMPUTED_VALUE"""),"chmb")</f>
        <v>chmb</v>
      </c>
      <c r="C2499" s="3" t="str">
        <f>IFERROR(__xludf.DUMMYFUNCTION("""COMPUTED_VALUE"""),"Chumbi Valley")</f>
        <v>Chumbi Valley</v>
      </c>
    </row>
    <row r="2500">
      <c r="A2500" s="3" t="str">
        <f>IFERROR(__xludf.DUMMYFUNCTION("""COMPUTED_VALUE"""),"cia")</f>
        <v>cia</v>
      </c>
      <c r="B2500" s="3" t="str">
        <f>IFERROR(__xludf.DUMMYFUNCTION("""COMPUTED_VALUE"""),"cia")</f>
        <v>cia</v>
      </c>
      <c r="C2500" s="3" t="str">
        <f>IFERROR(__xludf.DUMMYFUNCTION("""COMPUTED_VALUE"""),"CIA")</f>
        <v>CIA</v>
      </c>
    </row>
    <row r="2501">
      <c r="A2501" s="3" t="str">
        <f>IFERROR(__xludf.DUMMYFUNCTION("""COMPUTED_VALUE"""),"cigarette-token")</f>
        <v>cigarette-token</v>
      </c>
      <c r="B2501" s="3" t="str">
        <f>IFERROR(__xludf.DUMMYFUNCTION("""COMPUTED_VALUE"""),"cig")</f>
        <v>cig</v>
      </c>
      <c r="C2501" s="3" t="str">
        <f>IFERROR(__xludf.DUMMYFUNCTION("""COMPUTED_VALUE"""),"Cigarette")</f>
        <v>Cigarette</v>
      </c>
    </row>
    <row r="2502">
      <c r="A2502" s="3" t="str">
        <f>IFERROR(__xludf.DUMMYFUNCTION("""COMPUTED_VALUE"""),"cindicator")</f>
        <v>cindicator</v>
      </c>
      <c r="B2502" s="3" t="str">
        <f>IFERROR(__xludf.DUMMYFUNCTION("""COMPUTED_VALUE"""),"cnd")</f>
        <v>cnd</v>
      </c>
      <c r="C2502" s="3" t="str">
        <f>IFERROR(__xludf.DUMMYFUNCTION("""COMPUTED_VALUE"""),"Cindicator")</f>
        <v>Cindicator</v>
      </c>
    </row>
    <row r="2503">
      <c r="A2503" s="3" t="str">
        <f>IFERROR(__xludf.DUMMYFUNCTION("""COMPUTED_VALUE"""),"cindrum")</f>
        <v>cindrum</v>
      </c>
      <c r="B2503" s="3" t="str">
        <f>IFERROR(__xludf.DUMMYFUNCTION("""COMPUTED_VALUE"""),"cind")</f>
        <v>cind</v>
      </c>
      <c r="C2503" s="3" t="str">
        <f>IFERROR(__xludf.DUMMYFUNCTION("""COMPUTED_VALUE"""),"Cindrum")</f>
        <v>Cindrum</v>
      </c>
    </row>
    <row r="2504">
      <c r="A2504" s="3" t="str">
        <f>IFERROR(__xludf.DUMMYFUNCTION("""COMPUTED_VALUE"""),"cino-games")</f>
        <v>cino-games</v>
      </c>
      <c r="B2504" s="3" t="str">
        <f>IFERROR(__xludf.DUMMYFUNCTION("""COMPUTED_VALUE"""),"cino")</f>
        <v>cino</v>
      </c>
      <c r="C2504" s="3" t="str">
        <f>IFERROR(__xludf.DUMMYFUNCTION("""COMPUTED_VALUE"""),"Cino Games")</f>
        <v>Cino Games</v>
      </c>
    </row>
    <row r="2505">
      <c r="A2505" s="3" t="str">
        <f>IFERROR(__xludf.DUMMYFUNCTION("""COMPUTED_VALUE"""),"cipher-2")</f>
        <v>cipher-2</v>
      </c>
      <c r="B2505" s="3" t="str">
        <f>IFERROR(__xludf.DUMMYFUNCTION("""COMPUTED_VALUE"""),"cpr")</f>
        <v>cpr</v>
      </c>
      <c r="C2505" s="3" t="str">
        <f>IFERROR(__xludf.DUMMYFUNCTION("""COMPUTED_VALUE"""),"CIPHER")</f>
        <v>CIPHER</v>
      </c>
    </row>
    <row r="2506">
      <c r="A2506" s="3" t="str">
        <f>IFERROR(__xludf.DUMMYFUNCTION("""COMPUTED_VALUE"""),"circlepod")</f>
        <v>circlepod</v>
      </c>
      <c r="B2506" s="3" t="str">
        <f>IFERROR(__xludf.DUMMYFUNCTION("""COMPUTED_VALUE"""),"cpx")</f>
        <v>cpx</v>
      </c>
      <c r="C2506" s="3" t="str">
        <f>IFERROR(__xludf.DUMMYFUNCTION("""COMPUTED_VALUE"""),"Circlepod")</f>
        <v>Circlepod</v>
      </c>
    </row>
    <row r="2507">
      <c r="A2507" s="3" t="str">
        <f>IFERROR(__xludf.DUMMYFUNCTION("""COMPUTED_VALUE"""),"circleswap")</f>
        <v>circleswap</v>
      </c>
      <c r="B2507" s="3" t="str">
        <f>IFERROR(__xludf.DUMMYFUNCTION("""COMPUTED_VALUE"""),"cir")</f>
        <v>cir</v>
      </c>
      <c r="C2507" s="3" t="str">
        <f>IFERROR(__xludf.DUMMYFUNCTION("""COMPUTED_VALUE"""),"CircleSwap")</f>
        <v>CircleSwap</v>
      </c>
    </row>
    <row r="2508">
      <c r="A2508" s="3" t="str">
        <f>IFERROR(__xludf.DUMMYFUNCTION("""COMPUTED_VALUE"""),"circuits-of-value")</f>
        <v>circuits-of-value</v>
      </c>
      <c r="B2508" s="3" t="str">
        <f>IFERROR(__xludf.DUMMYFUNCTION("""COMPUTED_VALUE"""),"coval")</f>
        <v>coval</v>
      </c>
      <c r="C2508" s="3" t="str">
        <f>IFERROR(__xludf.DUMMYFUNCTION("""COMPUTED_VALUE"""),"Circuits of Value")</f>
        <v>Circuits of Value</v>
      </c>
    </row>
    <row r="2509">
      <c r="A2509" s="3" t="str">
        <f>IFERROR(__xludf.DUMMYFUNCTION("""COMPUTED_VALUE"""),"cirquity")</f>
        <v>cirquity</v>
      </c>
      <c r="B2509" s="3" t="str">
        <f>IFERROR(__xludf.DUMMYFUNCTION("""COMPUTED_VALUE"""),"cirq")</f>
        <v>cirq</v>
      </c>
      <c r="C2509" s="3" t="str">
        <f>IFERROR(__xludf.DUMMYFUNCTION("""COMPUTED_VALUE"""),"Cirquity")</f>
        <v>Cirquity</v>
      </c>
    </row>
    <row r="2510">
      <c r="A2510" s="3" t="str">
        <f>IFERROR(__xludf.DUMMYFUNCTION("""COMPUTED_VALUE"""),"cirrus")</f>
        <v>cirrus</v>
      </c>
      <c r="B2510" s="3" t="str">
        <f>IFERROR(__xludf.DUMMYFUNCTION("""COMPUTED_VALUE"""),"crs")</f>
        <v>crs</v>
      </c>
      <c r="C2510" s="3" t="str">
        <f>IFERROR(__xludf.DUMMYFUNCTION("""COMPUTED_VALUE"""),"Cirrus")</f>
        <v>Cirrus</v>
      </c>
    </row>
    <row r="2511">
      <c r="A2511" s="3" t="str">
        <f>IFERROR(__xludf.DUMMYFUNCTION("""COMPUTED_VALUE"""),"cirus")</f>
        <v>cirus</v>
      </c>
      <c r="B2511" s="3" t="str">
        <f>IFERROR(__xludf.DUMMYFUNCTION("""COMPUTED_VALUE"""),"cirus")</f>
        <v>cirus</v>
      </c>
      <c r="C2511" s="3" t="str">
        <f>IFERROR(__xludf.DUMMYFUNCTION("""COMPUTED_VALUE"""),"Cirus")</f>
        <v>Cirus</v>
      </c>
    </row>
    <row r="2512">
      <c r="A2512" s="3" t="str">
        <f>IFERROR(__xludf.DUMMYFUNCTION("""COMPUTED_VALUE"""),"citadao")</f>
        <v>citadao</v>
      </c>
      <c r="B2512" s="3" t="str">
        <f>IFERROR(__xludf.DUMMYFUNCTION("""COMPUTED_VALUE"""),"knight")</f>
        <v>knight</v>
      </c>
      <c r="C2512" s="3" t="str">
        <f>IFERROR(__xludf.DUMMYFUNCTION("""COMPUTED_VALUE"""),"CitaDAO")</f>
        <v>CitaDAO</v>
      </c>
    </row>
    <row r="2513">
      <c r="A2513" s="3" t="str">
        <f>IFERROR(__xludf.DUMMYFUNCTION("""COMPUTED_VALUE"""),"citadel")</f>
        <v>citadel</v>
      </c>
      <c r="B2513" s="3" t="str">
        <f>IFERROR(__xludf.DUMMYFUNCTION("""COMPUTED_VALUE"""),"ctl")</f>
        <v>ctl</v>
      </c>
      <c r="C2513" s="3" t="str">
        <f>IFERROR(__xludf.DUMMYFUNCTION("""COMPUTED_VALUE"""),"Citadel")</f>
        <v>Citadel</v>
      </c>
    </row>
    <row r="2514">
      <c r="A2514" s="3" t="str">
        <f>IFERROR(__xludf.DUMMYFUNCTION("""COMPUTED_VALUE"""),"citadel-one")</f>
        <v>citadel-one</v>
      </c>
      <c r="B2514" s="3" t="str">
        <f>IFERROR(__xludf.DUMMYFUNCTION("""COMPUTED_VALUE"""),"xct")</f>
        <v>xct</v>
      </c>
      <c r="C2514" s="3" t="str">
        <f>IFERROR(__xludf.DUMMYFUNCTION("""COMPUTED_VALUE"""),"Citadel.one")</f>
        <v>Citadel.one</v>
      </c>
    </row>
    <row r="2515">
      <c r="A2515" s="3" t="str">
        <f>IFERROR(__xludf.DUMMYFUNCTION("""COMPUTED_VALUE"""),"citizen-finance")</f>
        <v>citizen-finance</v>
      </c>
      <c r="B2515" s="3" t="str">
        <f>IFERROR(__xludf.DUMMYFUNCTION("""COMPUTED_VALUE"""),"cifi")</f>
        <v>cifi</v>
      </c>
      <c r="C2515" s="3" t="str">
        <f>IFERROR(__xludf.DUMMYFUNCTION("""COMPUTED_VALUE"""),"Citizen Finance")</f>
        <v>Citizen Finance</v>
      </c>
    </row>
    <row r="2516">
      <c r="A2516" s="3" t="str">
        <f>IFERROR(__xludf.DUMMYFUNCTION("""COMPUTED_VALUE"""),"citrus")</f>
        <v>citrus</v>
      </c>
      <c r="B2516" s="3" t="str">
        <f>IFERROR(__xludf.DUMMYFUNCTION("""COMPUTED_VALUE"""),"cts")</f>
        <v>cts</v>
      </c>
      <c r="C2516" s="3" t="str">
        <f>IFERROR(__xludf.DUMMYFUNCTION("""COMPUTED_VALUE"""),"Citrus")</f>
        <v>Citrus</v>
      </c>
    </row>
    <row r="2517">
      <c r="A2517" s="3" t="str">
        <f>IFERROR(__xludf.DUMMYFUNCTION("""COMPUTED_VALUE"""),"city-coin")</f>
        <v>city-coin</v>
      </c>
      <c r="B2517" s="3" t="str">
        <f>IFERROR(__xludf.DUMMYFUNCTION("""COMPUTED_VALUE"""),"city")</f>
        <v>city</v>
      </c>
      <c r="C2517" s="3" t="str">
        <f>IFERROR(__xludf.DUMMYFUNCTION("""COMPUTED_VALUE"""),"City Coin")</f>
        <v>City Coin</v>
      </c>
    </row>
    <row r="2518">
      <c r="A2518" s="3" t="str">
        <f>IFERROR(__xludf.DUMMYFUNCTION("""COMPUTED_VALUE"""),"city-of-dream")</f>
        <v>city-of-dream</v>
      </c>
      <c r="B2518" s="3" t="str">
        <f>IFERROR(__xludf.DUMMYFUNCTION("""COMPUTED_VALUE"""),"cod")</f>
        <v>cod</v>
      </c>
      <c r="C2518" s="3" t="str">
        <f>IFERROR(__xludf.DUMMYFUNCTION("""COMPUTED_VALUE"""),"City of Dream")</f>
        <v>City of Dream</v>
      </c>
    </row>
    <row r="2519">
      <c r="A2519" s="3" t="str">
        <f>IFERROR(__xludf.DUMMYFUNCTION("""COMPUTED_VALUE"""),"citystates-medieval")</f>
        <v>citystates-medieval</v>
      </c>
      <c r="B2519" s="3" t="str">
        <f>IFERROR(__xludf.DUMMYFUNCTION("""COMPUTED_VALUE"""),"csm")</f>
        <v>csm</v>
      </c>
      <c r="C2519" s="3" t="str">
        <f>IFERROR(__xludf.DUMMYFUNCTION("""COMPUTED_VALUE"""),"CityStates Medieval")</f>
        <v>CityStates Medieval</v>
      </c>
    </row>
    <row r="2520">
      <c r="A2520" s="3" t="str">
        <f>IFERROR(__xludf.DUMMYFUNCTION("""COMPUTED_VALUE"""),"city-tycoon-games")</f>
        <v>city-tycoon-games</v>
      </c>
      <c r="B2520" s="3" t="str">
        <f>IFERROR(__xludf.DUMMYFUNCTION("""COMPUTED_VALUE"""),"ctg")</f>
        <v>ctg</v>
      </c>
      <c r="C2520" s="3" t="str">
        <f>IFERROR(__xludf.DUMMYFUNCTION("""COMPUTED_VALUE"""),"City Tycoon Games")</f>
        <v>City Tycoon Games</v>
      </c>
    </row>
    <row r="2521">
      <c r="A2521" s="3" t="str">
        <f>IFERROR(__xludf.DUMMYFUNCTION("""COMPUTED_VALUE"""),"civfund-stone")</f>
        <v>civfund-stone</v>
      </c>
      <c r="B2521" s="3" t="str">
        <f>IFERROR(__xludf.DUMMYFUNCTION("""COMPUTED_VALUE"""),"0ne")</f>
        <v>0ne</v>
      </c>
      <c r="C2521" s="3" t="str">
        <f>IFERROR(__xludf.DUMMYFUNCTION("""COMPUTED_VALUE"""),"Civfund Stone")</f>
        <v>Civfund Stone</v>
      </c>
    </row>
    <row r="2522">
      <c r="A2522" s="3" t="str">
        <f>IFERROR(__xludf.DUMMYFUNCTION("""COMPUTED_VALUE"""),"civic")</f>
        <v>civic</v>
      </c>
      <c r="B2522" s="3" t="str">
        <f>IFERROR(__xludf.DUMMYFUNCTION("""COMPUTED_VALUE"""),"cvc")</f>
        <v>cvc</v>
      </c>
      <c r="C2522" s="3" t="str">
        <f>IFERROR(__xludf.DUMMYFUNCTION("""COMPUTED_VALUE"""),"Civic")</f>
        <v>Civic</v>
      </c>
    </row>
    <row r="2523">
      <c r="A2523" s="3" t="str">
        <f>IFERROR(__xludf.DUMMYFUNCTION("""COMPUTED_VALUE"""),"civic-power")</f>
        <v>civic-power</v>
      </c>
      <c r="B2523" s="3" t="str">
        <f>IFERROR(__xludf.DUMMYFUNCTION("""COMPUTED_VALUE"""),"power")</f>
        <v>power</v>
      </c>
      <c r="C2523" s="3" t="str">
        <f>IFERROR(__xludf.DUMMYFUNCTION("""COMPUTED_VALUE"""),"Civic Power")</f>
        <v>Civic Power</v>
      </c>
    </row>
    <row r="2524">
      <c r="A2524" s="3" t="str">
        <f>IFERROR(__xludf.DUMMYFUNCTION("""COMPUTED_VALUE"""),"civilization")</f>
        <v>civilization</v>
      </c>
      <c r="B2524" s="3" t="str">
        <f>IFERROR(__xludf.DUMMYFUNCTION("""COMPUTED_VALUE"""),"civ")</f>
        <v>civ</v>
      </c>
      <c r="C2524" s="3" t="str">
        <f>IFERROR(__xludf.DUMMYFUNCTION("""COMPUTED_VALUE"""),"Civilization")</f>
        <v>Civilization</v>
      </c>
    </row>
    <row r="2525">
      <c r="A2525" s="3" t="str">
        <f>IFERROR(__xludf.DUMMYFUNCTION("""COMPUTED_VALUE"""),"claimswap")</f>
        <v>claimswap</v>
      </c>
      <c r="B2525" s="3" t="str">
        <f>IFERROR(__xludf.DUMMYFUNCTION("""COMPUTED_VALUE"""),"cla")</f>
        <v>cla</v>
      </c>
      <c r="C2525" s="3" t="str">
        <f>IFERROR(__xludf.DUMMYFUNCTION("""COMPUTED_VALUE"""),"ClaimSwap")</f>
        <v>ClaimSwap</v>
      </c>
    </row>
    <row r="2526">
      <c r="A2526" s="3" t="str">
        <f>IFERROR(__xludf.DUMMYFUNCTION("""COMPUTED_VALUE"""),"clams")</f>
        <v>clams</v>
      </c>
      <c r="B2526" s="3" t="str">
        <f>IFERROR(__xludf.DUMMYFUNCTION("""COMPUTED_VALUE"""),"clam")</f>
        <v>clam</v>
      </c>
      <c r="C2526" s="3" t="str">
        <f>IFERROR(__xludf.DUMMYFUNCTION("""COMPUTED_VALUE"""),"Clams")</f>
        <v>Clams</v>
      </c>
    </row>
    <row r="2527">
      <c r="A2527" s="3" t="str">
        <f>IFERROR(__xludf.DUMMYFUNCTION("""COMPUTED_VALUE"""),"clash")</f>
        <v>clash</v>
      </c>
      <c r="B2527" s="3" t="str">
        <f>IFERROR(__xludf.DUMMYFUNCTION("""COMPUTED_VALUE"""),"clh")</f>
        <v>clh</v>
      </c>
      <c r="C2527" s="3" t="str">
        <f>IFERROR(__xludf.DUMMYFUNCTION("""COMPUTED_VALUE"""),"Clash")</f>
        <v>Clash</v>
      </c>
    </row>
    <row r="2528">
      <c r="A2528" s="3" t="str">
        <f>IFERROR(__xludf.DUMMYFUNCTION("""COMPUTED_VALUE"""),"clash-of-cars")</f>
        <v>clash-of-cars</v>
      </c>
      <c r="B2528" s="3" t="str">
        <f>IFERROR(__xludf.DUMMYFUNCTION("""COMPUTED_VALUE"""),"clash")</f>
        <v>clash</v>
      </c>
      <c r="C2528" s="3" t="str">
        <f>IFERROR(__xludf.DUMMYFUNCTION("""COMPUTED_VALUE"""),"Clash Of Cars")</f>
        <v>Clash Of Cars</v>
      </c>
    </row>
    <row r="2529">
      <c r="A2529" s="3" t="str">
        <f>IFERROR(__xludf.DUMMYFUNCTION("""COMPUTED_VALUE"""),"clash-of-lilliput")</f>
        <v>clash-of-lilliput</v>
      </c>
      <c r="B2529" s="3" t="str">
        <f>IFERROR(__xludf.DUMMYFUNCTION("""COMPUTED_VALUE"""),"col")</f>
        <v>col</v>
      </c>
      <c r="C2529" s="3" t="str">
        <f>IFERROR(__xludf.DUMMYFUNCTION("""COMPUTED_VALUE"""),"Clash of Lilliput")</f>
        <v>Clash of Lilliput</v>
      </c>
    </row>
    <row r="2530">
      <c r="A2530" s="3" t="str">
        <f>IFERROR(__xludf.DUMMYFUNCTION("""COMPUTED_VALUE"""),"class-coin")</f>
        <v>class-coin</v>
      </c>
      <c r="B2530" s="3" t="str">
        <f>IFERROR(__xludf.DUMMYFUNCTION("""COMPUTED_VALUE"""),"class")</f>
        <v>class</v>
      </c>
      <c r="C2530" s="3" t="str">
        <f>IFERROR(__xludf.DUMMYFUNCTION("""COMPUTED_VALUE"""),"Class Coin")</f>
        <v>Class Coin</v>
      </c>
    </row>
    <row r="2531">
      <c r="A2531" s="3" t="str">
        <f>IFERROR(__xludf.DUMMYFUNCTION("""COMPUTED_VALUE"""),"classicbitcoin")</f>
        <v>classicbitcoin</v>
      </c>
      <c r="B2531" s="3" t="str">
        <f>IFERROR(__xludf.DUMMYFUNCTION("""COMPUTED_VALUE"""),"cbtc")</f>
        <v>cbtc</v>
      </c>
      <c r="C2531" s="3" t="str">
        <f>IFERROR(__xludf.DUMMYFUNCTION("""COMPUTED_VALUE"""),"ClassicBitcoin")</f>
        <v>ClassicBitcoin</v>
      </c>
    </row>
    <row r="2532">
      <c r="A2532" s="3" t="str">
        <f>IFERROR(__xludf.DUMMYFUNCTION("""COMPUTED_VALUE"""),"classicdoge")</f>
        <v>classicdoge</v>
      </c>
      <c r="B2532" s="3" t="str">
        <f>IFERROR(__xludf.DUMMYFUNCTION("""COMPUTED_VALUE"""),"xdoge")</f>
        <v>xdoge</v>
      </c>
      <c r="C2532" s="3" t="str">
        <f>IFERROR(__xludf.DUMMYFUNCTION("""COMPUTED_VALUE"""),"ClassicDoge")</f>
        <v>ClassicDoge</v>
      </c>
    </row>
    <row r="2533">
      <c r="A2533" s="3" t="str">
        <f>IFERROR(__xludf.DUMMYFUNCTION("""COMPUTED_VALUE"""),"classzz")</f>
        <v>classzz</v>
      </c>
      <c r="B2533" s="3" t="str">
        <f>IFERROR(__xludf.DUMMYFUNCTION("""COMPUTED_VALUE"""),"czz")</f>
        <v>czz</v>
      </c>
      <c r="C2533" s="3" t="str">
        <f>IFERROR(__xludf.DUMMYFUNCTION("""COMPUTED_VALUE"""),"ClassZZ")</f>
        <v>ClassZZ</v>
      </c>
    </row>
    <row r="2534">
      <c r="A2534" s="3" t="str">
        <f>IFERROR(__xludf.DUMMYFUNCTION("""COMPUTED_VALUE"""),"clay-nation")</f>
        <v>clay-nation</v>
      </c>
      <c r="B2534" s="3" t="str">
        <f>IFERROR(__xludf.DUMMYFUNCTION("""COMPUTED_VALUE"""),"clay")</f>
        <v>clay</v>
      </c>
      <c r="C2534" s="3" t="str">
        <f>IFERROR(__xludf.DUMMYFUNCTION("""COMPUTED_VALUE"""),"Clay Nation")</f>
        <v>Clay Nation</v>
      </c>
    </row>
    <row r="2535">
      <c r="A2535" s="3" t="str">
        <f>IFERROR(__xludf.DUMMYFUNCTION("""COMPUTED_VALUE"""),"cleancarbon")</f>
        <v>cleancarbon</v>
      </c>
      <c r="B2535" s="3" t="str">
        <f>IFERROR(__xludf.DUMMYFUNCTION("""COMPUTED_VALUE"""),"carbo")</f>
        <v>carbo</v>
      </c>
      <c r="C2535" s="3" t="str">
        <f>IFERROR(__xludf.DUMMYFUNCTION("""COMPUTED_VALUE"""),"CleanCarbon")</f>
        <v>CleanCarbon</v>
      </c>
    </row>
    <row r="2536">
      <c r="A2536" s="3" t="str">
        <f>IFERROR(__xludf.DUMMYFUNCTION("""COMPUTED_VALUE"""),"cleanocean")</f>
        <v>cleanocean</v>
      </c>
      <c r="B2536" s="3" t="str">
        <f>IFERROR(__xludf.DUMMYFUNCTION("""COMPUTED_VALUE"""),"clean")</f>
        <v>clean</v>
      </c>
      <c r="C2536" s="3" t="str">
        <f>IFERROR(__xludf.DUMMYFUNCTION("""COMPUTED_VALUE"""),"CleanOcean")</f>
        <v>CleanOcean</v>
      </c>
    </row>
    <row r="2537">
      <c r="A2537" s="3" t="str">
        <f>IFERROR(__xludf.DUMMYFUNCTION("""COMPUTED_VALUE"""),"clearcryptos")</f>
        <v>clearcryptos</v>
      </c>
      <c r="B2537" s="3" t="str">
        <f>IFERROR(__xludf.DUMMYFUNCTION("""COMPUTED_VALUE"""),"ccx")</f>
        <v>ccx</v>
      </c>
      <c r="C2537" s="3" t="str">
        <f>IFERROR(__xludf.DUMMYFUNCTION("""COMPUTED_VALUE"""),"ClearCryptos")</f>
        <v>ClearCryptos</v>
      </c>
    </row>
    <row r="2538">
      <c r="A2538" s="3" t="str">
        <f>IFERROR(__xludf.DUMMYFUNCTION("""COMPUTED_VALUE"""),"cleardao")</f>
        <v>cleardao</v>
      </c>
      <c r="B2538" s="3" t="str">
        <f>IFERROR(__xludf.DUMMYFUNCTION("""COMPUTED_VALUE"""),"clh")</f>
        <v>clh</v>
      </c>
      <c r="C2538" s="3" t="str">
        <f>IFERROR(__xludf.DUMMYFUNCTION("""COMPUTED_VALUE"""),"ClearDAO")</f>
        <v>ClearDAO</v>
      </c>
    </row>
    <row r="2539">
      <c r="A2539" s="3" t="str">
        <f>IFERROR(__xludf.DUMMYFUNCTION("""COMPUTED_VALUE"""),"clearpoll")</f>
        <v>clearpoll</v>
      </c>
      <c r="B2539" s="3" t="str">
        <f>IFERROR(__xludf.DUMMYFUNCTION("""COMPUTED_VALUE"""),"poll")</f>
        <v>poll</v>
      </c>
      <c r="C2539" s="3" t="str">
        <f>IFERROR(__xludf.DUMMYFUNCTION("""COMPUTED_VALUE"""),"ClearPoll")</f>
        <v>ClearPoll</v>
      </c>
    </row>
    <row r="2540">
      <c r="A2540" s="3" t="str">
        <f>IFERROR(__xludf.DUMMYFUNCTION("""COMPUTED_VALUE"""),"clearpool")</f>
        <v>clearpool</v>
      </c>
      <c r="B2540" s="3" t="str">
        <f>IFERROR(__xludf.DUMMYFUNCTION("""COMPUTED_VALUE"""),"cpool")</f>
        <v>cpool</v>
      </c>
      <c r="C2540" s="3" t="str">
        <f>IFERROR(__xludf.DUMMYFUNCTION("""COMPUTED_VALUE"""),"Clearpool")</f>
        <v>Clearpool</v>
      </c>
    </row>
    <row r="2541">
      <c r="A2541" s="3" t="str">
        <f>IFERROR(__xludf.DUMMYFUNCTION("""COMPUTED_VALUE"""),"clear-water")</f>
        <v>clear-water</v>
      </c>
      <c r="B2541" s="3" t="str">
        <f>IFERROR(__xludf.DUMMYFUNCTION("""COMPUTED_VALUE"""),"$clear")</f>
        <v>$clear</v>
      </c>
      <c r="C2541" s="3" t="str">
        <f>IFERROR(__xludf.DUMMYFUNCTION("""COMPUTED_VALUE"""),"Clear Water")</f>
        <v>Clear Water</v>
      </c>
    </row>
    <row r="2542">
      <c r="A2542" s="3" t="str">
        <f>IFERROR(__xludf.DUMMYFUNCTION("""COMPUTED_VALUE"""),"cleeps")</f>
        <v>cleeps</v>
      </c>
      <c r="B2542" s="3" t="str">
        <f>IFERROR(__xludf.DUMMYFUNCTION("""COMPUTED_VALUE"""),"clps")</f>
        <v>clps</v>
      </c>
      <c r="C2542" s="3" t="str">
        <f>IFERROR(__xludf.DUMMYFUNCTION("""COMPUTED_VALUE"""),"Cleeps")</f>
        <v>Cleeps</v>
      </c>
    </row>
    <row r="2543">
      <c r="A2543" s="3" t="str">
        <f>IFERROR(__xludf.DUMMYFUNCTION("""COMPUTED_VALUE"""),"clever-cvx")</f>
        <v>clever-cvx</v>
      </c>
      <c r="B2543" s="3" t="str">
        <f>IFERROR(__xludf.DUMMYFUNCTION("""COMPUTED_VALUE"""),"clevcvx")</f>
        <v>clevcvx</v>
      </c>
      <c r="C2543" s="3" t="str">
        <f>IFERROR(__xludf.DUMMYFUNCTION("""COMPUTED_VALUE"""),"CLever CVX")</f>
        <v>CLever CVX</v>
      </c>
    </row>
    <row r="2544">
      <c r="A2544" s="3" t="str">
        <f>IFERROR(__xludf.DUMMYFUNCTION("""COMPUTED_VALUE"""),"clever-token")</f>
        <v>clever-token</v>
      </c>
      <c r="B2544" s="3" t="str">
        <f>IFERROR(__xludf.DUMMYFUNCTION("""COMPUTED_VALUE"""),"clev")</f>
        <v>clev</v>
      </c>
      <c r="C2544" s="3" t="str">
        <f>IFERROR(__xludf.DUMMYFUNCTION("""COMPUTED_VALUE"""),"CLever")</f>
        <v>CLever</v>
      </c>
    </row>
    <row r="2545">
      <c r="A2545" s="3" t="str">
        <f>IFERROR(__xludf.DUMMYFUNCTION("""COMPUTED_VALUE"""),"click")</f>
        <v>click</v>
      </c>
      <c r="B2545" s="3" t="str">
        <f>IFERROR(__xludf.DUMMYFUNCTION("""COMPUTED_VALUE"""),"clk")</f>
        <v>clk</v>
      </c>
      <c r="C2545" s="3" t="str">
        <f>IFERROR(__xludf.DUMMYFUNCTION("""COMPUTED_VALUE"""),"Click")</f>
        <v>Click</v>
      </c>
    </row>
    <row r="2546">
      <c r="A2546" s="3" t="str">
        <f>IFERROR(__xludf.DUMMYFUNCTION("""COMPUTED_VALUE"""),"clientelecoin")</f>
        <v>clientelecoin</v>
      </c>
      <c r="B2546" s="3" t="str">
        <f>IFERROR(__xludf.DUMMYFUNCTION("""COMPUTED_VALUE"""),"clt")</f>
        <v>clt</v>
      </c>
      <c r="C2546" s="3" t="str">
        <f>IFERROR(__xludf.DUMMYFUNCTION("""COMPUTED_VALUE"""),"ClienteleCoin")</f>
        <v>ClienteleCoin</v>
      </c>
    </row>
    <row r="2547">
      <c r="A2547" s="3" t="str">
        <f>IFERROR(__xludf.DUMMYFUNCTION("""COMPUTED_VALUE"""),"clifford-inu")</f>
        <v>clifford-inu</v>
      </c>
      <c r="B2547" s="3" t="str">
        <f>IFERROR(__xludf.DUMMYFUNCTION("""COMPUTED_VALUE"""),"cliff")</f>
        <v>cliff</v>
      </c>
      <c r="C2547" s="3" t="str">
        <f>IFERROR(__xludf.DUMMYFUNCTION("""COMPUTED_VALUE"""),"Clifford Inu")</f>
        <v>Clifford Inu</v>
      </c>
    </row>
    <row r="2548">
      <c r="A2548" s="3" t="str">
        <f>IFERROR(__xludf.DUMMYFUNCTION("""COMPUTED_VALUE"""),"climb-token-finance")</f>
        <v>climb-token-finance</v>
      </c>
      <c r="B2548" s="3" t="str">
        <f>IFERROR(__xludf.DUMMYFUNCTION("""COMPUTED_VALUE"""),"climb")</f>
        <v>climb</v>
      </c>
      <c r="C2548" s="3" t="str">
        <f>IFERROR(__xludf.DUMMYFUNCTION("""COMPUTED_VALUE"""),"Climb Token Finance")</f>
        <v>Climb Token Finance</v>
      </c>
    </row>
    <row r="2549">
      <c r="A2549" s="3" t="str">
        <f>IFERROR(__xludf.DUMMYFUNCTION("""COMPUTED_VALUE"""),"clintex-cti")</f>
        <v>clintex-cti</v>
      </c>
      <c r="B2549" s="3" t="str">
        <f>IFERROR(__xludf.DUMMYFUNCTION("""COMPUTED_VALUE"""),"cti")</f>
        <v>cti</v>
      </c>
      <c r="C2549" s="3" t="str">
        <f>IFERROR(__xludf.DUMMYFUNCTION("""COMPUTED_VALUE"""),"ClinTex CTi")</f>
        <v>ClinTex CTi</v>
      </c>
    </row>
    <row r="2550">
      <c r="A2550" s="3" t="str">
        <f>IFERROR(__xludf.DUMMYFUNCTION("""COMPUTED_VALUE"""),"cliq")</f>
        <v>cliq</v>
      </c>
      <c r="B2550" s="3" t="str">
        <f>IFERROR(__xludf.DUMMYFUNCTION("""COMPUTED_VALUE"""),"ct")</f>
        <v>ct</v>
      </c>
      <c r="C2550" s="3" t="str">
        <f>IFERROR(__xludf.DUMMYFUNCTION("""COMPUTED_VALUE"""),"CLIQ")</f>
        <v>CLIQ</v>
      </c>
    </row>
    <row r="2551">
      <c r="A2551" s="3" t="str">
        <f>IFERROR(__xludf.DUMMYFUNCTION("""COMPUTED_VALUE"""),"cloakcoin")</f>
        <v>cloakcoin</v>
      </c>
      <c r="B2551" s="3" t="str">
        <f>IFERROR(__xludf.DUMMYFUNCTION("""COMPUTED_VALUE"""),"cloak")</f>
        <v>cloak</v>
      </c>
      <c r="C2551" s="3" t="str">
        <f>IFERROR(__xludf.DUMMYFUNCTION("""COMPUTED_VALUE"""),"Cloakcoin")</f>
        <v>Cloakcoin</v>
      </c>
    </row>
    <row r="2552">
      <c r="A2552" s="3" t="str">
        <f>IFERROR(__xludf.DUMMYFUNCTION("""COMPUTED_VALUE"""),"cloak-coin")</f>
        <v>cloak-coin</v>
      </c>
      <c r="B2552" s="3" t="str">
        <f>IFERROR(__xludf.DUMMYFUNCTION("""COMPUTED_VALUE"""),"cloak")</f>
        <v>cloak</v>
      </c>
      <c r="C2552" s="3" t="str">
        <f>IFERROR(__xludf.DUMMYFUNCTION("""COMPUTED_VALUE"""),"Cloak Coin")</f>
        <v>Cloak Coin</v>
      </c>
    </row>
    <row r="2553">
      <c r="A2553" s="3" t="str">
        <f>IFERROR(__xludf.DUMMYFUNCTION("""COMPUTED_VALUE"""),"clock-24")</f>
        <v>clock-24</v>
      </c>
      <c r="B2553" s="3" t="str">
        <f>IFERROR(__xludf.DUMMYFUNCTION("""COMPUTED_VALUE"""),"c24")</f>
        <v>c24</v>
      </c>
      <c r="C2553" s="3" t="str">
        <f>IFERROR(__xludf.DUMMYFUNCTION("""COMPUTED_VALUE"""),"Clock 24")</f>
        <v>Clock 24</v>
      </c>
    </row>
    <row r="2554">
      <c r="A2554" s="3" t="str">
        <f>IFERROR(__xludf.DUMMYFUNCTION("""COMPUTED_VALUE"""),"cloid")</f>
        <v>cloid</v>
      </c>
      <c r="B2554" s="3" t="str">
        <f>IFERROR(__xludf.DUMMYFUNCTION("""COMPUTED_VALUE"""),"cgt")</f>
        <v>cgt</v>
      </c>
      <c r="C2554" s="3" t="str">
        <f>IFERROR(__xludf.DUMMYFUNCTION("""COMPUTED_VALUE"""),"CLOID")</f>
        <v>CLOID</v>
      </c>
    </row>
    <row r="2555">
      <c r="A2555" s="3" t="str">
        <f>IFERROR(__xludf.DUMMYFUNCTION("""COMPUTED_VALUE"""),"cloudbric")</f>
        <v>cloudbric</v>
      </c>
      <c r="B2555" s="3" t="str">
        <f>IFERROR(__xludf.DUMMYFUNCTION("""COMPUTED_VALUE"""),"clbk")</f>
        <v>clbk</v>
      </c>
      <c r="C2555" s="3" t="str">
        <f>IFERROR(__xludf.DUMMYFUNCTION("""COMPUTED_VALUE"""),"Cloudbric")</f>
        <v>Cloudbric</v>
      </c>
    </row>
    <row r="2556">
      <c r="A2556" s="3" t="str">
        <f>IFERROR(__xludf.DUMMYFUNCTION("""COMPUTED_VALUE"""),"cloudchat")</f>
        <v>cloudchat</v>
      </c>
      <c r="B2556" s="3" t="str">
        <f>IFERROR(__xludf.DUMMYFUNCTION("""COMPUTED_VALUE"""),"cc")</f>
        <v>cc</v>
      </c>
      <c r="C2556" s="3" t="str">
        <f>IFERROR(__xludf.DUMMYFUNCTION("""COMPUTED_VALUE"""),"CloudChat")</f>
        <v>CloudChat</v>
      </c>
    </row>
    <row r="2557">
      <c r="A2557" s="3" t="str">
        <f>IFERROR(__xludf.DUMMYFUNCTION("""COMPUTED_VALUE"""),"cloudcoin")</f>
        <v>cloudcoin</v>
      </c>
      <c r="B2557" s="3" t="str">
        <f>IFERROR(__xludf.DUMMYFUNCTION("""COMPUTED_VALUE"""),"cc")</f>
        <v>cc</v>
      </c>
      <c r="C2557" s="3" t="str">
        <f>IFERROR(__xludf.DUMMYFUNCTION("""COMPUTED_VALUE"""),"CloudCoin")</f>
        <v>CloudCoin</v>
      </c>
    </row>
    <row r="2558">
      <c r="A2558" s="3" t="str">
        <f>IFERROR(__xludf.DUMMYFUNCTION("""COMPUTED_VALUE"""),"cloudname")</f>
        <v>cloudname</v>
      </c>
      <c r="B2558" s="3" t="str">
        <f>IFERROR(__xludf.DUMMYFUNCTION("""COMPUTED_VALUE"""),"cname")</f>
        <v>cname</v>
      </c>
      <c r="C2558" s="3" t="str">
        <f>IFERROR(__xludf.DUMMYFUNCTION("""COMPUTED_VALUE"""),"Cloudname")</f>
        <v>Cloudname</v>
      </c>
    </row>
    <row r="2559">
      <c r="A2559" s="3" t="str">
        <f>IFERROR(__xludf.DUMMYFUNCTION("""COMPUTED_VALUE"""),"cloud-protocol")</f>
        <v>cloud-protocol</v>
      </c>
      <c r="B2559" s="3" t="str">
        <f>IFERROR(__xludf.DUMMYFUNCTION("""COMPUTED_VALUE"""),"cpro")</f>
        <v>cpro</v>
      </c>
      <c r="C2559" s="3" t="str">
        <f>IFERROR(__xludf.DUMMYFUNCTION("""COMPUTED_VALUE"""),"Cloud Protocol")</f>
        <v>Cloud Protocol</v>
      </c>
    </row>
    <row r="2560">
      <c r="A2560" s="3" t="str">
        <f>IFERROR(__xludf.DUMMYFUNCTION("""COMPUTED_VALUE"""),"cloudtx")</f>
        <v>cloudtx</v>
      </c>
      <c r="B2560" s="3" t="str">
        <f>IFERROR(__xludf.DUMMYFUNCTION("""COMPUTED_VALUE"""),"cloud")</f>
        <v>cloud</v>
      </c>
      <c r="C2560" s="3" t="str">
        <f>IFERROR(__xludf.DUMMYFUNCTION("""COMPUTED_VALUE"""),"CloudTx")</f>
        <v>CloudTx</v>
      </c>
    </row>
    <row r="2561">
      <c r="A2561" s="3" t="str">
        <f>IFERROR(__xludf.DUMMYFUNCTION("""COMPUTED_VALUE"""),"cloutcontracts")</f>
        <v>cloutcontracts</v>
      </c>
      <c r="B2561" s="3" t="str">
        <f>IFERROR(__xludf.DUMMYFUNCTION("""COMPUTED_VALUE"""),"ccs")</f>
        <v>ccs</v>
      </c>
      <c r="C2561" s="3" t="str">
        <f>IFERROR(__xludf.DUMMYFUNCTION("""COMPUTED_VALUE"""),"CloutContracts")</f>
        <v>CloutContracts</v>
      </c>
    </row>
    <row r="2562">
      <c r="A2562" s="3" t="str">
        <f>IFERROR(__xludf.DUMMYFUNCTION("""COMPUTED_VALUE"""),"clover")</f>
        <v>clover</v>
      </c>
      <c r="B2562" s="3" t="str">
        <f>IFERROR(__xludf.DUMMYFUNCTION("""COMPUTED_VALUE"""),"clv")</f>
        <v>clv</v>
      </c>
      <c r="C2562" s="3" t="str">
        <f>IFERROR(__xludf.DUMMYFUNCTION("""COMPUTED_VALUE"""),"Clover")</f>
        <v>Clover</v>
      </c>
    </row>
    <row r="2563">
      <c r="A2563" s="3" t="str">
        <f>IFERROR(__xludf.DUMMYFUNCTION("""COMPUTED_VALUE"""),"clover-finance")</f>
        <v>clover-finance</v>
      </c>
      <c r="B2563" s="3" t="str">
        <f>IFERROR(__xludf.DUMMYFUNCTION("""COMPUTED_VALUE"""),"clv")</f>
        <v>clv</v>
      </c>
      <c r="C2563" s="3" t="str">
        <f>IFERROR(__xludf.DUMMYFUNCTION("""COMPUTED_VALUE"""),"Clover Finance")</f>
        <v>Clover Finance</v>
      </c>
    </row>
    <row r="2564">
      <c r="A2564" s="3" t="str">
        <f>IFERROR(__xludf.DUMMYFUNCTION("""COMPUTED_VALUE"""),"club-atletico-independiente")</f>
        <v>club-atletico-independiente</v>
      </c>
      <c r="B2564" s="3" t="str">
        <f>IFERROR(__xludf.DUMMYFUNCTION("""COMPUTED_VALUE"""),"cai")</f>
        <v>cai</v>
      </c>
      <c r="C2564" s="3" t="str">
        <f>IFERROR(__xludf.DUMMYFUNCTION("""COMPUTED_VALUE"""),"Club Atletico Independiente Fan Token")</f>
        <v>Club Atletico Independiente Fan Token</v>
      </c>
    </row>
    <row r="2565">
      <c r="A2565" s="3" t="str">
        <f>IFERROR(__xludf.DUMMYFUNCTION("""COMPUTED_VALUE"""),"club-donkey")</f>
        <v>club-donkey</v>
      </c>
      <c r="B2565" s="3" t="str">
        <f>IFERROR(__xludf.DUMMYFUNCTION("""COMPUTED_VALUE"""),"cdonk")</f>
        <v>cdonk</v>
      </c>
      <c r="C2565" s="3" t="str">
        <f>IFERROR(__xludf.DUMMYFUNCTION("""COMPUTED_VALUE"""),"Club Donkey")</f>
        <v>Club Donkey</v>
      </c>
    </row>
    <row r="2566">
      <c r="A2566" s="3" t="str">
        <f>IFERROR(__xludf.DUMMYFUNCTION("""COMPUTED_VALUE"""),"clube-atletico-mineiro-fan-token")</f>
        <v>clube-atletico-mineiro-fan-token</v>
      </c>
      <c r="B2566" s="3" t="str">
        <f>IFERROR(__xludf.DUMMYFUNCTION("""COMPUTED_VALUE"""),"galo")</f>
        <v>galo</v>
      </c>
      <c r="C2566" s="3" t="str">
        <f>IFERROR(__xludf.DUMMYFUNCTION("""COMPUTED_VALUE"""),"Clube Atlético Mineiro Fan Token")</f>
        <v>Clube Atlético Mineiro Fan Token</v>
      </c>
    </row>
    <row r="2567">
      <c r="A2567" s="3" t="str">
        <f>IFERROR(__xludf.DUMMYFUNCTION("""COMPUTED_VALUE"""),"clubrare-empower")</f>
        <v>clubrare-empower</v>
      </c>
      <c r="B2567" s="3" t="str">
        <f>IFERROR(__xludf.DUMMYFUNCTION("""COMPUTED_VALUE"""),"mpwr")</f>
        <v>mpwr</v>
      </c>
      <c r="C2567" s="3" t="str">
        <f>IFERROR(__xludf.DUMMYFUNCTION("""COMPUTED_VALUE"""),"ClubRare Empower")</f>
        <v>ClubRare Empower</v>
      </c>
    </row>
    <row r="2568">
      <c r="A2568" s="3" t="str">
        <f>IFERROR(__xludf.DUMMYFUNCTION("""COMPUTED_VALUE"""),"club-santos-laguna-fan-token")</f>
        <v>club-santos-laguna-fan-token</v>
      </c>
      <c r="B2568" s="3" t="str">
        <f>IFERROR(__xludf.DUMMYFUNCTION("""COMPUTED_VALUE"""),"san")</f>
        <v>san</v>
      </c>
      <c r="C2568" s="3" t="str">
        <f>IFERROR(__xludf.DUMMYFUNCTION("""COMPUTED_VALUE"""),"Club Santos Laguna Fan Token")</f>
        <v>Club Santos Laguna Fan Token</v>
      </c>
    </row>
    <row r="2569">
      <c r="A2569" s="3" t="str">
        <f>IFERROR(__xludf.DUMMYFUNCTION("""COMPUTED_VALUE"""),"clucoin")</f>
        <v>clucoin</v>
      </c>
      <c r="B2569" s="3" t="str">
        <f>IFERROR(__xludf.DUMMYFUNCTION("""COMPUTED_VALUE"""),"clu")</f>
        <v>clu</v>
      </c>
      <c r="C2569" s="3" t="str">
        <f>IFERROR(__xludf.DUMMYFUNCTION("""COMPUTED_VALUE"""),"CluCoin")</f>
        <v>CluCoin</v>
      </c>
    </row>
    <row r="2570">
      <c r="A2570" s="3" t="str">
        <f>IFERROR(__xludf.DUMMYFUNCTION("""COMPUTED_VALUE"""),"clytie")</f>
        <v>clytie</v>
      </c>
      <c r="B2570" s="3" t="str">
        <f>IFERROR(__xludf.DUMMYFUNCTION("""COMPUTED_VALUE"""),"cly")</f>
        <v>cly</v>
      </c>
      <c r="C2570" s="3" t="str">
        <f>IFERROR(__xludf.DUMMYFUNCTION("""COMPUTED_VALUE"""),"Clytie")</f>
        <v>Clytie</v>
      </c>
    </row>
    <row r="2571">
      <c r="A2571" s="3" t="str">
        <f>IFERROR(__xludf.DUMMYFUNCTION("""COMPUTED_VALUE"""),"cmc-coin")</f>
        <v>cmc-coin</v>
      </c>
      <c r="B2571" s="3" t="str">
        <f>IFERROR(__xludf.DUMMYFUNCTION("""COMPUTED_VALUE"""),"cmcc")</f>
        <v>cmcc</v>
      </c>
      <c r="C2571" s="3" t="str">
        <f>IFERROR(__xludf.DUMMYFUNCTION("""COMPUTED_VALUE"""),"CMC Coin")</f>
        <v>CMC Coin</v>
      </c>
    </row>
    <row r="2572">
      <c r="A2572" s="3" t="str">
        <f>IFERROR(__xludf.DUMMYFUNCTION("""COMPUTED_VALUE"""),"cneta")</f>
        <v>cneta</v>
      </c>
      <c r="B2572" s="3" t="str">
        <f>IFERROR(__xludf.DUMMYFUNCTION("""COMPUTED_VALUE"""),"cneta")</f>
        <v>cneta</v>
      </c>
      <c r="C2572" s="3" t="str">
        <f>IFERROR(__xludf.DUMMYFUNCTION("""COMPUTED_VALUE"""),"cNETA")</f>
        <v>cNETA</v>
      </c>
    </row>
    <row r="2573">
      <c r="A2573" s="3" t="str">
        <f>IFERROR(__xludf.DUMMYFUNCTION("""COMPUTED_VALUE"""),"cng-casino")</f>
        <v>cng-casino</v>
      </c>
      <c r="B2573" s="3" t="str">
        <f>IFERROR(__xludf.DUMMYFUNCTION("""COMPUTED_VALUE"""),"cng")</f>
        <v>cng</v>
      </c>
      <c r="C2573" s="3" t="str">
        <f>IFERROR(__xludf.DUMMYFUNCTION("""COMPUTED_VALUE"""),"CNG Casino")</f>
        <v>CNG Casino</v>
      </c>
    </row>
    <row r="2574">
      <c r="A2574" s="3" t="str">
        <f>IFERROR(__xludf.DUMMYFUNCTION("""COMPUTED_VALUE"""),"cnh-tether")</f>
        <v>cnh-tether</v>
      </c>
      <c r="B2574" s="3" t="str">
        <f>IFERROR(__xludf.DUMMYFUNCTION("""COMPUTED_VALUE"""),"cnht")</f>
        <v>cnht</v>
      </c>
      <c r="C2574" s="3" t="str">
        <f>IFERROR(__xludf.DUMMYFUNCTION("""COMPUTED_VALUE"""),"CNH Tether")</f>
        <v>CNH Tether</v>
      </c>
    </row>
    <row r="2575">
      <c r="A2575" s="3" t="str">
        <f>IFERROR(__xludf.DUMMYFUNCTION("""COMPUTED_VALUE"""),"cnl-token")</f>
        <v>cnl-token</v>
      </c>
      <c r="B2575" s="3" t="str">
        <f>IFERROR(__xludf.DUMMYFUNCTION("""COMPUTED_VALUE"""),"cnl")</f>
        <v>cnl</v>
      </c>
      <c r="C2575" s="3" t="str">
        <f>IFERROR(__xludf.DUMMYFUNCTION("""COMPUTED_VALUE"""),"CNL")</f>
        <v>CNL</v>
      </c>
    </row>
    <row r="2576">
      <c r="A2576" s="3" t="str">
        <f>IFERROR(__xludf.DUMMYFUNCTION("""COMPUTED_VALUE"""),"cnn")</f>
        <v>cnn</v>
      </c>
      <c r="B2576" s="3" t="str">
        <f>IFERROR(__xludf.DUMMYFUNCTION("""COMPUTED_VALUE"""),"cnn")</f>
        <v>cnn</v>
      </c>
      <c r="C2576" s="3" t="str">
        <f>IFERROR(__xludf.DUMMYFUNCTION("""COMPUTED_VALUE"""),"Content Neutrality Network")</f>
        <v>Content Neutrality Network</v>
      </c>
    </row>
    <row r="2577">
      <c r="A2577" s="3" t="str">
        <f>IFERROR(__xludf.DUMMYFUNCTION("""COMPUTED_VALUE"""),"cnns")</f>
        <v>cnns</v>
      </c>
      <c r="B2577" s="3" t="str">
        <f>IFERROR(__xludf.DUMMYFUNCTION("""COMPUTED_VALUE"""),"cnns")</f>
        <v>cnns</v>
      </c>
      <c r="C2577" s="3" t="str">
        <f>IFERROR(__xludf.DUMMYFUNCTION("""COMPUTED_VALUE"""),"CNNS")</f>
        <v>CNNS</v>
      </c>
    </row>
    <row r="2578">
      <c r="A2578" s="3" t="str">
        <f>IFERROR(__xludf.DUMMYFUNCTION("""COMPUTED_VALUE"""),"coal")</f>
        <v>coal</v>
      </c>
      <c r="B2578" s="3" t="str">
        <f>IFERROR(__xludf.DUMMYFUNCTION("""COMPUTED_VALUE"""),"mlb")</f>
        <v>mlb</v>
      </c>
      <c r="C2578" s="3" t="str">
        <f>IFERROR(__xludf.DUMMYFUNCTION("""COMPUTED_VALUE"""),"COAL")</f>
        <v>COAL</v>
      </c>
    </row>
    <row r="2579">
      <c r="A2579" s="3" t="str">
        <f>IFERROR(__xludf.DUMMYFUNCTION("""COMPUTED_VALUE"""),"coalculus")</f>
        <v>coalculus</v>
      </c>
      <c r="B2579" s="3" t="str">
        <f>IFERROR(__xludf.DUMMYFUNCTION("""COMPUTED_VALUE"""),"coal")</f>
        <v>coal</v>
      </c>
      <c r="C2579" s="3" t="str">
        <f>IFERROR(__xludf.DUMMYFUNCTION("""COMPUTED_VALUE"""),"Coalculus")</f>
        <v>Coalculus</v>
      </c>
    </row>
    <row r="2580">
      <c r="A2580" s="3" t="str">
        <f>IFERROR(__xludf.DUMMYFUNCTION("""COMPUTED_VALUE"""),"cobak-token")</f>
        <v>cobak-token</v>
      </c>
      <c r="B2580" s="3" t="str">
        <f>IFERROR(__xludf.DUMMYFUNCTION("""COMPUTED_VALUE"""),"cbk")</f>
        <v>cbk</v>
      </c>
      <c r="C2580" s="3" t="str">
        <f>IFERROR(__xludf.DUMMYFUNCTION("""COMPUTED_VALUE"""),"Cobak")</f>
        <v>Cobak</v>
      </c>
    </row>
    <row r="2581">
      <c r="A2581" s="3" t="str">
        <f>IFERROR(__xludf.DUMMYFUNCTION("""COMPUTED_VALUE"""),"coban")</f>
        <v>coban</v>
      </c>
      <c r="B2581" s="3" t="str">
        <f>IFERROR(__xludf.DUMMYFUNCTION("""COMPUTED_VALUE"""),"coban")</f>
        <v>coban</v>
      </c>
      <c r="C2581" s="3" t="str">
        <f>IFERROR(__xludf.DUMMYFUNCTION("""COMPUTED_VALUE"""),"COBAN")</f>
        <v>COBAN</v>
      </c>
    </row>
    <row r="2582">
      <c r="A2582" s="3" t="str">
        <f>IFERROR(__xludf.DUMMYFUNCTION("""COMPUTED_VALUE"""),"coca-network")</f>
        <v>coca-network</v>
      </c>
      <c r="B2582" s="3" t="str">
        <f>IFERROR(__xludf.DUMMYFUNCTION("""COMPUTED_VALUE"""),"cocn")</f>
        <v>cocn</v>
      </c>
      <c r="C2582" s="3" t="str">
        <f>IFERROR(__xludf.DUMMYFUNCTION("""COMPUTED_VALUE"""),"Coca Network")</f>
        <v>Coca Network</v>
      </c>
    </row>
    <row r="2583">
      <c r="A2583" s="3" t="str">
        <f>IFERROR(__xludf.DUMMYFUNCTION("""COMPUTED_VALUE"""),"cockapoo")</f>
        <v>cockapoo</v>
      </c>
      <c r="B2583" s="3" t="str">
        <f>IFERROR(__xludf.DUMMYFUNCTION("""COMPUTED_VALUE"""),"cpoo")</f>
        <v>cpoo</v>
      </c>
      <c r="C2583" s="3" t="str">
        <f>IFERROR(__xludf.DUMMYFUNCTION("""COMPUTED_VALUE"""),"Cockapoo")</f>
        <v>Cockapoo</v>
      </c>
    </row>
    <row r="2584">
      <c r="A2584" s="3" t="str">
        <f>IFERROR(__xludf.DUMMYFUNCTION("""COMPUTED_VALUE"""),"cocktailbar")</f>
        <v>cocktailbar</v>
      </c>
      <c r="B2584" s="3" t="str">
        <f>IFERROR(__xludf.DUMMYFUNCTION("""COMPUTED_VALUE"""),"coc")</f>
        <v>coc</v>
      </c>
      <c r="C2584" s="3" t="str">
        <f>IFERROR(__xludf.DUMMYFUNCTION("""COMPUTED_VALUE"""),"cocktailbar.finance")</f>
        <v>cocktailbar.finance</v>
      </c>
    </row>
    <row r="2585">
      <c r="A2585" s="3" t="str">
        <f>IFERROR(__xludf.DUMMYFUNCTION("""COMPUTED_VALUE"""),"cocos-bcx")</f>
        <v>cocos-bcx</v>
      </c>
      <c r="B2585" s="3" t="str">
        <f>IFERROR(__xludf.DUMMYFUNCTION("""COMPUTED_VALUE"""),"cocos")</f>
        <v>cocos</v>
      </c>
      <c r="C2585" s="3" t="str">
        <f>IFERROR(__xludf.DUMMYFUNCTION("""COMPUTED_VALUE"""),"COCOS BCX")</f>
        <v>COCOS BCX</v>
      </c>
    </row>
    <row r="2586">
      <c r="A2586" s="3" t="str">
        <f>IFERROR(__xludf.DUMMYFUNCTION("""COMPUTED_VALUE"""),"coco-swap")</f>
        <v>coco-swap</v>
      </c>
      <c r="B2586" s="3" t="str">
        <f>IFERROR(__xludf.DUMMYFUNCTION("""COMPUTED_VALUE"""),"coco")</f>
        <v>coco</v>
      </c>
      <c r="C2586" s="3" t="str">
        <f>IFERROR(__xludf.DUMMYFUNCTION("""COMPUTED_VALUE"""),"Coco Swap")</f>
        <v>Coco Swap</v>
      </c>
    </row>
    <row r="2587">
      <c r="A2587" s="3" t="str">
        <f>IFERROR(__xludf.DUMMYFUNCTION("""COMPUTED_VALUE"""),"code-7")</f>
        <v>code-7</v>
      </c>
      <c r="B2587" s="3" t="str">
        <f>IFERROR(__xludf.DUMMYFUNCTION("""COMPUTED_VALUE"""),"code7")</f>
        <v>code7</v>
      </c>
      <c r="C2587" s="3" t="str">
        <f>IFERROR(__xludf.DUMMYFUNCTION("""COMPUTED_VALUE"""),"Code 7")</f>
        <v>Code 7</v>
      </c>
    </row>
    <row r="2588">
      <c r="A2588" s="3" t="str">
        <f>IFERROR(__xludf.DUMMYFUNCTION("""COMPUTED_VALUE"""),"codex")</f>
        <v>codex</v>
      </c>
      <c r="B2588" s="3" t="str">
        <f>IFERROR(__xludf.DUMMYFUNCTION("""COMPUTED_VALUE"""),"cdex")</f>
        <v>cdex</v>
      </c>
      <c r="C2588" s="3" t="str">
        <f>IFERROR(__xludf.DUMMYFUNCTION("""COMPUTED_VALUE"""),"Codex")</f>
        <v>Codex</v>
      </c>
    </row>
    <row r="2589">
      <c r="A2589" s="3" t="str">
        <f>IFERROR(__xludf.DUMMYFUNCTION("""COMPUTED_VALUE"""),"codex-finance")</f>
        <v>codex-finance</v>
      </c>
      <c r="B2589" s="3" t="str">
        <f>IFERROR(__xludf.DUMMYFUNCTION("""COMPUTED_VALUE"""),"codex")</f>
        <v>codex</v>
      </c>
      <c r="C2589" s="3" t="str">
        <f>IFERROR(__xludf.DUMMYFUNCTION("""COMPUTED_VALUE"""),"CODEX Finance")</f>
        <v>CODEX Finance</v>
      </c>
    </row>
    <row r="2590">
      <c r="A2590" s="3" t="str">
        <f>IFERROR(__xludf.DUMMYFUNCTION("""COMPUTED_VALUE"""),"codi-finance")</f>
        <v>codi-finance</v>
      </c>
      <c r="B2590" s="3" t="str">
        <f>IFERROR(__xludf.DUMMYFUNCTION("""COMPUTED_VALUE"""),"codi")</f>
        <v>codi</v>
      </c>
      <c r="C2590" s="3" t="str">
        <f>IFERROR(__xludf.DUMMYFUNCTION("""COMPUTED_VALUE"""),"Codi Finance")</f>
        <v>Codi Finance</v>
      </c>
    </row>
    <row r="2591">
      <c r="A2591" s="3" t="str">
        <f>IFERROR(__xludf.DUMMYFUNCTION("""COMPUTED_VALUE"""),"coffin-dollar")</f>
        <v>coffin-dollar</v>
      </c>
      <c r="B2591" s="3" t="str">
        <f>IFERROR(__xludf.DUMMYFUNCTION("""COMPUTED_VALUE"""),"cousd")</f>
        <v>cousd</v>
      </c>
      <c r="C2591" s="3" t="str">
        <f>IFERROR(__xludf.DUMMYFUNCTION("""COMPUTED_VALUE"""),"Coffin Dollar")</f>
        <v>Coffin Dollar</v>
      </c>
    </row>
    <row r="2592">
      <c r="A2592" s="3" t="str">
        <f>IFERROR(__xludf.DUMMYFUNCTION("""COMPUTED_VALUE"""),"coffin-finance")</f>
        <v>coffin-finance</v>
      </c>
      <c r="B2592" s="3" t="str">
        <f>IFERROR(__xludf.DUMMYFUNCTION("""COMPUTED_VALUE"""),"coffin")</f>
        <v>coffin</v>
      </c>
      <c r="C2592" s="3" t="str">
        <f>IFERROR(__xludf.DUMMYFUNCTION("""COMPUTED_VALUE"""),"Coffin Finance")</f>
        <v>Coffin Finance</v>
      </c>
    </row>
    <row r="2593">
      <c r="A2593" s="3" t="str">
        <f>IFERROR(__xludf.DUMMYFUNCTION("""COMPUTED_VALUE"""),"cofix")</f>
        <v>cofix</v>
      </c>
      <c r="B2593" s="3" t="str">
        <f>IFERROR(__xludf.DUMMYFUNCTION("""COMPUTED_VALUE"""),"cofi")</f>
        <v>cofi</v>
      </c>
      <c r="C2593" s="3" t="str">
        <f>IFERROR(__xludf.DUMMYFUNCTION("""COMPUTED_VALUE"""),"CoFiX")</f>
        <v>CoFiX</v>
      </c>
    </row>
    <row r="2594">
      <c r="A2594" s="3" t="str">
        <f>IFERROR(__xludf.DUMMYFUNCTION("""COMPUTED_VALUE"""),"cogecoin")</f>
        <v>cogecoin</v>
      </c>
      <c r="B2594" s="3" t="str">
        <f>IFERROR(__xludf.DUMMYFUNCTION("""COMPUTED_VALUE"""),"coge")</f>
        <v>coge</v>
      </c>
      <c r="C2594" s="3" t="str">
        <f>IFERROR(__xludf.DUMMYFUNCTION("""COMPUTED_VALUE"""),"Cogecoin")</f>
        <v>Cogecoin</v>
      </c>
    </row>
    <row r="2595">
      <c r="A2595" s="3" t="str">
        <f>IFERROR(__xludf.DUMMYFUNCTION("""COMPUTED_VALUE"""),"cogiverse")</f>
        <v>cogiverse</v>
      </c>
      <c r="B2595" s="3" t="str">
        <f>IFERROR(__xludf.DUMMYFUNCTION("""COMPUTED_VALUE"""),"cogi")</f>
        <v>cogi</v>
      </c>
      <c r="C2595" s="3" t="str">
        <f>IFERROR(__xludf.DUMMYFUNCTION("""COMPUTED_VALUE"""),"9D NFT")</f>
        <v>9D NFT</v>
      </c>
    </row>
    <row r="2596">
      <c r="A2596" s="3" t="str">
        <f>IFERROR(__xludf.DUMMYFUNCTION("""COMPUTED_VALUE"""),"coic")</f>
        <v>coic</v>
      </c>
      <c r="B2596" s="3" t="str">
        <f>IFERROR(__xludf.DUMMYFUNCTION("""COMPUTED_VALUE"""),"coic")</f>
        <v>coic</v>
      </c>
      <c r="C2596" s="3" t="str">
        <f>IFERROR(__xludf.DUMMYFUNCTION("""COMPUTED_VALUE"""),"COIC")</f>
        <v>COIC</v>
      </c>
    </row>
    <row r="2597">
      <c r="A2597" s="3" t="str">
        <f>IFERROR(__xludf.DUMMYFUNCTION("""COMPUTED_VALUE"""),"coil")</f>
        <v>coil</v>
      </c>
      <c r="B2597" s="3" t="str">
        <f>IFERROR(__xludf.DUMMYFUNCTION("""COMPUTED_VALUE"""),"coil")</f>
        <v>coil</v>
      </c>
      <c r="C2597" s="3" t="str">
        <f>IFERROR(__xludf.DUMMYFUNCTION("""COMPUTED_VALUE"""),"Coil")</f>
        <v>Coil</v>
      </c>
    </row>
    <row r="2598">
      <c r="A2598" s="3" t="str">
        <f>IFERROR(__xludf.DUMMYFUNCTION("""COMPUTED_VALUE"""),"coin")</f>
        <v>coin</v>
      </c>
      <c r="B2598" s="3" t="str">
        <f>IFERROR(__xludf.DUMMYFUNCTION("""COMPUTED_VALUE"""),"coin")</f>
        <v>coin</v>
      </c>
      <c r="C2598" s="3" t="str">
        <f>IFERROR(__xludf.DUMMYFUNCTION("""COMPUTED_VALUE"""),"Coin")</f>
        <v>Coin</v>
      </c>
    </row>
    <row r="2599">
      <c r="A2599" s="3" t="str">
        <f>IFERROR(__xludf.DUMMYFUNCTION("""COMPUTED_VALUE"""),"coin4trade")</f>
        <v>coin4trade</v>
      </c>
      <c r="B2599" s="3" t="str">
        <f>IFERROR(__xludf.DUMMYFUNCTION("""COMPUTED_VALUE"""),"c4t")</f>
        <v>c4t</v>
      </c>
      <c r="C2599" s="3" t="str">
        <f>IFERROR(__xludf.DUMMYFUNCTION("""COMPUTED_VALUE"""),"Coin4Trade")</f>
        <v>Coin4Trade</v>
      </c>
    </row>
    <row r="2600">
      <c r="A2600" s="3" t="str">
        <f>IFERROR(__xludf.DUMMYFUNCTION("""COMPUTED_VALUE"""),"coin98")</f>
        <v>coin98</v>
      </c>
      <c r="B2600" s="3" t="str">
        <f>IFERROR(__xludf.DUMMYFUNCTION("""COMPUTED_VALUE"""),"c98")</f>
        <v>c98</v>
      </c>
      <c r="C2600" s="3" t="str">
        <f>IFERROR(__xludf.DUMMYFUNCTION("""COMPUTED_VALUE"""),"Coin98")</f>
        <v>Coin98</v>
      </c>
    </row>
    <row r="2601">
      <c r="A2601" s="3" t="str">
        <f>IFERROR(__xludf.DUMMYFUNCTION("""COMPUTED_VALUE"""),"coin98-dollar")</f>
        <v>coin98-dollar</v>
      </c>
      <c r="B2601" s="3" t="str">
        <f>IFERROR(__xludf.DUMMYFUNCTION("""COMPUTED_VALUE"""),"cusd")</f>
        <v>cusd</v>
      </c>
      <c r="C2601" s="3" t="str">
        <f>IFERROR(__xludf.DUMMYFUNCTION("""COMPUTED_VALUE"""),"Coin98 Dollar")</f>
        <v>Coin98 Dollar</v>
      </c>
    </row>
    <row r="2602">
      <c r="A2602" s="3" t="str">
        <f>IFERROR(__xludf.DUMMYFUNCTION("""COMPUTED_VALUE"""),"coinage-finance")</f>
        <v>coinage-finance</v>
      </c>
      <c r="B2602" s="3" t="str">
        <f>IFERROR(__xludf.DUMMYFUNCTION("""COMPUTED_VALUE"""),"cage")</f>
        <v>cage</v>
      </c>
      <c r="C2602" s="3" t="str">
        <f>IFERROR(__xludf.DUMMYFUNCTION("""COMPUTED_VALUE"""),"Coinage Finance")</f>
        <v>Coinage Finance</v>
      </c>
    </row>
    <row r="2603">
      <c r="A2603" s="3" t="str">
        <f>IFERROR(__xludf.DUMMYFUNCTION("""COMPUTED_VALUE"""),"coinalpha")</f>
        <v>coinalpha</v>
      </c>
      <c r="B2603" s="3" t="str">
        <f>IFERROR(__xludf.DUMMYFUNCTION("""COMPUTED_VALUE"""),"alp")</f>
        <v>alp</v>
      </c>
      <c r="C2603" s="3" t="str">
        <f>IFERROR(__xludf.DUMMYFUNCTION("""COMPUTED_VALUE"""),"CoinAlpha")</f>
        <v>CoinAlpha</v>
      </c>
    </row>
    <row r="2604">
      <c r="A2604" s="3" t="str">
        <f>IFERROR(__xludf.DUMMYFUNCTION("""COMPUTED_VALUE"""),"coin-artist")</f>
        <v>coin-artist</v>
      </c>
      <c r="B2604" s="3" t="str">
        <f>IFERROR(__xludf.DUMMYFUNCTION("""COMPUTED_VALUE"""),"coin")</f>
        <v>coin</v>
      </c>
      <c r="C2604" s="3" t="str">
        <f>IFERROR(__xludf.DUMMYFUNCTION("""COMPUTED_VALUE"""),"Coin Artist")</f>
        <v>Coin Artist</v>
      </c>
    </row>
    <row r="2605">
      <c r="A2605" s="3" t="str">
        <f>IFERROR(__xludf.DUMMYFUNCTION("""COMPUTED_VALUE"""),"coinary-token")</f>
        <v>coinary-token</v>
      </c>
      <c r="B2605" s="3" t="str">
        <f>IFERROR(__xludf.DUMMYFUNCTION("""COMPUTED_VALUE"""),"cyt")</f>
        <v>cyt</v>
      </c>
      <c r="C2605" s="3" t="str">
        <f>IFERROR(__xludf.DUMMYFUNCTION("""COMPUTED_VALUE"""),"Coinary")</f>
        <v>Coinary</v>
      </c>
    </row>
    <row r="2606">
      <c r="A2606" s="3" t="str">
        <f>IFERROR(__xludf.DUMMYFUNCTION("""COMPUTED_VALUE"""),"coinbase-stock")</f>
        <v>coinbase-stock</v>
      </c>
      <c r="B2606" s="3" t="str">
        <f>IFERROR(__xludf.DUMMYFUNCTION("""COMPUTED_VALUE"""),"coin")</f>
        <v>coin</v>
      </c>
      <c r="C2606" s="3" t="str">
        <f>IFERROR(__xludf.DUMMYFUNCTION("""COMPUTED_VALUE"""),"Coinbase Tokenized Stock on FTX")</f>
        <v>Coinbase Tokenized Stock on FTX</v>
      </c>
    </row>
    <row r="2607">
      <c r="A2607" s="3" t="str">
        <f>IFERROR(__xludf.DUMMYFUNCTION("""COMPUTED_VALUE"""),"coinbase-tokenized-stock-defichain")</f>
        <v>coinbase-tokenized-stock-defichain</v>
      </c>
      <c r="B2607" s="3" t="str">
        <f>IFERROR(__xludf.DUMMYFUNCTION("""COMPUTED_VALUE"""),"dcoin")</f>
        <v>dcoin</v>
      </c>
      <c r="C2607" s="3" t="str">
        <f>IFERROR(__xludf.DUMMYFUNCTION("""COMPUTED_VALUE"""),"Coinbase Tokenized Stock Defichain")</f>
        <v>Coinbase Tokenized Stock Defichain</v>
      </c>
    </row>
    <row r="2608">
      <c r="A2608" s="3" t="str">
        <f>IFERROR(__xludf.DUMMYFUNCTION("""COMPUTED_VALUE"""),"coinbase-wrapped-staked-eth")</f>
        <v>coinbase-wrapped-staked-eth</v>
      </c>
      <c r="B2608" s="3" t="str">
        <f>IFERROR(__xludf.DUMMYFUNCTION("""COMPUTED_VALUE"""),"cbeth")</f>
        <v>cbeth</v>
      </c>
      <c r="C2608" s="3" t="str">
        <f>IFERROR(__xludf.DUMMYFUNCTION("""COMPUTED_VALUE"""),"Coinbase Wrapped Staked ETH")</f>
        <v>Coinbase Wrapped Staked ETH</v>
      </c>
    </row>
    <row r="2609">
      <c r="A2609" s="3" t="str">
        <f>IFERROR(__xludf.DUMMYFUNCTION("""COMPUTED_VALUE"""),"coinbond")</f>
        <v>coinbond</v>
      </c>
      <c r="B2609" s="3" t="str">
        <f>IFERROR(__xludf.DUMMYFUNCTION("""COMPUTED_VALUE"""),"cbd")</f>
        <v>cbd</v>
      </c>
      <c r="C2609" s="3" t="str">
        <f>IFERROR(__xludf.DUMMYFUNCTION("""COMPUTED_VALUE"""),"Coinbond")</f>
        <v>Coinbond</v>
      </c>
    </row>
    <row r="2610">
      <c r="A2610" s="3" t="str">
        <f>IFERROR(__xludf.DUMMYFUNCTION("""COMPUTED_VALUE"""),"coin-capsule")</f>
        <v>coin-capsule</v>
      </c>
      <c r="B2610" s="3" t="str">
        <f>IFERROR(__xludf.DUMMYFUNCTION("""COMPUTED_VALUE"""),"caps")</f>
        <v>caps</v>
      </c>
      <c r="C2610" s="3" t="str">
        <f>IFERROR(__xludf.DUMMYFUNCTION("""COMPUTED_VALUE"""),"Ternoa")</f>
        <v>Ternoa</v>
      </c>
    </row>
    <row r="2611">
      <c r="A2611" s="3" t="str">
        <f>IFERROR(__xludf.DUMMYFUNCTION("""COMPUTED_VALUE"""),"coinclaim")</f>
        <v>coinclaim</v>
      </c>
      <c r="B2611" s="3" t="str">
        <f>IFERROR(__xludf.DUMMYFUNCTION("""COMPUTED_VALUE"""),"clm")</f>
        <v>clm</v>
      </c>
      <c r="C2611" s="3" t="str">
        <f>IFERROR(__xludf.DUMMYFUNCTION("""COMPUTED_VALUE"""),"CoinClaim")</f>
        <v>CoinClaim</v>
      </c>
    </row>
    <row r="2612">
      <c r="A2612" s="3" t="str">
        <f>IFERROR(__xludf.DUMMYFUNCTION("""COMPUTED_VALUE"""),"coindeal-token")</f>
        <v>coindeal-token</v>
      </c>
      <c r="B2612" s="3" t="str">
        <f>IFERROR(__xludf.DUMMYFUNCTION("""COMPUTED_VALUE"""),"cdl")</f>
        <v>cdl</v>
      </c>
      <c r="C2612" s="3" t="str">
        <f>IFERROR(__xludf.DUMMYFUNCTION("""COMPUTED_VALUE"""),"CoinDeal Token")</f>
        <v>CoinDeal Token</v>
      </c>
    </row>
    <row r="2613">
      <c r="A2613" s="3" t="str">
        <f>IFERROR(__xludf.DUMMYFUNCTION("""COMPUTED_VALUE"""),"coin-discovery")</f>
        <v>coin-discovery</v>
      </c>
      <c r="B2613" s="3" t="str">
        <f>IFERROR(__xludf.DUMMYFUNCTION("""COMPUTED_VALUE"""),"codi")</f>
        <v>codi</v>
      </c>
      <c r="C2613" s="3" t="str">
        <f>IFERROR(__xludf.DUMMYFUNCTION("""COMPUTED_VALUE"""),"Coin Discovery")</f>
        <v>Coin Discovery</v>
      </c>
    </row>
    <row r="2614">
      <c r="A2614" s="3" t="str">
        <f>IFERROR(__xludf.DUMMYFUNCTION("""COMPUTED_VALUE"""),"coindom")</f>
        <v>coindom</v>
      </c>
      <c r="B2614" s="3" t="str">
        <f>IFERROR(__xludf.DUMMYFUNCTION("""COMPUTED_VALUE"""),"scc")</f>
        <v>scc</v>
      </c>
      <c r="C2614" s="3" t="str">
        <f>IFERROR(__xludf.DUMMYFUNCTION("""COMPUTED_VALUE"""),"Stem Cell Coin")</f>
        <v>Stem Cell Coin</v>
      </c>
    </row>
    <row r="2615">
      <c r="A2615" s="3" t="str">
        <f>IFERROR(__xludf.DUMMYFUNCTION("""COMPUTED_VALUE"""),"coin-edelweis")</f>
        <v>coin-edelweis</v>
      </c>
      <c r="B2615" s="3" t="str">
        <f>IFERROR(__xludf.DUMMYFUNCTION("""COMPUTED_VALUE"""),"edel")</f>
        <v>edel</v>
      </c>
      <c r="C2615" s="3" t="str">
        <f>IFERROR(__xludf.DUMMYFUNCTION("""COMPUTED_VALUE"""),"Coin Edelweis")</f>
        <v>Coin Edelweis</v>
      </c>
    </row>
    <row r="2616">
      <c r="A2616" s="3" t="str">
        <f>IFERROR(__xludf.DUMMYFUNCTION("""COMPUTED_VALUE"""),"coinerr")</f>
        <v>coinerr</v>
      </c>
      <c r="B2616" s="3" t="str">
        <f>IFERROR(__xludf.DUMMYFUNCTION("""COMPUTED_VALUE"""),"err")</f>
        <v>err</v>
      </c>
      <c r="C2616" s="3" t="str">
        <f>IFERROR(__xludf.DUMMYFUNCTION("""COMPUTED_VALUE"""),"Coinerr")</f>
        <v>Coinerr</v>
      </c>
    </row>
    <row r="2617">
      <c r="A2617" s="3" t="str">
        <f>IFERROR(__xludf.DUMMYFUNCTION("""COMPUTED_VALUE"""),"coinex-token")</f>
        <v>coinex-token</v>
      </c>
      <c r="B2617" s="3" t="str">
        <f>IFERROR(__xludf.DUMMYFUNCTION("""COMPUTED_VALUE"""),"cet")</f>
        <v>cet</v>
      </c>
      <c r="C2617" s="3" t="str">
        <f>IFERROR(__xludf.DUMMYFUNCTION("""COMPUTED_VALUE"""),"CoinEx")</f>
        <v>CoinEx</v>
      </c>
    </row>
    <row r="2618">
      <c r="A2618" s="3" t="str">
        <f>IFERROR(__xludf.DUMMYFUNCTION("""COMPUTED_VALUE"""),"coinfantasy")</f>
        <v>coinfantasy</v>
      </c>
      <c r="B2618" s="3" t="str">
        <f>IFERROR(__xludf.DUMMYFUNCTION("""COMPUTED_VALUE"""),"cfan")</f>
        <v>cfan</v>
      </c>
      <c r="C2618" s="3" t="str">
        <f>IFERROR(__xludf.DUMMYFUNCTION("""COMPUTED_VALUE"""),"CoinFantasy")</f>
        <v>CoinFantasy</v>
      </c>
    </row>
    <row r="2619">
      <c r="A2619" s="3" t="str">
        <f>IFERROR(__xludf.DUMMYFUNCTION("""COMPUTED_VALUE"""),"coinfarm")</f>
        <v>coinfarm</v>
      </c>
      <c r="B2619" s="3" t="str">
        <f>IFERROR(__xludf.DUMMYFUNCTION("""COMPUTED_VALUE"""),"cfarm")</f>
        <v>cfarm</v>
      </c>
      <c r="C2619" s="3" t="str">
        <f>IFERROR(__xludf.DUMMYFUNCTION("""COMPUTED_VALUE"""),"CoinFarm")</f>
        <v>CoinFarm</v>
      </c>
    </row>
    <row r="2620">
      <c r="A2620" s="3" t="str">
        <f>IFERROR(__xludf.DUMMYFUNCTION("""COMPUTED_VALUE"""),"coin-fast-alert")</f>
        <v>coin-fast-alert</v>
      </c>
      <c r="B2620" s="3" t="str">
        <f>IFERROR(__xludf.DUMMYFUNCTION("""COMPUTED_VALUE"""),"cfa")</f>
        <v>cfa</v>
      </c>
      <c r="C2620" s="3" t="str">
        <f>IFERROR(__xludf.DUMMYFUNCTION("""COMPUTED_VALUE"""),"Coin Fast Alert [OLD]")</f>
        <v>Coin Fast Alert [OLD]</v>
      </c>
    </row>
    <row r="2621">
      <c r="A2621" s="3" t="str">
        <f>IFERROR(__xludf.DUMMYFUNCTION("""COMPUTED_VALUE"""),"coinfi")</f>
        <v>coinfi</v>
      </c>
      <c r="B2621" s="3" t="str">
        <f>IFERROR(__xludf.DUMMYFUNCTION("""COMPUTED_VALUE"""),"cofi")</f>
        <v>cofi</v>
      </c>
      <c r="C2621" s="3" t="str">
        <f>IFERROR(__xludf.DUMMYFUNCTION("""COMPUTED_VALUE"""),"CoinFi")</f>
        <v>CoinFi</v>
      </c>
    </row>
    <row r="2622">
      <c r="A2622" s="3" t="str">
        <f>IFERROR(__xludf.DUMMYFUNCTION("""COMPUTED_VALUE"""),"coinfirm-amlt")</f>
        <v>coinfirm-amlt</v>
      </c>
      <c r="B2622" s="3" t="str">
        <f>IFERROR(__xludf.DUMMYFUNCTION("""COMPUTED_VALUE"""),"amlt")</f>
        <v>amlt</v>
      </c>
      <c r="C2622" s="3" t="str">
        <f>IFERROR(__xludf.DUMMYFUNCTION("""COMPUTED_VALUE"""),"AMLT Network")</f>
        <v>AMLT Network</v>
      </c>
    </row>
    <row r="2623">
      <c r="A2623" s="3" t="str">
        <f>IFERROR(__xludf.DUMMYFUNCTION("""COMPUTED_VALUE"""),"coinflect")</f>
        <v>coinflect</v>
      </c>
      <c r="B2623" s="3" t="str">
        <f>IFERROR(__xludf.DUMMYFUNCTION("""COMPUTED_VALUE"""),"wcflt")</f>
        <v>wcflt</v>
      </c>
      <c r="C2623" s="3" t="str">
        <f>IFERROR(__xludf.DUMMYFUNCTION("""COMPUTED_VALUE"""),"Coinflect")</f>
        <v>Coinflect</v>
      </c>
    </row>
    <row r="2624">
      <c r="A2624" s="3" t="str">
        <f>IFERROR(__xludf.DUMMYFUNCTION("""COMPUTED_VALUE"""),"coin-gabbar-token")</f>
        <v>coin-gabbar-token</v>
      </c>
      <c r="B2624" s="3" t="str">
        <f>IFERROR(__xludf.DUMMYFUNCTION("""COMPUTED_VALUE"""),"cgt")</f>
        <v>cgt</v>
      </c>
      <c r="C2624" s="3" t="str">
        <f>IFERROR(__xludf.DUMMYFUNCTION("""COMPUTED_VALUE"""),"Coin Gabbar Token")</f>
        <v>Coin Gabbar Token</v>
      </c>
    </row>
    <row r="2625">
      <c r="A2625" s="3" t="str">
        <f>IFERROR(__xludf.DUMMYFUNCTION("""COMPUTED_VALUE"""),"coinghost")</f>
        <v>coinghost</v>
      </c>
      <c r="B2625" s="3" t="str">
        <f>IFERROR(__xludf.DUMMYFUNCTION("""COMPUTED_VALUE"""),"gst")</f>
        <v>gst</v>
      </c>
      <c r="C2625" s="3" t="str">
        <f>IFERROR(__xludf.DUMMYFUNCTION("""COMPUTED_VALUE"""),"CoinGhost")</f>
        <v>CoinGhost</v>
      </c>
    </row>
    <row r="2626">
      <c r="A2626" s="3" t="str">
        <f>IFERROR(__xludf.DUMMYFUNCTION("""COMPUTED_VALUE"""),"coinhub")</f>
        <v>coinhub</v>
      </c>
      <c r="B2626" s="3" t="str">
        <f>IFERROR(__xludf.DUMMYFUNCTION("""COMPUTED_VALUE"""),"chb")</f>
        <v>chb</v>
      </c>
      <c r="C2626" s="3" t="str">
        <f>IFERROR(__xludf.DUMMYFUNCTION("""COMPUTED_VALUE"""),"COINHUB")</f>
        <v>COINHUB</v>
      </c>
    </row>
    <row r="2627">
      <c r="A2627" s="3" t="str">
        <f>IFERROR(__xludf.DUMMYFUNCTION("""COMPUTED_VALUE"""),"coinlancer")</f>
        <v>coinlancer</v>
      </c>
      <c r="B2627" s="3" t="str">
        <f>IFERROR(__xludf.DUMMYFUNCTION("""COMPUTED_VALUE"""),"cl")</f>
        <v>cl</v>
      </c>
      <c r="C2627" s="3" t="str">
        <f>IFERROR(__xludf.DUMMYFUNCTION("""COMPUTED_VALUE"""),"Coinlancer")</f>
        <v>Coinlancer</v>
      </c>
    </row>
    <row r="2628">
      <c r="A2628" s="3" t="str">
        <f>IFERROR(__xludf.DUMMYFUNCTION("""COMPUTED_VALUE"""),"coinlion")</f>
        <v>coinlion</v>
      </c>
      <c r="B2628" s="3" t="str">
        <f>IFERROR(__xludf.DUMMYFUNCTION("""COMPUTED_VALUE"""),"lion")</f>
        <v>lion</v>
      </c>
      <c r="C2628" s="3" t="str">
        <f>IFERROR(__xludf.DUMMYFUNCTION("""COMPUTED_VALUE"""),"CoinLion")</f>
        <v>CoinLion</v>
      </c>
    </row>
    <row r="2629">
      <c r="A2629" s="3" t="str">
        <f>IFERROR(__xludf.DUMMYFUNCTION("""COMPUTED_VALUE"""),"coinloan")</f>
        <v>coinloan</v>
      </c>
      <c r="B2629" s="3" t="str">
        <f>IFERROR(__xludf.DUMMYFUNCTION("""COMPUTED_VALUE"""),"clt")</f>
        <v>clt</v>
      </c>
      <c r="C2629" s="3" t="str">
        <f>IFERROR(__xludf.DUMMYFUNCTION("""COMPUTED_VALUE"""),"CoinLoan")</f>
        <v>CoinLoan</v>
      </c>
    </row>
    <row r="2630">
      <c r="A2630" s="3" t="str">
        <f>IFERROR(__xludf.DUMMYFUNCTION("""COMPUTED_VALUE"""),"coinmeet")</f>
        <v>coinmeet</v>
      </c>
      <c r="B2630" s="3" t="str">
        <f>IFERROR(__xludf.DUMMYFUNCTION("""COMPUTED_VALUE"""),"meet")</f>
        <v>meet</v>
      </c>
      <c r="C2630" s="3" t="str">
        <f>IFERROR(__xludf.DUMMYFUNCTION("""COMPUTED_VALUE"""),"CoinMeet")</f>
        <v>CoinMeet</v>
      </c>
    </row>
    <row r="2631">
      <c r="A2631" s="3" t="str">
        <f>IFERROR(__xludf.DUMMYFUNCTION("""COMPUTED_VALUE"""),"coinmerge")</f>
        <v>coinmerge</v>
      </c>
      <c r="B2631" s="3" t="str">
        <f>IFERROR(__xludf.DUMMYFUNCTION("""COMPUTED_VALUE"""),"cmerge")</f>
        <v>cmerge</v>
      </c>
      <c r="C2631" s="3" t="str">
        <f>IFERROR(__xludf.DUMMYFUNCTION("""COMPUTED_VALUE"""),"CoinMerge (ERC20)")</f>
        <v>CoinMerge (ERC20)</v>
      </c>
    </row>
    <row r="2632">
      <c r="A2632" s="3" t="str">
        <f>IFERROR(__xludf.DUMMYFUNCTION("""COMPUTED_VALUE"""),"coinmerge-bsc")</f>
        <v>coinmerge-bsc</v>
      </c>
      <c r="B2632" s="3" t="str">
        <f>IFERROR(__xludf.DUMMYFUNCTION("""COMPUTED_VALUE"""),"cmerge")</f>
        <v>cmerge</v>
      </c>
      <c r="C2632" s="3" t="str">
        <f>IFERROR(__xludf.DUMMYFUNCTION("""COMPUTED_VALUE"""),"CoinMerge (BEP20)")</f>
        <v>CoinMerge (BEP20)</v>
      </c>
    </row>
    <row r="2633">
      <c r="A2633" s="3" t="str">
        <f>IFERROR(__xludf.DUMMYFUNCTION("""COMPUTED_VALUE"""),"coinmetro")</f>
        <v>coinmetro</v>
      </c>
      <c r="B2633" s="3" t="str">
        <f>IFERROR(__xludf.DUMMYFUNCTION("""COMPUTED_VALUE"""),"xcm")</f>
        <v>xcm</v>
      </c>
      <c r="C2633" s="3" t="str">
        <f>IFERROR(__xludf.DUMMYFUNCTION("""COMPUTED_VALUE"""),"Coinmetro")</f>
        <v>Coinmetro</v>
      </c>
    </row>
    <row r="2634">
      <c r="A2634" s="3" t="str">
        <f>IFERROR(__xludf.DUMMYFUNCTION("""COMPUTED_VALUE"""),"coinmooner")</f>
        <v>coinmooner</v>
      </c>
      <c r="B2634" s="3" t="str">
        <f>IFERROR(__xludf.DUMMYFUNCTION("""COMPUTED_VALUE"""),"mooner")</f>
        <v>mooner</v>
      </c>
      <c r="C2634" s="3" t="str">
        <f>IFERROR(__xludf.DUMMYFUNCTION("""COMPUTED_VALUE"""),"CoinMooner")</f>
        <v>CoinMooner</v>
      </c>
    </row>
    <row r="2635">
      <c r="A2635" s="3" t="str">
        <f>IFERROR(__xludf.DUMMYFUNCTION("""COMPUTED_VALUE"""),"coinnec")</f>
        <v>coinnec</v>
      </c>
      <c r="B2635" s="3" t="str">
        <f>IFERROR(__xludf.DUMMYFUNCTION("""COMPUTED_VALUE"""),"coi")</f>
        <v>coi</v>
      </c>
      <c r="C2635" s="3" t="str">
        <f>IFERROR(__xludf.DUMMYFUNCTION("""COMPUTED_VALUE"""),"Coinnec")</f>
        <v>Coinnec</v>
      </c>
    </row>
    <row r="2636">
      <c r="A2636" s="3" t="str">
        <f>IFERROR(__xludf.DUMMYFUNCTION("""COMPUTED_VALUE"""),"coin-of-nature")</f>
        <v>coin-of-nature</v>
      </c>
      <c r="B2636" s="3" t="str">
        <f>IFERROR(__xludf.DUMMYFUNCTION("""COMPUTED_VALUE"""),"con")</f>
        <v>con</v>
      </c>
      <c r="C2636" s="3" t="str">
        <f>IFERROR(__xludf.DUMMYFUNCTION("""COMPUTED_VALUE"""),"Coin of Nature")</f>
        <v>Coin of Nature</v>
      </c>
    </row>
    <row r="2637">
      <c r="A2637" s="3" t="str">
        <f>IFERROR(__xludf.DUMMYFUNCTION("""COMPUTED_VALUE"""),"coin-of-the-champions")</f>
        <v>coin-of-the-champions</v>
      </c>
      <c r="B2637" s="3" t="str">
        <f>IFERROR(__xludf.DUMMYFUNCTION("""COMPUTED_VALUE"""),"coc")</f>
        <v>coc</v>
      </c>
      <c r="C2637" s="3" t="str">
        <f>IFERROR(__xludf.DUMMYFUNCTION("""COMPUTED_VALUE"""),"Coin of the champions")</f>
        <v>Coin of the champions</v>
      </c>
    </row>
    <row r="2638">
      <c r="A2638" s="3" t="str">
        <f>IFERROR(__xludf.DUMMYFUNCTION("""COMPUTED_VALUE"""),"coinpad")</f>
        <v>coinpad</v>
      </c>
      <c r="B2638" s="3" t="str">
        <f>IFERROR(__xludf.DUMMYFUNCTION("""COMPUTED_VALUE"""),"cp")</f>
        <v>cp</v>
      </c>
      <c r="C2638" s="3" t="str">
        <f>IFERROR(__xludf.DUMMYFUNCTION("""COMPUTED_VALUE"""),"Coinpad")</f>
        <v>Coinpad</v>
      </c>
    </row>
    <row r="2639">
      <c r="A2639" s="3" t="str">
        <f>IFERROR(__xludf.DUMMYFUNCTION("""COMPUTED_VALUE"""),"coinpoker")</f>
        <v>coinpoker</v>
      </c>
      <c r="B2639" s="3" t="str">
        <f>IFERROR(__xludf.DUMMYFUNCTION("""COMPUTED_VALUE"""),"chp")</f>
        <v>chp</v>
      </c>
      <c r="C2639" s="3" t="str">
        <f>IFERROR(__xludf.DUMMYFUNCTION("""COMPUTED_VALUE"""),"CoinPoker")</f>
        <v>CoinPoker</v>
      </c>
    </row>
    <row r="2640">
      <c r="A2640" s="3" t="str">
        <f>IFERROR(__xludf.DUMMYFUNCTION("""COMPUTED_VALUE"""),"coinracer")</f>
        <v>coinracer</v>
      </c>
      <c r="B2640" s="3" t="str">
        <f>IFERROR(__xludf.DUMMYFUNCTION("""COMPUTED_VALUE"""),"crace")</f>
        <v>crace</v>
      </c>
      <c r="C2640" s="3" t="str">
        <f>IFERROR(__xludf.DUMMYFUNCTION("""COMPUTED_VALUE"""),"Coinracer")</f>
        <v>Coinracer</v>
      </c>
    </row>
    <row r="2641">
      <c r="A2641" s="3" t="str">
        <f>IFERROR(__xludf.DUMMYFUNCTION("""COMPUTED_VALUE"""),"coinradr")</f>
        <v>coinradr</v>
      </c>
      <c r="B2641" s="3" t="str">
        <f>IFERROR(__xludf.DUMMYFUNCTION("""COMPUTED_VALUE"""),"radr")</f>
        <v>radr</v>
      </c>
      <c r="C2641" s="3" t="str">
        <f>IFERROR(__xludf.DUMMYFUNCTION("""COMPUTED_VALUE"""),"CoinRadr")</f>
        <v>CoinRadr</v>
      </c>
    </row>
    <row r="2642">
      <c r="A2642" s="3" t="str">
        <f>IFERROR(__xludf.DUMMYFUNCTION("""COMPUTED_VALUE"""),"coinsbit-token")</f>
        <v>coinsbit-token</v>
      </c>
      <c r="B2642" s="3" t="str">
        <f>IFERROR(__xludf.DUMMYFUNCTION("""COMPUTED_VALUE"""),"cnb")</f>
        <v>cnb</v>
      </c>
      <c r="C2642" s="3" t="str">
        <f>IFERROR(__xludf.DUMMYFUNCTION("""COMPUTED_VALUE"""),"Coinsbit Token")</f>
        <v>Coinsbit Token</v>
      </c>
    </row>
    <row r="2643">
      <c r="A2643" s="3" t="str">
        <f>IFERROR(__xludf.DUMMYFUNCTION("""COMPUTED_VALUE"""),"coinscan")</f>
        <v>coinscan</v>
      </c>
      <c r="B2643" s="3" t="str">
        <f>IFERROR(__xludf.DUMMYFUNCTION("""COMPUTED_VALUE"""),"scan")</f>
        <v>scan</v>
      </c>
      <c r="C2643" s="3" t="str">
        <f>IFERROR(__xludf.DUMMYFUNCTION("""COMPUTED_VALUE"""),"CoinScan")</f>
        <v>CoinScan</v>
      </c>
    </row>
    <row r="2644">
      <c r="A2644" s="3" t="str">
        <f>IFERROR(__xludf.DUMMYFUNCTION("""COMPUTED_VALUE"""),"coinscope")</f>
        <v>coinscope</v>
      </c>
      <c r="B2644" s="3" t="str">
        <f>IFERROR(__xludf.DUMMYFUNCTION("""COMPUTED_VALUE"""),"coinscope")</f>
        <v>coinscope</v>
      </c>
      <c r="C2644" s="3" t="str">
        <f>IFERROR(__xludf.DUMMYFUNCTION("""COMPUTED_VALUE"""),"Coinscope")</f>
        <v>Coinscope</v>
      </c>
    </row>
    <row r="2645">
      <c r="A2645" s="3" t="str">
        <f>IFERROR(__xludf.DUMMYFUNCTION("""COMPUTED_VALUE"""),"coinspaid")</f>
        <v>coinspaid</v>
      </c>
      <c r="B2645" s="3" t="str">
        <f>IFERROR(__xludf.DUMMYFUNCTION("""COMPUTED_VALUE"""),"cpd")</f>
        <v>cpd</v>
      </c>
      <c r="C2645" s="3" t="str">
        <f>IFERROR(__xludf.DUMMYFUNCTION("""COMPUTED_VALUE"""),"CoinsPaid")</f>
        <v>CoinsPaid</v>
      </c>
    </row>
    <row r="2646">
      <c r="A2646" s="3" t="str">
        <f>IFERROR(__xludf.DUMMYFUNCTION("""COMPUTED_VALUE"""),"coinstox")</f>
        <v>coinstox</v>
      </c>
      <c r="B2646" s="3" t="str">
        <f>IFERROR(__xludf.DUMMYFUNCTION("""COMPUTED_VALUE"""),"csx")</f>
        <v>csx</v>
      </c>
      <c r="C2646" s="3" t="str">
        <f>IFERROR(__xludf.DUMMYFUNCTION("""COMPUTED_VALUE"""),"Coinstox")</f>
        <v>Coinstox</v>
      </c>
    </row>
    <row r="2647">
      <c r="A2647" s="3" t="str">
        <f>IFERROR(__xludf.DUMMYFUNCTION("""COMPUTED_VALUE"""),"cointorox")</f>
        <v>cointorox</v>
      </c>
      <c r="B2647" s="3" t="str">
        <f>IFERROR(__xludf.DUMMYFUNCTION("""COMPUTED_VALUE"""),"orox")</f>
        <v>orox</v>
      </c>
      <c r="C2647" s="3" t="str">
        <f>IFERROR(__xludf.DUMMYFUNCTION("""COMPUTED_VALUE"""),"Cointorox")</f>
        <v>Cointorox</v>
      </c>
    </row>
    <row r="2648">
      <c r="A2648" s="3" t="str">
        <f>IFERROR(__xludf.DUMMYFUNCTION("""COMPUTED_VALUE"""),"coinviewcap")</f>
        <v>coinviewcap</v>
      </c>
      <c r="B2648" s="3" t="str">
        <f>IFERROR(__xludf.DUMMYFUNCTION("""COMPUTED_VALUE"""),"cvc")</f>
        <v>cvc</v>
      </c>
      <c r="C2648" s="3" t="str">
        <f>IFERROR(__xludf.DUMMYFUNCTION("""COMPUTED_VALUE"""),"CoinViewCap")</f>
        <v>CoinViewCap</v>
      </c>
    </row>
    <row r="2649">
      <c r="A2649" s="3" t="str">
        <f>IFERROR(__xludf.DUMMYFUNCTION("""COMPUTED_VALUE"""),"coinwealth")</f>
        <v>coinwealth</v>
      </c>
      <c r="B2649" s="3" t="str">
        <f>IFERROR(__xludf.DUMMYFUNCTION("""COMPUTED_VALUE"""),"cnw")</f>
        <v>cnw</v>
      </c>
      <c r="C2649" s="3" t="str">
        <f>IFERROR(__xludf.DUMMYFUNCTION("""COMPUTED_VALUE"""),"CoinWealth")</f>
        <v>CoinWealth</v>
      </c>
    </row>
    <row r="2650">
      <c r="A2650" s="3" t="str">
        <f>IFERROR(__xludf.DUMMYFUNCTION("""COMPUTED_VALUE"""),"coinweb")</f>
        <v>coinweb</v>
      </c>
      <c r="B2650" s="3" t="str">
        <f>IFERROR(__xludf.DUMMYFUNCTION("""COMPUTED_VALUE"""),"cweb")</f>
        <v>cweb</v>
      </c>
      <c r="C2650" s="3" t="str">
        <f>IFERROR(__xludf.DUMMYFUNCTION("""COMPUTED_VALUE"""),"Coinweb")</f>
        <v>Coinweb</v>
      </c>
    </row>
    <row r="2651">
      <c r="A2651" s="3" t="str">
        <f>IFERROR(__xludf.DUMMYFUNCTION("""COMPUTED_VALUE"""),"coinwind")</f>
        <v>coinwind</v>
      </c>
      <c r="B2651" s="3" t="str">
        <f>IFERROR(__xludf.DUMMYFUNCTION("""COMPUTED_VALUE"""),"cow")</f>
        <v>cow</v>
      </c>
      <c r="C2651" s="3" t="str">
        <f>IFERROR(__xludf.DUMMYFUNCTION("""COMPUTED_VALUE"""),"CoinWind")</f>
        <v>CoinWind</v>
      </c>
    </row>
    <row r="2652">
      <c r="A2652" s="3" t="str">
        <f>IFERROR(__xludf.DUMMYFUNCTION("""COMPUTED_VALUE"""),"coinxpad")</f>
        <v>coinxpad</v>
      </c>
      <c r="B2652" s="3" t="str">
        <f>IFERROR(__xludf.DUMMYFUNCTION("""COMPUTED_VALUE"""),"cxpad")</f>
        <v>cxpad</v>
      </c>
      <c r="C2652" s="3" t="str">
        <f>IFERROR(__xludf.DUMMYFUNCTION("""COMPUTED_VALUE"""),"CoinxPad")</f>
        <v>CoinxPad</v>
      </c>
    </row>
    <row r="2653">
      <c r="A2653" s="3" t="str">
        <f>IFERROR(__xludf.DUMMYFUNCTION("""COMPUTED_VALUE"""),"coinzix-token")</f>
        <v>coinzix-token</v>
      </c>
      <c r="B2653" s="3" t="str">
        <f>IFERROR(__xludf.DUMMYFUNCTION("""COMPUTED_VALUE"""),"zix")</f>
        <v>zix</v>
      </c>
      <c r="C2653" s="3" t="str">
        <f>IFERROR(__xludf.DUMMYFUNCTION("""COMPUTED_VALUE"""),"Coinzix Token")</f>
        <v>Coinzix Token</v>
      </c>
    </row>
    <row r="2654">
      <c r="A2654" s="3" t="str">
        <f>IFERROR(__xludf.DUMMYFUNCTION("""COMPUTED_VALUE"""),"cola-token")</f>
        <v>cola-token</v>
      </c>
      <c r="B2654" s="3" t="str">
        <f>IFERROR(__xludf.DUMMYFUNCTION("""COMPUTED_VALUE"""),"cola")</f>
        <v>cola</v>
      </c>
      <c r="C2654" s="3" t="str">
        <f>IFERROR(__xludf.DUMMYFUNCTION("""COMPUTED_VALUE"""),"Cola")</f>
        <v>Cola</v>
      </c>
    </row>
    <row r="2655">
      <c r="A2655" s="3" t="str">
        <f>IFERROR(__xludf.DUMMYFUNCTION("""COMPUTED_VALUE"""),"cold-finance")</f>
        <v>cold-finance</v>
      </c>
      <c r="B2655" s="3" t="str">
        <f>IFERROR(__xludf.DUMMYFUNCTION("""COMPUTED_VALUE"""),"cold")</f>
        <v>cold</v>
      </c>
      <c r="C2655" s="3" t="str">
        <f>IFERROR(__xludf.DUMMYFUNCTION("""COMPUTED_VALUE"""),"Cold Finance")</f>
        <v>Cold Finance</v>
      </c>
    </row>
    <row r="2656">
      <c r="A2656" s="3" t="str">
        <f>IFERROR(__xludf.DUMMYFUNCTION("""COMPUTED_VALUE"""),"coldstack")</f>
        <v>coldstack</v>
      </c>
      <c r="B2656" s="3" t="str">
        <f>IFERROR(__xludf.DUMMYFUNCTION("""COMPUTED_VALUE"""),"cls")</f>
        <v>cls</v>
      </c>
      <c r="C2656" s="3" t="str">
        <f>IFERROR(__xludf.DUMMYFUNCTION("""COMPUTED_VALUE"""),"Coldstack")</f>
        <v>Coldstack</v>
      </c>
    </row>
    <row r="2657">
      <c r="A2657" s="3" t="str">
        <f>IFERROR(__xludf.DUMMYFUNCTION("""COMPUTED_VALUE"""),"colizeum")</f>
        <v>colizeum</v>
      </c>
      <c r="B2657" s="3" t="str">
        <f>IFERROR(__xludf.DUMMYFUNCTION("""COMPUTED_VALUE"""),"zeum")</f>
        <v>zeum</v>
      </c>
      <c r="C2657" s="3" t="str">
        <f>IFERROR(__xludf.DUMMYFUNCTION("""COMPUTED_VALUE"""),"Colizeum")</f>
        <v>Colizeum</v>
      </c>
    </row>
    <row r="2658">
      <c r="A2658" s="3" t="str">
        <f>IFERROR(__xludf.DUMMYFUNCTION("""COMPUTED_VALUE"""),"collateral-pay")</f>
        <v>collateral-pay</v>
      </c>
      <c r="B2658" s="3" t="str">
        <f>IFERROR(__xludf.DUMMYFUNCTION("""COMPUTED_VALUE"""),"coll")</f>
        <v>coll</v>
      </c>
      <c r="C2658" s="3" t="str">
        <f>IFERROR(__xludf.DUMMYFUNCTION("""COMPUTED_VALUE"""),"Collateral Pay")</f>
        <v>Collateral Pay</v>
      </c>
    </row>
    <row r="2659">
      <c r="A2659" s="3" t="str">
        <f>IFERROR(__xludf.DUMMYFUNCTION("""COMPUTED_VALUE"""),"collateral-pay-governance")</f>
        <v>collateral-pay-governance</v>
      </c>
      <c r="B2659" s="3" t="str">
        <f>IFERROR(__xludf.DUMMYFUNCTION("""COMPUTED_VALUE"""),"collg")</f>
        <v>collg</v>
      </c>
      <c r="C2659" s="3" t="str">
        <f>IFERROR(__xludf.DUMMYFUNCTION("""COMPUTED_VALUE"""),"Collateral Pay Governance")</f>
        <v>Collateral Pay Governance</v>
      </c>
    </row>
    <row r="2660">
      <c r="A2660" s="3" t="str">
        <f>IFERROR(__xludf.DUMMYFUNCTION("""COMPUTED_VALUE"""),"collectcoin-2")</f>
        <v>collectcoin-2</v>
      </c>
      <c r="B2660" s="3" t="str">
        <f>IFERROR(__xludf.DUMMYFUNCTION("""COMPUTED_VALUE"""),"clct")</f>
        <v>clct</v>
      </c>
      <c r="C2660" s="3" t="str">
        <f>IFERROR(__xludf.DUMMYFUNCTION("""COMPUTED_VALUE"""),"CollectCoin")</f>
        <v>CollectCoin</v>
      </c>
    </row>
    <row r="2661">
      <c r="A2661" s="3" t="str">
        <f>IFERROR(__xludf.DUMMYFUNCTION("""COMPUTED_VALUE"""),"collective")</f>
        <v>collective</v>
      </c>
      <c r="B2661" s="3" t="str">
        <f>IFERROR(__xludf.DUMMYFUNCTION("""COMPUTED_VALUE"""),"co2")</f>
        <v>co2</v>
      </c>
      <c r="C2661" s="3" t="str">
        <f>IFERROR(__xludf.DUMMYFUNCTION("""COMPUTED_VALUE"""),"Collective")</f>
        <v>Collective</v>
      </c>
    </row>
    <row r="2662">
      <c r="A2662" s="3" t="str">
        <f>IFERROR(__xludf.DUMMYFUNCTION("""COMPUTED_VALUE"""),"collector-coin")</f>
        <v>collector-coin</v>
      </c>
      <c r="B2662" s="3" t="str">
        <f>IFERROR(__xludf.DUMMYFUNCTION("""COMPUTED_VALUE"""),"ags")</f>
        <v>ags</v>
      </c>
      <c r="C2662" s="3" t="str">
        <f>IFERROR(__xludf.DUMMYFUNCTION("""COMPUTED_VALUE"""),"Collector Coin")</f>
        <v>Collector Coin</v>
      </c>
    </row>
    <row r="2663">
      <c r="A2663" s="3" t="str">
        <f>IFERROR(__xludf.DUMMYFUNCTION("""COMPUTED_VALUE"""),"collegecoinnetwork")</f>
        <v>collegecoinnetwork</v>
      </c>
      <c r="B2663" s="3" t="str">
        <f>IFERROR(__xludf.DUMMYFUNCTION("""COMPUTED_VALUE"""),"ccn")</f>
        <v>ccn</v>
      </c>
      <c r="C2663" s="3" t="str">
        <f>IFERROR(__xludf.DUMMYFUNCTION("""COMPUTED_VALUE"""),"CollegeCoinNetwork")</f>
        <v>CollegeCoinNetwork</v>
      </c>
    </row>
    <row r="2664">
      <c r="A2664" s="3" t="str">
        <f>IFERROR(__xludf.DUMMYFUNCTION("""COMPUTED_VALUE"""),"collegicoin")</f>
        <v>collegicoin</v>
      </c>
      <c r="B2664" s="3" t="str">
        <f>IFERROR(__xludf.DUMMYFUNCTION("""COMPUTED_VALUE"""),"clg")</f>
        <v>clg</v>
      </c>
      <c r="C2664" s="3" t="str">
        <f>IFERROR(__xludf.DUMMYFUNCTION("""COMPUTED_VALUE"""),"Collegicoin")</f>
        <v>Collegicoin</v>
      </c>
    </row>
    <row r="2665">
      <c r="A2665" s="3" t="str">
        <f>IFERROR(__xludf.DUMMYFUNCTION("""COMPUTED_VALUE"""),"collie-inu")</f>
        <v>collie-inu</v>
      </c>
      <c r="B2665" s="3" t="str">
        <f>IFERROR(__xludf.DUMMYFUNCTION("""COMPUTED_VALUE"""),"collie")</f>
        <v>collie</v>
      </c>
      <c r="C2665" s="3" t="str">
        <f>IFERROR(__xludf.DUMMYFUNCTION("""COMPUTED_VALUE"""),"COLLIE INU")</f>
        <v>COLLIE INU</v>
      </c>
    </row>
    <row r="2666">
      <c r="A2666" s="3" t="str">
        <f>IFERROR(__xludf.DUMMYFUNCTION("""COMPUTED_VALUE"""),"colligo")</f>
        <v>colligo</v>
      </c>
      <c r="B2666" s="3" t="str">
        <f>IFERROR(__xludf.DUMMYFUNCTION("""COMPUTED_VALUE"""),"cotk")</f>
        <v>cotk</v>
      </c>
      <c r="C2666" s="3" t="str">
        <f>IFERROR(__xludf.DUMMYFUNCTION("""COMPUTED_VALUE"""),"Colligo")</f>
        <v>Colligo</v>
      </c>
    </row>
    <row r="2667">
      <c r="A2667" s="3" t="str">
        <f>IFERROR(__xludf.DUMMYFUNCTION("""COMPUTED_VALUE"""),"colony")</f>
        <v>colony</v>
      </c>
      <c r="B2667" s="3" t="str">
        <f>IFERROR(__xludf.DUMMYFUNCTION("""COMPUTED_VALUE"""),"cly")</f>
        <v>cly</v>
      </c>
      <c r="C2667" s="3" t="str">
        <f>IFERROR(__xludf.DUMMYFUNCTION("""COMPUTED_VALUE"""),"Colony")</f>
        <v>Colony</v>
      </c>
    </row>
    <row r="2668">
      <c r="A2668" s="3" t="str">
        <f>IFERROR(__xludf.DUMMYFUNCTION("""COMPUTED_VALUE"""),"colony-avalanche-index")</f>
        <v>colony-avalanche-index</v>
      </c>
      <c r="B2668" s="3" t="str">
        <f>IFERROR(__xludf.DUMMYFUNCTION("""COMPUTED_VALUE"""),"cai")</f>
        <v>cai</v>
      </c>
      <c r="C2668" s="3" t="str">
        <f>IFERROR(__xludf.DUMMYFUNCTION("""COMPUTED_VALUE"""),"Colony Avalanche Index")</f>
        <v>Colony Avalanche Index</v>
      </c>
    </row>
    <row r="2669">
      <c r="A2669" s="3" t="str">
        <f>IFERROR(__xludf.DUMMYFUNCTION("""COMPUTED_VALUE"""),"colony-network-token")</f>
        <v>colony-network-token</v>
      </c>
      <c r="B2669" s="3" t="str">
        <f>IFERROR(__xludf.DUMMYFUNCTION("""COMPUTED_VALUE"""),"clny")</f>
        <v>clny</v>
      </c>
      <c r="C2669" s="3" t="str">
        <f>IFERROR(__xludf.DUMMYFUNCTION("""COMPUTED_VALUE"""),"Colony Network")</f>
        <v>Colony Network</v>
      </c>
    </row>
    <row r="2670">
      <c r="A2670" s="3" t="str">
        <f>IFERROR(__xludf.DUMMYFUNCTION("""COMPUTED_VALUE"""),"colossuscoinxt")</f>
        <v>colossuscoinxt</v>
      </c>
      <c r="B2670" s="3" t="str">
        <f>IFERROR(__xludf.DUMMYFUNCTION("""COMPUTED_VALUE"""),"colx")</f>
        <v>colx</v>
      </c>
      <c r="C2670" s="3" t="str">
        <f>IFERROR(__xludf.DUMMYFUNCTION("""COMPUTED_VALUE"""),"ColossusXT")</f>
        <v>ColossusXT</v>
      </c>
    </row>
    <row r="2671">
      <c r="A2671" s="3" t="str">
        <f>IFERROR(__xludf.DUMMYFUNCTION("""COMPUTED_VALUE"""),"colr-coin")</f>
        <v>colr-coin</v>
      </c>
      <c r="B2671" s="3" t="str">
        <f>IFERROR(__xludf.DUMMYFUNCTION("""COMPUTED_VALUE"""),"$colr")</f>
        <v>$colr</v>
      </c>
      <c r="C2671" s="3" t="str">
        <f>IFERROR(__xludf.DUMMYFUNCTION("""COMPUTED_VALUE"""),"colR Coin")</f>
        <v>colR Coin</v>
      </c>
    </row>
    <row r="2672">
      <c r="A2672" s="3" t="str">
        <f>IFERROR(__xludf.DUMMYFUNCTION("""COMPUTED_VALUE"""),"columbus")</f>
        <v>columbus</v>
      </c>
      <c r="B2672" s="3" t="str">
        <f>IFERROR(__xludf.DUMMYFUNCTION("""COMPUTED_VALUE"""),"cbs")</f>
        <v>cbs</v>
      </c>
      <c r="C2672" s="3" t="str">
        <f>IFERROR(__xludf.DUMMYFUNCTION("""COMPUTED_VALUE"""),"Columbus")</f>
        <v>Columbus</v>
      </c>
    </row>
    <row r="2673">
      <c r="A2673" s="3" t="str">
        <f>IFERROR(__xludf.DUMMYFUNCTION("""COMPUTED_VALUE"""),"comb-finance")</f>
        <v>comb-finance</v>
      </c>
      <c r="B2673" s="3" t="str">
        <f>IFERROR(__xludf.DUMMYFUNCTION("""COMPUTED_VALUE"""),"comb")</f>
        <v>comb</v>
      </c>
      <c r="C2673" s="3" t="str">
        <f>IFERROR(__xludf.DUMMYFUNCTION("""COMPUTED_VALUE"""),"Comb Finance")</f>
        <v>Comb Finance</v>
      </c>
    </row>
    <row r="2674">
      <c r="A2674" s="3" t="str">
        <f>IFERROR(__xludf.DUMMYFUNCTION("""COMPUTED_VALUE"""),"combo-2")</f>
        <v>combo-2</v>
      </c>
      <c r="B2674" s="3" t="str">
        <f>IFERROR(__xludf.DUMMYFUNCTION("""COMPUTED_VALUE"""),"comb")</f>
        <v>comb</v>
      </c>
      <c r="C2674" s="3" t="str">
        <f>IFERROR(__xludf.DUMMYFUNCTION("""COMPUTED_VALUE"""),"Combo")</f>
        <v>Combo</v>
      </c>
    </row>
    <row r="2675">
      <c r="A2675" s="3" t="str">
        <f>IFERROR(__xludf.DUMMYFUNCTION("""COMPUTED_VALUE"""),"comdex")</f>
        <v>comdex</v>
      </c>
      <c r="B2675" s="3" t="str">
        <f>IFERROR(__xludf.DUMMYFUNCTION("""COMPUTED_VALUE"""),"cmdx")</f>
        <v>cmdx</v>
      </c>
      <c r="C2675" s="3" t="str">
        <f>IFERROR(__xludf.DUMMYFUNCTION("""COMPUTED_VALUE"""),"Comdex")</f>
        <v>Comdex</v>
      </c>
    </row>
    <row r="2676">
      <c r="A2676" s="3" t="str">
        <f>IFERROR(__xludf.DUMMYFUNCTION("""COMPUTED_VALUE"""),"comfy")</f>
        <v>comfy</v>
      </c>
      <c r="B2676" s="3" t="str">
        <f>IFERROR(__xludf.DUMMYFUNCTION("""COMPUTED_VALUE"""),"comfy")</f>
        <v>comfy</v>
      </c>
      <c r="C2676" s="3" t="str">
        <f>IFERROR(__xludf.DUMMYFUNCTION("""COMPUTED_VALUE"""),"Comfy")</f>
        <v>Comfy</v>
      </c>
    </row>
    <row r="2677">
      <c r="A2677" s="3" t="str">
        <f>IFERROR(__xludf.DUMMYFUNCTION("""COMPUTED_VALUE"""),"comfy-share")</f>
        <v>comfy-share</v>
      </c>
      <c r="B2677" s="3" t="str">
        <f>IFERROR(__xludf.DUMMYFUNCTION("""COMPUTED_VALUE"""),"cshare")</f>
        <v>cshare</v>
      </c>
      <c r="C2677" s="3" t="str">
        <f>IFERROR(__xludf.DUMMYFUNCTION("""COMPUTED_VALUE"""),"Comfy Share")</f>
        <v>Comfy Share</v>
      </c>
    </row>
    <row r="2678">
      <c r="A2678" s="3" t="str">
        <f>IFERROR(__xludf.DUMMYFUNCTION("""COMPUTED_VALUE"""),"communique")</f>
        <v>communique</v>
      </c>
      <c r="B2678" s="3" t="str">
        <f>IFERROR(__xludf.DUMMYFUNCTION("""COMPUTED_VALUE"""),"cmq")</f>
        <v>cmq</v>
      </c>
      <c r="C2678" s="3" t="str">
        <f>IFERROR(__xludf.DUMMYFUNCTION("""COMPUTED_VALUE"""),"Communique")</f>
        <v>Communique</v>
      </c>
    </row>
    <row r="2679">
      <c r="A2679" s="3" t="str">
        <f>IFERROR(__xludf.DUMMYFUNCTION("""COMPUTED_VALUE"""),"community-business-token")</f>
        <v>community-business-token</v>
      </c>
      <c r="B2679" s="3" t="str">
        <f>IFERROR(__xludf.DUMMYFUNCTION("""COMPUTED_VALUE"""),"cbt")</f>
        <v>cbt</v>
      </c>
      <c r="C2679" s="3" t="str">
        <f>IFERROR(__xludf.DUMMYFUNCTION("""COMPUTED_VALUE"""),"Community Business Token")</f>
        <v>Community Business Token</v>
      </c>
    </row>
    <row r="2680">
      <c r="A2680" s="3" t="str">
        <f>IFERROR(__xludf.DUMMYFUNCTION("""COMPUTED_VALUE"""),"community-coin-2")</f>
        <v>community-coin-2</v>
      </c>
      <c r="B2680" s="3" t="str">
        <f>IFERROR(__xludf.DUMMYFUNCTION("""COMPUTED_VALUE"""),"ctc")</f>
        <v>ctc</v>
      </c>
      <c r="C2680" s="3" t="str">
        <f>IFERROR(__xludf.DUMMYFUNCTION("""COMPUTED_VALUE"""),"Community Coin Foundation")</f>
        <v>Community Coin Foundation</v>
      </c>
    </row>
    <row r="2681">
      <c r="A2681" s="3" t="str">
        <f>IFERROR(__xludf.DUMMYFUNCTION("""COMPUTED_VALUE"""),"community-doge-coin")</f>
        <v>community-doge-coin</v>
      </c>
      <c r="B2681" s="3" t="str">
        <f>IFERROR(__xludf.DUMMYFUNCTION("""COMPUTED_VALUE"""),"ccdoge")</f>
        <v>ccdoge</v>
      </c>
      <c r="C2681" s="3" t="str">
        <f>IFERROR(__xludf.DUMMYFUNCTION("""COMPUTED_VALUE"""),"Community Doge Coin")</f>
        <v>Community Doge Coin</v>
      </c>
    </row>
    <row r="2682">
      <c r="A2682" s="3" t="str">
        <f>IFERROR(__xludf.DUMMYFUNCTION("""COMPUTED_VALUE"""),"community-metaverse")</f>
        <v>community-metaverse</v>
      </c>
      <c r="B2682" s="3" t="str">
        <f>IFERROR(__xludf.DUMMYFUNCTION("""COMPUTED_VALUE"""),"comt")</f>
        <v>comt</v>
      </c>
      <c r="C2682" s="3" t="str">
        <f>IFERROR(__xludf.DUMMYFUNCTION("""COMPUTED_VALUE"""),"Community Metaverse")</f>
        <v>Community Metaverse</v>
      </c>
    </row>
    <row r="2683">
      <c r="A2683" s="3" t="str">
        <f>IFERROR(__xludf.DUMMYFUNCTION("""COMPUTED_VALUE"""),"communitytoken")</f>
        <v>communitytoken</v>
      </c>
      <c r="B2683" s="3" t="str">
        <f>IFERROR(__xludf.DUMMYFUNCTION("""COMPUTED_VALUE"""),"ct")</f>
        <v>ct</v>
      </c>
      <c r="C2683" s="3" t="str">
        <f>IFERROR(__xludf.DUMMYFUNCTION("""COMPUTED_VALUE"""),"Cojam")</f>
        <v>Cojam</v>
      </c>
    </row>
    <row r="2684">
      <c r="A2684" s="3" t="str">
        <f>IFERROR(__xludf.DUMMYFUNCTION("""COMPUTED_VALUE"""),"community-vote-power")</f>
        <v>community-vote-power</v>
      </c>
      <c r="B2684" s="3" t="str">
        <f>IFERROR(__xludf.DUMMYFUNCTION("""COMPUTED_VALUE"""),"cvp")</f>
        <v>cvp</v>
      </c>
      <c r="C2684" s="3" t="str">
        <f>IFERROR(__xludf.DUMMYFUNCTION("""COMPUTED_VALUE"""),"Community Vote Power")</f>
        <v>Community Vote Power</v>
      </c>
    </row>
    <row r="2685">
      <c r="A2685" s="3" t="str">
        <f>IFERROR(__xludf.DUMMYFUNCTION("""COMPUTED_VALUE"""),"comodo-coin")</f>
        <v>comodo-coin</v>
      </c>
      <c r="B2685" s="3" t="str">
        <f>IFERROR(__xludf.DUMMYFUNCTION("""COMPUTED_VALUE"""),"cmd")</f>
        <v>cmd</v>
      </c>
      <c r="C2685" s="3" t="str">
        <f>IFERROR(__xludf.DUMMYFUNCTION("""COMPUTED_VALUE"""),"Comodo Coin")</f>
        <v>Comodo Coin</v>
      </c>
    </row>
    <row r="2686">
      <c r="A2686" s="3" t="str">
        <f>IFERROR(__xludf.DUMMYFUNCTION("""COMPUTED_VALUE"""),"companion")</f>
        <v>companion</v>
      </c>
      <c r="B2686" s="3" t="str">
        <f>IFERROR(__xludf.DUMMYFUNCTION("""COMPUTED_VALUE"""),"cmpn")</f>
        <v>cmpn</v>
      </c>
      <c r="C2686" s="3" t="str">
        <f>IFERROR(__xludf.DUMMYFUNCTION("""COMPUTED_VALUE"""),"Companion")</f>
        <v>Companion</v>
      </c>
    </row>
    <row r="2687">
      <c r="A2687" s="3" t="str">
        <f>IFERROR(__xludf.DUMMYFUNCTION("""COMPUTED_VALUE"""),"compendium-fi")</f>
        <v>compendium-fi</v>
      </c>
      <c r="B2687" s="3" t="str">
        <f>IFERROR(__xludf.DUMMYFUNCTION("""COMPUTED_VALUE"""),"cmfi")</f>
        <v>cmfi</v>
      </c>
      <c r="C2687" s="4" t="str">
        <f>IFERROR(__xludf.DUMMYFUNCTION("""COMPUTED_VALUE"""),"Compendium.Fi")</f>
        <v>Compendium.Fi</v>
      </c>
    </row>
    <row r="2688">
      <c r="A2688" s="3" t="str">
        <f>IFERROR(__xludf.DUMMYFUNCTION("""COMPUTED_VALUE"""),"complifi")</f>
        <v>complifi</v>
      </c>
      <c r="B2688" s="3" t="str">
        <f>IFERROR(__xludf.DUMMYFUNCTION("""COMPUTED_VALUE"""),"comfi")</f>
        <v>comfi</v>
      </c>
      <c r="C2688" s="3" t="str">
        <f>IFERROR(__xludf.DUMMYFUNCTION("""COMPUTED_VALUE"""),"CompliFi")</f>
        <v>CompliFi</v>
      </c>
    </row>
    <row r="2689">
      <c r="A2689" s="3" t="str">
        <f>IFERROR(__xludf.DUMMYFUNCTION("""COMPUTED_VALUE"""),"composable-finance-layr")</f>
        <v>composable-finance-layr</v>
      </c>
      <c r="B2689" s="3" t="str">
        <f>IFERROR(__xludf.DUMMYFUNCTION("""COMPUTED_VALUE"""),"layr")</f>
        <v>layr</v>
      </c>
      <c r="C2689" s="3" t="str">
        <f>IFERROR(__xludf.DUMMYFUNCTION("""COMPUTED_VALUE"""),"Composable Finance LAYR")</f>
        <v>Composable Finance LAYR</v>
      </c>
    </row>
    <row r="2690">
      <c r="A2690" s="3" t="str">
        <f>IFERROR(__xludf.DUMMYFUNCTION("""COMPUTED_VALUE"""),"compound-0x")</f>
        <v>compound-0x</v>
      </c>
      <c r="B2690" s="3" t="str">
        <f>IFERROR(__xludf.DUMMYFUNCTION("""COMPUTED_VALUE"""),"czrx")</f>
        <v>czrx</v>
      </c>
      <c r="C2690" s="3" t="str">
        <f>IFERROR(__xludf.DUMMYFUNCTION("""COMPUTED_VALUE"""),"c0x")</f>
        <v>c0x</v>
      </c>
    </row>
    <row r="2691">
      <c r="A2691" s="3" t="str">
        <f>IFERROR(__xludf.DUMMYFUNCTION("""COMPUTED_VALUE"""),"compound-basic-attention-token")</f>
        <v>compound-basic-attention-token</v>
      </c>
      <c r="B2691" s="3" t="str">
        <f>IFERROR(__xludf.DUMMYFUNCTION("""COMPUTED_VALUE"""),"cbat")</f>
        <v>cbat</v>
      </c>
      <c r="C2691" s="3" t="str">
        <f>IFERROR(__xludf.DUMMYFUNCTION("""COMPUTED_VALUE"""),"cBAT")</f>
        <v>cBAT</v>
      </c>
    </row>
    <row r="2692">
      <c r="A2692" s="3" t="str">
        <f>IFERROR(__xludf.DUMMYFUNCTION("""COMPUTED_VALUE"""),"compound-chainlink-token")</f>
        <v>compound-chainlink-token</v>
      </c>
      <c r="B2692" s="3" t="str">
        <f>IFERROR(__xludf.DUMMYFUNCTION("""COMPUTED_VALUE"""),"clink")</f>
        <v>clink</v>
      </c>
      <c r="C2692" s="3" t="str">
        <f>IFERROR(__xludf.DUMMYFUNCTION("""COMPUTED_VALUE"""),"cLINK")</f>
        <v>cLINK</v>
      </c>
    </row>
    <row r="2693">
      <c r="A2693" s="3" t="str">
        <f>IFERROR(__xludf.DUMMYFUNCTION("""COMPUTED_VALUE"""),"compound-coin")</f>
        <v>compound-coin</v>
      </c>
      <c r="B2693" s="3" t="str">
        <f>IFERROR(__xludf.DUMMYFUNCTION("""COMPUTED_VALUE"""),"comp")</f>
        <v>comp</v>
      </c>
      <c r="C2693" s="3" t="str">
        <f>IFERROR(__xludf.DUMMYFUNCTION("""COMPUTED_VALUE"""),"Compound Coin")</f>
        <v>Compound Coin</v>
      </c>
    </row>
    <row r="2694">
      <c r="A2694" s="3" t="str">
        <f>IFERROR(__xludf.DUMMYFUNCTION("""COMPUTED_VALUE"""),"compound-ether")</f>
        <v>compound-ether</v>
      </c>
      <c r="B2694" s="3" t="str">
        <f>IFERROR(__xludf.DUMMYFUNCTION("""COMPUTED_VALUE"""),"ceth")</f>
        <v>ceth</v>
      </c>
      <c r="C2694" s="3" t="str">
        <f>IFERROR(__xludf.DUMMYFUNCTION("""COMPUTED_VALUE"""),"cETH")</f>
        <v>cETH</v>
      </c>
    </row>
    <row r="2695">
      <c r="A2695" s="3" t="str">
        <f>IFERROR(__xludf.DUMMYFUNCTION("""COMPUTED_VALUE"""),"compound-governance-token")</f>
        <v>compound-governance-token</v>
      </c>
      <c r="B2695" s="3" t="str">
        <f>IFERROR(__xludf.DUMMYFUNCTION("""COMPUTED_VALUE"""),"comp")</f>
        <v>comp</v>
      </c>
      <c r="C2695" s="3" t="str">
        <f>IFERROR(__xludf.DUMMYFUNCTION("""COMPUTED_VALUE"""),"Compound")</f>
        <v>Compound</v>
      </c>
    </row>
    <row r="2696">
      <c r="A2696" s="3" t="str">
        <f>IFERROR(__xludf.DUMMYFUNCTION("""COMPUTED_VALUE"""),"compound-maker")</f>
        <v>compound-maker</v>
      </c>
      <c r="B2696" s="3" t="str">
        <f>IFERROR(__xludf.DUMMYFUNCTION("""COMPUTED_VALUE"""),"cmkr")</f>
        <v>cmkr</v>
      </c>
      <c r="C2696" s="3" t="str">
        <f>IFERROR(__xludf.DUMMYFUNCTION("""COMPUTED_VALUE"""),"cMKR")</f>
        <v>cMKR</v>
      </c>
    </row>
    <row r="2697">
      <c r="A2697" s="3" t="str">
        <f>IFERROR(__xludf.DUMMYFUNCTION("""COMPUTED_VALUE"""),"compound-sushi")</f>
        <v>compound-sushi</v>
      </c>
      <c r="B2697" s="3" t="str">
        <f>IFERROR(__xludf.DUMMYFUNCTION("""COMPUTED_VALUE"""),"csushi")</f>
        <v>csushi</v>
      </c>
      <c r="C2697" s="3" t="str">
        <f>IFERROR(__xludf.DUMMYFUNCTION("""COMPUTED_VALUE"""),"cSUSHI")</f>
        <v>cSUSHI</v>
      </c>
    </row>
    <row r="2698">
      <c r="A2698" s="3" t="str">
        <f>IFERROR(__xludf.DUMMYFUNCTION("""COMPUTED_VALUE"""),"compound-uniswap")</f>
        <v>compound-uniswap</v>
      </c>
      <c r="B2698" s="3" t="str">
        <f>IFERROR(__xludf.DUMMYFUNCTION("""COMPUTED_VALUE"""),"cuni")</f>
        <v>cuni</v>
      </c>
      <c r="C2698" s="3" t="str">
        <f>IFERROR(__xludf.DUMMYFUNCTION("""COMPUTED_VALUE"""),"cUNI")</f>
        <v>cUNI</v>
      </c>
    </row>
    <row r="2699">
      <c r="A2699" s="3" t="str">
        <f>IFERROR(__xludf.DUMMYFUNCTION("""COMPUTED_VALUE"""),"compound-usd-coin")</f>
        <v>compound-usd-coin</v>
      </c>
      <c r="B2699" s="3" t="str">
        <f>IFERROR(__xludf.DUMMYFUNCTION("""COMPUTED_VALUE"""),"cusdc")</f>
        <v>cusdc</v>
      </c>
      <c r="C2699" s="3" t="str">
        <f>IFERROR(__xludf.DUMMYFUNCTION("""COMPUTED_VALUE"""),"cUSDC")</f>
        <v>cUSDC</v>
      </c>
    </row>
    <row r="2700">
      <c r="A2700" s="3" t="str">
        <f>IFERROR(__xludf.DUMMYFUNCTION("""COMPUTED_VALUE"""),"compound-usdt")</f>
        <v>compound-usdt</v>
      </c>
      <c r="B2700" s="3" t="str">
        <f>IFERROR(__xludf.DUMMYFUNCTION("""COMPUTED_VALUE"""),"cusdt")</f>
        <v>cusdt</v>
      </c>
      <c r="C2700" s="3" t="str">
        <f>IFERROR(__xludf.DUMMYFUNCTION("""COMPUTED_VALUE"""),"cUSDT")</f>
        <v>cUSDT</v>
      </c>
    </row>
    <row r="2701">
      <c r="A2701" s="3" t="str">
        <f>IFERROR(__xludf.DUMMYFUNCTION("""COMPUTED_VALUE"""),"compound-wrapped-btc")</f>
        <v>compound-wrapped-btc</v>
      </c>
      <c r="B2701" s="3" t="str">
        <f>IFERROR(__xludf.DUMMYFUNCTION("""COMPUTED_VALUE"""),"cwbtc")</f>
        <v>cwbtc</v>
      </c>
      <c r="C2701" s="3" t="str">
        <f>IFERROR(__xludf.DUMMYFUNCTION("""COMPUTED_VALUE"""),"cWBTC")</f>
        <v>cWBTC</v>
      </c>
    </row>
    <row r="2702">
      <c r="A2702" s="3" t="str">
        <f>IFERROR(__xludf.DUMMYFUNCTION("""COMPUTED_VALUE"""),"compound-yearn-finance")</f>
        <v>compound-yearn-finance</v>
      </c>
      <c r="B2702" s="3" t="str">
        <f>IFERROR(__xludf.DUMMYFUNCTION("""COMPUTED_VALUE"""),"cyfi")</f>
        <v>cyfi</v>
      </c>
      <c r="C2702" s="3" t="str">
        <f>IFERROR(__xludf.DUMMYFUNCTION("""COMPUTED_VALUE"""),"cYFI")</f>
        <v>cYFI</v>
      </c>
    </row>
    <row r="2703">
      <c r="A2703" s="3" t="str">
        <f>IFERROR(__xludf.DUMMYFUNCTION("""COMPUTED_VALUE"""),"comsa")</f>
        <v>comsa</v>
      </c>
      <c r="B2703" s="3" t="str">
        <f>IFERROR(__xludf.DUMMYFUNCTION("""COMPUTED_VALUE"""),"cms")</f>
        <v>cms</v>
      </c>
      <c r="C2703" s="3" t="str">
        <f>IFERROR(__xludf.DUMMYFUNCTION("""COMPUTED_VALUE"""),"COMSA")</f>
        <v>COMSA</v>
      </c>
    </row>
    <row r="2704">
      <c r="A2704" s="3" t="str">
        <f>IFERROR(__xludf.DUMMYFUNCTION("""COMPUTED_VALUE"""),"comtech-gold")</f>
        <v>comtech-gold</v>
      </c>
      <c r="B2704" s="3" t="str">
        <f>IFERROR(__xludf.DUMMYFUNCTION("""COMPUTED_VALUE"""),"cgo")</f>
        <v>cgo</v>
      </c>
      <c r="C2704" s="3" t="str">
        <f>IFERROR(__xludf.DUMMYFUNCTION("""COMPUTED_VALUE"""),"Comtech Gold")</f>
        <v>Comtech Gold</v>
      </c>
    </row>
    <row r="2705">
      <c r="A2705" s="3" t="str">
        <f>IFERROR(__xludf.DUMMYFUNCTION("""COMPUTED_VALUE"""),"concave")</f>
        <v>concave</v>
      </c>
      <c r="B2705" s="3" t="str">
        <f>IFERROR(__xludf.DUMMYFUNCTION("""COMPUTED_VALUE"""),"cnv")</f>
        <v>cnv</v>
      </c>
      <c r="C2705" s="3" t="str">
        <f>IFERROR(__xludf.DUMMYFUNCTION("""COMPUTED_VALUE"""),"Concave")</f>
        <v>Concave</v>
      </c>
    </row>
    <row r="2706">
      <c r="A2706" s="3" t="str">
        <f>IFERROR(__xludf.DUMMYFUNCTION("""COMPUTED_VALUE"""),"conceal")</f>
        <v>conceal</v>
      </c>
      <c r="B2706" s="3" t="str">
        <f>IFERROR(__xludf.DUMMYFUNCTION("""COMPUTED_VALUE"""),"ccx")</f>
        <v>ccx</v>
      </c>
      <c r="C2706" s="3" t="str">
        <f>IFERROR(__xludf.DUMMYFUNCTION("""COMPUTED_VALUE"""),"Conceal")</f>
        <v>Conceal</v>
      </c>
    </row>
    <row r="2707">
      <c r="A2707" s="3" t="str">
        <f>IFERROR(__xludf.DUMMYFUNCTION("""COMPUTED_VALUE"""),"concentrated-voting-power")</f>
        <v>concentrated-voting-power</v>
      </c>
      <c r="B2707" s="3" t="str">
        <f>IFERROR(__xludf.DUMMYFUNCTION("""COMPUTED_VALUE"""),"cvp")</f>
        <v>cvp</v>
      </c>
      <c r="C2707" s="3" t="str">
        <f>IFERROR(__xludf.DUMMYFUNCTION("""COMPUTED_VALUE"""),"PowerPool Concentrated Voting Power")</f>
        <v>PowerPool Concentrated Voting Power</v>
      </c>
    </row>
    <row r="2708">
      <c r="A2708" s="3" t="str">
        <f>IFERROR(__xludf.DUMMYFUNCTION("""COMPUTED_VALUE"""),"concentrator")</f>
        <v>concentrator</v>
      </c>
      <c r="B2708" s="3" t="str">
        <f>IFERROR(__xludf.DUMMYFUNCTION("""COMPUTED_VALUE"""),"ctr")</f>
        <v>ctr</v>
      </c>
      <c r="C2708" s="3" t="str">
        <f>IFERROR(__xludf.DUMMYFUNCTION("""COMPUTED_VALUE"""),"Concentrator")</f>
        <v>Concentrator</v>
      </c>
    </row>
    <row r="2709">
      <c r="A2709" s="3" t="str">
        <f>IFERROR(__xludf.DUMMYFUNCTION("""COMPUTED_VALUE"""),"concertvr")</f>
        <v>concertvr</v>
      </c>
      <c r="B2709" s="3" t="str">
        <f>IFERROR(__xludf.DUMMYFUNCTION("""COMPUTED_VALUE"""),"cvt")</f>
        <v>cvt</v>
      </c>
      <c r="C2709" s="3" t="str">
        <f>IFERROR(__xludf.DUMMYFUNCTION("""COMPUTED_VALUE"""),"concertVR")</f>
        <v>concertVR</v>
      </c>
    </row>
    <row r="2710">
      <c r="A2710" s="3" t="str">
        <f>IFERROR(__xludf.DUMMYFUNCTION("""COMPUTED_VALUE"""),"concierge-io")</f>
        <v>concierge-io</v>
      </c>
      <c r="B2710" s="3" t="str">
        <f>IFERROR(__xludf.DUMMYFUNCTION("""COMPUTED_VALUE"""),"ava")</f>
        <v>ava</v>
      </c>
      <c r="C2710" s="4" t="str">
        <f>IFERROR(__xludf.DUMMYFUNCTION("""COMPUTED_VALUE"""),"Travala.com")</f>
        <v>Travala.com</v>
      </c>
    </row>
    <row r="2711">
      <c r="A2711" s="3" t="str">
        <f>IFERROR(__xludf.DUMMYFUNCTION("""COMPUTED_VALUE"""),"concordium")</f>
        <v>concordium</v>
      </c>
      <c r="B2711" s="3" t="str">
        <f>IFERROR(__xludf.DUMMYFUNCTION("""COMPUTED_VALUE"""),"ccd")</f>
        <v>ccd</v>
      </c>
      <c r="C2711" s="3" t="str">
        <f>IFERROR(__xludf.DUMMYFUNCTION("""COMPUTED_VALUE"""),"Concordium")</f>
        <v>Concordium</v>
      </c>
    </row>
    <row r="2712">
      <c r="A2712" s="3" t="str">
        <f>IFERROR(__xludf.DUMMYFUNCTION("""COMPUTED_VALUE"""),"concrete-codes")</f>
        <v>concrete-codes</v>
      </c>
      <c r="B2712" s="3" t="str">
        <f>IFERROR(__xludf.DUMMYFUNCTION("""COMPUTED_VALUE"""),"conc")</f>
        <v>conc</v>
      </c>
      <c r="C2712" s="3" t="str">
        <f>IFERROR(__xludf.DUMMYFUNCTION("""COMPUTED_VALUE"""),"Concrete Codes")</f>
        <v>Concrete Codes</v>
      </c>
    </row>
    <row r="2713">
      <c r="A2713" s="3" t="str">
        <f>IFERROR(__xludf.DUMMYFUNCTION("""COMPUTED_VALUE"""),"condorchain")</f>
        <v>condorchain</v>
      </c>
      <c r="B2713" s="3" t="str">
        <f>IFERROR(__xludf.DUMMYFUNCTION("""COMPUTED_VALUE"""),"cdr")</f>
        <v>cdr</v>
      </c>
      <c r="C2713" s="3" t="str">
        <f>IFERROR(__xludf.DUMMYFUNCTION("""COMPUTED_VALUE"""),"CondorChain")</f>
        <v>CondorChain</v>
      </c>
    </row>
    <row r="2714">
      <c r="A2714" s="3" t="str">
        <f>IFERROR(__xludf.DUMMYFUNCTION("""COMPUTED_VALUE"""),"confetti")</f>
        <v>confetti</v>
      </c>
      <c r="B2714" s="3" t="str">
        <f>IFERROR(__xludf.DUMMYFUNCTION("""COMPUTED_VALUE"""),"cfti")</f>
        <v>cfti</v>
      </c>
      <c r="C2714" s="3" t="str">
        <f>IFERROR(__xludf.DUMMYFUNCTION("""COMPUTED_VALUE"""),"Confetti")</f>
        <v>Confetti</v>
      </c>
    </row>
    <row r="2715">
      <c r="A2715" s="3" t="str">
        <f>IFERROR(__xludf.DUMMYFUNCTION("""COMPUTED_VALUE"""),"conflux-token")</f>
        <v>conflux-token</v>
      </c>
      <c r="B2715" s="3" t="str">
        <f>IFERROR(__xludf.DUMMYFUNCTION("""COMPUTED_VALUE"""),"cfx")</f>
        <v>cfx</v>
      </c>
      <c r="C2715" s="3" t="str">
        <f>IFERROR(__xludf.DUMMYFUNCTION("""COMPUTED_VALUE"""),"Conflux")</f>
        <v>Conflux</v>
      </c>
    </row>
    <row r="2716">
      <c r="A2716" s="3" t="str">
        <f>IFERROR(__xludf.DUMMYFUNCTION("""COMPUTED_VALUE"""),"conic-finance")</f>
        <v>conic-finance</v>
      </c>
      <c r="B2716" s="3" t="str">
        <f>IFERROR(__xludf.DUMMYFUNCTION("""COMPUTED_VALUE"""),"cnc")</f>
        <v>cnc</v>
      </c>
      <c r="C2716" s="3" t="str">
        <f>IFERROR(__xludf.DUMMYFUNCTION("""COMPUTED_VALUE"""),"Conic")</f>
        <v>Conic</v>
      </c>
    </row>
    <row r="2717">
      <c r="A2717" s="3" t="str">
        <f>IFERROR(__xludf.DUMMYFUNCTION("""COMPUTED_VALUE"""),"conjee")</f>
        <v>conjee</v>
      </c>
      <c r="B2717" s="3" t="str">
        <f>IFERROR(__xludf.DUMMYFUNCTION("""COMPUTED_VALUE"""),"conj")</f>
        <v>conj</v>
      </c>
      <c r="C2717" s="3" t="str">
        <f>IFERROR(__xludf.DUMMYFUNCTION("""COMPUTED_VALUE"""),"Conjee")</f>
        <v>Conjee</v>
      </c>
    </row>
    <row r="2718">
      <c r="A2718" s="3" t="str">
        <f>IFERROR(__xludf.DUMMYFUNCTION("""COMPUTED_VALUE"""),"connect-coin")</f>
        <v>connect-coin</v>
      </c>
      <c r="B2718" s="3" t="str">
        <f>IFERROR(__xludf.DUMMYFUNCTION("""COMPUTED_VALUE"""),"xcon")</f>
        <v>xcon</v>
      </c>
      <c r="C2718" s="3" t="str">
        <f>IFERROR(__xludf.DUMMYFUNCTION("""COMPUTED_VALUE"""),"Connect Coin")</f>
        <v>Connect Coin</v>
      </c>
    </row>
    <row r="2719">
      <c r="A2719" s="3" t="str">
        <f>IFERROR(__xludf.DUMMYFUNCTION("""COMPUTED_VALUE"""),"connect-financial")</f>
        <v>connect-financial</v>
      </c>
      <c r="B2719" s="3" t="str">
        <f>IFERROR(__xludf.DUMMYFUNCTION("""COMPUTED_VALUE"""),"cnfi")</f>
        <v>cnfi</v>
      </c>
      <c r="C2719" s="3" t="str">
        <f>IFERROR(__xludf.DUMMYFUNCTION("""COMPUTED_VALUE"""),"Connect Financial")</f>
        <v>Connect Financial</v>
      </c>
    </row>
    <row r="2720">
      <c r="A2720" s="3" t="str">
        <f>IFERROR(__xludf.DUMMYFUNCTION("""COMPUTED_VALUE"""),"connectico")</f>
        <v>connectico</v>
      </c>
      <c r="B2720" s="3" t="str">
        <f>IFERROR(__xludf.DUMMYFUNCTION("""COMPUTED_VALUE"""),"con")</f>
        <v>con</v>
      </c>
      <c r="C2720" s="3" t="str">
        <f>IFERROR(__xludf.DUMMYFUNCTION("""COMPUTED_VALUE"""),"Connectico")</f>
        <v>Connectico</v>
      </c>
    </row>
    <row r="2721">
      <c r="A2721" s="3" t="str">
        <f>IFERROR(__xludf.DUMMYFUNCTION("""COMPUTED_VALUE"""),"connectjob")</f>
        <v>connectjob</v>
      </c>
      <c r="B2721" s="3" t="str">
        <f>IFERROR(__xludf.DUMMYFUNCTION("""COMPUTED_VALUE"""),"cjt")</f>
        <v>cjt</v>
      </c>
      <c r="C2721" s="3" t="str">
        <f>IFERROR(__xludf.DUMMYFUNCTION("""COMPUTED_VALUE"""),"ConnectJob")</f>
        <v>ConnectJob</v>
      </c>
    </row>
    <row r="2722">
      <c r="A2722" s="3" t="str">
        <f>IFERROR(__xludf.DUMMYFUNCTION("""COMPUTED_VALUE"""),"connectome")</f>
        <v>connectome</v>
      </c>
      <c r="B2722" s="3" t="str">
        <f>IFERROR(__xludf.DUMMYFUNCTION("""COMPUTED_VALUE"""),"cntm")</f>
        <v>cntm</v>
      </c>
      <c r="C2722" s="3" t="str">
        <f>IFERROR(__xludf.DUMMYFUNCTION("""COMPUTED_VALUE"""),"Connectome")</f>
        <v>Connectome</v>
      </c>
    </row>
    <row r="2723">
      <c r="A2723" s="3" t="str">
        <f>IFERROR(__xludf.DUMMYFUNCTION("""COMPUTED_VALUE"""),"connect-token")</f>
        <v>connect-token</v>
      </c>
      <c r="B2723" s="3" t="str">
        <f>IFERROR(__xludf.DUMMYFUNCTION("""COMPUTED_VALUE"""),"cnt")</f>
        <v>cnt</v>
      </c>
      <c r="C2723" s="3" t="str">
        <f>IFERROR(__xludf.DUMMYFUNCTION("""COMPUTED_VALUE"""),"Connect Stela")</f>
        <v>Connect Stela</v>
      </c>
    </row>
    <row r="2724">
      <c r="A2724" s="3" t="str">
        <f>IFERROR(__xludf.DUMMYFUNCTION("""COMPUTED_VALUE"""),"constellation-labs")</f>
        <v>constellation-labs</v>
      </c>
      <c r="B2724" s="3" t="str">
        <f>IFERROR(__xludf.DUMMYFUNCTION("""COMPUTED_VALUE"""),"dag")</f>
        <v>dag</v>
      </c>
      <c r="C2724" s="3" t="str">
        <f>IFERROR(__xludf.DUMMYFUNCTION("""COMPUTED_VALUE"""),"Constellation")</f>
        <v>Constellation</v>
      </c>
    </row>
    <row r="2725">
      <c r="A2725" s="3" t="str">
        <f>IFERROR(__xludf.DUMMYFUNCTION("""COMPUTED_VALUE"""),"constitutiondao")</f>
        <v>constitutiondao</v>
      </c>
      <c r="B2725" s="3" t="str">
        <f>IFERROR(__xludf.DUMMYFUNCTION("""COMPUTED_VALUE"""),"people")</f>
        <v>people</v>
      </c>
      <c r="C2725" s="3" t="str">
        <f>IFERROR(__xludf.DUMMYFUNCTION("""COMPUTED_VALUE"""),"ConstitutionDAO")</f>
        <v>ConstitutionDAO</v>
      </c>
    </row>
    <row r="2726">
      <c r="A2726" s="3" t="str">
        <f>IFERROR(__xludf.DUMMYFUNCTION("""COMPUTED_VALUE"""),"constitutiondao-wormhole")</f>
        <v>constitutiondao-wormhole</v>
      </c>
      <c r="B2726" s="3" t="str">
        <f>IFERROR(__xludf.DUMMYFUNCTION("""COMPUTED_VALUE"""),"people")</f>
        <v>people</v>
      </c>
      <c r="C2726" s="3" t="str">
        <f>IFERROR(__xludf.DUMMYFUNCTION("""COMPUTED_VALUE"""),"ConstitutionDAO (Wormhole)")</f>
        <v>ConstitutionDAO (Wormhole)</v>
      </c>
    </row>
    <row r="2727">
      <c r="A2727" s="3" t="str">
        <f>IFERROR(__xludf.DUMMYFUNCTION("""COMPUTED_VALUE"""),"contentbox")</f>
        <v>contentbox</v>
      </c>
      <c r="B2727" s="3" t="str">
        <f>IFERROR(__xludf.DUMMYFUNCTION("""COMPUTED_VALUE"""),"box")</f>
        <v>box</v>
      </c>
      <c r="C2727" s="3" t="str">
        <f>IFERROR(__xludf.DUMMYFUNCTION("""COMPUTED_VALUE"""),"ContentBox")</f>
        <v>ContentBox</v>
      </c>
    </row>
    <row r="2728">
      <c r="A2728" s="3" t="str">
        <f>IFERROR(__xludf.DUMMYFUNCTION("""COMPUTED_VALUE"""),"contentos")</f>
        <v>contentos</v>
      </c>
      <c r="B2728" s="3" t="str">
        <f>IFERROR(__xludf.DUMMYFUNCTION("""COMPUTED_VALUE"""),"cos")</f>
        <v>cos</v>
      </c>
      <c r="C2728" s="3" t="str">
        <f>IFERROR(__xludf.DUMMYFUNCTION("""COMPUTED_VALUE"""),"Contentos")</f>
        <v>Contentos</v>
      </c>
    </row>
    <row r="2729">
      <c r="A2729" s="3" t="str">
        <f>IFERROR(__xludf.DUMMYFUNCTION("""COMPUTED_VALUE"""),"contents-shopper-token")</f>
        <v>contents-shopper-token</v>
      </c>
      <c r="B2729" s="3" t="str">
        <f>IFERROR(__xludf.DUMMYFUNCTION("""COMPUTED_VALUE"""),"cst")</f>
        <v>cst</v>
      </c>
      <c r="C2729" s="3" t="str">
        <f>IFERROR(__xludf.DUMMYFUNCTION("""COMPUTED_VALUE"""),"Contents Shopper Token")</f>
        <v>Contents Shopper Token</v>
      </c>
    </row>
    <row r="2730">
      <c r="A2730" s="3" t="str">
        <f>IFERROR(__xludf.DUMMYFUNCTION("""COMPUTED_VALUE"""),"content-value-network")</f>
        <v>content-value-network</v>
      </c>
      <c r="B2730" s="3" t="str">
        <f>IFERROR(__xludf.DUMMYFUNCTION("""COMPUTED_VALUE"""),"cvnt")</f>
        <v>cvnt</v>
      </c>
      <c r="C2730" s="3" t="str">
        <f>IFERROR(__xludf.DUMMYFUNCTION("""COMPUTED_VALUE"""),"Conscious Value Network")</f>
        <v>Conscious Value Network</v>
      </c>
    </row>
    <row r="2731">
      <c r="A2731" s="3" t="str">
        <f>IFERROR(__xludf.DUMMYFUNCTION("""COMPUTED_VALUE"""),"continuum-finance")</f>
        <v>continuum-finance</v>
      </c>
      <c r="B2731" s="3" t="str">
        <f>IFERROR(__xludf.DUMMYFUNCTION("""COMPUTED_VALUE"""),"ctn")</f>
        <v>ctn</v>
      </c>
      <c r="C2731" s="3" t="str">
        <f>IFERROR(__xludf.DUMMYFUNCTION("""COMPUTED_VALUE"""),"Continuum Finance")</f>
        <v>Continuum Finance</v>
      </c>
    </row>
    <row r="2732">
      <c r="A2732" s="3" t="str">
        <f>IFERROR(__xludf.DUMMYFUNCTION("""COMPUTED_VALUE"""),"continuum-world")</f>
        <v>continuum-world</v>
      </c>
      <c r="B2732" s="3" t="str">
        <f>IFERROR(__xludf.DUMMYFUNCTION("""COMPUTED_VALUE"""),"um")</f>
        <v>um</v>
      </c>
      <c r="C2732" s="3" t="str">
        <f>IFERROR(__xludf.DUMMYFUNCTION("""COMPUTED_VALUE"""),"Continuum World")</f>
        <v>Continuum World</v>
      </c>
    </row>
    <row r="2733">
      <c r="A2733" s="3" t="str">
        <f>IFERROR(__xludf.DUMMYFUNCTION("""COMPUTED_VALUE"""),"contracoin")</f>
        <v>contracoin</v>
      </c>
      <c r="B2733" s="3" t="str">
        <f>IFERROR(__xludf.DUMMYFUNCTION("""COMPUTED_VALUE"""),"ctcn")</f>
        <v>ctcn</v>
      </c>
      <c r="C2733" s="3" t="str">
        <f>IFERROR(__xludf.DUMMYFUNCTION("""COMPUTED_VALUE"""),"Contracoin")</f>
        <v>Contracoin</v>
      </c>
    </row>
    <row r="2734">
      <c r="A2734" s="3" t="str">
        <f>IFERROR(__xludf.DUMMYFUNCTION("""COMPUTED_VALUE"""),"contracto")</f>
        <v>contracto</v>
      </c>
      <c r="B2734" s="3" t="str">
        <f>IFERROR(__xludf.DUMMYFUNCTION("""COMPUTED_VALUE"""),"lock")</f>
        <v>lock</v>
      </c>
      <c r="C2734" s="3" t="str">
        <f>IFERROR(__xludf.DUMMYFUNCTION("""COMPUTED_VALUE"""),"Contracto")</f>
        <v>Contracto</v>
      </c>
    </row>
    <row r="2735">
      <c r="A2735" s="3" t="str">
        <f>IFERROR(__xludf.DUMMYFUNCTION("""COMPUTED_VALUE"""),"contribute")</f>
        <v>contribute</v>
      </c>
      <c r="B2735" s="3" t="str">
        <f>IFERROR(__xludf.DUMMYFUNCTION("""COMPUTED_VALUE"""),"trib")</f>
        <v>trib</v>
      </c>
      <c r="C2735" s="3" t="str">
        <f>IFERROR(__xludf.DUMMYFUNCTION("""COMPUTED_VALUE"""),"Contribute")</f>
        <v>Contribute</v>
      </c>
    </row>
    <row r="2736">
      <c r="A2736" s="3" t="str">
        <f>IFERROR(__xludf.DUMMYFUNCTION("""COMPUTED_VALUE"""),"conun")</f>
        <v>conun</v>
      </c>
      <c r="B2736" s="3" t="str">
        <f>IFERROR(__xludf.DUMMYFUNCTION("""COMPUTED_VALUE"""),"con")</f>
        <v>con</v>
      </c>
      <c r="C2736" s="3" t="str">
        <f>IFERROR(__xludf.DUMMYFUNCTION("""COMPUTED_VALUE"""),"CONUN")</f>
        <v>CONUN</v>
      </c>
    </row>
    <row r="2737">
      <c r="A2737" s="3" t="str">
        <f>IFERROR(__xludf.DUMMYFUNCTION("""COMPUTED_VALUE"""),"convergence")</f>
        <v>convergence</v>
      </c>
      <c r="B2737" s="3" t="str">
        <f>IFERROR(__xludf.DUMMYFUNCTION("""COMPUTED_VALUE"""),"conv")</f>
        <v>conv</v>
      </c>
      <c r="C2737" s="3" t="str">
        <f>IFERROR(__xludf.DUMMYFUNCTION("""COMPUTED_VALUE"""),"Convergence")</f>
        <v>Convergence</v>
      </c>
    </row>
    <row r="2738">
      <c r="A2738" s="3" t="str">
        <f>IFERROR(__xludf.DUMMYFUNCTION("""COMPUTED_VALUE"""),"converter-finance")</f>
        <v>converter-finance</v>
      </c>
      <c r="B2738" s="3" t="str">
        <f>IFERROR(__xludf.DUMMYFUNCTION("""COMPUTED_VALUE"""),"con")</f>
        <v>con</v>
      </c>
      <c r="C2738" s="3" t="str">
        <f>IFERROR(__xludf.DUMMYFUNCTION("""COMPUTED_VALUE"""),"Converter Finance")</f>
        <v>Converter Finance</v>
      </c>
    </row>
    <row r="2739">
      <c r="A2739" s="3" t="str">
        <f>IFERROR(__xludf.DUMMYFUNCTION("""COMPUTED_VALUE"""),"convex-crv")</f>
        <v>convex-crv</v>
      </c>
      <c r="B2739" s="3" t="str">
        <f>IFERROR(__xludf.DUMMYFUNCTION("""COMPUTED_VALUE"""),"cvxcrv")</f>
        <v>cvxcrv</v>
      </c>
      <c r="C2739" s="3" t="str">
        <f>IFERROR(__xludf.DUMMYFUNCTION("""COMPUTED_VALUE"""),"Convex CRV")</f>
        <v>Convex CRV</v>
      </c>
    </row>
    <row r="2740">
      <c r="A2740" s="3" t="str">
        <f>IFERROR(__xludf.DUMMYFUNCTION("""COMPUTED_VALUE"""),"convex-finance")</f>
        <v>convex-finance</v>
      </c>
      <c r="B2740" s="3" t="str">
        <f>IFERROR(__xludf.DUMMYFUNCTION("""COMPUTED_VALUE"""),"cvx")</f>
        <v>cvx</v>
      </c>
      <c r="C2740" s="3" t="str">
        <f>IFERROR(__xludf.DUMMYFUNCTION("""COMPUTED_VALUE"""),"Convex Finance")</f>
        <v>Convex Finance</v>
      </c>
    </row>
    <row r="2741">
      <c r="A2741" s="3" t="str">
        <f>IFERROR(__xludf.DUMMYFUNCTION("""COMPUTED_VALUE"""),"cook")</f>
        <v>cook</v>
      </c>
      <c r="B2741" s="3" t="str">
        <f>IFERROR(__xludf.DUMMYFUNCTION("""COMPUTED_VALUE"""),"cook")</f>
        <v>cook</v>
      </c>
      <c r="C2741" s="3" t="str">
        <f>IFERROR(__xludf.DUMMYFUNCTION("""COMPUTED_VALUE"""),"Cook")</f>
        <v>Cook</v>
      </c>
    </row>
    <row r="2742">
      <c r="A2742" s="3" t="str">
        <f>IFERROR(__xludf.DUMMYFUNCTION("""COMPUTED_VALUE"""),"cookiesale")</f>
        <v>cookiesale</v>
      </c>
      <c r="B2742" s="3" t="str">
        <f>IFERROR(__xludf.DUMMYFUNCTION("""COMPUTED_VALUE"""),"cookie")</f>
        <v>cookie</v>
      </c>
      <c r="C2742" s="3" t="str">
        <f>IFERROR(__xludf.DUMMYFUNCTION("""COMPUTED_VALUE"""),"CookieSale")</f>
        <v>CookieSale</v>
      </c>
    </row>
    <row r="2743">
      <c r="A2743" s="3" t="str">
        <f>IFERROR(__xludf.DUMMYFUNCTION("""COMPUTED_VALUE"""),"cool-cats")</f>
        <v>cool-cats</v>
      </c>
      <c r="B2743" s="3" t="str">
        <f>IFERROR(__xludf.DUMMYFUNCTION("""COMPUTED_VALUE"""),"cool20")</f>
        <v>cool20</v>
      </c>
      <c r="C2743" s="3" t="str">
        <f>IFERROR(__xludf.DUMMYFUNCTION("""COMPUTED_VALUE"""),"Cool Cats")</f>
        <v>Cool Cats</v>
      </c>
    </row>
    <row r="2744">
      <c r="A2744" s="3" t="str">
        <f>IFERROR(__xludf.DUMMYFUNCTION("""COMPUTED_VALUE"""),"coolmining")</f>
        <v>coolmining</v>
      </c>
      <c r="B2744" s="3" t="str">
        <f>IFERROR(__xludf.DUMMYFUNCTION("""COMPUTED_VALUE"""),"cooha")</f>
        <v>cooha</v>
      </c>
      <c r="C2744" s="3" t="str">
        <f>IFERROR(__xludf.DUMMYFUNCTION("""COMPUTED_VALUE"""),"CoolMining")</f>
        <v>CoolMining</v>
      </c>
    </row>
    <row r="2745">
      <c r="A2745" s="3" t="str">
        <f>IFERROR(__xludf.DUMMYFUNCTION("""COMPUTED_VALUE"""),"cool-monke-banana")</f>
        <v>cool-monke-banana</v>
      </c>
      <c r="B2745" s="3" t="str">
        <f>IFERROR(__xludf.DUMMYFUNCTION("""COMPUTED_VALUE"""),"cmb")</f>
        <v>cmb</v>
      </c>
      <c r="C2745" s="3" t="str">
        <f>IFERROR(__xludf.DUMMYFUNCTION("""COMPUTED_VALUE"""),"Cool Monke Banana")</f>
        <v>Cool Monke Banana</v>
      </c>
    </row>
    <row r="2746">
      <c r="A2746" s="3" t="str">
        <f>IFERROR(__xludf.DUMMYFUNCTION("""COMPUTED_VALUE"""),"cool-vault-nftx")</f>
        <v>cool-vault-nftx</v>
      </c>
      <c r="B2746" s="3" t="str">
        <f>IFERROR(__xludf.DUMMYFUNCTION("""COMPUTED_VALUE"""),"cool")</f>
        <v>cool</v>
      </c>
      <c r="C2746" s="3" t="str">
        <f>IFERROR(__xludf.DUMMYFUNCTION("""COMPUTED_VALUE"""),"COOL Vault (NFTX)")</f>
        <v>COOL Vault (NFTX)</v>
      </c>
    </row>
    <row r="2747">
      <c r="A2747" s="3" t="str">
        <f>IFERROR(__xludf.DUMMYFUNCTION("""COMPUTED_VALUE"""),"cope")</f>
        <v>cope</v>
      </c>
      <c r="B2747" s="3" t="str">
        <f>IFERROR(__xludf.DUMMYFUNCTION("""COMPUTED_VALUE"""),"cope")</f>
        <v>cope</v>
      </c>
      <c r="C2747" s="3" t="str">
        <f>IFERROR(__xludf.DUMMYFUNCTION("""COMPUTED_VALUE"""),"Cope")</f>
        <v>Cope</v>
      </c>
    </row>
    <row r="2748">
      <c r="A2748" s="3" t="str">
        <f>IFERROR(__xludf.DUMMYFUNCTION("""COMPUTED_VALUE"""),"copiosa")</f>
        <v>copiosa</v>
      </c>
      <c r="B2748" s="3" t="str">
        <f>IFERROR(__xludf.DUMMYFUNCTION("""COMPUTED_VALUE"""),"cop")</f>
        <v>cop</v>
      </c>
      <c r="C2748" s="3" t="str">
        <f>IFERROR(__xludf.DUMMYFUNCTION("""COMPUTED_VALUE"""),"Copiosa")</f>
        <v>Copiosa</v>
      </c>
    </row>
    <row r="2749">
      <c r="A2749" s="3" t="str">
        <f>IFERROR(__xludf.DUMMYFUNCTION("""COMPUTED_VALUE"""),"copuppy")</f>
        <v>copuppy</v>
      </c>
      <c r="B2749" s="3" t="str">
        <f>IFERROR(__xludf.DUMMYFUNCTION("""COMPUTED_VALUE"""),"cp")</f>
        <v>cp</v>
      </c>
      <c r="C2749" s="3" t="str">
        <f>IFERROR(__xludf.DUMMYFUNCTION("""COMPUTED_VALUE"""),"CoPuppy")</f>
        <v>CoPuppy</v>
      </c>
    </row>
    <row r="2750">
      <c r="A2750" s="3" t="str">
        <f>IFERROR(__xludf.DUMMYFUNCTION("""COMPUTED_VALUE"""),"copycat-finance")</f>
        <v>copycat-finance</v>
      </c>
      <c r="B2750" s="3" t="str">
        <f>IFERROR(__xludf.DUMMYFUNCTION("""COMPUTED_VALUE"""),"copycat")</f>
        <v>copycat</v>
      </c>
      <c r="C2750" s="3" t="str">
        <f>IFERROR(__xludf.DUMMYFUNCTION("""COMPUTED_VALUE"""),"Copycat Finance")</f>
        <v>Copycat Finance</v>
      </c>
    </row>
    <row r="2751">
      <c r="A2751" s="3" t="str">
        <f>IFERROR(__xludf.DUMMYFUNCTION("""COMPUTED_VALUE"""),"coral-swap")</f>
        <v>coral-swap</v>
      </c>
      <c r="B2751" s="3" t="str">
        <f>IFERROR(__xludf.DUMMYFUNCTION("""COMPUTED_VALUE"""),"coral")</f>
        <v>coral</v>
      </c>
      <c r="C2751" s="3" t="str">
        <f>IFERROR(__xludf.DUMMYFUNCTION("""COMPUTED_VALUE"""),"Coral Swap")</f>
        <v>Coral Swap</v>
      </c>
    </row>
    <row r="2752">
      <c r="A2752" s="3" t="str">
        <f>IFERROR(__xludf.DUMMYFUNCTION("""COMPUTED_VALUE"""),"cordium")</f>
        <v>cordium</v>
      </c>
      <c r="B2752" s="3" t="str">
        <f>IFERROR(__xludf.DUMMYFUNCTION("""COMPUTED_VALUE"""),"cord")</f>
        <v>cord</v>
      </c>
      <c r="C2752" s="3" t="str">
        <f>IFERROR(__xludf.DUMMYFUNCTION("""COMPUTED_VALUE"""),"Cordium")</f>
        <v>Cordium</v>
      </c>
    </row>
    <row r="2753">
      <c r="A2753" s="3" t="str">
        <f>IFERROR(__xludf.DUMMYFUNCTION("""COMPUTED_VALUE"""),"core")</f>
        <v>core</v>
      </c>
      <c r="B2753" s="3" t="str">
        <f>IFERROR(__xludf.DUMMYFUNCTION("""COMPUTED_VALUE"""),"cmcx")</f>
        <v>cmcx</v>
      </c>
      <c r="C2753" s="3" t="str">
        <f>IFERROR(__xludf.DUMMYFUNCTION("""COMPUTED_VALUE"""),"CORE MultiChain")</f>
        <v>CORE MultiChain</v>
      </c>
    </row>
    <row r="2754">
      <c r="A2754" s="3" t="str">
        <f>IFERROR(__xludf.DUMMYFUNCTION("""COMPUTED_VALUE"""),"coredao")</f>
        <v>coredao</v>
      </c>
      <c r="B2754" s="3" t="str">
        <f>IFERROR(__xludf.DUMMYFUNCTION("""COMPUTED_VALUE"""),"coredao")</f>
        <v>coredao</v>
      </c>
      <c r="C2754" s="3" t="str">
        <f>IFERROR(__xludf.DUMMYFUNCTION("""COMPUTED_VALUE"""),"coreDAO")</f>
        <v>coreDAO</v>
      </c>
    </row>
    <row r="2755">
      <c r="A2755" s="3" t="str">
        <f>IFERROR(__xludf.DUMMYFUNCTION("""COMPUTED_VALUE"""),"corestarter")</f>
        <v>corestarter</v>
      </c>
      <c r="B2755" s="3" t="str">
        <f>IFERROR(__xludf.DUMMYFUNCTION("""COMPUTED_VALUE"""),"cstr")</f>
        <v>cstr</v>
      </c>
      <c r="C2755" s="3" t="str">
        <f>IFERROR(__xludf.DUMMYFUNCTION("""COMPUTED_VALUE"""),"CoreStarter")</f>
        <v>CoreStarter</v>
      </c>
    </row>
    <row r="2756">
      <c r="A2756" s="3" t="str">
        <f>IFERROR(__xludf.DUMMYFUNCTION("""COMPUTED_VALUE"""),"coreto")</f>
        <v>coreto</v>
      </c>
      <c r="B2756" s="3" t="str">
        <f>IFERROR(__xludf.DUMMYFUNCTION("""COMPUTED_VALUE"""),"cor")</f>
        <v>cor</v>
      </c>
      <c r="C2756" s="3" t="str">
        <f>IFERROR(__xludf.DUMMYFUNCTION("""COMPUTED_VALUE"""),"Coreto")</f>
        <v>Coreto</v>
      </c>
    </row>
    <row r="2757">
      <c r="A2757" s="3" t="str">
        <f>IFERROR(__xludf.DUMMYFUNCTION("""COMPUTED_VALUE"""),"coreum")</f>
        <v>coreum</v>
      </c>
      <c r="B2757" s="3" t="str">
        <f>IFERROR(__xludf.DUMMYFUNCTION("""COMPUTED_VALUE"""),"core")</f>
        <v>core</v>
      </c>
      <c r="C2757" s="3" t="str">
        <f>IFERROR(__xludf.DUMMYFUNCTION("""COMPUTED_VALUE"""),"Coreum")</f>
        <v>Coreum</v>
      </c>
    </row>
    <row r="2758">
      <c r="A2758" s="3" t="str">
        <f>IFERROR(__xludf.DUMMYFUNCTION("""COMPUTED_VALUE"""),"corgicoin")</f>
        <v>corgicoin</v>
      </c>
      <c r="B2758" s="3" t="str">
        <f>IFERROR(__xludf.DUMMYFUNCTION("""COMPUTED_VALUE"""),"corgi")</f>
        <v>corgi</v>
      </c>
      <c r="C2758" s="3" t="str">
        <f>IFERROR(__xludf.DUMMYFUNCTION("""COMPUTED_VALUE"""),"CorgiCoin")</f>
        <v>CorgiCoin</v>
      </c>
    </row>
    <row r="2759">
      <c r="A2759" s="3" t="str">
        <f>IFERROR(__xludf.DUMMYFUNCTION("""COMPUTED_VALUE"""),"corgidoge")</f>
        <v>corgidoge</v>
      </c>
      <c r="B2759" s="3" t="str">
        <f>IFERROR(__xludf.DUMMYFUNCTION("""COMPUTED_VALUE"""),"corgi")</f>
        <v>corgi</v>
      </c>
      <c r="C2759" s="3" t="str">
        <f>IFERROR(__xludf.DUMMYFUNCTION("""COMPUTED_VALUE"""),"Corgidoge")</f>
        <v>Corgidoge</v>
      </c>
    </row>
    <row r="2760">
      <c r="A2760" s="3" t="str">
        <f>IFERROR(__xludf.DUMMYFUNCTION("""COMPUTED_VALUE"""),"corgi-finance")</f>
        <v>corgi-finance</v>
      </c>
      <c r="B2760" s="3" t="str">
        <f>IFERROR(__xludf.DUMMYFUNCTION("""COMPUTED_VALUE"""),"cog")</f>
        <v>cog</v>
      </c>
      <c r="C2760" s="3" t="str">
        <f>IFERROR(__xludf.DUMMYFUNCTION("""COMPUTED_VALUE"""),"Corgi Finance")</f>
        <v>Corgi Finance</v>
      </c>
    </row>
    <row r="2761">
      <c r="A2761" s="3" t="str">
        <f>IFERROR(__xludf.DUMMYFUNCTION("""COMPUTED_VALUE"""),"corgi-inu")</f>
        <v>corgi-inu</v>
      </c>
      <c r="B2761" s="3" t="str">
        <f>IFERROR(__xludf.DUMMYFUNCTION("""COMPUTED_VALUE"""),"corgi")</f>
        <v>corgi</v>
      </c>
      <c r="C2761" s="3" t="str">
        <f>IFERROR(__xludf.DUMMYFUNCTION("""COMPUTED_VALUE"""),"Corgi Inu")</f>
        <v>Corgi Inu</v>
      </c>
    </row>
    <row r="2762">
      <c r="A2762" s="3" t="str">
        <f>IFERROR(__xludf.DUMMYFUNCTION("""COMPUTED_VALUE"""),"corginftgame")</f>
        <v>corginftgame</v>
      </c>
      <c r="B2762" s="3" t="str">
        <f>IFERROR(__xludf.DUMMYFUNCTION("""COMPUTED_VALUE"""),"cor")</f>
        <v>cor</v>
      </c>
      <c r="C2762" s="3" t="str">
        <f>IFERROR(__xludf.DUMMYFUNCTION("""COMPUTED_VALUE"""),"CorgiNFTGame")</f>
        <v>CorgiNFTGame</v>
      </c>
    </row>
    <row r="2763">
      <c r="A2763" s="3" t="str">
        <f>IFERROR(__xludf.DUMMYFUNCTION("""COMPUTED_VALUE"""),"corgiswap")</f>
        <v>corgiswap</v>
      </c>
      <c r="B2763" s="3" t="str">
        <f>IFERROR(__xludf.DUMMYFUNCTION("""COMPUTED_VALUE"""),"coris")</f>
        <v>coris</v>
      </c>
      <c r="C2763" s="3" t="str">
        <f>IFERROR(__xludf.DUMMYFUNCTION("""COMPUTED_VALUE"""),"CorgiSwap")</f>
        <v>CorgiSwap</v>
      </c>
    </row>
    <row r="2764">
      <c r="A2764" s="3" t="str">
        <f>IFERROR(__xludf.DUMMYFUNCTION("""COMPUTED_VALUE"""),"corionx")</f>
        <v>corionx</v>
      </c>
      <c r="B2764" s="3" t="str">
        <f>IFERROR(__xludf.DUMMYFUNCTION("""COMPUTED_VALUE"""),"corx")</f>
        <v>corx</v>
      </c>
      <c r="C2764" s="3" t="str">
        <f>IFERROR(__xludf.DUMMYFUNCTION("""COMPUTED_VALUE"""),"CorionX")</f>
        <v>CorionX</v>
      </c>
    </row>
    <row r="2765">
      <c r="A2765" s="3" t="str">
        <f>IFERROR(__xludf.DUMMYFUNCTION("""COMPUTED_VALUE"""),"corite")</f>
        <v>corite</v>
      </c>
      <c r="B2765" s="3" t="str">
        <f>IFERROR(__xludf.DUMMYFUNCTION("""COMPUTED_VALUE"""),"co")</f>
        <v>co</v>
      </c>
      <c r="C2765" s="3" t="str">
        <f>IFERROR(__xludf.DUMMYFUNCTION("""COMPUTED_VALUE"""),"Corite")</f>
        <v>Corite</v>
      </c>
    </row>
    <row r="2766">
      <c r="A2766" s="3" t="str">
        <f>IFERROR(__xludf.DUMMYFUNCTION("""COMPUTED_VALUE"""),"coritiba-f-c-fan-token")</f>
        <v>coritiba-f-c-fan-token</v>
      </c>
      <c r="B2766" s="3" t="str">
        <f>IFERROR(__xludf.DUMMYFUNCTION("""COMPUTED_VALUE"""),"crtb")</f>
        <v>crtb</v>
      </c>
      <c r="C2766" s="3" t="str">
        <f>IFERROR(__xludf.DUMMYFUNCTION("""COMPUTED_VALUE"""),"Coritiba F.C. Fan Token")</f>
        <v>Coritiba F.C. Fan Token</v>
      </c>
    </row>
    <row r="2767">
      <c r="A2767" s="3" t="str">
        <f>IFERROR(__xludf.DUMMYFUNCTION("""COMPUTED_VALUE"""),"cork")</f>
        <v>cork</v>
      </c>
      <c r="B2767" s="3" t="str">
        <f>IFERROR(__xludf.DUMMYFUNCTION("""COMPUTED_VALUE"""),"cork")</f>
        <v>cork</v>
      </c>
      <c r="C2767" s="3" t="str">
        <f>IFERROR(__xludf.DUMMYFUNCTION("""COMPUTED_VALUE"""),"Cork")</f>
        <v>Cork</v>
      </c>
    </row>
    <row r="2768">
      <c r="A2768" s="3" t="str">
        <f>IFERROR(__xludf.DUMMYFUNCTION("""COMPUTED_VALUE"""),"corn")</f>
        <v>corn</v>
      </c>
      <c r="B2768" s="3" t="str">
        <f>IFERROR(__xludf.DUMMYFUNCTION("""COMPUTED_VALUE"""),"corn")</f>
        <v>corn</v>
      </c>
      <c r="C2768" s="3" t="str">
        <f>IFERROR(__xludf.DUMMYFUNCTION("""COMPUTED_VALUE"""),"CORN")</f>
        <v>CORN</v>
      </c>
    </row>
    <row r="2769">
      <c r="A2769" s="3" t="str">
        <f>IFERROR(__xludf.DUMMYFUNCTION("""COMPUTED_VALUE"""),"cornatto")</f>
        <v>cornatto</v>
      </c>
      <c r="B2769" s="3" t="str">
        <f>IFERROR(__xludf.DUMMYFUNCTION("""COMPUTED_VALUE"""),"cnc")</f>
        <v>cnc</v>
      </c>
      <c r="C2769" s="3" t="str">
        <f>IFERROR(__xludf.DUMMYFUNCTION("""COMPUTED_VALUE"""),"Cornatto")</f>
        <v>Cornatto</v>
      </c>
    </row>
    <row r="2770">
      <c r="A2770" s="3" t="str">
        <f>IFERROR(__xludf.DUMMYFUNCTION("""COMPUTED_VALUE"""),"corni")</f>
        <v>corni</v>
      </c>
      <c r="B2770" s="3" t="str">
        <f>IFERROR(__xludf.DUMMYFUNCTION("""COMPUTED_VALUE"""),"corni")</f>
        <v>corni</v>
      </c>
      <c r="C2770" s="3" t="str">
        <f>IFERROR(__xludf.DUMMYFUNCTION("""COMPUTED_VALUE"""),"Corni")</f>
        <v>Corni</v>
      </c>
    </row>
    <row r="2771">
      <c r="A2771" s="3" t="str">
        <f>IFERROR(__xludf.DUMMYFUNCTION("""COMPUTED_VALUE"""),"cornichon")</f>
        <v>cornichon</v>
      </c>
      <c r="B2771" s="3" t="str">
        <f>IFERROR(__xludf.DUMMYFUNCTION("""COMPUTED_VALUE"""),"corn")</f>
        <v>corn</v>
      </c>
      <c r="C2771" s="3" t="str">
        <f>IFERROR(__xludf.DUMMYFUNCTION("""COMPUTED_VALUE"""),"Cornichon")</f>
        <v>Cornichon</v>
      </c>
    </row>
    <row r="2772">
      <c r="A2772" s="3" t="str">
        <f>IFERROR(__xludf.DUMMYFUNCTION("""COMPUTED_VALUE"""),"cornucopias")</f>
        <v>cornucopias</v>
      </c>
      <c r="B2772" s="3" t="str">
        <f>IFERROR(__xludf.DUMMYFUNCTION("""COMPUTED_VALUE"""),"copi")</f>
        <v>copi</v>
      </c>
      <c r="C2772" s="3" t="str">
        <f>IFERROR(__xludf.DUMMYFUNCTION("""COMPUTED_VALUE"""),"Cornucopias")</f>
        <v>Cornucopias</v>
      </c>
    </row>
    <row r="2773">
      <c r="A2773" s="3" t="str">
        <f>IFERROR(__xludf.DUMMYFUNCTION("""COMPUTED_VALUE"""),"corra-finance")</f>
        <v>corra-finance</v>
      </c>
      <c r="B2773" s="3" t="str">
        <f>IFERROR(__xludf.DUMMYFUNCTION("""COMPUTED_VALUE"""),"cora")</f>
        <v>cora</v>
      </c>
      <c r="C2773" s="3" t="str">
        <f>IFERROR(__xludf.DUMMYFUNCTION("""COMPUTED_VALUE"""),"Corra.Finance")</f>
        <v>Corra.Finance</v>
      </c>
    </row>
    <row r="2774">
      <c r="A2774" s="3" t="str">
        <f>IFERROR(__xludf.DUMMYFUNCTION("""COMPUTED_VALUE"""),"corsac-v2")</f>
        <v>corsac-v2</v>
      </c>
      <c r="B2774" s="3" t="str">
        <f>IFERROR(__xludf.DUMMYFUNCTION("""COMPUTED_VALUE"""),"csct")</f>
        <v>csct</v>
      </c>
      <c r="C2774" s="3" t="str">
        <f>IFERROR(__xludf.DUMMYFUNCTION("""COMPUTED_VALUE"""),"Corsac v2")</f>
        <v>Corsac v2</v>
      </c>
    </row>
    <row r="2775">
      <c r="A2775" s="3" t="str">
        <f>IFERROR(__xludf.DUMMYFUNCTION("""COMPUTED_VALUE"""),"cortex")</f>
        <v>cortex</v>
      </c>
      <c r="B2775" s="3" t="str">
        <f>IFERROR(__xludf.DUMMYFUNCTION("""COMPUTED_VALUE"""),"ctxc")</f>
        <v>ctxc</v>
      </c>
      <c r="C2775" s="3" t="str">
        <f>IFERROR(__xludf.DUMMYFUNCTION("""COMPUTED_VALUE"""),"Cortex")</f>
        <v>Cortex</v>
      </c>
    </row>
    <row r="2776">
      <c r="A2776" s="3" t="str">
        <f>IFERROR(__xludf.DUMMYFUNCTION("""COMPUTED_VALUE"""),"cortexdao")</f>
        <v>cortexdao</v>
      </c>
      <c r="B2776" s="3" t="str">
        <f>IFERROR(__xludf.DUMMYFUNCTION("""COMPUTED_VALUE"""),"cxd")</f>
        <v>cxd</v>
      </c>
      <c r="C2776" s="3" t="str">
        <f>IFERROR(__xludf.DUMMYFUNCTION("""COMPUTED_VALUE"""),"CortexDAO")</f>
        <v>CortexDAO</v>
      </c>
    </row>
    <row r="2777">
      <c r="A2777" s="3" t="str">
        <f>IFERROR(__xludf.DUMMYFUNCTION("""COMPUTED_VALUE"""),"coshi-inu")</f>
        <v>coshi-inu</v>
      </c>
      <c r="B2777" s="3" t="str">
        <f>IFERROR(__xludf.DUMMYFUNCTION("""COMPUTED_VALUE"""),"coshi")</f>
        <v>coshi</v>
      </c>
      <c r="C2777" s="3" t="str">
        <f>IFERROR(__xludf.DUMMYFUNCTION("""COMPUTED_VALUE"""),"CoShi Inu")</f>
        <v>CoShi Inu</v>
      </c>
    </row>
    <row r="2778">
      <c r="A2778" s="3" t="str">
        <f>IFERROR(__xludf.DUMMYFUNCTION("""COMPUTED_VALUE"""),"cosmic-ape-coin")</f>
        <v>cosmic-ape-coin</v>
      </c>
      <c r="B2778" s="3" t="str">
        <f>IFERROR(__xludf.DUMMYFUNCTION("""COMPUTED_VALUE"""),"cac")</f>
        <v>cac</v>
      </c>
      <c r="C2778" s="3" t="str">
        <f>IFERROR(__xludf.DUMMYFUNCTION("""COMPUTED_VALUE"""),"Cosmic Ape Coin")</f>
        <v>Cosmic Ape Coin</v>
      </c>
    </row>
    <row r="2779">
      <c r="A2779" s="3" t="str">
        <f>IFERROR(__xludf.DUMMYFUNCTION("""COMPUTED_VALUE"""),"cosmic-cash")</f>
        <v>cosmic-cash</v>
      </c>
      <c r="B2779" s="3" t="str">
        <f>IFERROR(__xludf.DUMMYFUNCTION("""COMPUTED_VALUE"""),"csc")</f>
        <v>csc</v>
      </c>
      <c r="C2779" s="3" t="str">
        <f>IFERROR(__xludf.DUMMYFUNCTION("""COMPUTED_VALUE"""),"Cosmic Cash")</f>
        <v>Cosmic Cash</v>
      </c>
    </row>
    <row r="2780">
      <c r="A2780" s="3" t="str">
        <f>IFERROR(__xludf.DUMMYFUNCTION("""COMPUTED_VALUE"""),"cosmic-champs")</f>
        <v>cosmic-champs</v>
      </c>
      <c r="B2780" s="3" t="str">
        <f>IFERROR(__xludf.DUMMYFUNCTION("""COMPUTED_VALUE"""),"cosg")</f>
        <v>cosg</v>
      </c>
      <c r="C2780" s="3" t="str">
        <f>IFERROR(__xludf.DUMMYFUNCTION("""COMPUTED_VALUE"""),"Cosmic Champs")</f>
        <v>Cosmic Champs</v>
      </c>
    </row>
    <row r="2781">
      <c r="A2781" s="3" t="str">
        <f>IFERROR(__xludf.DUMMYFUNCTION("""COMPUTED_VALUE"""),"cosmic-coin")</f>
        <v>cosmic-coin</v>
      </c>
      <c r="B2781" s="3" t="str">
        <f>IFERROR(__xludf.DUMMYFUNCTION("""COMPUTED_VALUE"""),"cosmic")</f>
        <v>cosmic</v>
      </c>
      <c r="C2781" s="3" t="str">
        <f>IFERROR(__xludf.DUMMYFUNCTION("""COMPUTED_VALUE"""),"Cosmic Coin")</f>
        <v>Cosmic Coin</v>
      </c>
    </row>
    <row r="2782">
      <c r="A2782" s="3" t="str">
        <f>IFERROR(__xludf.DUMMYFUNCTION("""COMPUTED_VALUE"""),"cosmicswap")</f>
        <v>cosmicswap</v>
      </c>
      <c r="B2782" s="3" t="str">
        <f>IFERROR(__xludf.DUMMYFUNCTION("""COMPUTED_VALUE"""),"cosmic")</f>
        <v>cosmic</v>
      </c>
      <c r="C2782" s="3" t="str">
        <f>IFERROR(__xludf.DUMMYFUNCTION("""COMPUTED_VALUE"""),"CosmicSwap")</f>
        <v>CosmicSwap</v>
      </c>
    </row>
    <row r="2783">
      <c r="A2783" s="3" t="str">
        <f>IFERROR(__xludf.DUMMYFUNCTION("""COMPUTED_VALUE"""),"cosmic-universe-magic-token")</f>
        <v>cosmic-universe-magic-token</v>
      </c>
      <c r="B2783" s="3" t="str">
        <f>IFERROR(__xludf.DUMMYFUNCTION("""COMPUTED_VALUE"""),"magic")</f>
        <v>magic</v>
      </c>
      <c r="C2783" s="3" t="str">
        <f>IFERROR(__xludf.DUMMYFUNCTION("""COMPUTED_VALUE"""),"Cosmic Universe Magic")</f>
        <v>Cosmic Universe Magic</v>
      </c>
    </row>
    <row r="2784">
      <c r="A2784" s="3" t="str">
        <f>IFERROR(__xludf.DUMMYFUNCTION("""COMPUTED_VALUE"""),"cosmos")</f>
        <v>cosmos</v>
      </c>
      <c r="B2784" s="3" t="str">
        <f>IFERROR(__xludf.DUMMYFUNCTION("""COMPUTED_VALUE"""),"atom")</f>
        <v>atom</v>
      </c>
      <c r="C2784" s="3" t="str">
        <f>IFERROR(__xludf.DUMMYFUNCTION("""COMPUTED_VALUE"""),"Cosmos Hub")</f>
        <v>Cosmos Hub</v>
      </c>
    </row>
    <row r="2785">
      <c r="A2785" s="3" t="str">
        <f>IFERROR(__xludf.DUMMYFUNCTION("""COMPUTED_VALUE"""),"cosmostarter")</f>
        <v>cosmostarter</v>
      </c>
      <c r="B2785" s="3" t="str">
        <f>IFERROR(__xludf.DUMMYFUNCTION("""COMPUTED_VALUE"""),"csms")</f>
        <v>csms</v>
      </c>
      <c r="C2785" s="3" t="str">
        <f>IFERROR(__xludf.DUMMYFUNCTION("""COMPUTED_VALUE"""),"Cosmostarter")</f>
        <v>Cosmostarter</v>
      </c>
    </row>
    <row r="2786">
      <c r="A2786" s="3" t="str">
        <f>IFERROR(__xludf.DUMMYFUNCTION("""COMPUTED_VALUE"""),"cosplay-token-2")</f>
        <v>cosplay-token-2</v>
      </c>
      <c r="B2786" s="3" t="str">
        <f>IFERROR(__xludf.DUMMYFUNCTION("""COMPUTED_VALUE"""),"cot")</f>
        <v>cot</v>
      </c>
      <c r="C2786" s="3" t="str">
        <f>IFERROR(__xludf.DUMMYFUNCTION("""COMPUTED_VALUE"""),"Cosplay Token")</f>
        <v>Cosplay Token</v>
      </c>
    </row>
    <row r="2787">
      <c r="A2787" s="3" t="str">
        <f>IFERROR(__xludf.DUMMYFUNCTION("""COMPUTED_VALUE"""),"cost-coin")</f>
        <v>cost-coin</v>
      </c>
      <c r="B2787" s="3" t="str">
        <f>IFERROR(__xludf.DUMMYFUNCTION("""COMPUTED_VALUE"""),"akm")</f>
        <v>akm</v>
      </c>
      <c r="C2787" s="3" t="str">
        <f>IFERROR(__xludf.DUMMYFUNCTION("""COMPUTED_VALUE"""),"COST COIN+")</f>
        <v>COST COIN+</v>
      </c>
    </row>
    <row r="2788">
      <c r="A2788" s="3" t="str">
        <f>IFERROR(__xludf.DUMMYFUNCTION("""COMPUTED_VALUE"""),"coti")</f>
        <v>coti</v>
      </c>
      <c r="B2788" s="3" t="str">
        <f>IFERROR(__xludf.DUMMYFUNCTION("""COMPUTED_VALUE"""),"coti")</f>
        <v>coti</v>
      </c>
      <c r="C2788" s="3" t="str">
        <f>IFERROR(__xludf.DUMMYFUNCTION("""COMPUTED_VALUE"""),"COTI")</f>
        <v>COTI</v>
      </c>
    </row>
    <row r="2789">
      <c r="A2789" s="3" t="str">
        <f>IFERROR(__xludf.DUMMYFUNCTION("""COMPUTED_VALUE"""),"cotrader")</f>
        <v>cotrader</v>
      </c>
      <c r="B2789" s="3" t="str">
        <f>IFERROR(__xludf.DUMMYFUNCTION("""COMPUTED_VALUE"""),"cot")</f>
        <v>cot</v>
      </c>
      <c r="C2789" s="3" t="str">
        <f>IFERROR(__xludf.DUMMYFUNCTION("""COMPUTED_VALUE"""),"CoTrader")</f>
        <v>CoTrader</v>
      </c>
    </row>
    <row r="2790">
      <c r="A2790" s="3" t="str">
        <f>IFERROR(__xludf.DUMMYFUNCTION("""COMPUTED_VALUE"""),"couchain")</f>
        <v>couchain</v>
      </c>
      <c r="B2790" s="3" t="str">
        <f>IFERROR(__xludf.DUMMYFUNCTION("""COMPUTED_VALUE"""),"cou")</f>
        <v>cou</v>
      </c>
      <c r="C2790" s="3" t="str">
        <f>IFERROR(__xludf.DUMMYFUNCTION("""COMPUTED_VALUE"""),"Couchain")</f>
        <v>Couchain</v>
      </c>
    </row>
    <row r="2791">
      <c r="A2791" s="3" t="str">
        <f>IFERROR(__xludf.DUMMYFUNCTION("""COMPUTED_VALUE"""),"cougar-token")</f>
        <v>cougar-token</v>
      </c>
      <c r="B2791" s="3" t="str">
        <f>IFERROR(__xludf.DUMMYFUNCTION("""COMPUTED_VALUE"""),"cgs")</f>
        <v>cgs</v>
      </c>
      <c r="C2791" s="3" t="str">
        <f>IFERROR(__xludf.DUMMYFUNCTION("""COMPUTED_VALUE"""),"CougarSwap")</f>
        <v>CougarSwap</v>
      </c>
    </row>
    <row r="2792">
      <c r="A2792" s="3" t="str">
        <f>IFERROR(__xludf.DUMMYFUNCTION("""COMPUTED_VALUE"""),"council-of-apes")</f>
        <v>council-of-apes</v>
      </c>
      <c r="B2792" s="3" t="str">
        <f>IFERROR(__xludf.DUMMYFUNCTION("""COMPUTED_VALUE"""),"coape")</f>
        <v>coape</v>
      </c>
      <c r="C2792" s="3" t="str">
        <f>IFERROR(__xludf.DUMMYFUNCTION("""COMPUTED_VALUE"""),"Council of Apes")</f>
        <v>Council of Apes</v>
      </c>
    </row>
    <row r="2793">
      <c r="A2793" s="3" t="str">
        <f>IFERROR(__xludf.DUMMYFUNCTION("""COMPUTED_VALUE"""),"counos-coin")</f>
        <v>counos-coin</v>
      </c>
      <c r="B2793" s="3" t="str">
        <f>IFERROR(__xludf.DUMMYFUNCTION("""COMPUTED_VALUE"""),"cca")</f>
        <v>cca</v>
      </c>
      <c r="C2793" s="3" t="str">
        <f>IFERROR(__xludf.DUMMYFUNCTION("""COMPUTED_VALUE"""),"Counos Coin")</f>
        <v>Counos Coin</v>
      </c>
    </row>
    <row r="2794">
      <c r="A2794" s="3" t="str">
        <f>IFERROR(__xludf.DUMMYFUNCTION("""COMPUTED_VALUE"""),"counosx")</f>
        <v>counosx</v>
      </c>
      <c r="B2794" s="3" t="str">
        <f>IFERROR(__xludf.DUMMYFUNCTION("""COMPUTED_VALUE"""),"ccxx")</f>
        <v>ccxx</v>
      </c>
      <c r="C2794" s="3" t="str">
        <f>IFERROR(__xludf.DUMMYFUNCTION("""COMPUTED_VALUE"""),"CounosX")</f>
        <v>CounosX</v>
      </c>
    </row>
    <row r="2795">
      <c r="A2795" s="3" t="str">
        <f>IFERROR(__xludf.DUMMYFUNCTION("""COMPUTED_VALUE"""),"counterparty")</f>
        <v>counterparty</v>
      </c>
      <c r="B2795" s="3" t="str">
        <f>IFERROR(__xludf.DUMMYFUNCTION("""COMPUTED_VALUE"""),"xcp")</f>
        <v>xcp</v>
      </c>
      <c r="C2795" s="3" t="str">
        <f>IFERROR(__xludf.DUMMYFUNCTION("""COMPUTED_VALUE"""),"Counterparty")</f>
        <v>Counterparty</v>
      </c>
    </row>
    <row r="2796">
      <c r="A2796" s="3" t="str">
        <f>IFERROR(__xludf.DUMMYFUNCTION("""COMPUTED_VALUE"""),"couponbay")</f>
        <v>couponbay</v>
      </c>
      <c r="B2796" s="3" t="str">
        <f>IFERROR(__xludf.DUMMYFUNCTION("""COMPUTED_VALUE"""),"cup")</f>
        <v>cup</v>
      </c>
      <c r="C2796" s="3" t="str">
        <f>IFERROR(__xludf.DUMMYFUNCTION("""COMPUTED_VALUE"""),"CouponBay")</f>
        <v>CouponBay</v>
      </c>
    </row>
    <row r="2797">
      <c r="A2797" s="3" t="str">
        <f>IFERROR(__xludf.DUMMYFUNCTION("""COMPUTED_VALUE"""),"coution-live")</f>
        <v>coution-live</v>
      </c>
      <c r="B2797" s="3" t="str">
        <f>IFERROR(__xludf.DUMMYFUNCTION("""COMPUTED_VALUE"""),"ctl")</f>
        <v>ctl</v>
      </c>
      <c r="C2797" s="3" t="str">
        <f>IFERROR(__xludf.DUMMYFUNCTION("""COMPUTED_VALUE"""),"COUTION LIVE")</f>
        <v>COUTION LIVE</v>
      </c>
    </row>
    <row r="2798">
      <c r="A2798" s="3" t="str">
        <f>IFERROR(__xludf.DUMMYFUNCTION("""COMPUTED_VALUE"""),"covalent")</f>
        <v>covalent</v>
      </c>
      <c r="B2798" s="3" t="str">
        <f>IFERROR(__xludf.DUMMYFUNCTION("""COMPUTED_VALUE"""),"cqt")</f>
        <v>cqt</v>
      </c>
      <c r="C2798" s="3" t="str">
        <f>IFERROR(__xludf.DUMMYFUNCTION("""COMPUTED_VALUE"""),"Covalent")</f>
        <v>Covalent</v>
      </c>
    </row>
    <row r="2799">
      <c r="A2799" s="3" t="str">
        <f>IFERROR(__xludf.DUMMYFUNCTION("""COMPUTED_VALUE"""),"covalent-cova")</f>
        <v>covalent-cova</v>
      </c>
      <c r="B2799" s="3" t="str">
        <f>IFERROR(__xludf.DUMMYFUNCTION("""COMPUTED_VALUE"""),"cova")</f>
        <v>cova</v>
      </c>
      <c r="C2799" s="3" t="str">
        <f>IFERROR(__xludf.DUMMYFUNCTION("""COMPUTED_VALUE"""),"Cova Unity")</f>
        <v>Cova Unity</v>
      </c>
    </row>
    <row r="2800">
      <c r="A2800" s="3" t="str">
        <f>IFERROR(__xludf.DUMMYFUNCTION("""COMPUTED_VALUE"""),"covenant-child")</f>
        <v>covenant-child</v>
      </c>
      <c r="B2800" s="3" t="str">
        <f>IFERROR(__xludf.DUMMYFUNCTION("""COMPUTED_VALUE"""),"covn")</f>
        <v>covn</v>
      </c>
      <c r="C2800" s="3" t="str">
        <f>IFERROR(__xludf.DUMMYFUNCTION("""COMPUTED_VALUE"""),"Covenant")</f>
        <v>Covenant</v>
      </c>
    </row>
    <row r="2801">
      <c r="A2801" s="3" t="str">
        <f>IFERROR(__xludf.DUMMYFUNCTION("""COMPUTED_VALUE"""),"covercompared")</f>
        <v>covercompared</v>
      </c>
      <c r="B2801" s="3" t="str">
        <f>IFERROR(__xludf.DUMMYFUNCTION("""COMPUTED_VALUE"""),"cvr")</f>
        <v>cvr</v>
      </c>
      <c r="C2801" s="3" t="str">
        <f>IFERROR(__xludf.DUMMYFUNCTION("""COMPUTED_VALUE"""),"CoverCompared")</f>
        <v>CoverCompared</v>
      </c>
    </row>
    <row r="2802">
      <c r="A2802" s="3" t="str">
        <f>IFERROR(__xludf.DUMMYFUNCTION("""COMPUTED_VALUE"""),"cover-protocol")</f>
        <v>cover-protocol</v>
      </c>
      <c r="B2802" s="3" t="str">
        <f>IFERROR(__xludf.DUMMYFUNCTION("""COMPUTED_VALUE"""),"cover")</f>
        <v>cover</v>
      </c>
      <c r="C2802" s="3" t="str">
        <f>IFERROR(__xludf.DUMMYFUNCTION("""COMPUTED_VALUE"""),"Cover Protocol")</f>
        <v>Cover Protocol</v>
      </c>
    </row>
    <row r="2803">
      <c r="A2803" s="3" t="str">
        <f>IFERROR(__xludf.DUMMYFUNCTION("""COMPUTED_VALUE"""),"covesting")</f>
        <v>covesting</v>
      </c>
      <c r="B2803" s="3" t="str">
        <f>IFERROR(__xludf.DUMMYFUNCTION("""COMPUTED_VALUE"""),"cov")</f>
        <v>cov</v>
      </c>
      <c r="C2803" s="3" t="str">
        <f>IFERROR(__xludf.DUMMYFUNCTION("""COMPUTED_VALUE"""),"Covesting")</f>
        <v>Covesting</v>
      </c>
    </row>
    <row r="2804">
      <c r="A2804" s="3" t="str">
        <f>IFERROR(__xludf.DUMMYFUNCTION("""COMPUTED_VALUE"""),"covey")</f>
        <v>covey</v>
      </c>
      <c r="B2804" s="3" t="str">
        <f>IFERROR(__xludf.DUMMYFUNCTION("""COMPUTED_VALUE"""),"$cvy")</f>
        <v>$cvy</v>
      </c>
      <c r="C2804" s="3" t="str">
        <f>IFERROR(__xludf.DUMMYFUNCTION("""COMPUTED_VALUE"""),"Covey")</f>
        <v>Covey</v>
      </c>
    </row>
    <row r="2805">
      <c r="A2805" s="3" t="str">
        <f>IFERROR(__xludf.DUMMYFUNCTION("""COMPUTED_VALUE"""),"covicoin")</f>
        <v>covicoin</v>
      </c>
      <c r="B2805" s="3" t="str">
        <f>IFERROR(__xludf.DUMMYFUNCTION("""COMPUTED_VALUE"""),"cvc")</f>
        <v>cvc</v>
      </c>
      <c r="C2805" s="3" t="str">
        <f>IFERROR(__xludf.DUMMYFUNCTION("""COMPUTED_VALUE"""),"CoviCoin")</f>
        <v>CoviCoin</v>
      </c>
    </row>
    <row r="2806">
      <c r="A2806" s="3" t="str">
        <f>IFERROR(__xludf.DUMMYFUNCTION("""COMPUTED_VALUE"""),"covid-19-recovery-token")</f>
        <v>covid-19-recovery-token</v>
      </c>
      <c r="B2806" s="3" t="str">
        <f>IFERROR(__xludf.DUMMYFUNCTION("""COMPUTED_VALUE"""),"covdr")</f>
        <v>covdr</v>
      </c>
      <c r="C2806" s="3" t="str">
        <f>IFERROR(__xludf.DUMMYFUNCTION("""COMPUTED_VALUE"""),"COVID-19 Recovery")</f>
        <v>COVID-19 Recovery</v>
      </c>
    </row>
    <row r="2807">
      <c r="A2807" s="3" t="str">
        <f>IFERROR(__xludf.DUMMYFUNCTION("""COMPUTED_VALUE"""),"covid-doge")</f>
        <v>covid-doge</v>
      </c>
      <c r="B2807" s="3" t="str">
        <f>IFERROR(__xludf.DUMMYFUNCTION("""COMPUTED_VALUE"""),"covid doge")</f>
        <v>covid doge</v>
      </c>
      <c r="C2807" s="3" t="str">
        <f>IFERROR(__xludf.DUMMYFUNCTION("""COMPUTED_VALUE"""),"Covid Doge")</f>
        <v>Covid Doge</v>
      </c>
    </row>
    <row r="2808">
      <c r="A2808" s="3" t="str">
        <f>IFERROR(__xludf.DUMMYFUNCTION("""COMPUTED_VALUE"""),"cowboy-snake")</f>
        <v>cowboy-snake</v>
      </c>
      <c r="B2808" s="3" t="str">
        <f>IFERROR(__xludf.DUMMYFUNCTION("""COMPUTED_VALUE"""),"cows")</f>
        <v>cows</v>
      </c>
      <c r="C2808" s="3" t="str">
        <f>IFERROR(__xludf.DUMMYFUNCTION("""COMPUTED_VALUE"""),"Cowboy Snake")</f>
        <v>Cowboy Snake</v>
      </c>
    </row>
    <row r="2809">
      <c r="A2809" s="3" t="str">
        <f>IFERROR(__xludf.DUMMYFUNCTION("""COMPUTED_VALUE"""),"cowcoin")</f>
        <v>cowcoin</v>
      </c>
      <c r="B2809" s="3" t="str">
        <f>IFERROR(__xludf.DUMMYFUNCTION("""COMPUTED_VALUE"""),"cc")</f>
        <v>cc</v>
      </c>
      <c r="C2809" s="3" t="str">
        <f>IFERROR(__xludf.DUMMYFUNCTION("""COMPUTED_VALUE"""),"CowCoin")</f>
        <v>CowCoin</v>
      </c>
    </row>
    <row r="2810">
      <c r="A2810" s="3" t="str">
        <f>IFERROR(__xludf.DUMMYFUNCTION("""COMPUTED_VALUE"""),"cow-inu")</f>
        <v>cow-inu</v>
      </c>
      <c r="B2810" s="3" t="str">
        <f>IFERROR(__xludf.DUMMYFUNCTION("""COMPUTED_VALUE"""),"ci")</f>
        <v>ci</v>
      </c>
      <c r="C2810" s="3" t="str">
        <f>IFERROR(__xludf.DUMMYFUNCTION("""COMPUTED_VALUE"""),"Cow Inu")</f>
        <v>Cow Inu</v>
      </c>
    </row>
    <row r="2811">
      <c r="A2811" s="3" t="str">
        <f>IFERROR(__xludf.DUMMYFUNCTION("""COMPUTED_VALUE"""),"cow-protocol")</f>
        <v>cow-protocol</v>
      </c>
      <c r="B2811" s="3" t="str">
        <f>IFERROR(__xludf.DUMMYFUNCTION("""COMPUTED_VALUE"""),"cow")</f>
        <v>cow</v>
      </c>
      <c r="C2811" s="3" t="str">
        <f>IFERROR(__xludf.DUMMYFUNCTION("""COMPUTED_VALUE"""),"CoW Protocol")</f>
        <v>CoW Protocol</v>
      </c>
    </row>
    <row r="2812">
      <c r="A2812" s="3" t="str">
        <f>IFERROR(__xludf.DUMMYFUNCTION("""COMPUTED_VALUE"""),"cowry")</f>
        <v>cowry</v>
      </c>
      <c r="B2812" s="3" t="str">
        <f>IFERROR(__xludf.DUMMYFUNCTION("""COMPUTED_VALUE"""),"cow")</f>
        <v>cow</v>
      </c>
      <c r="C2812" s="3" t="str">
        <f>IFERROR(__xludf.DUMMYFUNCTION("""COMPUTED_VALUE"""),"COWRY")</f>
        <v>COWRY</v>
      </c>
    </row>
    <row r="2813">
      <c r="A2813" s="3" t="str">
        <f>IFERROR(__xludf.DUMMYFUNCTION("""COMPUTED_VALUE"""),"coxswap")</f>
        <v>coxswap</v>
      </c>
      <c r="B2813" s="3" t="str">
        <f>IFERROR(__xludf.DUMMYFUNCTION("""COMPUTED_VALUE"""),"cox")</f>
        <v>cox</v>
      </c>
      <c r="C2813" s="3" t="str">
        <f>IFERROR(__xludf.DUMMYFUNCTION("""COMPUTED_VALUE"""),"Coxswap [OLD]")</f>
        <v>Coxswap [OLD]</v>
      </c>
    </row>
    <row r="2814">
      <c r="A2814" s="3" t="str">
        <f>IFERROR(__xludf.DUMMYFUNCTION("""COMPUTED_VALUE"""),"coxswap-2")</f>
        <v>coxswap-2</v>
      </c>
      <c r="B2814" s="3" t="str">
        <f>IFERROR(__xludf.DUMMYFUNCTION("""COMPUTED_VALUE"""),"cox")</f>
        <v>cox</v>
      </c>
      <c r="C2814" s="3" t="str">
        <f>IFERROR(__xludf.DUMMYFUNCTION("""COMPUTED_VALUE"""),"Coxswap")</f>
        <v>Coxswap</v>
      </c>
    </row>
    <row r="2815">
      <c r="A2815" s="3" t="str">
        <f>IFERROR(__xludf.DUMMYFUNCTION("""COMPUTED_VALUE"""),"cpchain")</f>
        <v>cpchain</v>
      </c>
      <c r="B2815" s="3" t="str">
        <f>IFERROR(__xludf.DUMMYFUNCTION("""COMPUTED_VALUE"""),"cpc")</f>
        <v>cpc</v>
      </c>
      <c r="C2815" s="3" t="str">
        <f>IFERROR(__xludf.DUMMYFUNCTION("""COMPUTED_VALUE"""),"CPChain")</f>
        <v>CPChain</v>
      </c>
    </row>
    <row r="2816">
      <c r="A2816" s="3" t="str">
        <f>IFERROR(__xludf.DUMMYFUNCTION("""COMPUTED_VALUE"""),"cplay-network")</f>
        <v>cplay-network</v>
      </c>
      <c r="B2816" s="3" t="str">
        <f>IFERROR(__xludf.DUMMYFUNCTION("""COMPUTED_VALUE"""),"cplay")</f>
        <v>cplay</v>
      </c>
      <c r="C2816" s="3" t="str">
        <f>IFERROR(__xludf.DUMMYFUNCTION("""COMPUTED_VALUE"""),"CPLAY Network")</f>
        <v>CPLAY Network</v>
      </c>
    </row>
    <row r="2817">
      <c r="A2817" s="3" t="str">
        <f>IFERROR(__xludf.DUMMYFUNCTION("""COMPUTED_VALUE"""),"cpos-cloud-payment")</f>
        <v>cpos-cloud-payment</v>
      </c>
      <c r="B2817" s="3" t="str">
        <f>IFERROR(__xludf.DUMMYFUNCTION("""COMPUTED_VALUE"""),"cpos")</f>
        <v>cpos</v>
      </c>
      <c r="C2817" s="3" t="str">
        <f>IFERROR(__xludf.DUMMYFUNCTION("""COMPUTED_VALUE"""),"CPOS Cloud Payment")</f>
        <v>CPOS Cloud Payment</v>
      </c>
    </row>
    <row r="2818">
      <c r="A2818" s="3" t="str">
        <f>IFERROR(__xludf.DUMMYFUNCTION("""COMPUTED_VALUE"""),"cpuchain")</f>
        <v>cpuchain</v>
      </c>
      <c r="B2818" s="3" t="str">
        <f>IFERROR(__xludf.DUMMYFUNCTION("""COMPUTED_VALUE"""),"cpu")</f>
        <v>cpu</v>
      </c>
      <c r="C2818" s="3" t="str">
        <f>IFERROR(__xludf.DUMMYFUNCTION("""COMPUTED_VALUE"""),"CPUchain")</f>
        <v>CPUchain</v>
      </c>
    </row>
    <row r="2819">
      <c r="A2819" s="3" t="str">
        <f>IFERROR(__xludf.DUMMYFUNCTION("""COMPUTED_VALUE"""),"cpucoin")</f>
        <v>cpucoin</v>
      </c>
      <c r="B2819" s="3" t="str">
        <f>IFERROR(__xludf.DUMMYFUNCTION("""COMPUTED_VALUE"""),"cpu")</f>
        <v>cpu</v>
      </c>
      <c r="C2819" s="3" t="str">
        <f>IFERROR(__xludf.DUMMYFUNCTION("""COMPUTED_VALUE"""),"CPUcoin")</f>
        <v>CPUcoin</v>
      </c>
    </row>
    <row r="2820">
      <c r="A2820" s="3" t="str">
        <f>IFERROR(__xludf.DUMMYFUNCTION("""COMPUTED_VALUE"""),"crabada")</f>
        <v>crabada</v>
      </c>
      <c r="B2820" s="3" t="str">
        <f>IFERROR(__xludf.DUMMYFUNCTION("""COMPUTED_VALUE"""),"cra")</f>
        <v>cra</v>
      </c>
      <c r="C2820" s="3" t="str">
        <f>IFERROR(__xludf.DUMMYFUNCTION("""COMPUTED_VALUE"""),"Crabada")</f>
        <v>Crabada</v>
      </c>
    </row>
    <row r="2821">
      <c r="A2821" s="3" t="str">
        <f>IFERROR(__xludf.DUMMYFUNCTION("""COMPUTED_VALUE"""),"crabstrike")</f>
        <v>crabstrike</v>
      </c>
      <c r="B2821" s="3" t="str">
        <f>IFERROR(__xludf.DUMMYFUNCTION("""COMPUTED_VALUE"""),"cst")</f>
        <v>cst</v>
      </c>
      <c r="C2821" s="3" t="str">
        <f>IFERROR(__xludf.DUMMYFUNCTION("""COMPUTED_VALUE"""),"CrabStrike")</f>
        <v>CrabStrike</v>
      </c>
    </row>
    <row r="2822">
      <c r="A2822" s="3" t="str">
        <f>IFERROR(__xludf.DUMMYFUNCTION("""COMPUTED_VALUE"""),"crafting-finance")</f>
        <v>crafting-finance</v>
      </c>
      <c r="B2822" s="3" t="str">
        <f>IFERROR(__xludf.DUMMYFUNCTION("""COMPUTED_VALUE"""),"crf")</f>
        <v>crf</v>
      </c>
      <c r="C2822" s="3" t="str">
        <f>IFERROR(__xludf.DUMMYFUNCTION("""COMPUTED_VALUE"""),"Crafting Finance")</f>
        <v>Crafting Finance</v>
      </c>
    </row>
    <row r="2823">
      <c r="A2823" s="3" t="str">
        <f>IFERROR(__xludf.DUMMYFUNCTION("""COMPUTED_VALUE"""),"craft-network")</f>
        <v>craft-network</v>
      </c>
      <c r="B2823" s="3" t="str">
        <f>IFERROR(__xludf.DUMMYFUNCTION("""COMPUTED_VALUE"""),"cft")</f>
        <v>cft</v>
      </c>
      <c r="C2823" s="3" t="str">
        <f>IFERROR(__xludf.DUMMYFUNCTION("""COMPUTED_VALUE"""),"Craft network")</f>
        <v>Craft network</v>
      </c>
    </row>
    <row r="2824">
      <c r="A2824" s="3" t="str">
        <f>IFERROR(__xludf.DUMMYFUNCTION("""COMPUTED_VALUE"""),"cramer-coin")</f>
        <v>cramer-coin</v>
      </c>
      <c r="B2824" s="3" t="str">
        <f>IFERROR(__xludf.DUMMYFUNCTION("""COMPUTED_VALUE"""),"cramer")</f>
        <v>cramer</v>
      </c>
      <c r="C2824" s="3" t="str">
        <f>IFERROR(__xludf.DUMMYFUNCTION("""COMPUTED_VALUE"""),"Cramer Coin")</f>
        <v>Cramer Coin</v>
      </c>
    </row>
    <row r="2825">
      <c r="A2825" s="3" t="str">
        <f>IFERROR(__xludf.DUMMYFUNCTION("""COMPUTED_VALUE"""),"crane-miners")</f>
        <v>crane-miners</v>
      </c>
      <c r="B2825" s="3" t="str">
        <f>IFERROR(__xludf.DUMMYFUNCTION("""COMPUTED_VALUE"""),"crane")</f>
        <v>crane</v>
      </c>
      <c r="C2825" s="3" t="str">
        <f>IFERROR(__xludf.DUMMYFUNCTION("""COMPUTED_VALUE"""),"Crane Miners")</f>
        <v>Crane Miners</v>
      </c>
    </row>
    <row r="2826">
      <c r="A2826" s="3" t="str">
        <f>IFERROR(__xludf.DUMMYFUNCTION("""COMPUTED_VALUE"""),"cranx-chain")</f>
        <v>cranx-chain</v>
      </c>
      <c r="B2826" s="3" t="str">
        <f>IFERROR(__xludf.DUMMYFUNCTION("""COMPUTED_VALUE"""),"granx")</f>
        <v>granx</v>
      </c>
      <c r="C2826" s="3" t="str">
        <f>IFERROR(__xludf.DUMMYFUNCTION("""COMPUTED_VALUE"""),"GranX Chain")</f>
        <v>GranX Chain</v>
      </c>
    </row>
    <row r="2827">
      <c r="A2827" s="3" t="str">
        <f>IFERROR(__xludf.DUMMYFUNCTION("""COMPUTED_VALUE"""),"cratos")</f>
        <v>cratos</v>
      </c>
      <c r="B2827" s="3" t="str">
        <f>IFERROR(__xludf.DUMMYFUNCTION("""COMPUTED_VALUE"""),"crts")</f>
        <v>crts</v>
      </c>
      <c r="C2827" s="3" t="str">
        <f>IFERROR(__xludf.DUMMYFUNCTION("""COMPUTED_VALUE"""),"Cratos")</f>
        <v>Cratos</v>
      </c>
    </row>
    <row r="2828">
      <c r="A2828" s="3" t="str">
        <f>IFERROR(__xludf.DUMMYFUNCTION("""COMPUTED_VALUE"""),"crave")</f>
        <v>crave</v>
      </c>
      <c r="B2828" s="3" t="str">
        <f>IFERROR(__xludf.DUMMYFUNCTION("""COMPUTED_VALUE"""),"crave")</f>
        <v>crave</v>
      </c>
      <c r="C2828" s="3" t="str">
        <f>IFERROR(__xludf.DUMMYFUNCTION("""COMPUTED_VALUE"""),"Crave")</f>
        <v>Crave</v>
      </c>
    </row>
    <row r="2829">
      <c r="A2829" s="3" t="str">
        <f>IFERROR(__xludf.DUMMYFUNCTION("""COMPUTED_VALUE"""),"crazy-bunny-equity-token")</f>
        <v>crazy-bunny-equity-token</v>
      </c>
      <c r="B2829" s="3" t="str">
        <f>IFERROR(__xludf.DUMMYFUNCTION("""COMPUTED_VALUE"""),"cbunny")</f>
        <v>cbunny</v>
      </c>
      <c r="C2829" s="3" t="str">
        <f>IFERROR(__xludf.DUMMYFUNCTION("""COMPUTED_VALUE"""),"Crazy Bunny Equity")</f>
        <v>Crazy Bunny Equity</v>
      </c>
    </row>
    <row r="2830">
      <c r="A2830" s="3" t="str">
        <f>IFERROR(__xludf.DUMMYFUNCTION("""COMPUTED_VALUE"""),"crazy-internet-coin")</f>
        <v>crazy-internet-coin</v>
      </c>
      <c r="B2830" s="3" t="str">
        <f>IFERROR(__xludf.DUMMYFUNCTION("""COMPUTED_VALUE"""),"cic")</f>
        <v>cic</v>
      </c>
      <c r="C2830" s="3" t="str">
        <f>IFERROR(__xludf.DUMMYFUNCTION("""COMPUTED_VALUE"""),"Crazy Internet Coin")</f>
        <v>Crazy Internet Coin</v>
      </c>
    </row>
    <row r="2831">
      <c r="A2831" s="3" t="str">
        <f>IFERROR(__xludf.DUMMYFUNCTION("""COMPUTED_VALUE"""),"crazyminer")</f>
        <v>crazyminer</v>
      </c>
      <c r="B2831" s="3" t="str">
        <f>IFERROR(__xludf.DUMMYFUNCTION("""COMPUTED_VALUE"""),"pwr")</f>
        <v>pwr</v>
      </c>
      <c r="C2831" s="3" t="str">
        <f>IFERROR(__xludf.DUMMYFUNCTION("""COMPUTED_VALUE"""),"CrazyMiner")</f>
        <v>CrazyMiner</v>
      </c>
    </row>
    <row r="2832">
      <c r="A2832" s="3" t="str">
        <f>IFERROR(__xludf.DUMMYFUNCTION("""COMPUTED_VALUE"""),"crazysharo")</f>
        <v>crazysharo</v>
      </c>
      <c r="B2832" s="3" t="str">
        <f>IFERROR(__xludf.DUMMYFUNCTION("""COMPUTED_VALUE"""),"sharo")</f>
        <v>sharo</v>
      </c>
      <c r="C2832" s="3" t="str">
        <f>IFERROR(__xludf.DUMMYFUNCTION("""COMPUTED_VALUE"""),"CrazySharo")</f>
        <v>CrazySharo</v>
      </c>
    </row>
    <row r="2833">
      <c r="A2833" s="3" t="str">
        <f>IFERROR(__xludf.DUMMYFUNCTION("""COMPUTED_VALUE"""),"crazytime")</f>
        <v>crazytime</v>
      </c>
      <c r="B2833" s="3" t="str">
        <f>IFERROR(__xludf.DUMMYFUNCTION("""COMPUTED_VALUE"""),"crazytime")</f>
        <v>crazytime</v>
      </c>
      <c r="C2833" s="3" t="str">
        <f>IFERROR(__xludf.DUMMYFUNCTION("""COMPUTED_VALUE"""),"CrazyTime")</f>
        <v>CrazyTime</v>
      </c>
    </row>
    <row r="2834">
      <c r="A2834" s="3" t="str">
        <f>IFERROR(__xludf.DUMMYFUNCTION("""COMPUTED_VALUE"""),"crazy-treasure-token")</f>
        <v>crazy-treasure-token</v>
      </c>
      <c r="B2834" s="3" t="str">
        <f>IFERROR(__xludf.DUMMYFUNCTION("""COMPUTED_VALUE"""),"ctt")</f>
        <v>ctt</v>
      </c>
      <c r="C2834" s="3" t="str">
        <f>IFERROR(__xludf.DUMMYFUNCTION("""COMPUTED_VALUE"""),"Crazy Treasure Token")</f>
        <v>Crazy Treasure Token</v>
      </c>
    </row>
    <row r="2835">
      <c r="A2835" s="3" t="str">
        <f>IFERROR(__xludf.DUMMYFUNCTION("""COMPUTED_VALUE"""),"crb-coin")</f>
        <v>crb-coin</v>
      </c>
      <c r="B2835" s="3" t="str">
        <f>IFERROR(__xludf.DUMMYFUNCTION("""COMPUTED_VALUE"""),"crb")</f>
        <v>crb</v>
      </c>
      <c r="C2835" s="3" t="str">
        <f>IFERROR(__xludf.DUMMYFUNCTION("""COMPUTED_VALUE"""),"CRB Coin")</f>
        <v>CRB Coin</v>
      </c>
    </row>
    <row r="2836">
      <c r="A2836" s="3" t="str">
        <f>IFERROR(__xludf.DUMMYFUNCTION("""COMPUTED_VALUE"""),"crd-network")</f>
        <v>crd-network</v>
      </c>
      <c r="B2836" s="3" t="str">
        <f>IFERROR(__xludf.DUMMYFUNCTION("""COMPUTED_VALUE"""),"crd")</f>
        <v>crd</v>
      </c>
      <c r="C2836" s="3" t="str">
        <f>IFERROR(__xludf.DUMMYFUNCTION("""COMPUTED_VALUE"""),"CRD Network")</f>
        <v>CRD Network</v>
      </c>
    </row>
    <row r="2837">
      <c r="A2837" s="3" t="str">
        <f>IFERROR(__xludf.DUMMYFUNCTION("""COMPUTED_VALUE"""),"crdt")</f>
        <v>crdt</v>
      </c>
      <c r="B2837" s="3" t="str">
        <f>IFERROR(__xludf.DUMMYFUNCTION("""COMPUTED_VALUE"""),"crdt")</f>
        <v>crdt</v>
      </c>
      <c r="C2837" s="3" t="str">
        <f>IFERROR(__xludf.DUMMYFUNCTION("""COMPUTED_VALUE"""),"CRDT")</f>
        <v>CRDT</v>
      </c>
    </row>
    <row r="2838">
      <c r="A2838" s="3" t="str">
        <f>IFERROR(__xludf.DUMMYFUNCTION("""COMPUTED_VALUE"""),"cre8r-dao")</f>
        <v>cre8r-dao</v>
      </c>
      <c r="B2838" s="3" t="str">
        <f>IFERROR(__xludf.DUMMYFUNCTION("""COMPUTED_VALUE"""),"cre8r")</f>
        <v>cre8r</v>
      </c>
      <c r="C2838" s="3" t="str">
        <f>IFERROR(__xludf.DUMMYFUNCTION("""COMPUTED_VALUE"""),"CRE8R DAO")</f>
        <v>CRE8R DAO</v>
      </c>
    </row>
    <row r="2839">
      <c r="A2839" s="3" t="str">
        <f>IFERROR(__xludf.DUMMYFUNCTION("""COMPUTED_VALUE"""),"cream")</f>
        <v>cream</v>
      </c>
      <c r="B2839" s="3" t="str">
        <f>IFERROR(__xludf.DUMMYFUNCTION("""COMPUTED_VALUE"""),"crm")</f>
        <v>crm</v>
      </c>
      <c r="C2839" s="3" t="str">
        <f>IFERROR(__xludf.DUMMYFUNCTION("""COMPUTED_VALUE"""),"Creamcoin")</f>
        <v>Creamcoin</v>
      </c>
    </row>
    <row r="2840">
      <c r="A2840" s="3" t="str">
        <f>IFERROR(__xludf.DUMMYFUNCTION("""COMPUTED_VALUE"""),"cream-2")</f>
        <v>cream-2</v>
      </c>
      <c r="B2840" s="3" t="str">
        <f>IFERROR(__xludf.DUMMYFUNCTION("""COMPUTED_VALUE"""),"cream")</f>
        <v>cream</v>
      </c>
      <c r="C2840" s="3" t="str">
        <f>IFERROR(__xludf.DUMMYFUNCTION("""COMPUTED_VALUE"""),"Cream")</f>
        <v>Cream</v>
      </c>
    </row>
    <row r="2841">
      <c r="A2841" s="3" t="str">
        <f>IFERROR(__xludf.DUMMYFUNCTION("""COMPUTED_VALUE"""),"creama")</f>
        <v>creama</v>
      </c>
      <c r="B2841" s="3" t="str">
        <f>IFERROR(__xludf.DUMMYFUNCTION("""COMPUTED_VALUE"""),"creama")</f>
        <v>creama</v>
      </c>
      <c r="C2841" s="3" t="str">
        <f>IFERROR(__xludf.DUMMYFUNCTION("""COMPUTED_VALUE"""),"Creama")</f>
        <v>Creama</v>
      </c>
    </row>
    <row r="2842">
      <c r="A2842" s="3" t="str">
        <f>IFERROR(__xludf.DUMMYFUNCTION("""COMPUTED_VALUE"""),"cream-eth2")</f>
        <v>cream-eth2</v>
      </c>
      <c r="B2842" s="3" t="str">
        <f>IFERROR(__xludf.DUMMYFUNCTION("""COMPUTED_VALUE"""),"creth2")</f>
        <v>creth2</v>
      </c>
      <c r="C2842" s="3" t="str">
        <f>IFERROR(__xludf.DUMMYFUNCTION("""COMPUTED_VALUE"""),"Cream ETH 2")</f>
        <v>Cream ETH 2</v>
      </c>
    </row>
    <row r="2843">
      <c r="A2843" s="3" t="str">
        <f>IFERROR(__xludf.DUMMYFUNCTION("""COMPUTED_VALUE"""),"cream-shares")</f>
        <v>cream-shares</v>
      </c>
      <c r="B2843" s="3" t="str">
        <f>IFERROR(__xludf.DUMMYFUNCTION("""COMPUTED_VALUE"""),"cshare")</f>
        <v>cshare</v>
      </c>
      <c r="C2843" s="3" t="str">
        <f>IFERROR(__xludf.DUMMYFUNCTION("""COMPUTED_VALUE"""),"IceCream Shares")</f>
        <v>IceCream Shares</v>
      </c>
    </row>
    <row r="2844">
      <c r="A2844" s="3" t="str">
        <f>IFERROR(__xludf.DUMMYFUNCTION("""COMPUTED_VALUE"""),"creamy")</f>
        <v>creamy</v>
      </c>
      <c r="B2844" s="3" t="str">
        <f>IFERROR(__xludf.DUMMYFUNCTION("""COMPUTED_VALUE"""),"creamy")</f>
        <v>creamy</v>
      </c>
      <c r="C2844" s="3" t="str">
        <f>IFERROR(__xludf.DUMMYFUNCTION("""COMPUTED_VALUE"""),"Creamy")</f>
        <v>Creamy</v>
      </c>
    </row>
    <row r="2845">
      <c r="A2845" s="3" t="str">
        <f>IFERROR(__xludf.DUMMYFUNCTION("""COMPUTED_VALUE"""),"create")</f>
        <v>create</v>
      </c>
      <c r="B2845" s="3" t="str">
        <f>IFERROR(__xludf.DUMMYFUNCTION("""COMPUTED_VALUE"""),"ct")</f>
        <v>ct</v>
      </c>
      <c r="C2845" s="3" t="str">
        <f>IFERROR(__xludf.DUMMYFUNCTION("""COMPUTED_VALUE"""),"Create")</f>
        <v>Create</v>
      </c>
    </row>
    <row r="2846">
      <c r="A2846" s="3" t="str">
        <f>IFERROR(__xludf.DUMMYFUNCTION("""COMPUTED_VALUE"""),"creaticles")</f>
        <v>creaticles</v>
      </c>
      <c r="B2846" s="3" t="str">
        <f>IFERROR(__xludf.DUMMYFUNCTION("""COMPUTED_VALUE"""),"cre8")</f>
        <v>cre8</v>
      </c>
      <c r="C2846" s="3" t="str">
        <f>IFERROR(__xludf.DUMMYFUNCTION("""COMPUTED_VALUE"""),"Creaticles")</f>
        <v>Creaticles</v>
      </c>
    </row>
    <row r="2847">
      <c r="A2847" s="3" t="str">
        <f>IFERROR(__xludf.DUMMYFUNCTION("""COMPUTED_VALUE"""),"creator-platform")</f>
        <v>creator-platform</v>
      </c>
      <c r="B2847" s="3" t="str">
        <f>IFERROR(__xludf.DUMMYFUNCTION("""COMPUTED_VALUE"""),"ctr")</f>
        <v>ctr</v>
      </c>
      <c r="C2847" s="3" t="str">
        <f>IFERROR(__xludf.DUMMYFUNCTION("""COMPUTED_VALUE"""),"Creator Platform")</f>
        <v>Creator Platform</v>
      </c>
    </row>
    <row r="2848">
      <c r="A2848" s="3" t="str">
        <f>IFERROR(__xludf.DUMMYFUNCTION("""COMPUTED_VALUE"""),"creature_hunters")</f>
        <v>creature_hunters</v>
      </c>
      <c r="B2848" s="3" t="str">
        <f>IFERROR(__xludf.DUMMYFUNCTION("""COMPUTED_VALUE"""),"chts")</f>
        <v>chts</v>
      </c>
      <c r="C2848" s="3" t="str">
        <f>IFERROR(__xludf.DUMMYFUNCTION("""COMPUTED_VALUE"""),"Creature Hunters")</f>
        <v>Creature Hunters</v>
      </c>
    </row>
    <row r="2849">
      <c r="A2849" s="3" t="str">
        <f>IFERROR(__xludf.DUMMYFUNCTION("""COMPUTED_VALUE"""),"creda")</f>
        <v>creda</v>
      </c>
      <c r="B2849" s="3" t="str">
        <f>IFERROR(__xludf.DUMMYFUNCTION("""COMPUTED_VALUE"""),"creda")</f>
        <v>creda</v>
      </c>
      <c r="C2849" s="3" t="str">
        <f>IFERROR(__xludf.DUMMYFUNCTION("""COMPUTED_VALUE"""),"CreDA")</f>
        <v>CreDA</v>
      </c>
    </row>
    <row r="2850">
      <c r="A2850" s="3" t="str">
        <f>IFERROR(__xludf.DUMMYFUNCTION("""COMPUTED_VALUE"""),"credefi")</f>
        <v>credefi</v>
      </c>
      <c r="B2850" s="3" t="str">
        <f>IFERROR(__xludf.DUMMYFUNCTION("""COMPUTED_VALUE"""),"credi")</f>
        <v>credi</v>
      </c>
      <c r="C2850" s="3" t="str">
        <f>IFERROR(__xludf.DUMMYFUNCTION("""COMPUTED_VALUE"""),"Credefi")</f>
        <v>Credefi</v>
      </c>
    </row>
    <row r="2851">
      <c r="A2851" s="3" t="str">
        <f>IFERROR(__xludf.DUMMYFUNCTION("""COMPUTED_VALUE"""),"credit")</f>
        <v>credit</v>
      </c>
      <c r="B2851" s="3" t="str">
        <f>IFERROR(__xludf.DUMMYFUNCTION("""COMPUTED_VALUE"""),"credit")</f>
        <v>credit</v>
      </c>
      <c r="C2851" s="3" t="str">
        <f>IFERROR(__xludf.DUMMYFUNCTION("""COMPUTED_VALUE"""),"Credit")</f>
        <v>Credit</v>
      </c>
    </row>
    <row r="2852">
      <c r="A2852" s="3" t="str">
        <f>IFERROR(__xludf.DUMMYFUNCTION("""COMPUTED_VALUE"""),"credit-2")</f>
        <v>credit-2</v>
      </c>
      <c r="B2852" s="3" t="str">
        <f>IFERROR(__xludf.DUMMYFUNCTION("""COMPUTED_VALUE"""),"credit")</f>
        <v>credit</v>
      </c>
      <c r="C2852" s="3" t="str">
        <f>IFERROR(__xludf.DUMMYFUNCTION("""COMPUTED_VALUE"""),"PROXI DeFi")</f>
        <v>PROXI DeFi</v>
      </c>
    </row>
    <row r="2853">
      <c r="A2853" s="3" t="str">
        <f>IFERROR(__xludf.DUMMYFUNCTION("""COMPUTED_VALUE"""),"creditcoin-2")</f>
        <v>creditcoin-2</v>
      </c>
      <c r="B2853" s="3" t="str">
        <f>IFERROR(__xludf.DUMMYFUNCTION("""COMPUTED_VALUE"""),"ctc")</f>
        <v>ctc</v>
      </c>
      <c r="C2853" s="3" t="str">
        <f>IFERROR(__xludf.DUMMYFUNCTION("""COMPUTED_VALUE"""),"Creditcoin")</f>
        <v>Creditcoin</v>
      </c>
    </row>
    <row r="2854">
      <c r="A2854" s="3" t="str">
        <f>IFERROR(__xludf.DUMMYFUNCTION("""COMPUTED_VALUE"""),"credits")</f>
        <v>credits</v>
      </c>
      <c r="B2854" s="3" t="str">
        <f>IFERROR(__xludf.DUMMYFUNCTION("""COMPUTED_VALUE"""),"cs")</f>
        <v>cs</v>
      </c>
      <c r="C2854" s="3" t="str">
        <f>IFERROR(__xludf.DUMMYFUNCTION("""COMPUTED_VALUE"""),"CREDITS")</f>
        <v>CREDITS</v>
      </c>
    </row>
    <row r="2855">
      <c r="A2855" s="3" t="str">
        <f>IFERROR(__xludf.DUMMYFUNCTION("""COMPUTED_VALUE"""),"credit-suisse-inu")</f>
        <v>credit-suisse-inu</v>
      </c>
      <c r="B2855" s="3" t="str">
        <f>IFERROR(__xludf.DUMMYFUNCTION("""COMPUTED_VALUE"""),"csi")</f>
        <v>csi</v>
      </c>
      <c r="C2855" s="3" t="str">
        <f>IFERROR(__xludf.DUMMYFUNCTION("""COMPUTED_VALUE"""),"Credit Suisse Inu")</f>
        <v>Credit Suisse Inu</v>
      </c>
    </row>
    <row r="2856">
      <c r="A2856" s="3" t="str">
        <f>IFERROR(__xludf.DUMMYFUNCTION("""COMPUTED_VALUE"""),"creditum")</f>
        <v>creditum</v>
      </c>
      <c r="B2856" s="3" t="str">
        <f>IFERROR(__xludf.DUMMYFUNCTION("""COMPUTED_VALUE"""),"credit")</f>
        <v>credit</v>
      </c>
      <c r="C2856" s="3" t="str">
        <f>IFERROR(__xludf.DUMMYFUNCTION("""COMPUTED_VALUE"""),"Creditum")</f>
        <v>Creditum</v>
      </c>
    </row>
    <row r="2857">
      <c r="A2857" s="3" t="str">
        <f>IFERROR(__xludf.DUMMYFUNCTION("""COMPUTED_VALUE"""),"creds")</f>
        <v>creds</v>
      </c>
      <c r="B2857" s="3" t="str">
        <f>IFERROR(__xludf.DUMMYFUNCTION("""COMPUTED_VALUE"""),"creds")</f>
        <v>creds</v>
      </c>
      <c r="C2857" s="3" t="str">
        <f>IFERROR(__xludf.DUMMYFUNCTION("""COMPUTED_VALUE"""),"Creds")</f>
        <v>Creds</v>
      </c>
    </row>
    <row r="2858">
      <c r="A2858" s="3" t="str">
        <f>IFERROR(__xludf.DUMMYFUNCTION("""COMPUTED_VALUE"""),"crema-finance")</f>
        <v>crema-finance</v>
      </c>
      <c r="B2858" s="3" t="str">
        <f>IFERROR(__xludf.DUMMYFUNCTION("""COMPUTED_VALUE"""),"crm")</f>
        <v>crm</v>
      </c>
      <c r="C2858" s="3" t="str">
        <f>IFERROR(__xludf.DUMMYFUNCTION("""COMPUTED_VALUE"""),"Crema Finance")</f>
        <v>Crema Finance</v>
      </c>
    </row>
    <row r="2859">
      <c r="A2859" s="3" t="str">
        <f>IFERROR(__xludf.DUMMYFUNCTION("""COMPUTED_VALUE"""),"creo-engine")</f>
        <v>creo-engine</v>
      </c>
      <c r="B2859" s="3" t="str">
        <f>IFERROR(__xludf.DUMMYFUNCTION("""COMPUTED_VALUE"""),"creo")</f>
        <v>creo</v>
      </c>
      <c r="C2859" s="3" t="str">
        <f>IFERROR(__xludf.DUMMYFUNCTION("""COMPUTED_VALUE"""),"Creo Engine")</f>
        <v>Creo Engine</v>
      </c>
    </row>
    <row r="2860">
      <c r="A2860" s="3" t="str">
        <f>IFERROR(__xludf.DUMMYFUNCTION("""COMPUTED_VALUE"""),"crescent-network")</f>
        <v>crescent-network</v>
      </c>
      <c r="B2860" s="3" t="str">
        <f>IFERROR(__xludf.DUMMYFUNCTION("""COMPUTED_VALUE"""),"cre")</f>
        <v>cre</v>
      </c>
      <c r="C2860" s="3" t="str">
        <f>IFERROR(__xludf.DUMMYFUNCTION("""COMPUTED_VALUE"""),"Crescent Network")</f>
        <v>Crescent Network</v>
      </c>
    </row>
    <row r="2861">
      <c r="A2861" s="3" t="str">
        <f>IFERROR(__xludf.DUMMYFUNCTION("""COMPUTED_VALUE"""),"cresio")</f>
        <v>cresio</v>
      </c>
      <c r="B2861" s="3" t="str">
        <f>IFERROR(__xludf.DUMMYFUNCTION("""COMPUTED_VALUE"""),"xcre")</f>
        <v>xcre</v>
      </c>
      <c r="C2861" s="3" t="str">
        <f>IFERROR(__xludf.DUMMYFUNCTION("""COMPUTED_VALUE"""),"Cresio")</f>
        <v>Cresio</v>
      </c>
    </row>
    <row r="2862">
      <c r="A2862" s="3" t="str">
        <f>IFERROR(__xludf.DUMMYFUNCTION("""COMPUTED_VALUE"""),"crespo")</f>
        <v>crespo</v>
      </c>
      <c r="B2862" s="3" t="str">
        <f>IFERROR(__xludf.DUMMYFUNCTION("""COMPUTED_VALUE"""),"cso")</f>
        <v>cso</v>
      </c>
      <c r="C2862" s="3" t="str">
        <f>IFERROR(__xludf.DUMMYFUNCTION("""COMPUTED_VALUE"""),"Crespo")</f>
        <v>Crespo</v>
      </c>
    </row>
    <row r="2863">
      <c r="A2863" s="3" t="str">
        <f>IFERROR(__xludf.DUMMYFUNCTION("""COMPUTED_VALUE"""),"crevacoin")</f>
        <v>crevacoin</v>
      </c>
      <c r="B2863" s="3" t="str">
        <f>IFERROR(__xludf.DUMMYFUNCTION("""COMPUTED_VALUE"""),"creva")</f>
        <v>creva</v>
      </c>
      <c r="C2863" s="3" t="str">
        <f>IFERROR(__xludf.DUMMYFUNCTION("""COMPUTED_VALUE"""),"Crevacoin")</f>
        <v>Crevacoin</v>
      </c>
    </row>
    <row r="2864">
      <c r="A2864" s="3" t="str">
        <f>IFERROR(__xludf.DUMMYFUNCTION("""COMPUTED_VALUE"""),"cricket-foundation")</f>
        <v>cricket-foundation</v>
      </c>
      <c r="B2864" s="3" t="str">
        <f>IFERROR(__xludf.DUMMYFUNCTION("""COMPUTED_VALUE"""),"cric")</f>
        <v>cric</v>
      </c>
      <c r="C2864" s="3" t="str">
        <f>IFERROR(__xludf.DUMMYFUNCTION("""COMPUTED_VALUE"""),"Cricket Foundation")</f>
        <v>Cricket Foundation</v>
      </c>
    </row>
    <row r="2865">
      <c r="A2865" s="3" t="str">
        <f>IFERROR(__xludf.DUMMYFUNCTION("""COMPUTED_VALUE"""),"cricket-star-manager")</f>
        <v>cricket-star-manager</v>
      </c>
      <c r="B2865" s="3" t="str">
        <f>IFERROR(__xludf.DUMMYFUNCTION("""COMPUTED_VALUE"""),"csm")</f>
        <v>csm</v>
      </c>
      <c r="C2865" s="3" t="str">
        <f>IFERROR(__xludf.DUMMYFUNCTION("""COMPUTED_VALUE"""),"Cricket Star Manager")</f>
        <v>Cricket Star Manager</v>
      </c>
    </row>
    <row r="2866">
      <c r="A2866" s="3" t="str">
        <f>IFERROR(__xludf.DUMMYFUNCTION("""COMPUTED_VALUE"""),"crime-gold")</f>
        <v>crime-gold</v>
      </c>
      <c r="B2866" s="3" t="str">
        <f>IFERROR(__xludf.DUMMYFUNCTION("""COMPUTED_VALUE"""),"crime")</f>
        <v>crime</v>
      </c>
      <c r="C2866" s="3" t="str">
        <f>IFERROR(__xludf.DUMMYFUNCTION("""COMPUTED_VALUE"""),"Crime Gold")</f>
        <v>Crime Gold</v>
      </c>
    </row>
    <row r="2867">
      <c r="A2867" s="3" t="str">
        <f>IFERROR(__xludf.DUMMYFUNCTION("""COMPUTED_VALUE"""),"crinet")</f>
        <v>crinet</v>
      </c>
      <c r="B2867" s="3" t="str">
        <f>IFERROR(__xludf.DUMMYFUNCTION("""COMPUTED_VALUE"""),"cnt")</f>
        <v>cnt</v>
      </c>
      <c r="C2867" s="3" t="str">
        <f>IFERROR(__xludf.DUMMYFUNCTION("""COMPUTED_VALUE"""),"Crinet")</f>
        <v>Crinet</v>
      </c>
    </row>
    <row r="2868">
      <c r="A2868" s="3" t="str">
        <f>IFERROR(__xludf.DUMMYFUNCTION("""COMPUTED_VALUE"""),"cripco")</f>
        <v>cripco</v>
      </c>
      <c r="B2868" s="3" t="str">
        <f>IFERROR(__xludf.DUMMYFUNCTION("""COMPUTED_VALUE"""),"ip3")</f>
        <v>ip3</v>
      </c>
      <c r="C2868" s="3" t="str">
        <f>IFERROR(__xludf.DUMMYFUNCTION("""COMPUTED_VALUE"""),"Cripco")</f>
        <v>Cripco</v>
      </c>
    </row>
    <row r="2869">
      <c r="A2869" s="3" t="str">
        <f>IFERROR(__xludf.DUMMYFUNCTION("""COMPUTED_VALUE"""),"crir-msh")</f>
        <v>crir-msh</v>
      </c>
      <c r="B2869" s="3" t="str">
        <f>IFERROR(__xludf.DUMMYFUNCTION("""COMPUTED_VALUE"""),"msh")</f>
        <v>msh</v>
      </c>
      <c r="C2869" s="3" t="str">
        <f>IFERROR(__xludf.DUMMYFUNCTION("""COMPUTED_VALUE"""),"CRIR MSH")</f>
        <v>CRIR MSH</v>
      </c>
    </row>
    <row r="2870">
      <c r="A2870" s="3" t="str">
        <f>IFERROR(__xludf.DUMMYFUNCTION("""COMPUTED_VALUE"""),"croblanc")</f>
        <v>croblanc</v>
      </c>
      <c r="B2870" s="3" t="str">
        <f>IFERROR(__xludf.DUMMYFUNCTION("""COMPUTED_VALUE"""),"croblanc")</f>
        <v>croblanc</v>
      </c>
      <c r="C2870" s="3" t="str">
        <f>IFERROR(__xludf.DUMMYFUNCTION("""COMPUTED_VALUE"""),"Croblanc")</f>
        <v>Croblanc</v>
      </c>
    </row>
    <row r="2871">
      <c r="A2871" s="3" t="str">
        <f>IFERROR(__xludf.DUMMYFUNCTION("""COMPUTED_VALUE"""),"crodex")</f>
        <v>crodex</v>
      </c>
      <c r="B2871" s="3" t="str">
        <f>IFERROR(__xludf.DUMMYFUNCTION("""COMPUTED_VALUE"""),"crx")</f>
        <v>crx</v>
      </c>
      <c r="C2871" s="3" t="str">
        <f>IFERROR(__xludf.DUMMYFUNCTION("""COMPUTED_VALUE"""),"Crodex")</f>
        <v>Crodex</v>
      </c>
    </row>
    <row r="2872">
      <c r="A2872" s="3" t="str">
        <f>IFERROR(__xludf.DUMMYFUNCTION("""COMPUTED_VALUE"""),"crogecoin")</f>
        <v>crogecoin</v>
      </c>
      <c r="B2872" s="3" t="str">
        <f>IFERROR(__xludf.DUMMYFUNCTION("""COMPUTED_VALUE"""),"croge")</f>
        <v>croge</v>
      </c>
      <c r="C2872" s="3" t="str">
        <f>IFERROR(__xludf.DUMMYFUNCTION("""COMPUTED_VALUE"""),"Crogecoin")</f>
        <v>Crogecoin</v>
      </c>
    </row>
    <row r="2873">
      <c r="A2873" s="3" t="str">
        <f>IFERROR(__xludf.DUMMYFUNCTION("""COMPUTED_VALUE"""),"croissant-games")</f>
        <v>croissant-games</v>
      </c>
      <c r="B2873" s="3" t="str">
        <f>IFERROR(__xludf.DUMMYFUNCTION("""COMPUTED_VALUE"""),"croissant")</f>
        <v>croissant</v>
      </c>
      <c r="C2873" s="3" t="str">
        <f>IFERROR(__xludf.DUMMYFUNCTION("""COMPUTED_VALUE"""),"Croissant Games")</f>
        <v>Croissant Games</v>
      </c>
    </row>
    <row r="2874">
      <c r="A2874" s="3" t="str">
        <f>IFERROR(__xludf.DUMMYFUNCTION("""COMPUTED_VALUE"""),"croking")</f>
        <v>croking</v>
      </c>
      <c r="B2874" s="3" t="str">
        <f>IFERROR(__xludf.DUMMYFUNCTION("""COMPUTED_VALUE"""),"crk")</f>
        <v>crk</v>
      </c>
      <c r="C2874" s="3" t="str">
        <f>IFERROR(__xludf.DUMMYFUNCTION("""COMPUTED_VALUE"""),"Croking")</f>
        <v>Croking</v>
      </c>
    </row>
    <row r="2875">
      <c r="A2875" s="3" t="str">
        <f>IFERROR(__xludf.DUMMYFUNCTION("""COMPUTED_VALUE"""),"crolend")</f>
        <v>crolend</v>
      </c>
      <c r="B2875" s="3" t="str">
        <f>IFERROR(__xludf.DUMMYFUNCTION("""COMPUTED_VALUE"""),"crd")</f>
        <v>crd</v>
      </c>
      <c r="C2875" s="3" t="str">
        <f>IFERROR(__xludf.DUMMYFUNCTION("""COMPUTED_VALUE"""),"Crolend")</f>
        <v>Crolend</v>
      </c>
    </row>
    <row r="2876">
      <c r="A2876" s="3" t="str">
        <f>IFERROR(__xludf.DUMMYFUNCTION("""COMPUTED_VALUE"""),"crolon-mars")</f>
        <v>crolon-mars</v>
      </c>
      <c r="B2876" s="3" t="str">
        <f>IFERROR(__xludf.DUMMYFUNCTION("""COMPUTED_VALUE"""),"clmrs")</f>
        <v>clmrs</v>
      </c>
      <c r="C2876" s="3" t="str">
        <f>IFERROR(__xludf.DUMMYFUNCTION("""COMPUTED_VALUE"""),"Crolon Mars")</f>
        <v>Crolon Mars</v>
      </c>
    </row>
    <row r="2877">
      <c r="A2877" s="3" t="str">
        <f>IFERROR(__xludf.DUMMYFUNCTION("""COMPUTED_VALUE"""),"crome")</f>
        <v>crome</v>
      </c>
      <c r="B2877" s="3" t="str">
        <f>IFERROR(__xludf.DUMMYFUNCTION("""COMPUTED_VALUE"""),"crom")</f>
        <v>crom</v>
      </c>
      <c r="C2877" s="3" t="str">
        <f>IFERROR(__xludf.DUMMYFUNCTION("""COMPUTED_VALUE"""),"Crome")</f>
        <v>Crome</v>
      </c>
    </row>
    <row r="2878">
      <c r="A2878" s="3" t="str">
        <f>IFERROR(__xludf.DUMMYFUNCTION("""COMPUTED_VALUE"""),"cronaswap")</f>
        <v>cronaswap</v>
      </c>
      <c r="B2878" s="3" t="str">
        <f>IFERROR(__xludf.DUMMYFUNCTION("""COMPUTED_VALUE"""),"crona")</f>
        <v>crona</v>
      </c>
      <c r="C2878" s="3" t="str">
        <f>IFERROR(__xludf.DUMMYFUNCTION("""COMPUTED_VALUE"""),"CronaSwap")</f>
        <v>CronaSwap</v>
      </c>
    </row>
    <row r="2879">
      <c r="A2879" s="3" t="str">
        <f>IFERROR(__xludf.DUMMYFUNCTION("""COMPUTED_VALUE"""),"cronodes")</f>
        <v>cronodes</v>
      </c>
      <c r="B2879" s="3" t="str">
        <f>IFERROR(__xludf.DUMMYFUNCTION("""COMPUTED_VALUE"""),"crn")</f>
        <v>crn</v>
      </c>
      <c r="C2879" s="3" t="str">
        <f>IFERROR(__xludf.DUMMYFUNCTION("""COMPUTED_VALUE"""),"CroNodes")</f>
        <v>CroNodes</v>
      </c>
    </row>
    <row r="2880">
      <c r="A2880" s="3" t="str">
        <f>IFERROR(__xludf.DUMMYFUNCTION("""COMPUTED_VALUE"""),"cronosnode")</f>
        <v>cronosnode</v>
      </c>
      <c r="B2880" s="3" t="str">
        <f>IFERROR(__xludf.DUMMYFUNCTION("""COMPUTED_VALUE"""),"cron")</f>
        <v>cron</v>
      </c>
      <c r="C2880" s="3" t="str">
        <f>IFERROR(__xludf.DUMMYFUNCTION("""COMPUTED_VALUE"""),"CronosNode")</f>
        <v>CronosNode</v>
      </c>
    </row>
    <row r="2881">
      <c r="A2881" s="3" t="str">
        <f>IFERROR(__xludf.DUMMYFUNCTION("""COMPUTED_VALUE"""),"cronospad")</f>
        <v>cronospad</v>
      </c>
      <c r="B2881" s="3" t="str">
        <f>IFERROR(__xludf.DUMMYFUNCTION("""COMPUTED_VALUE"""),"cpad")</f>
        <v>cpad</v>
      </c>
      <c r="C2881" s="3" t="str">
        <f>IFERROR(__xludf.DUMMYFUNCTION("""COMPUTED_VALUE"""),"Cronospad")</f>
        <v>Cronospad</v>
      </c>
    </row>
    <row r="2882">
      <c r="A2882" s="3" t="str">
        <f>IFERROR(__xludf.DUMMYFUNCTION("""COMPUTED_VALUE"""),"cronosphere")</f>
        <v>cronosphere</v>
      </c>
      <c r="B2882" s="3" t="str">
        <f>IFERROR(__xludf.DUMMYFUNCTION("""COMPUTED_VALUE"""),"sphere")</f>
        <v>sphere</v>
      </c>
      <c r="C2882" s="3" t="str">
        <f>IFERROR(__xludf.DUMMYFUNCTION("""COMPUTED_VALUE"""),"Cronosphere")</f>
        <v>Cronosphere</v>
      </c>
    </row>
    <row r="2883">
      <c r="A2883" s="3" t="str">
        <f>IFERROR(__xludf.DUMMYFUNCTION("""COMPUTED_VALUE"""),"cronosverse")</f>
        <v>cronosverse</v>
      </c>
      <c r="B2883" s="3" t="str">
        <f>IFERROR(__xludf.DUMMYFUNCTION("""COMPUTED_VALUE"""),"vrse")</f>
        <v>vrse</v>
      </c>
      <c r="C2883" s="3" t="str">
        <f>IFERROR(__xludf.DUMMYFUNCTION("""COMPUTED_VALUE"""),"CronosVerse")</f>
        <v>CronosVerse</v>
      </c>
    </row>
    <row r="2884">
      <c r="A2884" s="3" t="str">
        <f>IFERROR(__xludf.DUMMYFUNCTION("""COMPUTED_VALUE"""),"cronus-finance")</f>
        <v>cronus-finance</v>
      </c>
      <c r="B2884" s="3" t="str">
        <f>IFERROR(__xludf.DUMMYFUNCTION("""COMPUTED_VALUE"""),"crn")</f>
        <v>crn</v>
      </c>
      <c r="C2884" s="3" t="str">
        <f>IFERROR(__xludf.DUMMYFUNCTION("""COMPUTED_VALUE"""),"Cronus Finance")</f>
        <v>Cronus Finance</v>
      </c>
    </row>
    <row r="2885">
      <c r="A2885" s="3" t="str">
        <f>IFERROR(__xludf.DUMMYFUNCTION("""COMPUTED_VALUE"""),"cropbytes")</f>
        <v>cropbytes</v>
      </c>
      <c r="B2885" s="3" t="str">
        <f>IFERROR(__xludf.DUMMYFUNCTION("""COMPUTED_VALUE"""),"cbx")</f>
        <v>cbx</v>
      </c>
      <c r="C2885" s="3" t="str">
        <f>IFERROR(__xludf.DUMMYFUNCTION("""COMPUTED_VALUE"""),"CropBytes")</f>
        <v>CropBytes</v>
      </c>
    </row>
    <row r="2886">
      <c r="A2886" s="3" t="str">
        <f>IFERROR(__xludf.DUMMYFUNCTION("""COMPUTED_VALUE"""),"cropperfinance")</f>
        <v>cropperfinance</v>
      </c>
      <c r="B2886" s="3" t="str">
        <f>IFERROR(__xludf.DUMMYFUNCTION("""COMPUTED_VALUE"""),"crp")</f>
        <v>crp</v>
      </c>
      <c r="C2886" s="3" t="str">
        <f>IFERROR(__xludf.DUMMYFUNCTION("""COMPUTED_VALUE"""),"CropperFinance")</f>
        <v>CropperFinance</v>
      </c>
    </row>
    <row r="2887">
      <c r="A2887" s="3" t="str">
        <f>IFERROR(__xludf.DUMMYFUNCTION("""COMPUTED_VALUE"""),"cro-predict")</f>
        <v>cro-predict</v>
      </c>
      <c r="B2887" s="3" t="str">
        <f>IFERROR(__xludf.DUMMYFUNCTION("""COMPUTED_VALUE"""),"crp")</f>
        <v>crp</v>
      </c>
      <c r="C2887" s="3" t="str">
        <f>IFERROR(__xludf.DUMMYFUNCTION("""COMPUTED_VALUE"""),"CRO Predict")</f>
        <v>CRO Predict</v>
      </c>
    </row>
    <row r="2888">
      <c r="A2888" s="3" t="str">
        <f>IFERROR(__xludf.DUMMYFUNCTION("""COMPUTED_VALUE"""),"cross-chain-bch")</f>
        <v>cross-chain-bch</v>
      </c>
      <c r="B2888" s="3" t="str">
        <f>IFERROR(__xludf.DUMMYFUNCTION("""COMPUTED_VALUE"""),"ccbch")</f>
        <v>ccbch</v>
      </c>
      <c r="C2888" s="3" t="str">
        <f>IFERROR(__xludf.DUMMYFUNCTION("""COMPUTED_VALUE"""),"Cross-Chain BCH")</f>
        <v>Cross-Chain BCH</v>
      </c>
    </row>
    <row r="2889">
      <c r="A2889" s="3" t="str">
        <f>IFERROR(__xludf.DUMMYFUNCTION("""COMPUTED_VALUE"""),"cross-chain-bridge")</f>
        <v>cross-chain-bridge</v>
      </c>
      <c r="B2889" s="3" t="str">
        <f>IFERROR(__xludf.DUMMYFUNCTION("""COMPUTED_VALUE"""),"bridge")</f>
        <v>bridge</v>
      </c>
      <c r="C2889" s="3" t="str">
        <f>IFERROR(__xludf.DUMMYFUNCTION("""COMPUTED_VALUE"""),"Cross-Chain Bridge")</f>
        <v>Cross-Chain Bridge</v>
      </c>
    </row>
    <row r="2890">
      <c r="A2890" s="3" t="str">
        <f>IFERROR(__xludf.DUMMYFUNCTION("""COMPUTED_VALUE"""),"cross-chain-capital")</f>
        <v>cross-chain-capital</v>
      </c>
      <c r="B2890" s="3" t="str">
        <f>IFERROR(__xludf.DUMMYFUNCTION("""COMPUTED_VALUE"""),"ccc")</f>
        <v>ccc</v>
      </c>
      <c r="C2890" s="3" t="str">
        <f>IFERROR(__xludf.DUMMYFUNCTION("""COMPUTED_VALUE"""),"Cross Chain Capital")</f>
        <v>Cross Chain Capital</v>
      </c>
    </row>
    <row r="2891">
      <c r="A2891" s="3" t="str">
        <f>IFERROR(__xludf.DUMMYFUNCTION("""COMPUTED_VALUE"""),"cross-chain-farming")</f>
        <v>cross-chain-farming</v>
      </c>
      <c r="B2891" s="3" t="str">
        <f>IFERROR(__xludf.DUMMYFUNCTION("""COMPUTED_VALUE"""),"ccf")</f>
        <v>ccf</v>
      </c>
      <c r="C2891" s="3" t="str">
        <f>IFERROR(__xludf.DUMMYFUNCTION("""COMPUTED_VALUE"""),"Cross Chain Farming")</f>
        <v>Cross Chain Farming</v>
      </c>
    </row>
    <row r="2892">
      <c r="A2892" s="3" t="str">
        <f>IFERROR(__xludf.DUMMYFUNCTION("""COMPUTED_VALUE"""),"crosschain-iotx")</f>
        <v>crosschain-iotx</v>
      </c>
      <c r="B2892" s="3" t="str">
        <f>IFERROR(__xludf.DUMMYFUNCTION("""COMPUTED_VALUE"""),"ciotx")</f>
        <v>ciotx</v>
      </c>
      <c r="C2892" s="3" t="str">
        <f>IFERROR(__xludf.DUMMYFUNCTION("""COMPUTED_VALUE"""),"Crosschain IOTX")</f>
        <v>Crosschain IOTX</v>
      </c>
    </row>
    <row r="2893">
      <c r="A2893" s="3" t="str">
        <f>IFERROR(__xludf.DUMMYFUNCTION("""COMPUTED_VALUE"""),"crossfi")</f>
        <v>crossfi</v>
      </c>
      <c r="B2893" s="3" t="str">
        <f>IFERROR(__xludf.DUMMYFUNCTION("""COMPUTED_VALUE"""),"crfi")</f>
        <v>crfi</v>
      </c>
      <c r="C2893" s="3" t="str">
        <f>IFERROR(__xludf.DUMMYFUNCTION("""COMPUTED_VALUE"""),"CrossFi")</f>
        <v>CrossFi</v>
      </c>
    </row>
    <row r="2894">
      <c r="A2894" s="3" t="str">
        <f>IFERROR(__xludf.DUMMYFUNCTION("""COMPUTED_VALUE"""),"crosspad")</f>
        <v>crosspad</v>
      </c>
      <c r="B2894" s="3" t="str">
        <f>IFERROR(__xludf.DUMMYFUNCTION("""COMPUTED_VALUE"""),"cross")</f>
        <v>cross</v>
      </c>
      <c r="C2894" s="3" t="str">
        <f>IFERROR(__xludf.DUMMYFUNCTION("""COMPUTED_VALUE"""),"CrossPad")</f>
        <v>CrossPad</v>
      </c>
    </row>
    <row r="2895">
      <c r="A2895" s="3" t="str">
        <f>IFERROR(__xludf.DUMMYFUNCTION("""COMPUTED_VALUE"""),"crossswap")</f>
        <v>crossswap</v>
      </c>
      <c r="B2895" s="3" t="str">
        <f>IFERROR(__xludf.DUMMYFUNCTION("""COMPUTED_VALUE"""),"cswap")</f>
        <v>cswap</v>
      </c>
      <c r="C2895" s="3" t="str">
        <f>IFERROR(__xludf.DUMMYFUNCTION("""COMPUTED_VALUE"""),"CrossSwap")</f>
        <v>CrossSwap</v>
      </c>
    </row>
    <row r="2896">
      <c r="A2896" s="3" t="str">
        <f>IFERROR(__xludf.DUMMYFUNCTION("""COMPUTED_VALUE"""),"crosswallet")</f>
        <v>crosswallet</v>
      </c>
      <c r="B2896" s="3" t="str">
        <f>IFERROR(__xludf.DUMMYFUNCTION("""COMPUTED_VALUE"""),"cwt")</f>
        <v>cwt</v>
      </c>
      <c r="C2896" s="3" t="str">
        <f>IFERROR(__xludf.DUMMYFUNCTION("""COMPUTED_VALUE"""),"CrossWallet")</f>
        <v>CrossWallet</v>
      </c>
    </row>
    <row r="2897">
      <c r="A2897" s="3" t="str">
        <f>IFERROR(__xludf.DUMMYFUNCTION("""COMPUTED_VALUE"""),"crossx")</f>
        <v>crossx</v>
      </c>
      <c r="B2897" s="3" t="str">
        <f>IFERROR(__xludf.DUMMYFUNCTION("""COMPUTED_VALUE"""),"crx")</f>
        <v>crx</v>
      </c>
      <c r="C2897" s="3" t="str">
        <f>IFERROR(__xludf.DUMMYFUNCTION("""COMPUTED_VALUE"""),"CrossX")</f>
        <v>CrossX</v>
      </c>
    </row>
    <row r="2898">
      <c r="A2898" s="3" t="str">
        <f>IFERROR(__xludf.DUMMYFUNCTION("""COMPUTED_VALUE"""),"crowd")</f>
        <v>crowd</v>
      </c>
      <c r="B2898" s="3" t="str">
        <f>IFERROR(__xludf.DUMMYFUNCTION("""COMPUTED_VALUE"""),"cwd")</f>
        <v>cwd</v>
      </c>
      <c r="C2898" s="3" t="str">
        <f>IFERROR(__xludf.DUMMYFUNCTION("""COMPUTED_VALUE"""),"CROWD")</f>
        <v>CROWD</v>
      </c>
    </row>
    <row r="2899">
      <c r="A2899" s="3" t="str">
        <f>IFERROR(__xludf.DUMMYFUNCTION("""COMPUTED_VALUE"""),"crowd-global")</f>
        <v>crowd-global</v>
      </c>
      <c r="B2899" s="3" t="str">
        <f>IFERROR(__xludf.DUMMYFUNCTION("""COMPUTED_VALUE"""),"cwd")</f>
        <v>cwd</v>
      </c>
      <c r="C2899" s="3" t="str">
        <f>IFERROR(__xludf.DUMMYFUNCTION("""COMPUTED_VALUE"""),"CROWD GLOBAL")</f>
        <v>CROWD GLOBAL</v>
      </c>
    </row>
    <row r="2900">
      <c r="A2900" s="3" t="str">
        <f>IFERROR(__xludf.DUMMYFUNCTION("""COMPUTED_VALUE"""),"crowdswap")</f>
        <v>crowdswap</v>
      </c>
      <c r="B2900" s="3" t="str">
        <f>IFERROR(__xludf.DUMMYFUNCTION("""COMPUTED_VALUE"""),"crowd")</f>
        <v>crowd</v>
      </c>
      <c r="C2900" s="3" t="str">
        <f>IFERROR(__xludf.DUMMYFUNCTION("""COMPUTED_VALUE"""),"CrowdSwap")</f>
        <v>CrowdSwap</v>
      </c>
    </row>
    <row r="2901">
      <c r="A2901" s="3" t="str">
        <f>IFERROR(__xludf.DUMMYFUNCTION("""COMPUTED_VALUE"""),"crowdy")</f>
        <v>crowdy</v>
      </c>
      <c r="B2901" s="3" t="str">
        <f>IFERROR(__xludf.DUMMYFUNCTION("""COMPUTED_VALUE"""),"crw")</f>
        <v>crw</v>
      </c>
      <c r="C2901" s="3" t="str">
        <f>IFERROR(__xludf.DUMMYFUNCTION("""COMPUTED_VALUE"""),"Crowdy")</f>
        <v>Crowdy</v>
      </c>
    </row>
    <row r="2902">
      <c r="A2902" s="3" t="str">
        <f>IFERROR(__xludf.DUMMYFUNCTION("""COMPUTED_VALUE"""),"crown")</f>
        <v>crown</v>
      </c>
      <c r="B2902" s="3" t="str">
        <f>IFERROR(__xludf.DUMMYFUNCTION("""COMPUTED_VALUE"""),"crw")</f>
        <v>crw</v>
      </c>
      <c r="C2902" s="3" t="str">
        <f>IFERROR(__xludf.DUMMYFUNCTION("""COMPUTED_VALUE"""),"Crown")</f>
        <v>Crown</v>
      </c>
    </row>
    <row r="2903">
      <c r="A2903" s="3" t="str">
        <f>IFERROR(__xludf.DUMMYFUNCTION("""COMPUTED_VALUE"""),"crown-finance-855746ec-db3e-4c45-a9f2-c6aaf16031d2")</f>
        <v>crown-finance-855746ec-db3e-4c45-a9f2-c6aaf16031d2</v>
      </c>
      <c r="B2903" s="3" t="str">
        <f>IFERROR(__xludf.DUMMYFUNCTION("""COMPUTED_VALUE"""),"crn")</f>
        <v>crn</v>
      </c>
      <c r="C2903" s="3" t="str">
        <f>IFERROR(__xludf.DUMMYFUNCTION("""COMPUTED_VALUE"""),"Crown Finance")</f>
        <v>Crown Finance</v>
      </c>
    </row>
    <row r="2904">
      <c r="A2904" s="3" t="str">
        <f>IFERROR(__xludf.DUMMYFUNCTION("""COMPUTED_VALUE"""),"crowns")</f>
        <v>crowns</v>
      </c>
      <c r="B2904" s="3" t="str">
        <f>IFERROR(__xludf.DUMMYFUNCTION("""COMPUTED_VALUE"""),"cws")</f>
        <v>cws</v>
      </c>
      <c r="C2904" s="3" t="str">
        <f>IFERROR(__xludf.DUMMYFUNCTION("""COMPUTED_VALUE"""),"Seascape Crowns")</f>
        <v>Seascape Crowns</v>
      </c>
    </row>
    <row r="2905">
      <c r="A2905" s="3" t="str">
        <f>IFERROR(__xludf.DUMMYFUNCTION("""COMPUTED_VALUE"""),"crown-sovereign")</f>
        <v>crown-sovereign</v>
      </c>
      <c r="B2905" s="3" t="str">
        <f>IFERROR(__xludf.DUMMYFUNCTION("""COMPUTED_VALUE"""),"csov")</f>
        <v>csov</v>
      </c>
      <c r="C2905" s="3" t="str">
        <f>IFERROR(__xludf.DUMMYFUNCTION("""COMPUTED_VALUE"""),"Crown Sovereign")</f>
        <v>Crown Sovereign</v>
      </c>
    </row>
    <row r="2906">
      <c r="A2906" s="3" t="str">
        <f>IFERROR(__xludf.DUMMYFUNCTION("""COMPUTED_VALUE"""),"crownsterling")</f>
        <v>crownsterling</v>
      </c>
      <c r="B2906" s="3" t="str">
        <f>IFERROR(__xludf.DUMMYFUNCTION("""COMPUTED_VALUE"""),"wcsov")</f>
        <v>wcsov</v>
      </c>
      <c r="C2906" s="3" t="str">
        <f>IFERROR(__xludf.DUMMYFUNCTION("""COMPUTED_VALUE"""),"CrownSterling")</f>
        <v>CrownSterling</v>
      </c>
    </row>
    <row r="2907">
      <c r="A2907" s="3" t="str">
        <f>IFERROR(__xludf.DUMMYFUNCTION("""COMPUTED_VALUE"""),"crown-token")</f>
        <v>crown-token</v>
      </c>
      <c r="B2907" s="3" t="str">
        <f>IFERROR(__xludf.DUMMYFUNCTION("""COMPUTED_VALUE"""),"cwt")</f>
        <v>cwt</v>
      </c>
      <c r="C2907" s="3" t="str">
        <f>IFERROR(__xludf.DUMMYFUNCTION("""COMPUTED_VALUE"""),"Crown CWT")</f>
        <v>Crown CWT</v>
      </c>
    </row>
    <row r="2908">
      <c r="A2908" s="3" t="str">
        <f>IFERROR(__xludf.DUMMYFUNCTION("""COMPUTED_VALUE"""),"crowny-token")</f>
        <v>crowny-token</v>
      </c>
      <c r="B2908" s="3" t="str">
        <f>IFERROR(__xludf.DUMMYFUNCTION("""COMPUTED_VALUE"""),"crwny")</f>
        <v>crwny</v>
      </c>
      <c r="C2908" s="3" t="str">
        <f>IFERROR(__xludf.DUMMYFUNCTION("""COMPUTED_VALUE"""),"Crowny")</f>
        <v>Crowny</v>
      </c>
    </row>
    <row r="2909">
      <c r="A2909" s="3" t="str">
        <f>IFERROR(__xludf.DUMMYFUNCTION("""COMPUTED_VALUE"""),"crude-token")</f>
        <v>crude-token</v>
      </c>
      <c r="B2909" s="3" t="str">
        <f>IFERROR(__xludf.DUMMYFUNCTION("""COMPUTED_VALUE"""),"crude")</f>
        <v>crude</v>
      </c>
      <c r="C2909" s="3" t="str">
        <f>IFERROR(__xludf.DUMMYFUNCTION("""COMPUTED_VALUE"""),"Crude")</f>
        <v>Crude</v>
      </c>
    </row>
    <row r="2910">
      <c r="A2910" s="3" t="str">
        <f>IFERROR(__xludf.DUMMYFUNCTION("""COMPUTED_VALUE"""),"cruize-finance")</f>
        <v>cruize-finance</v>
      </c>
      <c r="B2910" s="3" t="str">
        <f>IFERROR(__xludf.DUMMYFUNCTION("""COMPUTED_VALUE"""),"cruize")</f>
        <v>cruize</v>
      </c>
      <c r="C2910" s="3" t="str">
        <f>IFERROR(__xludf.DUMMYFUNCTION("""COMPUTED_VALUE"""),"Cruize Finance")</f>
        <v>Cruize Finance</v>
      </c>
    </row>
    <row r="2911">
      <c r="A2911" s="3" t="str">
        <f>IFERROR(__xludf.DUMMYFUNCTION("""COMPUTED_VALUE"""),"crunchy-dao")</f>
        <v>crunchy-dao</v>
      </c>
      <c r="B2911" s="3" t="str">
        <f>IFERROR(__xludf.DUMMYFUNCTION("""COMPUTED_VALUE"""),"crdao")</f>
        <v>crdao</v>
      </c>
      <c r="C2911" s="3" t="str">
        <f>IFERROR(__xludf.DUMMYFUNCTION("""COMPUTED_VALUE"""),"Crunchy DAO")</f>
        <v>Crunchy DAO</v>
      </c>
    </row>
    <row r="2912">
      <c r="A2912" s="3" t="str">
        <f>IFERROR(__xludf.DUMMYFUNCTION("""COMPUTED_VALUE"""),"crunchy-network")</f>
        <v>crunchy-network</v>
      </c>
      <c r="B2912" s="3" t="str">
        <f>IFERROR(__xludf.DUMMYFUNCTION("""COMPUTED_VALUE"""),"crunch")</f>
        <v>crunch</v>
      </c>
      <c r="C2912" s="3" t="str">
        <f>IFERROR(__xludf.DUMMYFUNCTION("""COMPUTED_VALUE"""),"Crunchy Network")</f>
        <v>Crunchy Network</v>
      </c>
    </row>
    <row r="2913">
      <c r="A2913" s="3" t="str">
        <f>IFERROR(__xludf.DUMMYFUNCTION("""COMPUTED_VALUE"""),"crusaders-of-crypto")</f>
        <v>crusaders-of-crypto</v>
      </c>
      <c r="B2913" s="3" t="str">
        <f>IFERROR(__xludf.DUMMYFUNCTION("""COMPUTED_VALUE"""),"crusader")</f>
        <v>crusader</v>
      </c>
      <c r="C2913" s="3" t="str">
        <f>IFERROR(__xludf.DUMMYFUNCTION("""COMPUTED_VALUE"""),"Crusaders of Crypto")</f>
        <v>Crusaders of Crypto</v>
      </c>
    </row>
    <row r="2914">
      <c r="A2914" s="3" t="str">
        <f>IFERROR(__xludf.DUMMYFUNCTION("""COMPUTED_VALUE"""),"crust-network")</f>
        <v>crust-network</v>
      </c>
      <c r="B2914" s="3" t="str">
        <f>IFERROR(__xludf.DUMMYFUNCTION("""COMPUTED_VALUE"""),"cru")</f>
        <v>cru</v>
      </c>
      <c r="C2914" s="3" t="str">
        <f>IFERROR(__xludf.DUMMYFUNCTION("""COMPUTED_VALUE"""),"Crust Network")</f>
        <v>Crust Network</v>
      </c>
    </row>
    <row r="2915">
      <c r="A2915" s="3" t="str">
        <f>IFERROR(__xludf.DUMMYFUNCTION("""COMPUTED_VALUE"""),"crust-storage-market")</f>
        <v>crust-storage-market</v>
      </c>
      <c r="B2915" s="3" t="str">
        <f>IFERROR(__xludf.DUMMYFUNCTION("""COMPUTED_VALUE"""),"csm")</f>
        <v>csm</v>
      </c>
      <c r="C2915" s="3" t="str">
        <f>IFERROR(__xludf.DUMMYFUNCTION("""COMPUTED_VALUE"""),"Crust Shadow")</f>
        <v>Crust Shadow</v>
      </c>
    </row>
    <row r="2916">
      <c r="A2916" s="3" t="str">
        <f>IFERROR(__xludf.DUMMYFUNCTION("""COMPUTED_VALUE"""),"crybet")</f>
        <v>crybet</v>
      </c>
      <c r="B2916" s="3" t="str">
        <f>IFERROR(__xludf.DUMMYFUNCTION("""COMPUTED_VALUE"""),"cbt")</f>
        <v>cbt</v>
      </c>
      <c r="C2916" s="3" t="str">
        <f>IFERROR(__xludf.DUMMYFUNCTION("""COMPUTED_VALUE"""),"CryBet")</f>
        <v>CryBet</v>
      </c>
    </row>
    <row r="2917">
      <c r="A2917" s="3" t="str">
        <f>IFERROR(__xludf.DUMMYFUNCTION("""COMPUTED_VALUE"""),"crycash")</f>
        <v>crycash</v>
      </c>
      <c r="B2917" s="3" t="str">
        <f>IFERROR(__xludf.DUMMYFUNCTION("""COMPUTED_VALUE"""),"crc")</f>
        <v>crc</v>
      </c>
      <c r="C2917" s="3" t="str">
        <f>IFERROR(__xludf.DUMMYFUNCTION("""COMPUTED_VALUE"""),"CRYCASH")</f>
        <v>CRYCASH</v>
      </c>
    </row>
    <row r="2918">
      <c r="A2918" s="3" t="str">
        <f>IFERROR(__xludf.DUMMYFUNCTION("""COMPUTED_VALUE"""),"cry-coin")</f>
        <v>cry-coin</v>
      </c>
      <c r="B2918" s="3" t="str">
        <f>IFERROR(__xludf.DUMMYFUNCTION("""COMPUTED_VALUE"""),"cryy")</f>
        <v>cryy</v>
      </c>
      <c r="C2918" s="3" t="str">
        <f>IFERROR(__xludf.DUMMYFUNCTION("""COMPUTED_VALUE"""),"Cry Cat Coin")</f>
        <v>Cry Cat Coin</v>
      </c>
    </row>
    <row r="2919">
      <c r="A2919" s="3" t="str">
        <f>IFERROR(__xludf.DUMMYFUNCTION("""COMPUTED_VALUE"""),"cryn")</f>
        <v>cryn</v>
      </c>
      <c r="B2919" s="3" t="str">
        <f>IFERROR(__xludf.DUMMYFUNCTION("""COMPUTED_VALUE"""),"cryn")</f>
        <v>cryn</v>
      </c>
      <c r="C2919" s="3" t="str">
        <f>IFERROR(__xludf.DUMMYFUNCTION("""COMPUTED_VALUE"""),"CRYN")</f>
        <v>CRYN</v>
      </c>
    </row>
    <row r="2920">
      <c r="A2920" s="3" t="str">
        <f>IFERROR(__xludf.DUMMYFUNCTION("""COMPUTED_VALUE"""),"cryowar-token")</f>
        <v>cryowar-token</v>
      </c>
      <c r="B2920" s="3" t="str">
        <f>IFERROR(__xludf.DUMMYFUNCTION("""COMPUTED_VALUE"""),"cwar")</f>
        <v>cwar</v>
      </c>
      <c r="C2920" s="3" t="str">
        <f>IFERROR(__xludf.DUMMYFUNCTION("""COMPUTED_VALUE"""),"Cryowar")</f>
        <v>Cryowar</v>
      </c>
    </row>
    <row r="2921">
      <c r="A2921" s="3" t="str">
        <f>IFERROR(__xludf.DUMMYFUNCTION("""COMPUTED_VALUE"""),"cryptaur")</f>
        <v>cryptaur</v>
      </c>
      <c r="B2921" s="3" t="str">
        <f>IFERROR(__xludf.DUMMYFUNCTION("""COMPUTED_VALUE"""),"cpt")</f>
        <v>cpt</v>
      </c>
      <c r="C2921" s="3" t="str">
        <f>IFERROR(__xludf.DUMMYFUNCTION("""COMPUTED_VALUE"""),"Cryptaur")</f>
        <v>Cryptaur</v>
      </c>
    </row>
    <row r="2922">
      <c r="A2922" s="3" t="str">
        <f>IFERROR(__xludf.DUMMYFUNCTION("""COMPUTED_VALUE"""),"crypterium")</f>
        <v>crypterium</v>
      </c>
      <c r="B2922" s="3" t="str">
        <f>IFERROR(__xludf.DUMMYFUNCTION("""COMPUTED_VALUE"""),"crpt")</f>
        <v>crpt</v>
      </c>
      <c r="C2922" s="3" t="str">
        <f>IFERROR(__xludf.DUMMYFUNCTION("""COMPUTED_VALUE"""),"Crypterium")</f>
        <v>Crypterium</v>
      </c>
    </row>
    <row r="2923">
      <c r="A2923" s="3" t="str">
        <f>IFERROR(__xludf.DUMMYFUNCTION("""COMPUTED_VALUE"""),"crypteriumcoin")</f>
        <v>crypteriumcoin</v>
      </c>
      <c r="B2923" s="3" t="str">
        <f>IFERROR(__xludf.DUMMYFUNCTION("""COMPUTED_VALUE"""),"ccoin")</f>
        <v>ccoin</v>
      </c>
      <c r="C2923" s="3" t="str">
        <f>IFERROR(__xludf.DUMMYFUNCTION("""COMPUTED_VALUE"""),"Crypteriumcoin")</f>
        <v>Crypteriumcoin</v>
      </c>
    </row>
    <row r="2924">
      <c r="A2924" s="3" t="str">
        <f>IFERROR(__xludf.DUMMYFUNCTION("""COMPUTED_VALUE"""),"cryptertoken")</f>
        <v>cryptertoken</v>
      </c>
      <c r="B2924" s="3" t="str">
        <f>IFERROR(__xludf.DUMMYFUNCTION("""COMPUTED_VALUE"""),"crypt")</f>
        <v>crypt</v>
      </c>
      <c r="C2924" s="3" t="str">
        <f>IFERROR(__xludf.DUMMYFUNCTION("""COMPUTED_VALUE"""),"Crypter")</f>
        <v>Crypter</v>
      </c>
    </row>
    <row r="2925">
      <c r="A2925" s="3" t="str">
        <f>IFERROR(__xludf.DUMMYFUNCTION("""COMPUTED_VALUE"""),"cryptex")</f>
        <v>cryptex</v>
      </c>
      <c r="B2925" s="3" t="str">
        <f>IFERROR(__xludf.DUMMYFUNCTION("""COMPUTED_VALUE"""),"crx")</f>
        <v>crx</v>
      </c>
      <c r="C2925" s="3" t="str">
        <f>IFERROR(__xludf.DUMMYFUNCTION("""COMPUTED_VALUE"""),"CryptEx")</f>
        <v>CryptEx</v>
      </c>
    </row>
    <row r="2926">
      <c r="A2926" s="3" t="str">
        <f>IFERROR(__xludf.DUMMYFUNCTION("""COMPUTED_VALUE"""),"cryptex-finance")</f>
        <v>cryptex-finance</v>
      </c>
      <c r="B2926" s="3" t="str">
        <f>IFERROR(__xludf.DUMMYFUNCTION("""COMPUTED_VALUE"""),"ctx")</f>
        <v>ctx</v>
      </c>
      <c r="C2926" s="3" t="str">
        <f>IFERROR(__xludf.DUMMYFUNCTION("""COMPUTED_VALUE"""),"Cryptex Finance")</f>
        <v>Cryptex Finance</v>
      </c>
    </row>
    <row r="2927">
      <c r="A2927" s="3" t="str">
        <f>IFERROR(__xludf.DUMMYFUNCTION("""COMPUTED_VALUE"""),"cryptia")</f>
        <v>cryptia</v>
      </c>
      <c r="B2927" s="3" t="str">
        <f>IFERROR(__xludf.DUMMYFUNCTION("""COMPUTED_VALUE"""),"crypt")</f>
        <v>crypt</v>
      </c>
      <c r="C2927" s="3" t="str">
        <f>IFERROR(__xludf.DUMMYFUNCTION("""COMPUTED_VALUE"""),"Cryptia")</f>
        <v>Cryptia</v>
      </c>
    </row>
    <row r="2928">
      <c r="A2928" s="3" t="str">
        <f>IFERROR(__xludf.DUMMYFUNCTION("""COMPUTED_VALUE"""),"cryption-network")</f>
        <v>cryption-network</v>
      </c>
      <c r="B2928" s="3" t="str">
        <f>IFERROR(__xludf.DUMMYFUNCTION("""COMPUTED_VALUE"""),"cnt")</f>
        <v>cnt</v>
      </c>
      <c r="C2928" s="3" t="str">
        <f>IFERROR(__xludf.DUMMYFUNCTION("""COMPUTED_VALUE"""),"Cryption Network")</f>
        <v>Cryption Network</v>
      </c>
    </row>
    <row r="2929">
      <c r="A2929" s="3" t="str">
        <f>IFERROR(__xludf.DUMMYFUNCTION("""COMPUTED_VALUE"""),"crypto-arc")</f>
        <v>crypto-arc</v>
      </c>
      <c r="B2929" s="3" t="str">
        <f>IFERROR(__xludf.DUMMYFUNCTION("""COMPUTED_VALUE"""),"arc")</f>
        <v>arc</v>
      </c>
      <c r="C2929" s="3" t="str">
        <f>IFERROR(__xludf.DUMMYFUNCTION("""COMPUTED_VALUE"""),"CryptoArc")</f>
        <v>CryptoArc</v>
      </c>
    </row>
    <row r="2930">
      <c r="A2930" s="3" t="str">
        <f>IFERROR(__xludf.DUMMYFUNCTION("""COMPUTED_VALUE"""),"cryptoart-ai")</f>
        <v>cryptoart-ai</v>
      </c>
      <c r="B2930" s="3" t="str">
        <f>IFERROR(__xludf.DUMMYFUNCTION("""COMPUTED_VALUE"""),"cart")</f>
        <v>cart</v>
      </c>
      <c r="C2930" s="4" t="str">
        <f>IFERROR(__xludf.DUMMYFUNCTION("""COMPUTED_VALUE"""),"CryptoArt.Ai")</f>
        <v>CryptoArt.Ai</v>
      </c>
    </row>
    <row r="2931">
      <c r="A2931" s="3" t="str">
        <f>IFERROR(__xludf.DUMMYFUNCTION("""COMPUTED_VALUE"""),"crypto-bank")</f>
        <v>crypto-bank</v>
      </c>
      <c r="B2931" s="3" t="str">
        <f>IFERROR(__xludf.DUMMYFUNCTION("""COMPUTED_VALUE"""),"cbank")</f>
        <v>cbank</v>
      </c>
      <c r="C2931" s="3" t="str">
        <f>IFERROR(__xludf.DUMMYFUNCTION("""COMPUTED_VALUE"""),"Crypto Bank")</f>
        <v>Crypto Bank</v>
      </c>
    </row>
    <row r="2932">
      <c r="A2932" s="3" t="str">
        <f>IFERROR(__xludf.DUMMYFUNCTION("""COMPUTED_VALUE"""),"crypto-birds")</f>
        <v>crypto-birds</v>
      </c>
      <c r="B2932" s="3" t="str">
        <f>IFERROR(__xludf.DUMMYFUNCTION("""COMPUTED_VALUE"""),"xcb")</f>
        <v>xcb</v>
      </c>
      <c r="C2932" s="3" t="str">
        <f>IFERROR(__xludf.DUMMYFUNCTION("""COMPUTED_VALUE"""),"Crypto Birds")</f>
        <v>Crypto Birds</v>
      </c>
    </row>
    <row r="2933">
      <c r="A2933" s="3" t="str">
        <f>IFERROR(__xludf.DUMMYFUNCTION("""COMPUTED_VALUE"""),"cryptoblades")</f>
        <v>cryptoblades</v>
      </c>
      <c r="B2933" s="3" t="str">
        <f>IFERROR(__xludf.DUMMYFUNCTION("""COMPUTED_VALUE"""),"skill")</f>
        <v>skill</v>
      </c>
      <c r="C2933" s="3" t="str">
        <f>IFERROR(__xludf.DUMMYFUNCTION("""COMPUTED_VALUE"""),"CryptoBlades")</f>
        <v>CryptoBlades</v>
      </c>
    </row>
    <row r="2934">
      <c r="A2934" s="3" t="str">
        <f>IFERROR(__xludf.DUMMYFUNCTION("""COMPUTED_VALUE"""),"cryptoblades-kingdoms")</f>
        <v>cryptoblades-kingdoms</v>
      </c>
      <c r="B2934" s="3" t="str">
        <f>IFERROR(__xludf.DUMMYFUNCTION("""COMPUTED_VALUE"""),"king")</f>
        <v>king</v>
      </c>
      <c r="C2934" s="3" t="str">
        <f>IFERROR(__xludf.DUMMYFUNCTION("""COMPUTED_VALUE"""),"CryptoBlades Kingdoms")</f>
        <v>CryptoBlades Kingdoms</v>
      </c>
    </row>
    <row r="2935">
      <c r="A2935" s="3" t="str">
        <f>IFERROR(__xludf.DUMMYFUNCTION("""COMPUTED_VALUE"""),"cryptoblast")</f>
        <v>cryptoblast</v>
      </c>
      <c r="B2935" s="3" t="str">
        <f>IFERROR(__xludf.DUMMYFUNCTION("""COMPUTED_VALUE"""),"cbt")</f>
        <v>cbt</v>
      </c>
      <c r="C2935" s="3" t="str">
        <f>IFERROR(__xludf.DUMMYFUNCTION("""COMPUTED_VALUE"""),"CryptoBlast")</f>
        <v>CryptoBlast</v>
      </c>
    </row>
    <row r="2936">
      <c r="A2936" s="3" t="str">
        <f>IFERROR(__xludf.DUMMYFUNCTION("""COMPUTED_VALUE"""),"cryptobonusmiles")</f>
        <v>cryptobonusmiles</v>
      </c>
      <c r="B2936" s="3" t="str">
        <f>IFERROR(__xludf.DUMMYFUNCTION("""COMPUTED_VALUE"""),"cbm")</f>
        <v>cbm</v>
      </c>
      <c r="C2936" s="3" t="str">
        <f>IFERROR(__xludf.DUMMYFUNCTION("""COMPUTED_VALUE"""),"CryptoBonusMiles")</f>
        <v>CryptoBonusMiles</v>
      </c>
    </row>
    <row r="2937">
      <c r="A2937" s="3" t="str">
        <f>IFERROR(__xludf.DUMMYFUNCTION("""COMPUTED_VALUE"""),"cryptobosscoin")</f>
        <v>cryptobosscoin</v>
      </c>
      <c r="B2937" s="3" t="str">
        <f>IFERROR(__xludf.DUMMYFUNCTION("""COMPUTED_VALUE"""),"cbc")</f>
        <v>cbc</v>
      </c>
      <c r="C2937" s="3" t="str">
        <f>IFERROR(__xludf.DUMMYFUNCTION("""COMPUTED_VALUE"""),"CryptoBossCoin")</f>
        <v>CryptoBossCoin</v>
      </c>
    </row>
    <row r="2938">
      <c r="A2938" s="3" t="str">
        <f>IFERROR(__xludf.DUMMYFUNCTION("""COMPUTED_VALUE"""),"cryptobuyer-token")</f>
        <v>cryptobuyer-token</v>
      </c>
      <c r="B2938" s="3" t="str">
        <f>IFERROR(__xludf.DUMMYFUNCTION("""COMPUTED_VALUE"""),"xpt")</f>
        <v>xpt</v>
      </c>
      <c r="C2938" s="3" t="str">
        <f>IFERROR(__xludf.DUMMYFUNCTION("""COMPUTED_VALUE"""),"Cryptobuyer")</f>
        <v>Cryptobuyer</v>
      </c>
    </row>
    <row r="2939">
      <c r="A2939" s="3" t="str">
        <f>IFERROR(__xludf.DUMMYFUNCTION("""COMPUTED_VALUE"""),"crypto-carbon-energy")</f>
        <v>crypto-carbon-energy</v>
      </c>
      <c r="B2939" s="3" t="str">
        <f>IFERROR(__xludf.DUMMYFUNCTION("""COMPUTED_VALUE"""),"cyce")</f>
        <v>cyce</v>
      </c>
      <c r="C2939" s="3" t="str">
        <f>IFERROR(__xludf.DUMMYFUNCTION("""COMPUTED_VALUE"""),"Crypto Carbon Energy")</f>
        <v>Crypto Carbon Energy</v>
      </c>
    </row>
    <row r="2940">
      <c r="A2940" s="3" t="str">
        <f>IFERROR(__xludf.DUMMYFUNCTION("""COMPUTED_VALUE"""),"cryptocars")</f>
        <v>cryptocars</v>
      </c>
      <c r="B2940" s="3" t="str">
        <f>IFERROR(__xludf.DUMMYFUNCTION("""COMPUTED_VALUE"""),"ccar")</f>
        <v>ccar</v>
      </c>
      <c r="C2940" s="3" t="str">
        <f>IFERROR(__xludf.DUMMYFUNCTION("""COMPUTED_VALUE"""),"CryptoCars")</f>
        <v>CryptoCars</v>
      </c>
    </row>
    <row r="2941">
      <c r="A2941" s="3" t="str">
        <f>IFERROR(__xludf.DUMMYFUNCTION("""COMPUTED_VALUE"""),"cryptocart")</f>
        <v>cryptocart</v>
      </c>
      <c r="B2941" s="3" t="str">
        <f>IFERROR(__xludf.DUMMYFUNCTION("""COMPUTED_VALUE"""),"ccv2")</f>
        <v>ccv2</v>
      </c>
      <c r="C2941" s="3" t="str">
        <f>IFERROR(__xludf.DUMMYFUNCTION("""COMPUTED_VALUE"""),"CryptoCart V2")</f>
        <v>CryptoCart V2</v>
      </c>
    </row>
    <row r="2942">
      <c r="A2942" s="3" t="str">
        <f>IFERROR(__xludf.DUMMYFUNCTION("""COMPUTED_VALUE"""),"cryptocean")</f>
        <v>cryptocean</v>
      </c>
      <c r="B2942" s="3" t="str">
        <f>IFERROR(__xludf.DUMMYFUNCTION("""COMPUTED_VALUE"""),"cron")</f>
        <v>cron</v>
      </c>
      <c r="C2942" s="3" t="str">
        <f>IFERROR(__xludf.DUMMYFUNCTION("""COMPUTED_VALUE"""),"Cryptocean")</f>
        <v>Cryptocean</v>
      </c>
    </row>
    <row r="2943">
      <c r="A2943" s="3" t="str">
        <f>IFERROR(__xludf.DUMMYFUNCTION("""COMPUTED_VALUE"""),"crypto-chip")</f>
        <v>crypto-chip</v>
      </c>
      <c r="B2943" s="3" t="str">
        <f>IFERROR(__xludf.DUMMYFUNCTION("""COMPUTED_VALUE"""),"bvc")</f>
        <v>bvc</v>
      </c>
      <c r="C2943" s="3" t="str">
        <f>IFERROR(__xludf.DUMMYFUNCTION("""COMPUTED_VALUE"""),"Crypto Chip")</f>
        <v>Crypto Chip</v>
      </c>
    </row>
    <row r="2944">
      <c r="A2944" s="3" t="str">
        <f>IFERROR(__xludf.DUMMYFUNCTION("""COMPUTED_VALUE"""),"cryptochrome")</f>
        <v>cryptochrome</v>
      </c>
      <c r="B2944" s="3" t="str">
        <f>IFERROR(__xludf.DUMMYFUNCTION("""COMPUTED_VALUE"""),"chm")</f>
        <v>chm</v>
      </c>
      <c r="C2944" s="3" t="str">
        <f>IFERROR(__xludf.DUMMYFUNCTION("""COMPUTED_VALUE"""),"Cryptochrome")</f>
        <v>Cryptochrome</v>
      </c>
    </row>
    <row r="2945">
      <c r="A2945" s="3" t="str">
        <f>IFERROR(__xludf.DUMMYFUNCTION("""COMPUTED_VALUE"""),"cryptoclans")</f>
        <v>cryptoclans</v>
      </c>
      <c r="B2945" s="3" t="str">
        <f>IFERROR(__xludf.DUMMYFUNCTION("""COMPUTED_VALUE"""),"coc")</f>
        <v>coc</v>
      </c>
      <c r="C2945" s="3" t="str">
        <f>IFERROR(__xludf.DUMMYFUNCTION("""COMPUTED_VALUE"""),"CryptoClans")</f>
        <v>CryptoClans</v>
      </c>
    </row>
    <row r="2946">
      <c r="A2946" s="3" t="str">
        <f>IFERROR(__xludf.DUMMYFUNCTION("""COMPUTED_VALUE"""),"crypto-classic")</f>
        <v>crypto-classic</v>
      </c>
      <c r="B2946" s="3" t="str">
        <f>IFERROR(__xludf.DUMMYFUNCTION("""COMPUTED_VALUE"""),"crc")</f>
        <v>crc</v>
      </c>
      <c r="C2946" s="3" t="str">
        <f>IFERROR(__xludf.DUMMYFUNCTION("""COMPUTED_VALUE"""),"Crypto Classic")</f>
        <v>Crypto Classic</v>
      </c>
    </row>
    <row r="2947">
      <c r="A2947" s="3" t="str">
        <f>IFERROR(__xludf.DUMMYFUNCTION("""COMPUTED_VALUE"""),"cryptocoinpay")</f>
        <v>cryptocoinpay</v>
      </c>
      <c r="B2947" s="3" t="str">
        <f>IFERROR(__xludf.DUMMYFUNCTION("""COMPUTED_VALUE"""),"ccp")</f>
        <v>ccp</v>
      </c>
      <c r="C2947" s="3" t="str">
        <f>IFERROR(__xludf.DUMMYFUNCTION("""COMPUTED_VALUE"""),"CryptoCoinPay")</f>
        <v>CryptoCoinPay</v>
      </c>
    </row>
    <row r="2948">
      <c r="A2948" s="3" t="str">
        <f>IFERROR(__xludf.DUMMYFUNCTION("""COMPUTED_VALUE"""),"crypto-com-chain")</f>
        <v>crypto-com-chain</v>
      </c>
      <c r="B2948" s="3" t="str">
        <f>IFERROR(__xludf.DUMMYFUNCTION("""COMPUTED_VALUE"""),"cro")</f>
        <v>cro</v>
      </c>
      <c r="C2948" s="3" t="str">
        <f>IFERROR(__xludf.DUMMYFUNCTION("""COMPUTED_VALUE"""),"Cronos")</f>
        <v>Cronos</v>
      </c>
    </row>
    <row r="2949">
      <c r="A2949" s="3" t="str">
        <f>IFERROR(__xludf.DUMMYFUNCTION("""COMPUTED_VALUE"""),"cryptocurrency-market-index")</f>
        <v>cryptocurrency-market-index</v>
      </c>
      <c r="B2949" s="3" t="str">
        <f>IFERROR(__xludf.DUMMYFUNCTION("""COMPUTED_VALUE"""),"cmi")</f>
        <v>cmi</v>
      </c>
      <c r="C2949" s="3" t="str">
        <f>IFERROR(__xludf.DUMMYFUNCTION("""COMPUTED_VALUE"""),"Cryptocurrency Market Index")</f>
        <v>Cryptocurrency Market Index</v>
      </c>
    </row>
    <row r="2950">
      <c r="A2950" s="3" t="str">
        <f>IFERROR(__xludf.DUMMYFUNCTION("""COMPUTED_VALUE"""),"crypto-development-services")</f>
        <v>crypto-development-services</v>
      </c>
      <c r="B2950" s="3" t="str">
        <f>IFERROR(__xludf.DUMMYFUNCTION("""COMPUTED_VALUE"""),"cds")</f>
        <v>cds</v>
      </c>
      <c r="C2950" s="3" t="str">
        <f>IFERROR(__xludf.DUMMYFUNCTION("""COMPUTED_VALUE"""),"Crypto Development Services")</f>
        <v>Crypto Development Services</v>
      </c>
    </row>
    <row r="2951">
      <c r="A2951" s="3" t="str">
        <f>IFERROR(__xludf.DUMMYFUNCTION("""COMPUTED_VALUE"""),"cryptodicehero")</f>
        <v>cryptodicehero</v>
      </c>
      <c r="B2951" s="3" t="str">
        <f>IFERROR(__xludf.DUMMYFUNCTION("""COMPUTED_VALUE"""),"hro")</f>
        <v>hro</v>
      </c>
      <c r="C2951" s="3" t="str">
        <f>IFERROR(__xludf.DUMMYFUNCTION("""COMPUTED_VALUE"""),"CryptoDiceHero")</f>
        <v>CryptoDiceHero</v>
      </c>
    </row>
    <row r="2952">
      <c r="A2952" s="3" t="str">
        <f>IFERROR(__xludf.DUMMYFUNCTION("""COMPUTED_VALUE"""),"cryptodrop")</f>
        <v>cryptodrop</v>
      </c>
      <c r="B2952" s="3" t="str">
        <f>IFERROR(__xludf.DUMMYFUNCTION("""COMPUTED_VALUE"""),"juice")</f>
        <v>juice</v>
      </c>
      <c r="C2952" s="3" t="str">
        <f>IFERROR(__xludf.DUMMYFUNCTION("""COMPUTED_VALUE"""),"CryptoDrop")</f>
        <v>CryptoDrop</v>
      </c>
    </row>
    <row r="2953">
      <c r="A2953" s="3" t="str">
        <f>IFERROR(__xludf.DUMMYFUNCTION("""COMPUTED_VALUE"""),"crypto-emergency")</f>
        <v>crypto-emergency</v>
      </c>
      <c r="B2953" s="3" t="str">
        <f>IFERROR(__xludf.DUMMYFUNCTION("""COMPUTED_VALUE"""),"cem")</f>
        <v>cem</v>
      </c>
      <c r="C2953" s="3" t="str">
        <f>IFERROR(__xludf.DUMMYFUNCTION("""COMPUTED_VALUE"""),"Crypto Emergency")</f>
        <v>Crypto Emergency</v>
      </c>
    </row>
    <row r="2954">
      <c r="A2954" s="3" t="str">
        <f>IFERROR(__xludf.DUMMYFUNCTION("""COMPUTED_VALUE"""),"crypto-excellence")</f>
        <v>crypto-excellence</v>
      </c>
      <c r="B2954" s="3" t="str">
        <f>IFERROR(__xludf.DUMMYFUNCTION("""COMPUTED_VALUE"""),"ce")</f>
        <v>ce</v>
      </c>
      <c r="C2954" s="3" t="str">
        <f>IFERROR(__xludf.DUMMYFUNCTION("""COMPUTED_VALUE"""),"Crypto Excellence")</f>
        <v>Crypto Excellence</v>
      </c>
    </row>
    <row r="2955">
      <c r="A2955" s="3" t="str">
        <f>IFERROR(__xludf.DUMMYFUNCTION("""COMPUTED_VALUE"""),"cryptoexpress")</f>
        <v>cryptoexpress</v>
      </c>
      <c r="B2955" s="3" t="str">
        <f>IFERROR(__xludf.DUMMYFUNCTION("""COMPUTED_VALUE"""),"xpress")</f>
        <v>xpress</v>
      </c>
      <c r="C2955" s="3" t="str">
        <f>IFERROR(__xludf.DUMMYFUNCTION("""COMPUTED_VALUE"""),"CryptoXpress")</f>
        <v>CryptoXpress</v>
      </c>
    </row>
    <row r="2956">
      <c r="A2956" s="3" t="str">
        <f>IFERROR(__xludf.DUMMYFUNCTION("""COMPUTED_VALUE"""),"crypto-fantasy-coin")</f>
        <v>crypto-fantasy-coin</v>
      </c>
      <c r="B2956" s="3" t="str">
        <f>IFERROR(__xludf.DUMMYFUNCTION("""COMPUTED_VALUE"""),"cfc")</f>
        <v>cfc</v>
      </c>
      <c r="C2956" s="3" t="str">
        <f>IFERROR(__xludf.DUMMYFUNCTION("""COMPUTED_VALUE"""),"Crypto Fantasy Coin")</f>
        <v>Crypto Fantasy Coin</v>
      </c>
    </row>
    <row r="2957">
      <c r="A2957" s="3" t="str">
        <f>IFERROR(__xludf.DUMMYFUNCTION("""COMPUTED_VALUE"""),"crypto-fantasy-league")</f>
        <v>crypto-fantasy-league</v>
      </c>
      <c r="B2957" s="3" t="str">
        <f>IFERROR(__xludf.DUMMYFUNCTION("""COMPUTED_VALUE"""),"cfl")</f>
        <v>cfl</v>
      </c>
      <c r="C2957" s="3" t="str">
        <f>IFERROR(__xludf.DUMMYFUNCTION("""COMPUTED_VALUE"""),"Crypto Fantasy League")</f>
        <v>Crypto Fantasy League</v>
      </c>
    </row>
    <row r="2958">
      <c r="A2958" s="3" t="str">
        <f>IFERROR(__xludf.DUMMYFUNCTION("""COMPUTED_VALUE"""),"cryptofi")</f>
        <v>cryptofi</v>
      </c>
      <c r="B2958" s="3" t="str">
        <f>IFERROR(__xludf.DUMMYFUNCTION("""COMPUTED_VALUE"""),"cfi")</f>
        <v>cfi</v>
      </c>
      <c r="C2958" s="3" t="str">
        <f>IFERROR(__xludf.DUMMYFUNCTION("""COMPUTED_VALUE"""),"Cryptofi")</f>
        <v>Cryptofi</v>
      </c>
    </row>
    <row r="2959">
      <c r="A2959" s="3" t="str">
        <f>IFERROR(__xludf.DUMMYFUNCTION("""COMPUTED_VALUE"""),"cryptofifa")</f>
        <v>cryptofifa</v>
      </c>
      <c r="B2959" s="3" t="str">
        <f>IFERROR(__xludf.DUMMYFUNCTION("""COMPUTED_VALUE"""),"ffa")</f>
        <v>ffa</v>
      </c>
      <c r="C2959" s="3" t="str">
        <f>IFERROR(__xludf.DUMMYFUNCTION("""COMPUTED_VALUE"""),"FFA.Games")</f>
        <v>FFA.Games</v>
      </c>
    </row>
    <row r="2960">
      <c r="A2960" s="3" t="str">
        <f>IFERROR(__xludf.DUMMYFUNCTION("""COMPUTED_VALUE"""),"crypto-fight-club")</f>
        <v>crypto-fight-club</v>
      </c>
      <c r="B2960" s="3" t="str">
        <f>IFERROR(__xludf.DUMMYFUNCTION("""COMPUTED_VALUE"""),"fight")</f>
        <v>fight</v>
      </c>
      <c r="C2960" s="3" t="str">
        <f>IFERROR(__xludf.DUMMYFUNCTION("""COMPUTED_VALUE"""),"Crypto Fight Club")</f>
        <v>Crypto Fight Club</v>
      </c>
    </row>
    <row r="2961">
      <c r="A2961" s="3" t="str">
        <f>IFERROR(__xludf.DUMMYFUNCTION("""COMPUTED_VALUE"""),"cryptoflow")</f>
        <v>cryptoflow</v>
      </c>
      <c r="B2961" s="3" t="str">
        <f>IFERROR(__xludf.DUMMYFUNCTION("""COMPUTED_VALUE"""),"cfl")</f>
        <v>cfl</v>
      </c>
      <c r="C2961" s="3" t="str">
        <f>IFERROR(__xludf.DUMMYFUNCTION("""COMPUTED_VALUE"""),"Cryptoflow")</f>
        <v>Cryptoflow</v>
      </c>
    </row>
    <row r="2962">
      <c r="A2962" s="3" t="str">
        <f>IFERROR(__xludf.DUMMYFUNCTION("""COMPUTED_VALUE"""),"cryptofranc")</f>
        <v>cryptofranc</v>
      </c>
      <c r="B2962" s="3" t="str">
        <f>IFERROR(__xludf.DUMMYFUNCTION("""COMPUTED_VALUE"""),"xchf")</f>
        <v>xchf</v>
      </c>
      <c r="C2962" s="3" t="str">
        <f>IFERROR(__xludf.DUMMYFUNCTION("""COMPUTED_VALUE"""),"CryptoFranc")</f>
        <v>CryptoFranc</v>
      </c>
    </row>
    <row r="2963">
      <c r="A2963" s="3" t="str">
        <f>IFERROR(__xludf.DUMMYFUNCTION("""COMPUTED_VALUE"""),"cryptogamez")</f>
        <v>cryptogamez</v>
      </c>
      <c r="B2963" s="3" t="str">
        <f>IFERROR(__xludf.DUMMYFUNCTION("""COMPUTED_VALUE"""),"cgaz")</f>
        <v>cgaz</v>
      </c>
      <c r="C2963" s="3" t="str">
        <f>IFERROR(__xludf.DUMMYFUNCTION("""COMPUTED_VALUE"""),"CryptoGamez")</f>
        <v>CryptoGamez</v>
      </c>
    </row>
    <row r="2964">
      <c r="A2964" s="3" t="str">
        <f>IFERROR(__xludf.DUMMYFUNCTION("""COMPUTED_VALUE"""),"cryptogangsters")</f>
        <v>cryptogangsters</v>
      </c>
      <c r="B2964" s="3" t="str">
        <f>IFERROR(__xludf.DUMMYFUNCTION("""COMPUTED_VALUE"""),"cgang")</f>
        <v>cgang</v>
      </c>
      <c r="C2964" s="3" t="str">
        <f>IFERROR(__xludf.DUMMYFUNCTION("""COMPUTED_VALUE"""),"CryptoGangsters")</f>
        <v>CryptoGangsters</v>
      </c>
    </row>
    <row r="2965">
      <c r="A2965" s="3" t="str">
        <f>IFERROR(__xludf.DUMMYFUNCTION("""COMPUTED_VALUE"""),"cryptogcoin")</f>
        <v>cryptogcoin</v>
      </c>
      <c r="B2965" s="3" t="str">
        <f>IFERROR(__xludf.DUMMYFUNCTION("""COMPUTED_VALUE"""),"crg")</f>
        <v>crg</v>
      </c>
      <c r="C2965" s="3" t="str">
        <f>IFERROR(__xludf.DUMMYFUNCTION("""COMPUTED_VALUE"""),"Cryptogcoin")</f>
        <v>Cryptogcoin</v>
      </c>
    </row>
    <row r="2966">
      <c r="A2966" s="3" t="str">
        <f>IFERROR(__xludf.DUMMYFUNCTION("""COMPUTED_VALUE"""),"crypto-gladiator-shards")</f>
        <v>crypto-gladiator-shards</v>
      </c>
      <c r="B2966" s="3" t="str">
        <f>IFERROR(__xludf.DUMMYFUNCTION("""COMPUTED_VALUE"""),"cgs")</f>
        <v>cgs</v>
      </c>
      <c r="C2966" s="3" t="str">
        <f>IFERROR(__xludf.DUMMYFUNCTION("""COMPUTED_VALUE"""),"Crypto Gladiator Shards")</f>
        <v>Crypto Gladiator Shards</v>
      </c>
    </row>
    <row r="2967">
      <c r="A2967" s="3" t="str">
        <f>IFERROR(__xludf.DUMMYFUNCTION("""COMPUTED_VALUE"""),"crypto-global-united")</f>
        <v>crypto-global-united</v>
      </c>
      <c r="B2967" s="3" t="str">
        <f>IFERROR(__xludf.DUMMYFUNCTION("""COMPUTED_VALUE"""),"cgu")</f>
        <v>cgu</v>
      </c>
      <c r="C2967" s="3" t="str">
        <f>IFERROR(__xludf.DUMMYFUNCTION("""COMPUTED_VALUE"""),"Crypto Global United")</f>
        <v>Crypto Global United</v>
      </c>
    </row>
    <row r="2968">
      <c r="A2968" s="3" t="str">
        <f>IFERROR(__xludf.DUMMYFUNCTION("""COMPUTED_VALUE"""),"cryptogodz")</f>
        <v>cryptogodz</v>
      </c>
      <c r="B2968" s="3" t="str">
        <f>IFERROR(__xludf.DUMMYFUNCTION("""COMPUTED_VALUE"""),"godz")</f>
        <v>godz</v>
      </c>
      <c r="C2968" s="3" t="str">
        <f>IFERROR(__xludf.DUMMYFUNCTION("""COMPUTED_VALUE"""),"Cryptogodz")</f>
        <v>Cryptogodz</v>
      </c>
    </row>
    <row r="2969">
      <c r="A2969" s="3" t="str">
        <f>IFERROR(__xludf.DUMMYFUNCTION("""COMPUTED_VALUE"""),"crypto-holding-frank-token")</f>
        <v>crypto-holding-frank-token</v>
      </c>
      <c r="B2969" s="3" t="str">
        <f>IFERROR(__xludf.DUMMYFUNCTION("""COMPUTED_VALUE"""),"chft")</f>
        <v>chft</v>
      </c>
      <c r="C2969" s="3" t="str">
        <f>IFERROR(__xludf.DUMMYFUNCTION("""COMPUTED_VALUE"""),"Crypto Holding Frank")</f>
        <v>Crypto Holding Frank</v>
      </c>
    </row>
    <row r="2970">
      <c r="A2970" s="3" t="str">
        <f>IFERROR(__xludf.DUMMYFUNCTION("""COMPUTED_VALUE"""),"cryptohub")</f>
        <v>cryptohub</v>
      </c>
      <c r="B2970" s="3" t="str">
        <f>IFERROR(__xludf.DUMMYFUNCTION("""COMPUTED_VALUE"""),"chg")</f>
        <v>chg</v>
      </c>
      <c r="C2970" s="3" t="str">
        <f>IFERROR(__xludf.DUMMYFUNCTION("""COMPUTED_VALUE"""),"Cryptohub")</f>
        <v>Cryptohub</v>
      </c>
    </row>
    <row r="2971">
      <c r="A2971" s="3" t="str">
        <f>IFERROR(__xludf.DUMMYFUNCTION("""COMPUTED_VALUE"""),"cryptoids-game-coin")</f>
        <v>cryptoids-game-coin</v>
      </c>
      <c r="B2971" s="3" t="str">
        <f>IFERROR(__xludf.DUMMYFUNCTION("""COMPUTED_VALUE"""),"cgc")</f>
        <v>cgc</v>
      </c>
      <c r="C2971" s="3" t="str">
        <f>IFERROR(__xludf.DUMMYFUNCTION("""COMPUTED_VALUE"""),"Cryptoids Game Coin")</f>
        <v>Cryptoids Game Coin</v>
      </c>
    </row>
    <row r="2972">
      <c r="A2972" s="3" t="str">
        <f>IFERROR(__xludf.DUMMYFUNCTION("""COMPUTED_VALUE"""),"cryptoindex-io")</f>
        <v>cryptoindex-io</v>
      </c>
      <c r="B2972" s="3" t="str">
        <f>IFERROR(__xludf.DUMMYFUNCTION("""COMPUTED_VALUE"""),"cix100")</f>
        <v>cix100</v>
      </c>
      <c r="C2972" s="3" t="str">
        <f>IFERROR(__xludf.DUMMYFUNCTION("""COMPUTED_VALUE"""),"Cryptoindex.com 100")</f>
        <v>Cryptoindex.com 100</v>
      </c>
    </row>
    <row r="2973">
      <c r="A2973" s="3" t="str">
        <f>IFERROR(__xludf.DUMMYFUNCTION("""COMPUTED_VALUE"""),"crypto-international")</f>
        <v>crypto-international</v>
      </c>
      <c r="B2973" s="3" t="str">
        <f>IFERROR(__xludf.DUMMYFUNCTION("""COMPUTED_VALUE"""),"cri")</f>
        <v>cri</v>
      </c>
      <c r="C2973" s="3" t="str">
        <f>IFERROR(__xludf.DUMMYFUNCTION("""COMPUTED_VALUE"""),"Crypto International")</f>
        <v>Crypto International</v>
      </c>
    </row>
    <row r="2974">
      <c r="A2974" s="3" t="str">
        <f>IFERROR(__xludf.DUMMYFUNCTION("""COMPUTED_VALUE"""),"crypto-inu")</f>
        <v>crypto-inu</v>
      </c>
      <c r="B2974" s="3" t="str">
        <f>IFERROR(__xludf.DUMMYFUNCTION("""COMPUTED_VALUE"""),"abcd")</f>
        <v>abcd</v>
      </c>
      <c r="C2974" s="3" t="str">
        <f>IFERROR(__xludf.DUMMYFUNCTION("""COMPUTED_VALUE"""),"Crypto Inu")</f>
        <v>Crypto Inu</v>
      </c>
    </row>
    <row r="2975">
      <c r="A2975" s="3" t="str">
        <f>IFERROR(__xludf.DUMMYFUNCTION("""COMPUTED_VALUE"""),"crypto-island")</f>
        <v>crypto-island</v>
      </c>
      <c r="B2975" s="3" t="str">
        <f>IFERROR(__xludf.DUMMYFUNCTION("""COMPUTED_VALUE"""),"cisla")</f>
        <v>cisla</v>
      </c>
      <c r="C2975" s="3" t="str">
        <f>IFERROR(__xludf.DUMMYFUNCTION("""COMPUTED_VALUE"""),"Crypto Island")</f>
        <v>Crypto Island</v>
      </c>
    </row>
    <row r="2976">
      <c r="A2976" s="3" t="str">
        <f>IFERROR(__xludf.DUMMYFUNCTION("""COMPUTED_VALUE"""),"cryptojetski")</f>
        <v>cryptojetski</v>
      </c>
      <c r="B2976" s="3" t="str">
        <f>IFERROR(__xludf.DUMMYFUNCTION("""COMPUTED_VALUE"""),"cjet")</f>
        <v>cjet</v>
      </c>
      <c r="C2976" s="3" t="str">
        <f>IFERROR(__xludf.DUMMYFUNCTION("""COMPUTED_VALUE"""),"CryptoJetski")</f>
        <v>CryptoJetski</v>
      </c>
    </row>
    <row r="2977">
      <c r="A2977" s="3" t="str">
        <f>IFERROR(__xludf.DUMMYFUNCTION("""COMPUTED_VALUE"""),"crypto-kart-racing")</f>
        <v>crypto-kart-racing</v>
      </c>
      <c r="B2977" s="3" t="str">
        <f>IFERROR(__xludf.DUMMYFUNCTION("""COMPUTED_VALUE"""),"ckracing")</f>
        <v>ckracing</v>
      </c>
      <c r="C2977" s="3" t="str">
        <f>IFERROR(__xludf.DUMMYFUNCTION("""COMPUTED_VALUE"""),"Crypto Kart Racing")</f>
        <v>Crypto Kart Racing</v>
      </c>
    </row>
    <row r="2978">
      <c r="A2978" s="3" t="str">
        <f>IFERROR(__xludf.DUMMYFUNCTION("""COMPUTED_VALUE"""),"cryptokek")</f>
        <v>cryptokek</v>
      </c>
      <c r="B2978" s="3" t="str">
        <f>IFERROR(__xludf.DUMMYFUNCTION("""COMPUTED_VALUE"""),"kek")</f>
        <v>kek</v>
      </c>
      <c r="C2978" s="3" t="str">
        <f>IFERROR(__xludf.DUMMYFUNCTION("""COMPUTED_VALUE"""),"Cryptokek")</f>
        <v>Cryptokek</v>
      </c>
    </row>
    <row r="2979">
      <c r="A2979" s="3" t="str">
        <f>IFERROR(__xludf.DUMMYFUNCTION("""COMPUTED_VALUE"""),"cryptokenz")</f>
        <v>cryptokenz</v>
      </c>
      <c r="B2979" s="3" t="str">
        <f>IFERROR(__xludf.DUMMYFUNCTION("""COMPUTED_VALUE"""),"cyt")</f>
        <v>cyt</v>
      </c>
      <c r="C2979" s="3" t="str">
        <f>IFERROR(__xludf.DUMMYFUNCTION("""COMPUTED_VALUE"""),"Cryptokenz")</f>
        <v>Cryptokenz</v>
      </c>
    </row>
    <row r="2980">
      <c r="A2980" s="3" t="str">
        <f>IFERROR(__xludf.DUMMYFUNCTION("""COMPUTED_VALUE"""),"cryptokki")</f>
        <v>cryptokki</v>
      </c>
      <c r="B2980" s="3" t="str">
        <f>IFERROR(__xludf.DUMMYFUNCTION("""COMPUTED_VALUE"""),"tokki")</f>
        <v>tokki</v>
      </c>
      <c r="C2980" s="3" t="str">
        <f>IFERROR(__xludf.DUMMYFUNCTION("""COMPUTED_VALUE"""),"CRYPTOKKI")</f>
        <v>CRYPTOKKI</v>
      </c>
    </row>
    <row r="2981">
      <c r="A2981" s="3" t="str">
        <f>IFERROR(__xludf.DUMMYFUNCTION("""COMPUTED_VALUE"""),"crypto-klash")</f>
        <v>crypto-klash</v>
      </c>
      <c r="B2981" s="3" t="str">
        <f>IFERROR(__xludf.DUMMYFUNCTION("""COMPUTED_VALUE"""),"klh")</f>
        <v>klh</v>
      </c>
      <c r="C2981" s="3" t="str">
        <f>IFERROR(__xludf.DUMMYFUNCTION("""COMPUTED_VALUE"""),"Crypto Klash")</f>
        <v>Crypto Klash</v>
      </c>
    </row>
    <row r="2982">
      <c r="A2982" s="3" t="str">
        <f>IFERROR(__xludf.DUMMYFUNCTION("""COMPUTED_VALUE"""),"crypto-kombat")</f>
        <v>crypto-kombat</v>
      </c>
      <c r="B2982" s="3" t="str">
        <f>IFERROR(__xludf.DUMMYFUNCTION("""COMPUTED_VALUE"""),"kombat")</f>
        <v>kombat</v>
      </c>
      <c r="C2982" s="3" t="str">
        <f>IFERROR(__xludf.DUMMYFUNCTION("""COMPUTED_VALUE"""),"Crypto Kombat")</f>
        <v>Crypto Kombat</v>
      </c>
    </row>
    <row r="2983">
      <c r="A2983" s="3" t="str">
        <f>IFERROR(__xludf.DUMMYFUNCTION("""COMPUTED_VALUE"""),"cryptoku")</f>
        <v>cryptoku</v>
      </c>
      <c r="B2983" s="3" t="str">
        <f>IFERROR(__xludf.DUMMYFUNCTION("""COMPUTED_VALUE"""),"cku")</f>
        <v>cku</v>
      </c>
      <c r="C2983" s="3" t="str">
        <f>IFERROR(__xludf.DUMMYFUNCTION("""COMPUTED_VALUE"""),"Cryptoku")</f>
        <v>Cryptoku</v>
      </c>
    </row>
    <row r="2984">
      <c r="A2984" s="3" t="str">
        <f>IFERROR(__xludf.DUMMYFUNCTION("""COMPUTED_VALUE"""),"crypto-legions-bloodstone")</f>
        <v>crypto-legions-bloodstone</v>
      </c>
      <c r="B2984" s="3" t="str">
        <f>IFERROR(__xludf.DUMMYFUNCTION("""COMPUTED_VALUE"""),"blst")</f>
        <v>blst</v>
      </c>
      <c r="C2984" s="3" t="str">
        <f>IFERROR(__xludf.DUMMYFUNCTION("""COMPUTED_VALUE"""),"Crypto Legions Bloodstone")</f>
        <v>Crypto Legions Bloodstone</v>
      </c>
    </row>
    <row r="2985">
      <c r="A2985" s="3" t="str">
        <f>IFERROR(__xludf.DUMMYFUNCTION("""COMPUTED_VALUE"""),"crypto-legions-v3")</f>
        <v>crypto-legions-v3</v>
      </c>
      <c r="B2985" s="3" t="str">
        <f>IFERROR(__xludf.DUMMYFUNCTION("""COMPUTED_VALUE"""),"blv3")</f>
        <v>blv3</v>
      </c>
      <c r="C2985" s="3" t="str">
        <f>IFERROR(__xludf.DUMMYFUNCTION("""COMPUTED_VALUE"""),"Crypto Legions V3")</f>
        <v>Crypto Legions V3</v>
      </c>
    </row>
    <row r="2986">
      <c r="A2986" s="3" t="str">
        <f>IFERROR(__xludf.DUMMYFUNCTION("""COMPUTED_VALUE"""),"cryptolic")</f>
        <v>cryptolic</v>
      </c>
      <c r="B2986" s="3" t="str">
        <f>IFERROR(__xludf.DUMMYFUNCTION("""COMPUTED_VALUE"""),"cptlc")</f>
        <v>cptlc</v>
      </c>
      <c r="C2986" s="3" t="str">
        <f>IFERROR(__xludf.DUMMYFUNCTION("""COMPUTED_VALUE"""),"Cryptolic")</f>
        <v>Cryptolic</v>
      </c>
    </row>
    <row r="2987">
      <c r="A2987" s="3" t="str">
        <f>IFERROR(__xludf.DUMMYFUNCTION("""COMPUTED_VALUE"""),"cryptolion")</f>
        <v>cryptolion</v>
      </c>
      <c r="B2987" s="3" t="str">
        <f>IFERROR(__xludf.DUMMYFUNCTION("""COMPUTED_VALUE"""),"clion")</f>
        <v>clion</v>
      </c>
      <c r="C2987" s="3" t="str">
        <f>IFERROR(__xludf.DUMMYFUNCTION("""COMPUTED_VALUE"""),"CryptoLion")</f>
        <v>CryptoLion</v>
      </c>
    </row>
    <row r="2988">
      <c r="A2988" s="3" t="str">
        <f>IFERROR(__xludf.DUMMYFUNCTION("""COMPUTED_VALUE"""),"crypto-makers-foundation")</f>
        <v>crypto-makers-foundation</v>
      </c>
      <c r="B2988" s="3" t="str">
        <f>IFERROR(__xludf.DUMMYFUNCTION("""COMPUTED_VALUE"""),"cmf")</f>
        <v>cmf</v>
      </c>
      <c r="C2988" s="3" t="str">
        <f>IFERROR(__xludf.DUMMYFUNCTION("""COMPUTED_VALUE"""),"Crypto Makers Foundation")</f>
        <v>Crypto Makers Foundation</v>
      </c>
    </row>
    <row r="2989">
      <c r="A2989" s="3" t="str">
        <f>IFERROR(__xludf.DUMMYFUNCTION("""COMPUTED_VALUE"""),"cryptomeda")</f>
        <v>cryptomeda</v>
      </c>
      <c r="B2989" s="3" t="str">
        <f>IFERROR(__xludf.DUMMYFUNCTION("""COMPUTED_VALUE"""),"tech")</f>
        <v>tech</v>
      </c>
      <c r="C2989" s="3" t="str">
        <f>IFERROR(__xludf.DUMMYFUNCTION("""COMPUTED_VALUE"""),"Cryptomeda")</f>
        <v>Cryptomeda</v>
      </c>
    </row>
    <row r="2990">
      <c r="A2990" s="3" t="str">
        <f>IFERROR(__xludf.DUMMYFUNCTION("""COMPUTED_VALUE"""),"crypto-media-network-2")</f>
        <v>crypto-media-network-2</v>
      </c>
      <c r="B2990" s="3" t="str">
        <f>IFERROR(__xludf.DUMMYFUNCTION("""COMPUTED_VALUE"""),"cmn")</f>
        <v>cmn</v>
      </c>
      <c r="C2990" s="3" t="str">
        <f>IFERROR(__xludf.DUMMYFUNCTION("""COMPUTED_VALUE"""),"Crypto Media Network")</f>
        <v>Crypto Media Network</v>
      </c>
    </row>
    <row r="2991">
      <c r="A2991" s="3" t="str">
        <f>IFERROR(__xludf.DUMMYFUNCTION("""COMPUTED_VALUE"""),"cryptomines-eternal")</f>
        <v>cryptomines-eternal</v>
      </c>
      <c r="B2991" s="3" t="str">
        <f>IFERROR(__xludf.DUMMYFUNCTION("""COMPUTED_VALUE"""),"eternal")</f>
        <v>eternal</v>
      </c>
      <c r="C2991" s="3" t="str">
        <f>IFERROR(__xludf.DUMMYFUNCTION("""COMPUTED_VALUE"""),"CryptoMines Eternal")</f>
        <v>CryptoMines Eternal</v>
      </c>
    </row>
    <row r="2992">
      <c r="A2992" s="3" t="str">
        <f>IFERROR(__xludf.DUMMYFUNCTION("""COMPUTED_VALUE"""),"cryptomines-reborn")</f>
        <v>cryptomines-reborn</v>
      </c>
      <c r="B2992" s="3" t="str">
        <f>IFERROR(__xludf.DUMMYFUNCTION("""COMPUTED_VALUE"""),"crux")</f>
        <v>crux</v>
      </c>
      <c r="C2992" s="3" t="str">
        <f>IFERROR(__xludf.DUMMYFUNCTION("""COMPUTED_VALUE"""),"CryptoMines Reborn")</f>
        <v>CryptoMines Reborn</v>
      </c>
    </row>
    <row r="2993">
      <c r="A2993" s="3" t="str">
        <f>IFERROR(__xludf.DUMMYFUNCTION("""COMPUTED_VALUE"""),"cryptomoonshots")</f>
        <v>cryptomoonshots</v>
      </c>
      <c r="B2993" s="3" t="str">
        <f>IFERROR(__xludf.DUMMYFUNCTION("""COMPUTED_VALUE"""),"cms")</f>
        <v>cms</v>
      </c>
      <c r="C2993" s="3" t="str">
        <f>IFERROR(__xludf.DUMMYFUNCTION("""COMPUTED_VALUE"""),"CryptoMoonShots")</f>
        <v>CryptoMoonShots</v>
      </c>
    </row>
    <row r="2994">
      <c r="A2994" s="3" t="str">
        <f>IFERROR(__xludf.DUMMYFUNCTION("""COMPUTED_VALUE"""),"cryptomotorcycle")</f>
        <v>cryptomotorcycle</v>
      </c>
      <c r="B2994" s="3" t="str">
        <f>IFERROR(__xludf.DUMMYFUNCTION("""COMPUTED_VALUE"""),"cmc")</f>
        <v>cmc</v>
      </c>
      <c r="C2994" s="3" t="str">
        <f>IFERROR(__xludf.DUMMYFUNCTION("""COMPUTED_VALUE"""),"CryptoMotorcycle")</f>
        <v>CryptoMotorcycle</v>
      </c>
    </row>
    <row r="2995">
      <c r="A2995" s="3" t="str">
        <f>IFERROR(__xludf.DUMMYFUNCTION("""COMPUTED_VALUE"""),"crypto-mushroomz")</f>
        <v>crypto-mushroomz</v>
      </c>
      <c r="B2995" s="3" t="str">
        <f>IFERROR(__xludf.DUMMYFUNCTION("""COMPUTED_VALUE"""),"shroomz")</f>
        <v>shroomz</v>
      </c>
      <c r="C2995" s="3" t="str">
        <f>IFERROR(__xludf.DUMMYFUNCTION("""COMPUTED_VALUE"""),"Crypto Mushroomz")</f>
        <v>Crypto Mushroomz</v>
      </c>
    </row>
    <row r="2996">
      <c r="A2996" s="3" t="str">
        <f>IFERROR(__xludf.DUMMYFUNCTION("""COMPUTED_VALUE"""),"cryptoneur-network-foundation")</f>
        <v>cryptoneur-network-foundation</v>
      </c>
      <c r="B2996" s="3" t="str">
        <f>IFERROR(__xludf.DUMMYFUNCTION("""COMPUTED_VALUE"""),"cnf")</f>
        <v>cnf</v>
      </c>
      <c r="C2996" s="3" t="str">
        <f>IFERROR(__xludf.DUMMYFUNCTION("""COMPUTED_VALUE"""),"CryptoNeur Network foundation")</f>
        <v>CryptoNeur Network foundation</v>
      </c>
    </row>
    <row r="2997">
      <c r="A2997" s="3" t="str">
        <f>IFERROR(__xludf.DUMMYFUNCTION("""COMPUTED_VALUE"""),"cryptonex")</f>
        <v>cryptonex</v>
      </c>
      <c r="B2997" s="3" t="str">
        <f>IFERROR(__xludf.DUMMYFUNCTION("""COMPUTED_VALUE"""),"cnx")</f>
        <v>cnx</v>
      </c>
      <c r="C2997" s="3" t="str">
        <f>IFERROR(__xludf.DUMMYFUNCTION("""COMPUTED_VALUE"""),"Cryptonex")</f>
        <v>Cryptonex</v>
      </c>
    </row>
    <row r="2998">
      <c r="A2998" s="3" t="str">
        <f>IFERROR(__xludf.DUMMYFUNCTION("""COMPUTED_VALUE"""),"cryptonia-poker")</f>
        <v>cryptonia-poker</v>
      </c>
      <c r="B2998" s="3" t="str">
        <f>IFERROR(__xludf.DUMMYFUNCTION("""COMPUTED_VALUE"""),"cnp")</f>
        <v>cnp</v>
      </c>
      <c r="C2998" s="3" t="str">
        <f>IFERROR(__xludf.DUMMYFUNCTION("""COMPUTED_VALUE"""),"Cryptonia Poker")</f>
        <v>Cryptonia Poker</v>
      </c>
    </row>
    <row r="2999">
      <c r="A2999" s="3" t="str">
        <f>IFERROR(__xludf.DUMMYFUNCTION("""COMPUTED_VALUE"""),"cryptonite-token")</f>
        <v>cryptonite-token</v>
      </c>
      <c r="B2999" s="3" t="str">
        <f>IFERROR(__xludf.DUMMYFUNCTION("""COMPUTED_VALUE"""),"ctnt")</f>
        <v>ctnt</v>
      </c>
      <c r="C2999" s="3" t="str">
        <f>IFERROR(__xludf.DUMMYFUNCTION("""COMPUTED_VALUE"""),"CryptoniteGame")</f>
        <v>CryptoniteGame</v>
      </c>
    </row>
    <row r="3000">
      <c r="A3000" s="3" t="str">
        <f>IFERROR(__xludf.DUMMYFUNCTION("""COMPUTED_VALUE"""),"cryptonits")</f>
        <v>cryptonits</v>
      </c>
      <c r="B3000" s="3" t="str">
        <f>IFERROR(__xludf.DUMMYFUNCTION("""COMPUTED_VALUE"""),"crt")</f>
        <v>crt</v>
      </c>
      <c r="C3000" s="3" t="str">
        <f>IFERROR(__xludf.DUMMYFUNCTION("""COMPUTED_VALUE"""),"Cryptonits")</f>
        <v>Cryptonits</v>
      </c>
    </row>
    <row r="3001">
      <c r="A3001" s="3" t="str">
        <f>IFERROR(__xludf.DUMMYFUNCTION("""COMPUTED_VALUE"""),"crypto-nodes")</f>
        <v>crypto-nodes</v>
      </c>
      <c r="B3001" s="3" t="str">
        <f>IFERROR(__xludf.DUMMYFUNCTION("""COMPUTED_VALUE"""),"crnd")</f>
        <v>crnd</v>
      </c>
      <c r="C3001" s="3" t="str">
        <f>IFERROR(__xludf.DUMMYFUNCTION("""COMPUTED_VALUE"""),"Crypto Nodes")</f>
        <v>Crypto Nodes</v>
      </c>
    </row>
    <row r="3002">
      <c r="A3002" s="3" t="str">
        <f>IFERROR(__xludf.DUMMYFUNCTION("""COMPUTED_VALUE"""),"cryptonovae")</f>
        <v>cryptonovae</v>
      </c>
      <c r="B3002" s="3" t="str">
        <f>IFERROR(__xludf.DUMMYFUNCTION("""COMPUTED_VALUE"""),"yae")</f>
        <v>yae</v>
      </c>
      <c r="C3002" s="3" t="str">
        <f>IFERROR(__xludf.DUMMYFUNCTION("""COMPUTED_VALUE"""),"Cryptonovae")</f>
        <v>Cryptonovae</v>
      </c>
    </row>
    <row r="3003">
      <c r="A3003" s="3" t="str">
        <f>IFERROR(__xludf.DUMMYFUNCTION("""COMPUTED_VALUE"""),"cryptopay")</f>
        <v>cryptopay</v>
      </c>
      <c r="B3003" s="3" t="str">
        <f>IFERROR(__xludf.DUMMYFUNCTION("""COMPUTED_VALUE"""),"cpay")</f>
        <v>cpay</v>
      </c>
      <c r="C3003" s="3" t="str">
        <f>IFERROR(__xludf.DUMMYFUNCTION("""COMPUTED_VALUE"""),"Cryptopay")</f>
        <v>Cryptopay</v>
      </c>
    </row>
    <row r="3004">
      <c r="A3004" s="3" t="str">
        <f>IFERROR(__xludf.DUMMYFUNCTION("""COMPUTED_VALUE"""),"cryptoperformance-coin")</f>
        <v>cryptoperformance-coin</v>
      </c>
      <c r="B3004" s="3" t="str">
        <f>IFERROR(__xludf.DUMMYFUNCTION("""COMPUTED_VALUE"""),"cpc")</f>
        <v>cpc</v>
      </c>
      <c r="C3004" s="3" t="str">
        <f>IFERROR(__xludf.DUMMYFUNCTION("""COMPUTED_VALUE"""),"CryptoPerformance Coin")</f>
        <v>CryptoPerformance Coin</v>
      </c>
    </row>
    <row r="3005">
      <c r="A3005" s="3" t="str">
        <f>IFERROR(__xludf.DUMMYFUNCTION("""COMPUTED_VALUE"""),"crypto-perx")</f>
        <v>crypto-perx</v>
      </c>
      <c r="B3005" s="3" t="str">
        <f>IFERROR(__xludf.DUMMYFUNCTION("""COMPUTED_VALUE"""),"cprx")</f>
        <v>cprx</v>
      </c>
      <c r="C3005" s="3" t="str">
        <f>IFERROR(__xludf.DUMMYFUNCTION("""COMPUTED_VALUE"""),"Crypto Perx")</f>
        <v>Crypto Perx</v>
      </c>
    </row>
    <row r="3006">
      <c r="A3006" s="3" t="str">
        <f>IFERROR(__xludf.DUMMYFUNCTION("""COMPUTED_VALUE"""),"crypto-phoenix")</f>
        <v>crypto-phoenix</v>
      </c>
      <c r="B3006" s="3" t="str">
        <f>IFERROR(__xludf.DUMMYFUNCTION("""COMPUTED_VALUE"""),"cphx")</f>
        <v>cphx</v>
      </c>
      <c r="C3006" s="3" t="str">
        <f>IFERROR(__xludf.DUMMYFUNCTION("""COMPUTED_VALUE"""),"Crypto Phoenix")</f>
        <v>Crypto Phoenix</v>
      </c>
    </row>
    <row r="3007">
      <c r="A3007" s="3" t="str">
        <f>IFERROR(__xludf.DUMMYFUNCTION("""COMPUTED_VALUE"""),"crypto-piece")</f>
        <v>crypto-piece</v>
      </c>
      <c r="B3007" s="3" t="str">
        <f>IFERROR(__xludf.DUMMYFUNCTION("""COMPUTED_VALUE"""),"belly")</f>
        <v>belly</v>
      </c>
      <c r="C3007" s="3" t="str">
        <f>IFERROR(__xludf.DUMMYFUNCTION("""COMPUTED_VALUE"""),"Crypto Piece")</f>
        <v>Crypto Piece</v>
      </c>
    </row>
    <row r="3008">
      <c r="A3008" s="3" t="str">
        <f>IFERROR(__xludf.DUMMYFUNCTION("""COMPUTED_VALUE"""),"crypto-pitch")</f>
        <v>crypto-pitch</v>
      </c>
      <c r="B3008" s="3" t="str">
        <f>IFERROR(__xludf.DUMMYFUNCTION("""COMPUTED_VALUE"""),"cpi")</f>
        <v>cpi</v>
      </c>
      <c r="C3008" s="3" t="str">
        <f>IFERROR(__xludf.DUMMYFUNCTION("""COMPUTED_VALUE"""),"Crypto Pitch")</f>
        <v>Crypto Pitch</v>
      </c>
    </row>
    <row r="3009">
      <c r="A3009" s="3" t="str">
        <f>IFERROR(__xludf.DUMMYFUNCTION("""COMPUTED_VALUE"""),"cryptoplanes")</f>
        <v>cryptoplanes</v>
      </c>
      <c r="B3009" s="3" t="str">
        <f>IFERROR(__xludf.DUMMYFUNCTION("""COMPUTED_VALUE"""),"cpan")</f>
        <v>cpan</v>
      </c>
      <c r="C3009" s="3" t="str">
        <f>IFERROR(__xludf.DUMMYFUNCTION("""COMPUTED_VALUE"""),"CryptoPlanes")</f>
        <v>CryptoPlanes</v>
      </c>
    </row>
    <row r="3010">
      <c r="A3010" s="3" t="str">
        <f>IFERROR(__xludf.DUMMYFUNCTION("""COMPUTED_VALUE"""),"cryptoplants")</f>
        <v>cryptoplants</v>
      </c>
      <c r="B3010" s="3" t="str">
        <f>IFERROR(__xludf.DUMMYFUNCTION("""COMPUTED_VALUE"""),"cpc")</f>
        <v>cpc</v>
      </c>
      <c r="C3010" s="3" t="str">
        <f>IFERROR(__xludf.DUMMYFUNCTION("""COMPUTED_VALUE"""),"CryptoPlants Club")</f>
        <v>CryptoPlants Club</v>
      </c>
    </row>
    <row r="3011">
      <c r="A3011" s="3" t="str">
        <f>IFERROR(__xludf.DUMMYFUNCTION("""COMPUTED_VALUE"""),"cryptopolis")</f>
        <v>cryptopolis</v>
      </c>
      <c r="B3011" s="3" t="str">
        <f>IFERROR(__xludf.DUMMYFUNCTION("""COMPUTED_VALUE"""),"cpo")</f>
        <v>cpo</v>
      </c>
      <c r="C3011" s="3" t="str">
        <f>IFERROR(__xludf.DUMMYFUNCTION("""COMPUTED_VALUE"""),"Cryptopolis")</f>
        <v>Cryptopolis</v>
      </c>
    </row>
    <row r="3012">
      <c r="A3012" s="3" t="str">
        <f>IFERROR(__xludf.DUMMYFUNCTION("""COMPUTED_VALUE"""),"crypto-pote-token")</f>
        <v>crypto-pote-token</v>
      </c>
      <c r="B3012" s="3" t="str">
        <f>IFERROR(__xludf.DUMMYFUNCTION("""COMPUTED_VALUE"""),"pope")</f>
        <v>pope</v>
      </c>
      <c r="C3012" s="3" t="str">
        <f>IFERROR(__xludf.DUMMYFUNCTION("""COMPUTED_VALUE"""),"Crypto Pote")</f>
        <v>Crypto Pote</v>
      </c>
    </row>
    <row r="3013">
      <c r="A3013" s="3" t="str">
        <f>IFERROR(__xludf.DUMMYFUNCTION("""COMPUTED_VALUE"""),"crypto-price-index")</f>
        <v>crypto-price-index</v>
      </c>
      <c r="B3013" s="3" t="str">
        <f>IFERROR(__xludf.DUMMYFUNCTION("""COMPUTED_VALUE"""),"cpi")</f>
        <v>cpi</v>
      </c>
      <c r="C3013" s="3" t="str">
        <f>IFERROR(__xludf.DUMMYFUNCTION("""COMPUTED_VALUE"""),"Crypto Price Index")</f>
        <v>Crypto Price Index</v>
      </c>
    </row>
    <row r="3014">
      <c r="A3014" s="3" t="str">
        <f>IFERROR(__xludf.DUMMYFUNCTION("""COMPUTED_VALUE"""),"cryptoprofile")</f>
        <v>cryptoprofile</v>
      </c>
      <c r="B3014" s="3" t="str">
        <f>IFERROR(__xludf.DUMMYFUNCTION("""COMPUTED_VALUE"""),"cp")</f>
        <v>cp</v>
      </c>
      <c r="C3014" s="3" t="str">
        <f>IFERROR(__xludf.DUMMYFUNCTION("""COMPUTED_VALUE"""),"CryptoProfile")</f>
        <v>CryptoProfile</v>
      </c>
    </row>
    <row r="3015">
      <c r="A3015" s="3" t="str">
        <f>IFERROR(__xludf.DUMMYFUNCTION("""COMPUTED_VALUE"""),"crypto-puffs")</f>
        <v>crypto-puffs</v>
      </c>
      <c r="B3015" s="3" t="str">
        <f>IFERROR(__xludf.DUMMYFUNCTION("""COMPUTED_VALUE"""),"puffs")</f>
        <v>puffs</v>
      </c>
      <c r="C3015" s="3" t="str">
        <f>IFERROR(__xludf.DUMMYFUNCTION("""COMPUTED_VALUE"""),"Crypto Puffs")</f>
        <v>Crypto Puffs</v>
      </c>
    </row>
    <row r="3016">
      <c r="A3016" s="3" t="str">
        <f>IFERROR(__xludf.DUMMYFUNCTION("""COMPUTED_VALUE"""),"cryptopunk-7171-hoodie")</f>
        <v>cryptopunk-7171-hoodie</v>
      </c>
      <c r="B3016" s="3" t="str">
        <f>IFERROR(__xludf.DUMMYFUNCTION("""COMPUTED_VALUE"""),"hoodie")</f>
        <v>hoodie</v>
      </c>
      <c r="C3016" s="3" t="str">
        <f>IFERROR(__xludf.DUMMYFUNCTION("""COMPUTED_VALUE"""),"CryptoPunk #7171")</f>
        <v>CryptoPunk #7171</v>
      </c>
    </row>
    <row r="3017">
      <c r="A3017" s="3" t="str">
        <f>IFERROR(__xludf.DUMMYFUNCTION("""COMPUTED_VALUE"""),"cryptopunt")</f>
        <v>cryptopunt</v>
      </c>
      <c r="B3017" s="3" t="str">
        <f>IFERROR(__xludf.DUMMYFUNCTION("""COMPUTED_VALUE"""),"pun")</f>
        <v>pun</v>
      </c>
      <c r="C3017" s="3" t="str">
        <f>IFERROR(__xludf.DUMMYFUNCTION("""COMPUTED_VALUE"""),"CryptoPunt")</f>
        <v>CryptoPunt</v>
      </c>
    </row>
    <row r="3018">
      <c r="A3018" s="3" t="str">
        <f>IFERROR(__xludf.DUMMYFUNCTION("""COMPUTED_VALUE"""),"crypto-raiders")</f>
        <v>crypto-raiders</v>
      </c>
      <c r="B3018" s="3" t="str">
        <f>IFERROR(__xludf.DUMMYFUNCTION("""COMPUTED_VALUE"""),"raider")</f>
        <v>raider</v>
      </c>
      <c r="C3018" s="3" t="str">
        <f>IFERROR(__xludf.DUMMYFUNCTION("""COMPUTED_VALUE"""),"Crypto Raiders")</f>
        <v>Crypto Raiders</v>
      </c>
    </row>
    <row r="3019">
      <c r="A3019" s="3" t="str">
        <f>IFERROR(__xludf.DUMMYFUNCTION("""COMPUTED_VALUE"""),"crypto-realms-war")</f>
        <v>crypto-realms-war</v>
      </c>
      <c r="B3019" s="3" t="str">
        <f>IFERROR(__xludf.DUMMYFUNCTION("""COMPUTED_VALUE"""),"yny")</f>
        <v>yny</v>
      </c>
      <c r="C3019" s="3" t="str">
        <f>IFERROR(__xludf.DUMMYFUNCTION("""COMPUTED_VALUE"""),"Crypto Realms War")</f>
        <v>Crypto Realms War</v>
      </c>
    </row>
    <row r="3020">
      <c r="A3020" s="3" t="str">
        <f>IFERROR(__xludf.DUMMYFUNCTION("""COMPUTED_VALUE"""),"cryptorg-token")</f>
        <v>cryptorg-token</v>
      </c>
      <c r="B3020" s="3" t="str">
        <f>IFERROR(__xludf.DUMMYFUNCTION("""COMPUTED_VALUE"""),"ctg")</f>
        <v>ctg</v>
      </c>
      <c r="C3020" s="3" t="str">
        <f>IFERROR(__xludf.DUMMYFUNCTION("""COMPUTED_VALUE"""),"Cryptorg")</f>
        <v>Cryptorg</v>
      </c>
    </row>
    <row r="3021">
      <c r="A3021" s="3" t="str">
        <f>IFERROR(__xludf.DUMMYFUNCTION("""COMPUTED_VALUE"""),"crypto-rocket-launch")</f>
        <v>crypto-rocket-launch</v>
      </c>
      <c r="B3021" s="3" t="str">
        <f>IFERROR(__xludf.DUMMYFUNCTION("""COMPUTED_VALUE"""),"crl")</f>
        <v>crl</v>
      </c>
      <c r="C3021" s="3" t="str">
        <f>IFERROR(__xludf.DUMMYFUNCTION("""COMPUTED_VALUE"""),"Crypto Rocket Launch")</f>
        <v>Crypto Rocket Launch</v>
      </c>
    </row>
    <row r="3022">
      <c r="A3022" s="3" t="str">
        <f>IFERROR(__xludf.DUMMYFUNCTION("""COMPUTED_VALUE"""),"cryptorockets")</f>
        <v>cryptorockets</v>
      </c>
      <c r="B3022" s="3" t="str">
        <f>IFERROR(__xludf.DUMMYFUNCTION("""COMPUTED_VALUE"""),"crocket")</f>
        <v>crocket</v>
      </c>
      <c r="C3022" s="3" t="str">
        <f>IFERROR(__xludf.DUMMYFUNCTION("""COMPUTED_VALUE"""),"CryptoRockets")</f>
        <v>CryptoRockets</v>
      </c>
    </row>
    <row r="3023">
      <c r="A3023" s="3" t="str">
        <f>IFERROR(__xludf.DUMMYFUNCTION("""COMPUTED_VALUE"""),"cryptorose")</f>
        <v>cryptorose</v>
      </c>
      <c r="B3023" s="3" t="str">
        <f>IFERROR(__xludf.DUMMYFUNCTION("""COMPUTED_VALUE"""),"crose")</f>
        <v>crose</v>
      </c>
      <c r="C3023" s="3" t="str">
        <f>IFERROR(__xludf.DUMMYFUNCTION("""COMPUTED_VALUE"""),"CryptoRose")</f>
        <v>CryptoRose</v>
      </c>
    </row>
    <row r="3024">
      <c r="A3024" s="3" t="str">
        <f>IFERROR(__xludf.DUMMYFUNCTION("""COMPUTED_VALUE"""),"crypto-royale")</f>
        <v>crypto-royale</v>
      </c>
      <c r="B3024" s="3" t="str">
        <f>IFERROR(__xludf.DUMMYFUNCTION("""COMPUTED_VALUE"""),"roy")</f>
        <v>roy</v>
      </c>
      <c r="C3024" s="3" t="str">
        <f>IFERROR(__xludf.DUMMYFUNCTION("""COMPUTED_VALUE"""),"Crypto Royale")</f>
        <v>Crypto Royale</v>
      </c>
    </row>
    <row r="3025">
      <c r="A3025" s="3" t="str">
        <f>IFERROR(__xludf.DUMMYFUNCTION("""COMPUTED_VALUE"""),"cryptorpg")</f>
        <v>cryptorpg</v>
      </c>
      <c r="B3025" s="3" t="str">
        <f>IFERROR(__xludf.DUMMYFUNCTION("""COMPUTED_VALUE"""),"rpg")</f>
        <v>rpg</v>
      </c>
      <c r="C3025" s="3" t="str">
        <f>IFERROR(__xludf.DUMMYFUNCTION("""COMPUTED_VALUE"""),"CryptoRPG")</f>
        <v>CryptoRPG</v>
      </c>
    </row>
    <row r="3026">
      <c r="A3026" s="3" t="str">
        <f>IFERROR(__xludf.DUMMYFUNCTION("""COMPUTED_VALUE"""),"cryptorun-network")</f>
        <v>cryptorun-network</v>
      </c>
      <c r="B3026" s="3" t="str">
        <f>IFERROR(__xludf.DUMMYFUNCTION("""COMPUTED_VALUE"""),"crn")</f>
        <v>crn</v>
      </c>
      <c r="C3026" s="3" t="str">
        <f>IFERROR(__xludf.DUMMYFUNCTION("""COMPUTED_VALUE"""),"Cryptorun Network")</f>
        <v>Cryptorun Network</v>
      </c>
    </row>
    <row r="3027">
      <c r="A3027" s="3" t="str">
        <f>IFERROR(__xludf.DUMMYFUNCTION("""COMPUTED_VALUE"""),"cryptosaga")</f>
        <v>cryptosaga</v>
      </c>
      <c r="B3027" s="3" t="str">
        <f>IFERROR(__xludf.DUMMYFUNCTION("""COMPUTED_VALUE"""),"saga")</f>
        <v>saga</v>
      </c>
      <c r="C3027" s="3" t="str">
        <f>IFERROR(__xludf.DUMMYFUNCTION("""COMPUTED_VALUE"""),"CryptoSaga")</f>
        <v>CryptoSaga</v>
      </c>
    </row>
    <row r="3028">
      <c r="A3028" s="3" t="str">
        <f>IFERROR(__xludf.DUMMYFUNCTION("""COMPUTED_VALUE"""),"cryptoshares")</f>
        <v>cryptoshares</v>
      </c>
      <c r="B3028" s="3" t="str">
        <f>IFERROR(__xludf.DUMMYFUNCTION("""COMPUTED_VALUE"""),"shares")</f>
        <v>shares</v>
      </c>
      <c r="C3028" s="3" t="str">
        <f>IFERROR(__xludf.DUMMYFUNCTION("""COMPUTED_VALUE"""),"Cryptoshares")</f>
        <v>Cryptoshares</v>
      </c>
    </row>
    <row r="3029">
      <c r="A3029" s="3" t="str">
        <f>IFERROR(__xludf.DUMMYFUNCTION("""COMPUTED_VALUE"""),"crypto-shield")</f>
        <v>crypto-shield</v>
      </c>
      <c r="B3029" s="3" t="str">
        <f>IFERROR(__xludf.DUMMYFUNCTION("""COMPUTED_VALUE"""),"shield")</f>
        <v>shield</v>
      </c>
      <c r="C3029" s="3" t="str">
        <f>IFERROR(__xludf.DUMMYFUNCTION("""COMPUTED_VALUE"""),"Crypto Shield")</f>
        <v>Crypto Shield</v>
      </c>
    </row>
    <row r="3030">
      <c r="A3030" s="3" t="str">
        <f>IFERROR(__xludf.DUMMYFUNCTION("""COMPUTED_VALUE"""),"cryptoships")</f>
        <v>cryptoships</v>
      </c>
      <c r="B3030" s="3" t="str">
        <f>IFERROR(__xludf.DUMMYFUNCTION("""COMPUTED_VALUE"""),"cship")</f>
        <v>cship</v>
      </c>
      <c r="C3030" s="3" t="str">
        <f>IFERROR(__xludf.DUMMYFUNCTION("""COMPUTED_VALUE"""),"CryptoShips")</f>
        <v>CryptoShips</v>
      </c>
    </row>
    <row r="3031">
      <c r="A3031" s="3" t="str">
        <f>IFERROR(__xludf.DUMMYFUNCTION("""COMPUTED_VALUE"""),"cryptoskates")</f>
        <v>cryptoskates</v>
      </c>
      <c r="B3031" s="3" t="str">
        <f>IFERROR(__xludf.DUMMYFUNCTION("""COMPUTED_VALUE"""),"cst")</f>
        <v>cst</v>
      </c>
      <c r="C3031" s="3" t="str">
        <f>IFERROR(__xludf.DUMMYFUNCTION("""COMPUTED_VALUE"""),"CryptoSkates")</f>
        <v>CryptoSkates</v>
      </c>
    </row>
    <row r="3032">
      <c r="A3032" s="3" t="str">
        <f>IFERROR(__xludf.DUMMYFUNCTION("""COMPUTED_VALUE"""),"crypto-snack")</f>
        <v>crypto-snack</v>
      </c>
      <c r="B3032" s="3" t="str">
        <f>IFERROR(__xludf.DUMMYFUNCTION("""COMPUTED_VALUE"""),"snack")</f>
        <v>snack</v>
      </c>
      <c r="C3032" s="3" t="str">
        <f>IFERROR(__xludf.DUMMYFUNCTION("""COMPUTED_VALUE"""),"Crypto Snack")</f>
        <v>Crypto Snack</v>
      </c>
    </row>
    <row r="3033">
      <c r="A3033" s="3" t="str">
        <f>IFERROR(__xludf.DUMMYFUNCTION("""COMPUTED_VALUE"""),"crypto-soccer")</f>
        <v>crypto-soccer</v>
      </c>
      <c r="B3033" s="3" t="str">
        <f>IFERROR(__xludf.DUMMYFUNCTION("""COMPUTED_VALUE"""),"csc")</f>
        <v>csc</v>
      </c>
      <c r="C3033" s="3" t="str">
        <f>IFERROR(__xludf.DUMMYFUNCTION("""COMPUTED_VALUE"""),"Crypto Soccer")</f>
        <v>Crypto Soccer</v>
      </c>
    </row>
    <row r="3034">
      <c r="A3034" s="3" t="str">
        <f>IFERROR(__xludf.DUMMYFUNCTION("""COMPUTED_VALUE"""),"cryptosoul")</f>
        <v>cryptosoul</v>
      </c>
      <c r="B3034" s="3" t="str">
        <f>IFERROR(__xludf.DUMMYFUNCTION("""COMPUTED_VALUE"""),"soul")</f>
        <v>soul</v>
      </c>
      <c r="C3034" s="3" t="str">
        <f>IFERROR(__xludf.DUMMYFUNCTION("""COMPUTED_VALUE"""),"CryptoSoul")</f>
        <v>CryptoSoul</v>
      </c>
    </row>
    <row r="3035">
      <c r="A3035" s="3" t="str">
        <f>IFERROR(__xludf.DUMMYFUNCTION("""COMPUTED_VALUE"""),"crypto-sports")</f>
        <v>crypto-sports</v>
      </c>
      <c r="B3035" s="3" t="str">
        <f>IFERROR(__xludf.DUMMYFUNCTION("""COMPUTED_VALUE"""),"cspn")</f>
        <v>cspn</v>
      </c>
      <c r="C3035" s="3" t="str">
        <f>IFERROR(__xludf.DUMMYFUNCTION("""COMPUTED_VALUE"""),"Crypto Sports")</f>
        <v>Crypto Sports</v>
      </c>
    </row>
    <row r="3036">
      <c r="A3036" s="3" t="str">
        <f>IFERROR(__xludf.DUMMYFUNCTION("""COMPUTED_VALUE"""),"crypto-stake-token")</f>
        <v>crypto-stake-token</v>
      </c>
      <c r="B3036" s="3" t="str">
        <f>IFERROR(__xludf.DUMMYFUNCTION("""COMPUTED_VALUE"""),"cst")</f>
        <v>cst</v>
      </c>
      <c r="C3036" s="3" t="str">
        <f>IFERROR(__xludf.DUMMYFUNCTION("""COMPUTED_VALUE"""),"CryptoStake")</f>
        <v>CryptoStake</v>
      </c>
    </row>
    <row r="3037">
      <c r="A3037" s="3" t="str">
        <f>IFERROR(__xludf.DUMMYFUNCTION("""COMPUTED_VALUE"""),"cryptostone")</f>
        <v>cryptostone</v>
      </c>
      <c r="B3037" s="3" t="str">
        <f>IFERROR(__xludf.DUMMYFUNCTION("""COMPUTED_VALUE"""),"cps")</f>
        <v>cps</v>
      </c>
      <c r="C3037" s="3" t="str">
        <f>IFERROR(__xludf.DUMMYFUNCTION("""COMPUTED_VALUE"""),"Cryptostone")</f>
        <v>Cryptostone</v>
      </c>
    </row>
    <row r="3038">
      <c r="A3038" s="3" t="str">
        <f>IFERROR(__xludf.DUMMYFUNCTION("""COMPUTED_VALUE"""),"cryptostribe")</f>
        <v>cryptostribe</v>
      </c>
      <c r="B3038" s="3" t="str">
        <f>IFERROR(__xludf.DUMMYFUNCTION("""COMPUTED_VALUE"""),"cstc")</f>
        <v>cstc</v>
      </c>
      <c r="C3038" s="3" t="str">
        <f>IFERROR(__xludf.DUMMYFUNCTION("""COMPUTED_VALUE"""),"CryptosTribe")</f>
        <v>CryptosTribe</v>
      </c>
    </row>
    <row r="3039">
      <c r="A3039" s="3" t="str">
        <f>IFERROR(__xludf.DUMMYFUNCTION("""COMPUTED_VALUE"""),"crypto-swap")</f>
        <v>crypto-swap</v>
      </c>
      <c r="B3039" s="3" t="str">
        <f>IFERROR(__xludf.DUMMYFUNCTION("""COMPUTED_VALUE"""),"cpsp")</f>
        <v>cpsp</v>
      </c>
      <c r="C3039" s="3" t="str">
        <f>IFERROR(__xludf.DUMMYFUNCTION("""COMPUTED_VALUE"""),"Crypto Swap")</f>
        <v>Crypto Swap</v>
      </c>
    </row>
    <row r="3040">
      <c r="A3040" s="3" t="str">
        <f>IFERROR(__xludf.DUMMYFUNCTION("""COMPUTED_VALUE"""),"cryptotanks")</f>
        <v>cryptotanks</v>
      </c>
      <c r="B3040" s="3" t="str">
        <f>IFERROR(__xludf.DUMMYFUNCTION("""COMPUTED_VALUE"""),"tank")</f>
        <v>tank</v>
      </c>
      <c r="C3040" s="3" t="str">
        <f>IFERROR(__xludf.DUMMYFUNCTION("""COMPUTED_VALUE"""),"CryptoTanks")</f>
        <v>CryptoTanks</v>
      </c>
    </row>
    <row r="3041">
      <c r="A3041" s="3" t="str">
        <f>IFERROR(__xludf.DUMMYFUNCTION("""COMPUTED_VALUE"""),"cryptotask-2")</f>
        <v>cryptotask-2</v>
      </c>
      <c r="B3041" s="3" t="str">
        <f>IFERROR(__xludf.DUMMYFUNCTION("""COMPUTED_VALUE"""),"ctask")</f>
        <v>ctask</v>
      </c>
      <c r="C3041" s="3" t="str">
        <f>IFERROR(__xludf.DUMMYFUNCTION("""COMPUTED_VALUE"""),"CryptoTask")</f>
        <v>CryptoTask</v>
      </c>
    </row>
    <row r="3042">
      <c r="A3042" s="3" t="str">
        <f>IFERROR(__xludf.DUMMYFUNCTION("""COMPUTED_VALUE"""),"cryptotaxis-token")</f>
        <v>cryptotaxis-token</v>
      </c>
      <c r="B3042" s="3" t="str">
        <f>IFERROR(__xludf.DUMMYFUNCTION("""COMPUTED_VALUE"""),"ctax")</f>
        <v>ctax</v>
      </c>
      <c r="C3042" s="3" t="str">
        <f>IFERROR(__xludf.DUMMYFUNCTION("""COMPUTED_VALUE"""),"Cryptotaxis")</f>
        <v>Cryptotaxis</v>
      </c>
    </row>
    <row r="3043">
      <c r="A3043" s="3" t="str">
        <f>IFERROR(__xludf.DUMMYFUNCTION("""COMPUTED_VALUE"""),"cryptotem")</f>
        <v>cryptotem</v>
      </c>
      <c r="B3043" s="3" t="str">
        <f>IFERROR(__xludf.DUMMYFUNCTION("""COMPUTED_VALUE"""),"totem")</f>
        <v>totem</v>
      </c>
      <c r="C3043" s="3" t="str">
        <f>IFERROR(__xludf.DUMMYFUNCTION("""COMPUTED_VALUE"""),"Cryptotem")</f>
        <v>Cryptotem</v>
      </c>
    </row>
    <row r="3044">
      <c r="A3044" s="3" t="str">
        <f>IFERROR(__xludf.DUMMYFUNCTION("""COMPUTED_VALUE"""),"crypto-tex")</f>
        <v>crypto-tex</v>
      </c>
      <c r="B3044" s="3" t="str">
        <f>IFERROR(__xludf.DUMMYFUNCTION("""COMPUTED_VALUE"""),"ctex")</f>
        <v>ctex</v>
      </c>
      <c r="C3044" s="3" t="str">
        <f>IFERROR(__xludf.DUMMYFUNCTION("""COMPUTED_VALUE"""),"Crypto Tex")</f>
        <v>Crypto Tex</v>
      </c>
    </row>
    <row r="3045">
      <c r="A3045" s="3" t="str">
        <f>IFERROR(__xludf.DUMMYFUNCTION("""COMPUTED_VALUE"""),"cryptotrains")</f>
        <v>cryptotrains</v>
      </c>
      <c r="B3045" s="3" t="str">
        <f>IFERROR(__xludf.DUMMYFUNCTION("""COMPUTED_VALUE"""),"ctrain")</f>
        <v>ctrain</v>
      </c>
      <c r="C3045" s="3" t="str">
        <f>IFERROR(__xludf.DUMMYFUNCTION("""COMPUTED_VALUE"""),"CryptoTrains")</f>
        <v>CryptoTrains</v>
      </c>
    </row>
    <row r="3046">
      <c r="A3046" s="3" t="str">
        <f>IFERROR(__xludf.DUMMYFUNCTION("""COMPUTED_VALUE"""),"cryptotycoon")</f>
        <v>cryptotycoon</v>
      </c>
      <c r="B3046" s="3" t="str">
        <f>IFERROR(__xludf.DUMMYFUNCTION("""COMPUTED_VALUE"""),"ctt")</f>
        <v>ctt</v>
      </c>
      <c r="C3046" s="3" t="str">
        <f>IFERROR(__xludf.DUMMYFUNCTION("""COMPUTED_VALUE"""),"CryptoTycoon")</f>
        <v>CryptoTycoon</v>
      </c>
    </row>
    <row r="3047">
      <c r="A3047" s="3" t="str">
        <f>IFERROR(__xludf.DUMMYFUNCTION("""COMPUTED_VALUE"""),"cryptounit")</f>
        <v>cryptounit</v>
      </c>
      <c r="B3047" s="3" t="str">
        <f>IFERROR(__xludf.DUMMYFUNCTION("""COMPUTED_VALUE"""),"cru")</f>
        <v>cru</v>
      </c>
      <c r="C3047" s="3" t="str">
        <f>IFERROR(__xludf.DUMMYFUNCTION("""COMPUTED_VALUE"""),"Cryptounit")</f>
        <v>Cryptounit</v>
      </c>
    </row>
    <row r="3048">
      <c r="A3048" s="3" t="str">
        <f>IFERROR(__xludf.DUMMYFUNCTION("""COMPUTED_VALUE"""),"crypto-vault")</f>
        <v>crypto-vault</v>
      </c>
      <c r="B3048" s="3" t="str">
        <f>IFERROR(__xludf.DUMMYFUNCTION("""COMPUTED_VALUE"""),"cvt")</f>
        <v>cvt</v>
      </c>
      <c r="C3048" s="3" t="str">
        <f>IFERROR(__xludf.DUMMYFUNCTION("""COMPUTED_VALUE"""),"Crypto Vault")</f>
        <v>Crypto Vault</v>
      </c>
    </row>
    <row r="3049">
      <c r="A3049" s="3" t="str">
        <f>IFERROR(__xludf.DUMMYFUNCTION("""COMPUTED_VALUE"""),"crypto-village-accelerator")</f>
        <v>crypto-village-accelerator</v>
      </c>
      <c r="B3049" s="3" t="str">
        <f>IFERROR(__xludf.DUMMYFUNCTION("""COMPUTED_VALUE"""),"cva")</f>
        <v>cva</v>
      </c>
      <c r="C3049" s="3" t="str">
        <f>IFERROR(__xludf.DUMMYFUNCTION("""COMPUTED_VALUE"""),"Crypto Village Accelerator")</f>
        <v>Crypto Village Accelerator</v>
      </c>
    </row>
    <row r="3050">
      <c r="A3050" s="3" t="str">
        <f>IFERROR(__xludf.DUMMYFUNCTION("""COMPUTED_VALUE"""),"crypto-village-accelerator-cvag")</f>
        <v>crypto-village-accelerator-cvag</v>
      </c>
      <c r="B3050" s="3" t="str">
        <f>IFERROR(__xludf.DUMMYFUNCTION("""COMPUTED_VALUE"""),"cvag")</f>
        <v>cvag</v>
      </c>
      <c r="C3050" s="3" t="str">
        <f>IFERROR(__xludf.DUMMYFUNCTION("""COMPUTED_VALUE"""),"Crypto Village Accelerator CVAG")</f>
        <v>Crypto Village Accelerator CVAG</v>
      </c>
    </row>
    <row r="3051">
      <c r="A3051" s="3" t="str">
        <f>IFERROR(__xludf.DUMMYFUNCTION("""COMPUTED_VALUE"""),"crypto-volatility-token")</f>
        <v>crypto-volatility-token</v>
      </c>
      <c r="B3051" s="3" t="str">
        <f>IFERROR(__xludf.DUMMYFUNCTION("""COMPUTED_VALUE"""),"cvol")</f>
        <v>cvol</v>
      </c>
      <c r="C3051" s="3" t="str">
        <f>IFERROR(__xludf.DUMMYFUNCTION("""COMPUTED_VALUE"""),"Crypto Volatility")</f>
        <v>Crypto Volatility</v>
      </c>
    </row>
    <row r="3052">
      <c r="A3052" s="3" t="str">
        <f>IFERROR(__xludf.DUMMYFUNCTION("""COMPUTED_VALUE"""),"cryptovszombie")</f>
        <v>cryptovszombie</v>
      </c>
      <c r="B3052" s="3" t="str">
        <f>IFERROR(__xludf.DUMMYFUNCTION("""COMPUTED_VALUE"""),"cvz")</f>
        <v>cvz</v>
      </c>
      <c r="C3052" s="3" t="str">
        <f>IFERROR(__xludf.DUMMYFUNCTION("""COMPUTED_VALUE"""),"CryptoVsZombie")</f>
        <v>CryptoVsZombie</v>
      </c>
    </row>
    <row r="3053">
      <c r="A3053" s="3" t="str">
        <f>IFERROR(__xludf.DUMMYFUNCTION("""COMPUTED_VALUE"""),"cryptowar-xblade")</f>
        <v>cryptowar-xblade</v>
      </c>
      <c r="B3053" s="3" t="str">
        <f>IFERROR(__xludf.DUMMYFUNCTION("""COMPUTED_VALUE"""),"open")</f>
        <v>open</v>
      </c>
      <c r="C3053" s="3" t="str">
        <f>IFERROR(__xludf.DUMMYFUNCTION("""COMPUTED_VALUE"""),"OpenWorld")</f>
        <v>OpenWorld</v>
      </c>
    </row>
    <row r="3054">
      <c r="A3054" s="3" t="str">
        <f>IFERROR(__xludf.DUMMYFUNCTION("""COMPUTED_VALUE"""),"crypto-warz")</f>
        <v>crypto-warz</v>
      </c>
      <c r="B3054" s="3" t="str">
        <f>IFERROR(__xludf.DUMMYFUNCTION("""COMPUTED_VALUE"""),"warz")</f>
        <v>warz</v>
      </c>
      <c r="C3054" s="3" t="str">
        <f>IFERROR(__xludf.DUMMYFUNCTION("""COMPUTED_VALUE"""),"Crypto Warz")</f>
        <v>Crypto Warz</v>
      </c>
    </row>
    <row r="3055">
      <c r="A3055" s="3" t="str">
        <f>IFERROR(__xludf.DUMMYFUNCTION("""COMPUTED_VALUE"""),"cryptowolf")</f>
        <v>cryptowolf</v>
      </c>
      <c r="B3055" s="3" t="str">
        <f>IFERROR(__xludf.DUMMYFUNCTION("""COMPUTED_VALUE"""),"cwolf")</f>
        <v>cwolf</v>
      </c>
      <c r="C3055" s="3" t="str">
        <f>IFERROR(__xludf.DUMMYFUNCTION("""COMPUTED_VALUE"""),"CryptoWolf")</f>
        <v>CryptoWolf</v>
      </c>
    </row>
    <row r="3056">
      <c r="A3056" s="3" t="str">
        <f>IFERROR(__xludf.DUMMYFUNCTION("""COMPUTED_VALUE"""),"cryptoworld-vip")</f>
        <v>cryptoworld-vip</v>
      </c>
      <c r="B3056" s="3" t="str">
        <f>IFERROR(__xludf.DUMMYFUNCTION("""COMPUTED_VALUE"""),"cwv")</f>
        <v>cwv</v>
      </c>
      <c r="C3056" s="3" t="str">
        <f>IFERROR(__xludf.DUMMYFUNCTION("""COMPUTED_VALUE"""),"CryptoWorld.VIP")</f>
        <v>CryptoWorld.VIP</v>
      </c>
    </row>
    <row r="3057">
      <c r="A3057" s="3" t="str">
        <f>IFERROR(__xludf.DUMMYFUNCTION("""COMPUTED_VALUE"""),"crypto-wrestling-inu")</f>
        <v>crypto-wrestling-inu</v>
      </c>
      <c r="B3057" s="3" t="str">
        <f>IFERROR(__xludf.DUMMYFUNCTION("""COMPUTED_VALUE"""),"$cwi")</f>
        <v>$cwi</v>
      </c>
      <c r="C3057" s="3" t="str">
        <f>IFERROR(__xludf.DUMMYFUNCTION("""COMPUTED_VALUE"""),"Crypto Wrestling Inu")</f>
        <v>Crypto Wrestling Inu</v>
      </c>
    </row>
    <row r="3058">
      <c r="A3058" s="3" t="str">
        <f>IFERROR(__xludf.DUMMYFUNCTION("""COMPUTED_VALUE"""),"cryptozerofi")</f>
        <v>cryptozerofi</v>
      </c>
      <c r="B3058" s="3" t="str">
        <f>IFERROR(__xludf.DUMMYFUNCTION("""COMPUTED_VALUE"""),"zeri_v2")</f>
        <v>zeri_v2</v>
      </c>
      <c r="C3058" s="3" t="str">
        <f>IFERROR(__xludf.DUMMYFUNCTION("""COMPUTED_VALUE"""),"CryptoZerofi V2")</f>
        <v>CryptoZerofi V2</v>
      </c>
    </row>
    <row r="3059">
      <c r="A3059" s="3" t="str">
        <f>IFERROR(__xludf.DUMMYFUNCTION("""COMPUTED_VALUE"""),"cryptozoo")</f>
        <v>cryptozoo</v>
      </c>
      <c r="B3059" s="3" t="str">
        <f>IFERROR(__xludf.DUMMYFUNCTION("""COMPUTED_VALUE"""),"zoo")</f>
        <v>zoo</v>
      </c>
      <c r="C3059" s="3" t="str">
        <f>IFERROR(__xludf.DUMMYFUNCTION("""COMPUTED_VALUE"""),"CryptoZoo")</f>
        <v>CryptoZoo</v>
      </c>
    </row>
    <row r="3060">
      <c r="A3060" s="3" t="str">
        <f>IFERROR(__xludf.DUMMYFUNCTION("""COMPUTED_VALUE"""),"cryptozoon")</f>
        <v>cryptozoon</v>
      </c>
      <c r="B3060" s="3" t="str">
        <f>IFERROR(__xludf.DUMMYFUNCTION("""COMPUTED_VALUE"""),"zoon")</f>
        <v>zoon</v>
      </c>
      <c r="C3060" s="3" t="str">
        <f>IFERROR(__xludf.DUMMYFUNCTION("""COMPUTED_VALUE"""),"CryptoZoon")</f>
        <v>CryptoZoon</v>
      </c>
    </row>
    <row r="3061">
      <c r="A3061" s="3" t="str">
        <f>IFERROR(__xludf.DUMMYFUNCTION("""COMPUTED_VALUE"""),"cryptrust")</f>
        <v>cryptrust</v>
      </c>
      <c r="B3061" s="3" t="str">
        <f>IFERROR(__xludf.DUMMYFUNCTION("""COMPUTED_VALUE"""),"ctrt")</f>
        <v>ctrt</v>
      </c>
      <c r="C3061" s="3" t="str">
        <f>IFERROR(__xludf.DUMMYFUNCTION("""COMPUTED_VALUE"""),"Cryptrust")</f>
        <v>Cryptrust</v>
      </c>
    </row>
    <row r="3062">
      <c r="A3062" s="3" t="str">
        <f>IFERROR(__xludf.DUMMYFUNCTION("""COMPUTED_VALUE"""),"cryptyk")</f>
        <v>cryptyk</v>
      </c>
      <c r="B3062" s="3" t="str">
        <f>IFERROR(__xludf.DUMMYFUNCTION("""COMPUTED_VALUE"""),"ctk")</f>
        <v>ctk</v>
      </c>
      <c r="C3062" s="3" t="str">
        <f>IFERROR(__xludf.DUMMYFUNCTION("""COMPUTED_VALUE"""),"Cryptyk")</f>
        <v>Cryptyk</v>
      </c>
    </row>
    <row r="3063">
      <c r="A3063" s="3" t="str">
        <f>IFERROR(__xludf.DUMMYFUNCTION("""COMPUTED_VALUE"""),"crystal")</f>
        <v>crystal</v>
      </c>
      <c r="B3063" s="3" t="str">
        <f>IFERROR(__xludf.DUMMYFUNCTION("""COMPUTED_VALUE"""),"crystal")</f>
        <v>crystal</v>
      </c>
      <c r="C3063" s="3" t="str">
        <f>IFERROR(__xludf.DUMMYFUNCTION("""COMPUTED_VALUE"""),"Crystal")</f>
        <v>Crystal</v>
      </c>
    </row>
    <row r="3064">
      <c r="A3064" s="3" t="str">
        <f>IFERROR(__xludf.DUMMYFUNCTION("""COMPUTED_VALUE"""),"crystal-clear")</f>
        <v>crystal-clear</v>
      </c>
      <c r="B3064" s="3" t="str">
        <f>IFERROR(__xludf.DUMMYFUNCTION("""COMPUTED_VALUE"""),"cct")</f>
        <v>cct</v>
      </c>
      <c r="C3064" s="3" t="str">
        <f>IFERROR(__xludf.DUMMYFUNCTION("""COMPUTED_VALUE"""),"Crystal Clear")</f>
        <v>Crystal Clear</v>
      </c>
    </row>
    <row r="3065">
      <c r="A3065" s="3" t="str">
        <f>IFERROR(__xludf.DUMMYFUNCTION("""COMPUTED_VALUE"""),"crystal-dust")</f>
        <v>crystal-dust</v>
      </c>
      <c r="B3065" s="3" t="str">
        <f>IFERROR(__xludf.DUMMYFUNCTION("""COMPUTED_VALUE"""),"csd")</f>
        <v>csd</v>
      </c>
      <c r="C3065" s="3" t="str">
        <f>IFERROR(__xludf.DUMMYFUNCTION("""COMPUTED_VALUE"""),"Crystal Dust")</f>
        <v>Crystal Dust</v>
      </c>
    </row>
    <row r="3066">
      <c r="A3066" s="3" t="str">
        <f>IFERROR(__xludf.DUMMYFUNCTION("""COMPUTED_VALUE"""),"crystal-of-dragon")</f>
        <v>crystal-of-dragon</v>
      </c>
      <c r="B3066" s="3" t="str">
        <f>IFERROR(__xludf.DUMMYFUNCTION("""COMPUTED_VALUE"""),"cod")</f>
        <v>cod</v>
      </c>
      <c r="C3066" s="3" t="str">
        <f>IFERROR(__xludf.DUMMYFUNCTION("""COMPUTED_VALUE"""),"Crystal Of Dragon")</f>
        <v>Crystal Of Dragon</v>
      </c>
    </row>
    <row r="3067">
      <c r="A3067" s="3" t="str">
        <f>IFERROR(__xludf.DUMMYFUNCTION("""COMPUTED_VALUE"""),"crystal-palace-fan-token")</f>
        <v>crystal-palace-fan-token</v>
      </c>
      <c r="B3067" s="3" t="str">
        <f>IFERROR(__xludf.DUMMYFUNCTION("""COMPUTED_VALUE"""),"cpfc")</f>
        <v>cpfc</v>
      </c>
      <c r="C3067" s="3" t="str">
        <f>IFERROR(__xludf.DUMMYFUNCTION("""COMPUTED_VALUE"""),"Crystal Palace FC Fan Token")</f>
        <v>Crystal Palace FC Fan Token</v>
      </c>
    </row>
    <row r="3068">
      <c r="A3068" s="3" t="str">
        <f>IFERROR(__xludf.DUMMYFUNCTION("""COMPUTED_VALUE"""),"crystal-powder")</f>
        <v>crystal-powder</v>
      </c>
      <c r="B3068" s="3" t="str">
        <f>IFERROR(__xludf.DUMMYFUNCTION("""COMPUTED_VALUE"""),"cp")</f>
        <v>cp</v>
      </c>
      <c r="C3068" s="3" t="str">
        <f>IFERROR(__xludf.DUMMYFUNCTION("""COMPUTED_VALUE"""),"Crystal Powder")</f>
        <v>Crystal Powder</v>
      </c>
    </row>
    <row r="3069">
      <c r="A3069" s="3" t="str">
        <f>IFERROR(__xludf.DUMMYFUNCTION("""COMPUTED_VALUE"""),"crystal-token")</f>
        <v>crystal-token</v>
      </c>
      <c r="B3069" s="3" t="str">
        <f>IFERROR(__xludf.DUMMYFUNCTION("""COMPUTED_VALUE"""),"cyl")</f>
        <v>cyl</v>
      </c>
      <c r="C3069" s="3" t="str">
        <f>IFERROR(__xludf.DUMMYFUNCTION("""COMPUTED_VALUE"""),"Crystal CYL")</f>
        <v>Crystal CYL</v>
      </c>
    </row>
    <row r="3070">
      <c r="A3070" s="3" t="str">
        <f>IFERROR(__xludf.DUMMYFUNCTION("""COMPUTED_VALUE"""),"crystl-finance")</f>
        <v>crystl-finance</v>
      </c>
      <c r="B3070" s="3" t="str">
        <f>IFERROR(__xludf.DUMMYFUNCTION("""COMPUTED_VALUE"""),"crystl")</f>
        <v>crystl</v>
      </c>
      <c r="C3070" s="3" t="str">
        <f>IFERROR(__xludf.DUMMYFUNCTION("""COMPUTED_VALUE"""),"Crystl Finance")</f>
        <v>Crystl Finance</v>
      </c>
    </row>
    <row r="3071">
      <c r="A3071" s="3" t="str">
        <f>IFERROR(__xludf.DUMMYFUNCTION("""COMPUTED_VALUE"""),"csp-dao-network")</f>
        <v>csp-dao-network</v>
      </c>
      <c r="B3071" s="3" t="str">
        <f>IFERROR(__xludf.DUMMYFUNCTION("""COMPUTED_VALUE"""),"nebo")</f>
        <v>nebo</v>
      </c>
      <c r="C3071" s="3" t="str">
        <f>IFERROR(__xludf.DUMMYFUNCTION("""COMPUTED_VALUE"""),"CSP DAO Network")</f>
        <v>CSP DAO Network</v>
      </c>
    </row>
    <row r="3072">
      <c r="A3072" s="3" t="str">
        <f>IFERROR(__xludf.DUMMYFUNCTION("""COMPUTED_VALUE"""),"csr")</f>
        <v>csr</v>
      </c>
      <c r="B3072" s="3" t="str">
        <f>IFERROR(__xludf.DUMMYFUNCTION("""COMPUTED_VALUE"""),"csr")</f>
        <v>csr</v>
      </c>
      <c r="C3072" s="3" t="str">
        <f>IFERROR(__xludf.DUMMYFUNCTION("""COMPUTED_VALUE"""),"CSR")</f>
        <v>CSR</v>
      </c>
    </row>
    <row r="3073">
      <c r="A3073" s="3" t="str">
        <f>IFERROR(__xludf.DUMMYFUNCTION("""COMPUTED_VALUE"""),"ctc-2")</f>
        <v>ctc-2</v>
      </c>
      <c r="B3073" s="3" t="str">
        <f>IFERROR(__xludf.DUMMYFUNCTION("""COMPUTED_VALUE"""),"ctc")</f>
        <v>ctc</v>
      </c>
      <c r="C3073" s="3" t="str">
        <f>IFERROR(__xludf.DUMMYFUNCTION("""COMPUTED_VALUE"""),"CTC")</f>
        <v>CTC</v>
      </c>
    </row>
    <row r="3074">
      <c r="A3074" s="3" t="str">
        <f>IFERROR(__xludf.DUMMYFUNCTION("""COMPUTED_VALUE"""),"ctomorrow-platform")</f>
        <v>ctomorrow-platform</v>
      </c>
      <c r="B3074" s="3" t="str">
        <f>IFERROR(__xludf.DUMMYFUNCTION("""COMPUTED_VALUE"""),"ctp")</f>
        <v>ctp</v>
      </c>
      <c r="C3074" s="3" t="str">
        <f>IFERROR(__xludf.DUMMYFUNCTION("""COMPUTED_VALUE"""),"Ctomorrow Platform")</f>
        <v>Ctomorrow Platform</v>
      </c>
    </row>
    <row r="3075">
      <c r="A3075" s="3" t="str">
        <f>IFERROR(__xludf.DUMMYFUNCTION("""COMPUTED_VALUE"""),"ctrl-x")</f>
        <v>ctrl-x</v>
      </c>
      <c r="B3075" s="3" t="str">
        <f>IFERROR(__xludf.DUMMYFUNCTION("""COMPUTED_VALUE"""),"cut")</f>
        <v>cut</v>
      </c>
      <c r="C3075" s="3" t="str">
        <f>IFERROR(__xludf.DUMMYFUNCTION("""COMPUTED_VALUE"""),"Ctrl-X")</f>
        <v>Ctrl-X</v>
      </c>
    </row>
    <row r="3076">
      <c r="A3076" s="3" t="str">
        <f>IFERROR(__xludf.DUMMYFUNCTION("""COMPUTED_VALUE"""),"cube")</f>
        <v>cube</v>
      </c>
      <c r="B3076" s="3" t="str">
        <f>IFERROR(__xludf.DUMMYFUNCTION("""COMPUTED_VALUE"""),"itamcube")</f>
        <v>itamcube</v>
      </c>
      <c r="C3076" s="3" t="str">
        <f>IFERROR(__xludf.DUMMYFUNCTION("""COMPUTED_VALUE"""),"CUBE")</f>
        <v>CUBE</v>
      </c>
    </row>
    <row r="3077">
      <c r="A3077" s="3" t="str">
        <f>IFERROR(__xludf.DUMMYFUNCTION("""COMPUTED_VALUE"""),"cube-intelligence")</f>
        <v>cube-intelligence</v>
      </c>
      <c r="B3077" s="3" t="str">
        <f>IFERROR(__xludf.DUMMYFUNCTION("""COMPUTED_VALUE"""),"auto")</f>
        <v>auto</v>
      </c>
      <c r="C3077" s="3" t="str">
        <f>IFERROR(__xludf.DUMMYFUNCTION("""COMPUTED_VALUE"""),"Cube Intelligence")</f>
        <v>Cube Intelligence</v>
      </c>
    </row>
    <row r="3078">
      <c r="A3078" s="3" t="str">
        <f>IFERROR(__xludf.DUMMYFUNCTION("""COMPUTED_VALUE"""),"cube-network")</f>
        <v>cube-network</v>
      </c>
      <c r="B3078" s="3" t="str">
        <f>IFERROR(__xludf.DUMMYFUNCTION("""COMPUTED_VALUE"""),"cube")</f>
        <v>cube</v>
      </c>
      <c r="C3078" s="3" t="str">
        <f>IFERROR(__xludf.DUMMYFUNCTION("""COMPUTED_VALUE"""),"Cube Network")</f>
        <v>Cube Network</v>
      </c>
    </row>
    <row r="3079">
      <c r="A3079" s="3" t="str">
        <f>IFERROR(__xludf.DUMMYFUNCTION("""COMPUTED_VALUE"""),"cub-finance")</f>
        <v>cub-finance</v>
      </c>
      <c r="B3079" s="3" t="str">
        <f>IFERROR(__xludf.DUMMYFUNCTION("""COMPUTED_VALUE"""),"cub")</f>
        <v>cub</v>
      </c>
      <c r="C3079" s="3" t="str">
        <f>IFERROR(__xludf.DUMMYFUNCTION("""COMPUTED_VALUE"""),"Cub Finance")</f>
        <v>Cub Finance</v>
      </c>
    </row>
    <row r="3080">
      <c r="A3080" s="3" t="str">
        <f>IFERROR(__xludf.DUMMYFUNCTION("""COMPUTED_VALUE"""),"cubics")</f>
        <v>cubics</v>
      </c>
      <c r="B3080" s="3" t="str">
        <f>IFERROR(__xludf.DUMMYFUNCTION("""COMPUTED_VALUE"""),"cubic")</f>
        <v>cubic</v>
      </c>
      <c r="C3080" s="3" t="str">
        <f>IFERROR(__xludf.DUMMYFUNCTION("""COMPUTED_VALUE"""),"Cubics")</f>
        <v>Cubics</v>
      </c>
    </row>
    <row r="3081">
      <c r="A3081" s="3" t="str">
        <f>IFERROR(__xludf.DUMMYFUNCTION("""COMPUTED_VALUE"""),"cubiex-power")</f>
        <v>cubiex-power</v>
      </c>
      <c r="B3081" s="3" t="str">
        <f>IFERROR(__xludf.DUMMYFUNCTION("""COMPUTED_VALUE"""),"cbix-p")</f>
        <v>cbix-p</v>
      </c>
      <c r="C3081" s="3" t="str">
        <f>IFERROR(__xludf.DUMMYFUNCTION("""COMPUTED_VALUE"""),"Cubiex Power")</f>
        <v>Cubiex Power</v>
      </c>
    </row>
    <row r="3082">
      <c r="A3082" s="3" t="str">
        <f>IFERROR(__xludf.DUMMYFUNCTION("""COMPUTED_VALUE"""),"cubo")</f>
        <v>cubo</v>
      </c>
      <c r="B3082" s="3" t="str">
        <f>IFERROR(__xludf.DUMMYFUNCTION("""COMPUTED_VALUE"""),"cubo")</f>
        <v>cubo</v>
      </c>
      <c r="C3082" s="3" t="str">
        <f>IFERROR(__xludf.DUMMYFUNCTION("""COMPUTED_VALUE"""),"Cubo")</f>
        <v>Cubo</v>
      </c>
    </row>
    <row r="3083">
      <c r="A3083" s="3" t="str">
        <f>IFERROR(__xludf.DUMMYFUNCTION("""COMPUTED_VALUE"""),"cubtoken")</f>
        <v>cubtoken</v>
      </c>
      <c r="B3083" s="3" t="str">
        <f>IFERROR(__xludf.DUMMYFUNCTION("""COMPUTED_VALUE"""),"cubt")</f>
        <v>cubt</v>
      </c>
      <c r="C3083" s="3" t="str">
        <f>IFERROR(__xludf.DUMMYFUNCTION("""COMPUTED_VALUE"""),"CubToken")</f>
        <v>CubToken</v>
      </c>
    </row>
    <row r="3084">
      <c r="A3084" s="3" t="str">
        <f>IFERROR(__xludf.DUMMYFUNCTION("""COMPUTED_VALUE"""),"cudos")</f>
        <v>cudos</v>
      </c>
      <c r="B3084" s="3" t="str">
        <f>IFERROR(__xludf.DUMMYFUNCTION("""COMPUTED_VALUE"""),"cudos")</f>
        <v>cudos</v>
      </c>
      <c r="C3084" s="3" t="str">
        <f>IFERROR(__xludf.DUMMYFUNCTION("""COMPUTED_VALUE"""),"Cudos")</f>
        <v>Cudos</v>
      </c>
    </row>
    <row r="3085">
      <c r="A3085" s="3" t="str">
        <f>IFERROR(__xludf.DUMMYFUNCTION("""COMPUTED_VALUE"""),"cuex")</f>
        <v>cuex</v>
      </c>
      <c r="B3085" s="3" t="str">
        <f>IFERROR(__xludf.DUMMYFUNCTION("""COMPUTED_VALUE"""),"ccap")</f>
        <v>ccap</v>
      </c>
      <c r="C3085" s="3" t="str">
        <f>IFERROR(__xludf.DUMMYFUNCTION("""COMPUTED_VALUE"""),"CUEX Capital")</f>
        <v>CUEX Capital</v>
      </c>
    </row>
    <row r="3086">
      <c r="A3086" s="3" t="str">
        <f>IFERROR(__xludf.DUMMYFUNCTION("""COMPUTED_VALUE"""),"cult-dao")</f>
        <v>cult-dao</v>
      </c>
      <c r="B3086" s="3" t="str">
        <f>IFERROR(__xludf.DUMMYFUNCTION("""COMPUTED_VALUE"""),"cult")</f>
        <v>cult</v>
      </c>
      <c r="C3086" s="3" t="str">
        <f>IFERROR(__xludf.DUMMYFUNCTION("""COMPUTED_VALUE"""),"Cult DAO")</f>
        <v>Cult DAO</v>
      </c>
    </row>
    <row r="3087">
      <c r="A3087" s="3" t="str">
        <f>IFERROR(__xludf.DUMMYFUNCTION("""COMPUTED_VALUE"""),"cultiplan")</f>
        <v>cultiplan</v>
      </c>
      <c r="B3087" s="3" t="str">
        <f>IFERROR(__xludf.DUMMYFUNCTION("""COMPUTED_VALUE"""),"ctpl")</f>
        <v>ctpl</v>
      </c>
      <c r="C3087" s="3" t="str">
        <f>IFERROR(__xludf.DUMMYFUNCTION("""COMPUTED_VALUE"""),"Cultiplan")</f>
        <v>Cultiplan</v>
      </c>
    </row>
    <row r="3088">
      <c r="A3088" s="3" t="str">
        <f>IFERROR(__xludf.DUMMYFUNCTION("""COMPUTED_VALUE"""),"cuminu")</f>
        <v>cuminu</v>
      </c>
      <c r="B3088" s="3" t="str">
        <f>IFERROR(__xludf.DUMMYFUNCTION("""COMPUTED_VALUE"""),"cuminu")</f>
        <v>cuminu</v>
      </c>
      <c r="C3088" s="3" t="str">
        <f>IFERROR(__xludf.DUMMYFUNCTION("""COMPUTED_VALUE"""),"Cuminu")</f>
        <v>Cuminu</v>
      </c>
    </row>
    <row r="3089">
      <c r="A3089" s="3" t="str">
        <f>IFERROR(__xludf.DUMMYFUNCTION("""COMPUTED_VALUE"""),"cumrocket")</f>
        <v>cumrocket</v>
      </c>
      <c r="B3089" s="3" t="str">
        <f>IFERROR(__xludf.DUMMYFUNCTION("""COMPUTED_VALUE"""),"cummies")</f>
        <v>cummies</v>
      </c>
      <c r="C3089" s="3" t="str">
        <f>IFERROR(__xludf.DUMMYFUNCTION("""COMPUTED_VALUE"""),"CumRocket")</f>
        <v>CumRocket</v>
      </c>
    </row>
    <row r="3090">
      <c r="A3090" s="3" t="str">
        <f>IFERROR(__xludf.DUMMYFUNCTION("""COMPUTED_VALUE"""),"cuprum-coin")</f>
        <v>cuprum-coin</v>
      </c>
      <c r="B3090" s="3" t="str">
        <f>IFERROR(__xludf.DUMMYFUNCTION("""COMPUTED_VALUE"""),"cuc")</f>
        <v>cuc</v>
      </c>
      <c r="C3090" s="3" t="str">
        <f>IFERROR(__xludf.DUMMYFUNCTION("""COMPUTED_VALUE"""),"Cuprum Coin")</f>
        <v>Cuprum Coin</v>
      </c>
    </row>
    <row r="3091">
      <c r="A3091" s="3" t="str">
        <f>IFERROR(__xludf.DUMMYFUNCTION("""COMPUTED_VALUE"""),"curate")</f>
        <v>curate</v>
      </c>
      <c r="B3091" s="3" t="str">
        <f>IFERROR(__xludf.DUMMYFUNCTION("""COMPUTED_VALUE"""),"xcur")</f>
        <v>xcur</v>
      </c>
      <c r="C3091" s="3" t="str">
        <f>IFERROR(__xludf.DUMMYFUNCTION("""COMPUTED_VALUE"""),"Curate")</f>
        <v>Curate</v>
      </c>
    </row>
    <row r="3092">
      <c r="A3092" s="3" t="str">
        <f>IFERROR(__xludf.DUMMYFUNCTION("""COMPUTED_VALUE"""),"cure-chain")</f>
        <v>cure-chain</v>
      </c>
      <c r="B3092" s="3" t="str">
        <f>IFERROR(__xludf.DUMMYFUNCTION("""COMPUTED_VALUE"""),"chain")</f>
        <v>chain</v>
      </c>
      <c r="C3092" s="3" t="str">
        <f>IFERROR(__xludf.DUMMYFUNCTION("""COMPUTED_VALUE"""),"CURE Chain")</f>
        <v>CURE Chain</v>
      </c>
    </row>
    <row r="3093">
      <c r="A3093" s="3" t="str">
        <f>IFERROR(__xludf.DUMMYFUNCTION("""COMPUTED_VALUE"""),"curecoin")</f>
        <v>curecoin</v>
      </c>
      <c r="B3093" s="3" t="str">
        <f>IFERROR(__xludf.DUMMYFUNCTION("""COMPUTED_VALUE"""),"cure")</f>
        <v>cure</v>
      </c>
      <c r="C3093" s="3" t="str">
        <f>IFERROR(__xludf.DUMMYFUNCTION("""COMPUTED_VALUE"""),"Curecoin")</f>
        <v>Curecoin</v>
      </c>
    </row>
    <row r="3094">
      <c r="A3094" s="3" t="str">
        <f>IFERROR(__xludf.DUMMYFUNCTION("""COMPUTED_VALUE"""),"cure-token-v2")</f>
        <v>cure-token-v2</v>
      </c>
      <c r="B3094" s="3" t="str">
        <f>IFERROR(__xludf.DUMMYFUNCTION("""COMPUTED_VALUE"""),"cure")</f>
        <v>cure</v>
      </c>
      <c r="C3094" s="3" t="str">
        <f>IFERROR(__xludf.DUMMYFUNCTION("""COMPUTED_VALUE"""),"CURE V2")</f>
        <v>CURE V2</v>
      </c>
    </row>
    <row r="3095">
      <c r="A3095" s="3" t="str">
        <f>IFERROR(__xludf.DUMMYFUNCTION("""COMPUTED_VALUE"""),"curio-governance")</f>
        <v>curio-governance</v>
      </c>
      <c r="B3095" s="3" t="str">
        <f>IFERROR(__xludf.DUMMYFUNCTION("""COMPUTED_VALUE"""),"cgt")</f>
        <v>cgt</v>
      </c>
      <c r="C3095" s="3" t="str">
        <f>IFERROR(__xludf.DUMMYFUNCTION("""COMPUTED_VALUE"""),"Curio Governance")</f>
        <v>Curio Governance</v>
      </c>
    </row>
    <row r="3096">
      <c r="A3096" s="3" t="str">
        <f>IFERROR(__xludf.DUMMYFUNCTION("""COMPUTED_VALUE"""),"curryswap")</f>
        <v>curryswap</v>
      </c>
      <c r="B3096" s="3" t="str">
        <f>IFERROR(__xludf.DUMMYFUNCTION("""COMPUTED_VALUE"""),"curry")</f>
        <v>curry</v>
      </c>
      <c r="C3096" s="3" t="str">
        <f>IFERROR(__xludf.DUMMYFUNCTION("""COMPUTED_VALUE"""),"CurrySwap")</f>
        <v>CurrySwap</v>
      </c>
    </row>
    <row r="3097">
      <c r="A3097" s="3" t="str">
        <f>IFERROR(__xludf.DUMMYFUNCTION("""COMPUTED_VALUE"""),"curve-dao-token")</f>
        <v>curve-dao-token</v>
      </c>
      <c r="B3097" s="3" t="str">
        <f>IFERROR(__xludf.DUMMYFUNCTION("""COMPUTED_VALUE"""),"crv")</f>
        <v>crv</v>
      </c>
      <c r="C3097" s="3" t="str">
        <f>IFERROR(__xludf.DUMMYFUNCTION("""COMPUTED_VALUE"""),"Curve DAO")</f>
        <v>Curve DAO</v>
      </c>
    </row>
    <row r="3098">
      <c r="A3098" s="3" t="str">
        <f>IFERROR(__xludf.DUMMYFUNCTION("""COMPUTED_VALUE"""),"curve-fi-amdai-amusdc-amusdt")</f>
        <v>curve-fi-amdai-amusdc-amusdt</v>
      </c>
      <c r="B3098" s="3" t="str">
        <f>IFERROR(__xludf.DUMMYFUNCTION("""COMPUTED_VALUE"""),"am3crv")</f>
        <v>am3crv</v>
      </c>
      <c r="C3098" s="3" t="str">
        <f>IFERROR(__xludf.DUMMYFUNCTION("""COMPUTED_VALUE"""),"Curve.fi amDAI/amUSDC/amUSDT")</f>
        <v>Curve.fi amDAI/amUSDC/amUSDT</v>
      </c>
    </row>
    <row r="3099">
      <c r="A3099" s="3" t="str">
        <f>IFERROR(__xludf.DUMMYFUNCTION("""COMPUTED_VALUE"""),"curve-fi-dai-usdc")</f>
        <v>curve-fi-dai-usdc</v>
      </c>
      <c r="B3099" s="3" t="str">
        <f>IFERROR(__xludf.DUMMYFUNCTION("""COMPUTED_VALUE"""),"dai+usdc")</f>
        <v>dai+usdc</v>
      </c>
      <c r="C3099" s="3" t="str">
        <f>IFERROR(__xludf.DUMMYFUNCTION("""COMPUTED_VALUE"""),"Curve.fi DAI/USDC")</f>
        <v>Curve.fi DAI/USDC</v>
      </c>
    </row>
    <row r="3100">
      <c r="A3100" s="3" t="str">
        <f>IFERROR(__xludf.DUMMYFUNCTION("""COMPUTED_VALUE"""),"curve-fi-frax-usdc")</f>
        <v>curve-fi-frax-usdc</v>
      </c>
      <c r="B3100" s="3" t="str">
        <f>IFERROR(__xludf.DUMMYFUNCTION("""COMPUTED_VALUE"""),"crvfrax")</f>
        <v>crvfrax</v>
      </c>
      <c r="C3100" s="3" t="str">
        <f>IFERROR(__xludf.DUMMYFUNCTION("""COMPUTED_VALUE"""),"Curve.fi FRAX/USDC")</f>
        <v>Curve.fi FRAX/USDC</v>
      </c>
    </row>
    <row r="3101">
      <c r="A3101" s="3" t="str">
        <f>IFERROR(__xludf.DUMMYFUNCTION("""COMPUTED_VALUE"""),"curve-fi-gdai-gusdc-gusdt")</f>
        <v>curve-fi-gdai-gusdc-gusdt</v>
      </c>
      <c r="B3101" s="3" t="str">
        <f>IFERROR(__xludf.DUMMYFUNCTION("""COMPUTED_VALUE"""),"g3crv")</f>
        <v>g3crv</v>
      </c>
      <c r="C3101" s="3" t="str">
        <f>IFERROR(__xludf.DUMMYFUNCTION("""COMPUTED_VALUE"""),"Curve.fi gDAI/gUSDC/gUSDT")</f>
        <v>Curve.fi gDAI/gUSDC/gUSDT</v>
      </c>
    </row>
    <row r="3102">
      <c r="A3102" s="3" t="str">
        <f>IFERROR(__xludf.DUMMYFUNCTION("""COMPUTED_VALUE"""),"curve-fi-renbtc-wbtc-sbtc")</f>
        <v>curve-fi-renbtc-wbtc-sbtc</v>
      </c>
      <c r="B3102" s="3" t="str">
        <f>IFERROR(__xludf.DUMMYFUNCTION("""COMPUTED_VALUE"""),"crvrenwsbtc")</f>
        <v>crvrenwsbtc</v>
      </c>
      <c r="C3102" s="3" t="str">
        <f>IFERROR(__xludf.DUMMYFUNCTION("""COMPUTED_VALUE"""),"Curve.fi renBTC/wBTC/sBTC")</f>
        <v>Curve.fi renBTC/wBTC/sBTC</v>
      </c>
    </row>
    <row r="3103">
      <c r="A3103" s="3" t="str">
        <f>IFERROR(__xludf.DUMMYFUNCTION("""COMPUTED_VALUE"""),"curve-fi-ydai-yusdc-yusdt-ytusd")</f>
        <v>curve-fi-ydai-yusdc-yusdt-ytusd</v>
      </c>
      <c r="B3103" s="3" t="str">
        <f>IFERROR(__xludf.DUMMYFUNCTION("""COMPUTED_VALUE"""),"ycurve")</f>
        <v>ycurve</v>
      </c>
      <c r="C3103" s="3" t="str">
        <f>IFERROR(__xludf.DUMMYFUNCTION("""COMPUTED_VALUE"""),"LP-yCurve")</f>
        <v>LP-yCurve</v>
      </c>
    </row>
    <row r="3104">
      <c r="A3104" s="3" t="str">
        <f>IFERROR(__xludf.DUMMYFUNCTION("""COMPUTED_VALUE"""),"curvehash")</f>
        <v>curvehash</v>
      </c>
      <c r="B3104" s="3" t="str">
        <f>IFERROR(__xludf.DUMMYFUNCTION("""COMPUTED_VALUE"""),"curve")</f>
        <v>curve</v>
      </c>
      <c r="C3104" s="3" t="str">
        <f>IFERROR(__xludf.DUMMYFUNCTION("""COMPUTED_VALUE"""),"CURVEHASH")</f>
        <v>CURVEHASH</v>
      </c>
    </row>
    <row r="3105">
      <c r="A3105" s="3" t="str">
        <f>IFERROR(__xludf.DUMMYFUNCTION("""COMPUTED_VALUE"""),"custodiy")</f>
        <v>custodiy</v>
      </c>
      <c r="B3105" s="3" t="str">
        <f>IFERROR(__xludf.DUMMYFUNCTION("""COMPUTED_VALUE"""),"cty")</f>
        <v>cty</v>
      </c>
      <c r="C3105" s="3" t="str">
        <f>IFERROR(__xludf.DUMMYFUNCTION("""COMPUTED_VALUE"""),"CUSTODIY")</f>
        <v>CUSTODIY</v>
      </c>
    </row>
    <row r="3106">
      <c r="A3106" s="3" t="str">
        <f>IFERROR(__xludf.DUMMYFUNCTION("""COMPUTED_VALUE"""),"cutcoin")</f>
        <v>cutcoin</v>
      </c>
      <c r="B3106" s="3" t="str">
        <f>IFERROR(__xludf.DUMMYFUNCTION("""COMPUTED_VALUE"""),"cut")</f>
        <v>cut</v>
      </c>
      <c r="C3106" s="3" t="str">
        <f>IFERROR(__xludf.DUMMYFUNCTION("""COMPUTED_VALUE"""),"CUTcoin")</f>
        <v>CUTcoin</v>
      </c>
    </row>
    <row r="3107">
      <c r="A3107" s="3" t="str">
        <f>IFERROR(__xludf.DUMMYFUNCTION("""COMPUTED_VALUE"""),"cvault-finance")</f>
        <v>cvault-finance</v>
      </c>
      <c r="B3107" s="3" t="str">
        <f>IFERROR(__xludf.DUMMYFUNCTION("""COMPUTED_VALUE"""),"core")</f>
        <v>core</v>
      </c>
      <c r="C3107" s="3" t="str">
        <f>IFERROR(__xludf.DUMMYFUNCTION("""COMPUTED_VALUE"""),"cVault.finance")</f>
        <v>cVault.finance</v>
      </c>
    </row>
    <row r="3108">
      <c r="A3108" s="3" t="str">
        <f>IFERROR(__xludf.DUMMYFUNCTION("""COMPUTED_VALUE"""),"cvnx")</f>
        <v>cvnx</v>
      </c>
      <c r="B3108" s="3" t="str">
        <f>IFERROR(__xludf.DUMMYFUNCTION("""COMPUTED_VALUE"""),"cvnx")</f>
        <v>cvnx</v>
      </c>
      <c r="C3108" s="3" t="str">
        <f>IFERROR(__xludf.DUMMYFUNCTION("""COMPUTED_VALUE"""),"CVNX")</f>
        <v>CVNX</v>
      </c>
    </row>
    <row r="3109">
      <c r="A3109" s="3" t="str">
        <f>IFERROR(__xludf.DUMMYFUNCTION("""COMPUTED_VALUE"""),"cvshots")</f>
        <v>cvshots</v>
      </c>
      <c r="B3109" s="3" t="str">
        <f>IFERROR(__xludf.DUMMYFUNCTION("""COMPUTED_VALUE"""),"cvshot")</f>
        <v>cvshot</v>
      </c>
      <c r="C3109" s="3" t="str">
        <f>IFERROR(__xludf.DUMMYFUNCTION("""COMPUTED_VALUE"""),"CVSHOTS")</f>
        <v>CVSHOTS</v>
      </c>
    </row>
    <row r="3110">
      <c r="A3110" s="3" t="str">
        <f>IFERROR(__xludf.DUMMYFUNCTION("""COMPUTED_VALUE"""),"cxn-network")</f>
        <v>cxn-network</v>
      </c>
      <c r="B3110" s="3" t="str">
        <f>IFERROR(__xludf.DUMMYFUNCTION("""COMPUTED_VALUE"""),"cxn")</f>
        <v>cxn</v>
      </c>
      <c r="C3110" s="3" t="str">
        <f>IFERROR(__xludf.DUMMYFUNCTION("""COMPUTED_VALUE"""),"CXN Network")</f>
        <v>CXN Network</v>
      </c>
    </row>
    <row r="3111">
      <c r="A3111" s="3" t="str">
        <f>IFERROR(__xludf.DUMMYFUNCTION("""COMPUTED_VALUE"""),"cyber-city")</f>
        <v>cyber-city</v>
      </c>
      <c r="B3111" s="3" t="str">
        <f>IFERROR(__xludf.DUMMYFUNCTION("""COMPUTED_VALUE"""),"cybr")</f>
        <v>cybr</v>
      </c>
      <c r="C3111" s="3" t="str">
        <f>IFERROR(__xludf.DUMMYFUNCTION("""COMPUTED_VALUE"""),"Cyber City")</f>
        <v>Cyber City</v>
      </c>
    </row>
    <row r="3112">
      <c r="A3112" s="3" t="str">
        <f>IFERROR(__xludf.DUMMYFUNCTION("""COMPUTED_VALUE"""),"cyberclassic")</f>
        <v>cyberclassic</v>
      </c>
      <c r="B3112" s="3" t="str">
        <f>IFERROR(__xludf.DUMMYFUNCTION("""COMPUTED_VALUE"""),"class")</f>
        <v>class</v>
      </c>
      <c r="C3112" s="3" t="str">
        <f>IFERROR(__xludf.DUMMYFUNCTION("""COMPUTED_VALUE"""),"Cyberclassic")</f>
        <v>Cyberclassic</v>
      </c>
    </row>
    <row r="3113">
      <c r="A3113" s="3" t="str">
        <f>IFERROR(__xludf.DUMMYFUNCTION("""COMPUTED_VALUE"""),"cyber-crystal")</f>
        <v>cyber-crystal</v>
      </c>
      <c r="B3113" s="3" t="str">
        <f>IFERROR(__xludf.DUMMYFUNCTION("""COMPUTED_VALUE"""),"crystal")</f>
        <v>crystal</v>
      </c>
      <c r="C3113" s="3" t="str">
        <f>IFERROR(__xludf.DUMMYFUNCTION("""COMPUTED_VALUE"""),"Cyber Crystal")</f>
        <v>Cyber Crystal</v>
      </c>
    </row>
    <row r="3114">
      <c r="A3114" s="3" t="str">
        <f>IFERROR(__xludf.DUMMYFUNCTION("""COMPUTED_VALUE"""),"cyberdoge")</f>
        <v>cyberdoge</v>
      </c>
      <c r="B3114" s="3" t="str">
        <f>IFERROR(__xludf.DUMMYFUNCTION("""COMPUTED_VALUE"""),"cybrrrdoge")</f>
        <v>cybrrrdoge</v>
      </c>
      <c r="C3114" s="3" t="str">
        <f>IFERROR(__xludf.DUMMYFUNCTION("""COMPUTED_VALUE"""),"CyberDoge")</f>
        <v>CyberDoge</v>
      </c>
    </row>
    <row r="3115">
      <c r="A3115" s="3" t="str">
        <f>IFERROR(__xludf.DUMMYFUNCTION("""COMPUTED_VALUE"""),"cyberdragon-gold")</f>
        <v>cyberdragon-gold</v>
      </c>
      <c r="B3115" s="3" t="str">
        <f>IFERROR(__xludf.DUMMYFUNCTION("""COMPUTED_VALUE"""),"gold")</f>
        <v>gold</v>
      </c>
      <c r="C3115" s="3" t="str">
        <f>IFERROR(__xludf.DUMMYFUNCTION("""COMPUTED_VALUE"""),"CyberDragon Gold")</f>
        <v>CyberDragon Gold</v>
      </c>
    </row>
    <row r="3116">
      <c r="A3116" s="3" t="str">
        <f>IFERROR(__xludf.DUMMYFUNCTION("""COMPUTED_VALUE"""),"cyberfi")</f>
        <v>cyberfi</v>
      </c>
      <c r="B3116" s="3" t="str">
        <f>IFERROR(__xludf.DUMMYFUNCTION("""COMPUTED_VALUE"""),"cfi")</f>
        <v>cfi</v>
      </c>
      <c r="C3116" s="3" t="str">
        <f>IFERROR(__xludf.DUMMYFUNCTION("""COMPUTED_VALUE"""),"CyberFi")</f>
        <v>CyberFi</v>
      </c>
    </row>
    <row r="3117">
      <c r="A3117" s="3" t="str">
        <f>IFERROR(__xludf.DUMMYFUNCTION("""COMPUTED_VALUE"""),"cyberfm")</f>
        <v>cyberfm</v>
      </c>
      <c r="B3117" s="3" t="str">
        <f>IFERROR(__xludf.DUMMYFUNCTION("""COMPUTED_VALUE"""),"cyfm")</f>
        <v>cyfm</v>
      </c>
      <c r="C3117" s="3" t="str">
        <f>IFERROR(__xludf.DUMMYFUNCTION("""COMPUTED_VALUE"""),"CyberFM")</f>
        <v>CyberFM</v>
      </c>
    </row>
    <row r="3118">
      <c r="A3118" s="3" t="str">
        <f>IFERROR(__xludf.DUMMYFUNCTION("""COMPUTED_VALUE"""),"cybermiles")</f>
        <v>cybermiles</v>
      </c>
      <c r="B3118" s="3" t="str">
        <f>IFERROR(__xludf.DUMMYFUNCTION("""COMPUTED_VALUE"""),"cmt")</f>
        <v>cmt</v>
      </c>
      <c r="C3118" s="3" t="str">
        <f>IFERROR(__xludf.DUMMYFUNCTION("""COMPUTED_VALUE"""),"CyberMiles")</f>
        <v>CyberMiles</v>
      </c>
    </row>
    <row r="3119">
      <c r="A3119" s="3" t="str">
        <f>IFERROR(__xludf.DUMMYFUNCTION("""COMPUTED_VALUE"""),"cyber-movie-chain")</f>
        <v>cyber-movie-chain</v>
      </c>
      <c r="B3119" s="3" t="str">
        <f>IFERROR(__xludf.DUMMYFUNCTION("""COMPUTED_VALUE"""),"cmct")</f>
        <v>cmct</v>
      </c>
      <c r="C3119" s="3" t="str">
        <f>IFERROR(__xludf.DUMMYFUNCTION("""COMPUTED_VALUE"""),"Cyber Movie Chain")</f>
        <v>Cyber Movie Chain</v>
      </c>
    </row>
    <row r="3120">
      <c r="A3120" s="3" t="str">
        <f>IFERROR(__xludf.DUMMYFUNCTION("""COMPUTED_VALUE"""),"cybermusic")</f>
        <v>cybermusic</v>
      </c>
      <c r="B3120" s="3" t="str">
        <f>IFERROR(__xludf.DUMMYFUNCTION("""COMPUTED_VALUE"""),"cymt")</f>
        <v>cymt</v>
      </c>
      <c r="C3120" s="3" t="str">
        <f>IFERROR(__xludf.DUMMYFUNCTION("""COMPUTED_VALUE"""),"CyberMusic")</f>
        <v>CyberMusic</v>
      </c>
    </row>
    <row r="3121">
      <c r="A3121" s="3" t="str">
        <f>IFERROR(__xludf.DUMMYFUNCTION("""COMPUTED_VALUE"""),"cyberpop-metaverse")</f>
        <v>cyberpop-metaverse</v>
      </c>
      <c r="B3121" s="3" t="str">
        <f>IFERROR(__xludf.DUMMYFUNCTION("""COMPUTED_VALUE"""),"cyt")</f>
        <v>cyt</v>
      </c>
      <c r="C3121" s="3" t="str">
        <f>IFERROR(__xludf.DUMMYFUNCTION("""COMPUTED_VALUE"""),"Cyberpop Metaverse")</f>
        <v>Cyberpop Metaverse</v>
      </c>
    </row>
    <row r="3122">
      <c r="A3122" s="3" t="str">
        <f>IFERROR(__xludf.DUMMYFUNCTION("""COMPUTED_VALUE"""),"cyber-soccer")</f>
        <v>cyber-soccer</v>
      </c>
      <c r="B3122" s="3" t="str">
        <f>IFERROR(__xludf.DUMMYFUNCTION("""COMPUTED_VALUE"""),"coca")</f>
        <v>coca</v>
      </c>
      <c r="C3122" s="3" t="str">
        <f>IFERROR(__xludf.DUMMYFUNCTION("""COMPUTED_VALUE"""),"CYBER SOCCER")</f>
        <v>CYBER SOCCER</v>
      </c>
    </row>
    <row r="3123">
      <c r="A3123" s="3" t="str">
        <f>IFERROR(__xludf.DUMMYFUNCTION("""COMPUTED_VALUE"""),"cybertronchain")</f>
        <v>cybertronchain</v>
      </c>
      <c r="B3123" s="3" t="str">
        <f>IFERROR(__xludf.DUMMYFUNCTION("""COMPUTED_VALUE"""),"ctc")</f>
        <v>ctc</v>
      </c>
      <c r="C3123" s="3" t="str">
        <f>IFERROR(__xludf.DUMMYFUNCTION("""COMPUTED_VALUE"""),"CyberTronchain")</f>
        <v>CyberTronchain</v>
      </c>
    </row>
    <row r="3124">
      <c r="A3124" s="3" t="str">
        <f>IFERROR(__xludf.DUMMYFUNCTION("""COMPUTED_VALUE"""),"cybervein")</f>
        <v>cybervein</v>
      </c>
      <c r="B3124" s="3" t="str">
        <f>IFERROR(__xludf.DUMMYFUNCTION("""COMPUTED_VALUE"""),"cvt")</f>
        <v>cvt</v>
      </c>
      <c r="C3124" s="3" t="str">
        <f>IFERROR(__xludf.DUMMYFUNCTION("""COMPUTED_VALUE"""),"CyberVein")</f>
        <v>CyberVein</v>
      </c>
    </row>
    <row r="3125">
      <c r="A3125" s="3" t="str">
        <f>IFERROR(__xludf.DUMMYFUNCTION("""COMPUTED_VALUE"""),"cybloc-battery-token")</f>
        <v>cybloc-battery-token</v>
      </c>
      <c r="B3125" s="3" t="str">
        <f>IFERROR(__xludf.DUMMYFUNCTION("""COMPUTED_VALUE"""),"cbt")</f>
        <v>cbt</v>
      </c>
      <c r="C3125" s="3" t="str">
        <f>IFERROR(__xludf.DUMMYFUNCTION("""COMPUTED_VALUE"""),"CyBall CyBloc Battery")</f>
        <v>CyBall CyBloc Battery</v>
      </c>
    </row>
    <row r="3126">
      <c r="A3126" s="3" t="str">
        <f>IFERROR(__xludf.DUMMYFUNCTION("""COMPUTED_VALUE"""),"cyborg-apes")</f>
        <v>cyborg-apes</v>
      </c>
      <c r="B3126" s="3" t="str">
        <f>IFERROR(__xludf.DUMMYFUNCTION("""COMPUTED_VALUE"""),"borg")</f>
        <v>borg</v>
      </c>
      <c r="C3126" s="3" t="str">
        <f>IFERROR(__xludf.DUMMYFUNCTION("""COMPUTED_VALUE"""),"Cyborg Apes")</f>
        <v>Cyborg Apes</v>
      </c>
    </row>
    <row r="3127">
      <c r="A3127" s="3" t="str">
        <f>IFERROR(__xludf.DUMMYFUNCTION("""COMPUTED_VALUE"""),"cycan-network")</f>
        <v>cycan-network</v>
      </c>
      <c r="B3127" s="3" t="str">
        <f>IFERROR(__xludf.DUMMYFUNCTION("""COMPUTED_VALUE"""),"cyn")</f>
        <v>cyn</v>
      </c>
      <c r="C3127" s="3" t="str">
        <f>IFERROR(__xludf.DUMMYFUNCTION("""COMPUTED_VALUE"""),"Cycan Network")</f>
        <v>Cycan Network</v>
      </c>
    </row>
    <row r="3128">
      <c r="A3128" s="3" t="str">
        <f>IFERROR(__xludf.DUMMYFUNCTION("""COMPUTED_VALUE"""),"cycle-token")</f>
        <v>cycle-token</v>
      </c>
      <c r="B3128" s="3" t="str">
        <f>IFERROR(__xludf.DUMMYFUNCTION("""COMPUTED_VALUE"""),"cycle")</f>
        <v>cycle</v>
      </c>
      <c r="C3128" s="3" t="str">
        <f>IFERROR(__xludf.DUMMYFUNCTION("""COMPUTED_VALUE"""),"Cycle")</f>
        <v>Cycle</v>
      </c>
    </row>
    <row r="3129">
      <c r="A3129" s="3" t="str">
        <f>IFERROR(__xludf.DUMMYFUNCTION("""COMPUTED_VALUE"""),"cyc-lock")</f>
        <v>cyc-lock</v>
      </c>
      <c r="B3129" s="3" t="str">
        <f>IFERROR(__xludf.DUMMYFUNCTION("""COMPUTED_VALUE"""),"cyc")</f>
        <v>cyc</v>
      </c>
      <c r="C3129" s="3" t="str">
        <f>IFERROR(__xludf.DUMMYFUNCTION("""COMPUTED_VALUE"""),"CYC'Lock")</f>
        <v>CYC'Lock</v>
      </c>
    </row>
    <row r="3130">
      <c r="A3130" s="3" t="str">
        <f>IFERROR(__xludf.DUMMYFUNCTION("""COMPUTED_VALUE"""),"cyclone-protocol")</f>
        <v>cyclone-protocol</v>
      </c>
      <c r="B3130" s="3" t="str">
        <f>IFERROR(__xludf.DUMMYFUNCTION("""COMPUTED_VALUE"""),"cyc")</f>
        <v>cyc</v>
      </c>
      <c r="C3130" s="3" t="str">
        <f>IFERROR(__xludf.DUMMYFUNCTION("""COMPUTED_VALUE"""),"Cyclone Protocol")</f>
        <v>Cyclone Protocol</v>
      </c>
    </row>
    <row r="3131">
      <c r="A3131" s="3" t="str">
        <f>IFERROR(__xludf.DUMMYFUNCTION("""COMPUTED_VALUE"""),"cyclops-treasure")</f>
        <v>cyclops-treasure</v>
      </c>
      <c r="B3131" s="3" t="str">
        <f>IFERROR(__xludf.DUMMYFUNCTION("""COMPUTED_VALUE"""),"cytr")</f>
        <v>cytr</v>
      </c>
      <c r="C3131" s="3" t="str">
        <f>IFERROR(__xludf.DUMMYFUNCTION("""COMPUTED_VALUE"""),"Cyclops Treasure")</f>
        <v>Cyclops Treasure</v>
      </c>
    </row>
    <row r="3132">
      <c r="A3132" s="3" t="str">
        <f>IFERROR(__xludf.DUMMYFUNCTION("""COMPUTED_VALUE"""),"cyclos")</f>
        <v>cyclos</v>
      </c>
      <c r="B3132" s="3" t="str">
        <f>IFERROR(__xludf.DUMMYFUNCTION("""COMPUTED_VALUE"""),"cys")</f>
        <v>cys</v>
      </c>
      <c r="C3132" s="3" t="str">
        <f>IFERROR(__xludf.DUMMYFUNCTION("""COMPUTED_VALUE"""),"Cykura")</f>
        <v>Cykura</v>
      </c>
    </row>
    <row r="3133">
      <c r="A3133" s="3" t="str">
        <f>IFERROR(__xludf.DUMMYFUNCTION("""COMPUTED_VALUE"""),"cydotori")</f>
        <v>cydotori</v>
      </c>
      <c r="B3133" s="3" t="str">
        <f>IFERROR(__xludf.DUMMYFUNCTION("""COMPUTED_VALUE"""),"dotr")</f>
        <v>dotr</v>
      </c>
      <c r="C3133" s="3" t="str">
        <f>IFERROR(__xludf.DUMMYFUNCTION("""COMPUTED_VALUE"""),"Cydotori")</f>
        <v>Cydotori</v>
      </c>
    </row>
    <row r="3134">
      <c r="A3134" s="3" t="str">
        <f>IFERROR(__xludf.DUMMYFUNCTION("""COMPUTED_VALUE"""),"cylum-finance")</f>
        <v>cylum-finance</v>
      </c>
      <c r="B3134" s="3" t="str">
        <f>IFERROR(__xludf.DUMMYFUNCTION("""COMPUTED_VALUE"""),"cym")</f>
        <v>cym</v>
      </c>
      <c r="C3134" s="3" t="str">
        <f>IFERROR(__xludf.DUMMYFUNCTION("""COMPUTED_VALUE"""),"Cylum Finance")</f>
        <v>Cylum Finance</v>
      </c>
    </row>
    <row r="3135">
      <c r="A3135" s="3" t="str">
        <f>IFERROR(__xludf.DUMMYFUNCTION("""COMPUTED_VALUE"""),"cyn-c")</f>
        <v>cyn-c</v>
      </c>
      <c r="B3135" s="3" t="str">
        <f>IFERROR(__xludf.DUMMYFUNCTION("""COMPUTED_VALUE"""),"cync")</f>
        <v>cync</v>
      </c>
      <c r="C3135" s="3" t="str">
        <f>IFERROR(__xludf.DUMMYFUNCTION("""COMPUTED_VALUE"""),"Cyn-C")</f>
        <v>Cyn-C</v>
      </c>
    </row>
    <row r="3136">
      <c r="A3136" s="3" t="str">
        <f>IFERROR(__xludf.DUMMYFUNCTION("""COMPUTED_VALUE"""),"cyop-protocol")</f>
        <v>cyop-protocol</v>
      </c>
      <c r="B3136" s="3" t="str">
        <f>IFERROR(__xludf.DUMMYFUNCTION("""COMPUTED_VALUE"""),"cyop")</f>
        <v>cyop</v>
      </c>
      <c r="C3136" s="3" t="str">
        <f>IFERROR(__xludf.DUMMYFUNCTION("""COMPUTED_VALUE"""),"CyOp Protocol")</f>
        <v>CyOp Protocol</v>
      </c>
    </row>
    <row r="3137">
      <c r="A3137" s="3" t="str">
        <f>IFERROR(__xludf.DUMMYFUNCTION("""COMPUTED_VALUE"""),"cypherdog-token")</f>
        <v>cypherdog-token</v>
      </c>
      <c r="B3137" s="3" t="str">
        <f>IFERROR(__xludf.DUMMYFUNCTION("""COMPUTED_VALUE"""),"cdog")</f>
        <v>cdog</v>
      </c>
      <c r="C3137" s="3" t="str">
        <f>IFERROR(__xludf.DUMMYFUNCTION("""COMPUTED_VALUE"""),"Cypherdog Token")</f>
        <v>Cypherdog Token</v>
      </c>
    </row>
    <row r="3138">
      <c r="A3138" s="3" t="str">
        <f>IFERROR(__xludf.DUMMYFUNCTION("""COMPUTED_VALUE"""),"cypherium")</f>
        <v>cypherium</v>
      </c>
      <c r="B3138" s="3" t="str">
        <f>IFERROR(__xludf.DUMMYFUNCTION("""COMPUTED_VALUE"""),"cph")</f>
        <v>cph</v>
      </c>
      <c r="C3138" s="3" t="str">
        <f>IFERROR(__xludf.DUMMYFUNCTION("""COMPUTED_VALUE"""),"Cypherium")</f>
        <v>Cypherium</v>
      </c>
    </row>
    <row r="3139">
      <c r="A3139" s="3" t="str">
        <f>IFERROR(__xludf.DUMMYFUNCTION("""COMPUTED_VALUE"""),"cyptobit-network")</f>
        <v>cyptobit-network</v>
      </c>
      <c r="B3139" s="3" t="str">
        <f>IFERROR(__xludf.DUMMYFUNCTION("""COMPUTED_VALUE"""),"cbi")</f>
        <v>cbi</v>
      </c>
      <c r="C3139" s="3" t="str">
        <f>IFERROR(__xludf.DUMMYFUNCTION("""COMPUTED_VALUE"""),"Cyptobit Network")</f>
        <v>Cyptobit Network</v>
      </c>
    </row>
    <row r="3140">
      <c r="A3140" s="3" t="str">
        <f>IFERROR(__xludf.DUMMYFUNCTION("""COMPUTED_VALUE"""),"cyrus-coin")</f>
        <v>cyrus-coin</v>
      </c>
      <c r="B3140" s="3" t="str">
        <f>IFERROR(__xludf.DUMMYFUNCTION("""COMPUTED_VALUE"""),"cyrus")</f>
        <v>cyrus</v>
      </c>
      <c r="C3140" s="3" t="str">
        <f>IFERROR(__xludf.DUMMYFUNCTION("""COMPUTED_VALUE"""),"Cyrus Coin")</f>
        <v>Cyrus Coin</v>
      </c>
    </row>
    <row r="3141">
      <c r="A3141" s="3" t="str">
        <f>IFERROR(__xludf.DUMMYFUNCTION("""COMPUTED_VALUE"""),"czbnb")</f>
        <v>czbnb</v>
      </c>
      <c r="B3141" s="3" t="str">
        <f>IFERROR(__xludf.DUMMYFUNCTION("""COMPUTED_VALUE"""),"czbnb")</f>
        <v>czbnb</v>
      </c>
      <c r="C3141" s="3" t="str">
        <f>IFERROR(__xludf.DUMMYFUNCTION("""COMPUTED_VALUE"""),"CZbnb")</f>
        <v>CZbnb</v>
      </c>
    </row>
    <row r="3142">
      <c r="A3142" s="3" t="str">
        <f>IFERROR(__xludf.DUMMYFUNCTION("""COMPUTED_VALUE"""),"czbomb")</f>
        <v>czbomb</v>
      </c>
      <c r="B3142" s="3" t="str">
        <f>IFERROR(__xludf.DUMMYFUNCTION("""COMPUTED_VALUE"""),"czbomb")</f>
        <v>czbomb</v>
      </c>
      <c r="C3142" s="3" t="str">
        <f>IFERROR(__xludf.DUMMYFUNCTION("""COMPUTED_VALUE"""),"CZbomb")</f>
        <v>CZbomb</v>
      </c>
    </row>
    <row r="3143">
      <c r="A3143" s="3" t="str">
        <f>IFERROR(__xludf.DUMMYFUNCTION("""COMPUTED_VALUE"""),"czbusd")</f>
        <v>czbusd</v>
      </c>
      <c r="B3143" s="3" t="str">
        <f>IFERROR(__xludf.DUMMYFUNCTION("""COMPUTED_VALUE"""),"czbusd")</f>
        <v>czbusd</v>
      </c>
      <c r="C3143" s="3" t="str">
        <f>IFERROR(__xludf.DUMMYFUNCTION("""COMPUTED_VALUE"""),"CZbusd")</f>
        <v>CZbusd</v>
      </c>
    </row>
    <row r="3144">
      <c r="A3144" s="3" t="str">
        <f>IFERROR(__xludf.DUMMYFUNCTION("""COMPUTED_VALUE"""),"czfarm")</f>
        <v>czfarm</v>
      </c>
      <c r="B3144" s="3" t="str">
        <f>IFERROR(__xludf.DUMMYFUNCTION("""COMPUTED_VALUE"""),"czf")</f>
        <v>czf</v>
      </c>
      <c r="C3144" s="3" t="str">
        <f>IFERROR(__xludf.DUMMYFUNCTION("""COMPUTED_VALUE"""),"CZFarm")</f>
        <v>CZFarm</v>
      </c>
    </row>
    <row r="3145">
      <c r="A3145" s="3" t="str">
        <f>IFERROR(__xludf.DUMMYFUNCTION("""COMPUTED_VALUE"""),"czshares")</f>
        <v>czshares</v>
      </c>
      <c r="B3145" s="3" t="str">
        <f>IFERROR(__xludf.DUMMYFUNCTION("""COMPUTED_VALUE"""),"czshares")</f>
        <v>czshares</v>
      </c>
      <c r="C3145" s="3" t="str">
        <f>IFERROR(__xludf.DUMMYFUNCTION("""COMPUTED_VALUE"""),"CZshares")</f>
        <v>CZshares</v>
      </c>
    </row>
    <row r="3146">
      <c r="A3146" s="3" t="str">
        <f>IFERROR(__xludf.DUMMYFUNCTION("""COMPUTED_VALUE"""),"czusd")</f>
        <v>czusd</v>
      </c>
      <c r="B3146" s="3" t="str">
        <f>IFERROR(__xludf.DUMMYFUNCTION("""COMPUTED_VALUE"""),"czusd")</f>
        <v>czusd</v>
      </c>
      <c r="C3146" s="3" t="str">
        <f>IFERROR(__xludf.DUMMYFUNCTION("""COMPUTED_VALUE"""),"CZUSD")</f>
        <v>CZUSD</v>
      </c>
    </row>
    <row r="3147">
      <c r="A3147" s="3" t="str">
        <f>IFERROR(__xludf.DUMMYFUNCTION("""COMPUTED_VALUE"""),"d3")</f>
        <v>d3</v>
      </c>
      <c r="B3147" s="3" t="str">
        <f>IFERROR(__xludf.DUMMYFUNCTION("""COMPUTED_VALUE"""),"defi")</f>
        <v>defi</v>
      </c>
      <c r="C3147" s="3" t="str">
        <f>IFERROR(__xludf.DUMMYFUNCTION("""COMPUTED_VALUE"""),"D3")</f>
        <v>D3</v>
      </c>
    </row>
    <row r="3148">
      <c r="A3148" s="3" t="str">
        <f>IFERROR(__xludf.DUMMYFUNCTION("""COMPUTED_VALUE"""),"dabb-doge")</f>
        <v>dabb-doge</v>
      </c>
      <c r="B3148" s="3" t="str">
        <f>IFERROR(__xludf.DUMMYFUNCTION("""COMPUTED_VALUE"""),"ddoge")</f>
        <v>ddoge</v>
      </c>
      <c r="C3148" s="3" t="str">
        <f>IFERROR(__xludf.DUMMYFUNCTION("""COMPUTED_VALUE"""),"Dabb Doge")</f>
        <v>Dabb Doge</v>
      </c>
    </row>
    <row r="3149">
      <c r="A3149" s="3" t="str">
        <f>IFERROR(__xludf.DUMMYFUNCTION("""COMPUTED_VALUE"""),"dab-coin")</f>
        <v>dab-coin</v>
      </c>
      <c r="B3149" s="3" t="str">
        <f>IFERROR(__xludf.DUMMYFUNCTION("""COMPUTED_VALUE"""),"dab")</f>
        <v>dab</v>
      </c>
      <c r="C3149" s="3" t="str">
        <f>IFERROR(__xludf.DUMMYFUNCTION("""COMPUTED_VALUE"""),"DAB Coin")</f>
        <v>DAB Coin</v>
      </c>
    </row>
    <row r="3150">
      <c r="A3150" s="3" t="str">
        <f>IFERROR(__xludf.DUMMYFUNCTION("""COMPUTED_VALUE"""),"dacc")</f>
        <v>dacc</v>
      </c>
      <c r="B3150" s="3" t="str">
        <f>IFERROR(__xludf.DUMMYFUNCTION("""COMPUTED_VALUE"""),"dacc")</f>
        <v>dacc</v>
      </c>
      <c r="C3150" s="3" t="str">
        <f>IFERROR(__xludf.DUMMYFUNCTION("""COMPUTED_VALUE"""),"DACC")</f>
        <v>DACC</v>
      </c>
    </row>
    <row r="3151">
      <c r="A3151" s="3" t="str">
        <f>IFERROR(__xludf.DUMMYFUNCTION("""COMPUTED_VALUE"""),"dachshund")</f>
        <v>dachshund</v>
      </c>
      <c r="B3151" s="3" t="str">
        <f>IFERROR(__xludf.DUMMYFUNCTION("""COMPUTED_VALUE"""),"dsd")</f>
        <v>dsd</v>
      </c>
      <c r="C3151" s="3" t="str">
        <f>IFERROR(__xludf.DUMMYFUNCTION("""COMPUTED_VALUE"""),"Dachshund")</f>
        <v>Dachshund</v>
      </c>
    </row>
    <row r="3152">
      <c r="A3152" s="3" t="str">
        <f>IFERROR(__xludf.DUMMYFUNCTION("""COMPUTED_VALUE"""),"dacxi")</f>
        <v>dacxi</v>
      </c>
      <c r="B3152" s="3" t="str">
        <f>IFERROR(__xludf.DUMMYFUNCTION("""COMPUTED_VALUE"""),"dacxi")</f>
        <v>dacxi</v>
      </c>
      <c r="C3152" s="3" t="str">
        <f>IFERROR(__xludf.DUMMYFUNCTION("""COMPUTED_VALUE"""),"Dacxi")</f>
        <v>Dacxi</v>
      </c>
    </row>
    <row r="3153">
      <c r="A3153" s="3" t="str">
        <f>IFERROR(__xludf.DUMMYFUNCTION("""COMPUTED_VALUE"""),"daddybabydoge")</f>
        <v>daddybabydoge</v>
      </c>
      <c r="B3153" s="3" t="str">
        <f>IFERROR(__xludf.DUMMYFUNCTION("""COMPUTED_VALUE"""),"dbdoge")</f>
        <v>dbdoge</v>
      </c>
      <c r="C3153" s="3" t="str">
        <f>IFERROR(__xludf.DUMMYFUNCTION("""COMPUTED_VALUE"""),"DaddyBabyDoge")</f>
        <v>DaddyBabyDoge</v>
      </c>
    </row>
    <row r="3154">
      <c r="A3154" s="3" t="str">
        <f>IFERROR(__xludf.DUMMYFUNCTION("""COMPUTED_VALUE"""),"daddybezos")</f>
        <v>daddybezos</v>
      </c>
      <c r="B3154" s="3" t="str">
        <f>IFERROR(__xludf.DUMMYFUNCTION("""COMPUTED_VALUE"""),"djbz")</f>
        <v>djbz</v>
      </c>
      <c r="C3154" s="3" t="str">
        <f>IFERROR(__xludf.DUMMYFUNCTION("""COMPUTED_VALUE"""),"DaddyBezos")</f>
        <v>DaddyBezos</v>
      </c>
    </row>
    <row r="3155">
      <c r="A3155" s="3" t="str">
        <f>IFERROR(__xludf.DUMMYFUNCTION("""COMPUTED_VALUE"""),"daddy-doge")</f>
        <v>daddy-doge</v>
      </c>
      <c r="B3155" s="3" t="str">
        <f>IFERROR(__xludf.DUMMYFUNCTION("""COMPUTED_VALUE"""),"daddydoge")</f>
        <v>daddydoge</v>
      </c>
      <c r="C3155" s="3" t="str">
        <f>IFERROR(__xludf.DUMMYFUNCTION("""COMPUTED_VALUE"""),"Daddy Doge")</f>
        <v>Daddy Doge</v>
      </c>
    </row>
    <row r="3156">
      <c r="A3156" s="3" t="str">
        <f>IFERROR(__xludf.DUMMYFUNCTION("""COMPUTED_VALUE"""),"daddyusdt")</f>
        <v>daddyusdt</v>
      </c>
      <c r="B3156" s="3" t="str">
        <f>IFERROR(__xludf.DUMMYFUNCTION("""COMPUTED_VALUE"""),"daddyusdt")</f>
        <v>daddyusdt</v>
      </c>
      <c r="C3156" s="3" t="str">
        <f>IFERROR(__xludf.DUMMYFUNCTION("""COMPUTED_VALUE"""),"DaddyUSDT")</f>
        <v>DaddyUSDT</v>
      </c>
    </row>
    <row r="3157">
      <c r="A3157" s="3" t="str">
        <f>IFERROR(__xludf.DUMMYFUNCTION("""COMPUTED_VALUE"""),"daefrom")</f>
        <v>daefrom</v>
      </c>
      <c r="B3157" s="3" t="str">
        <f>IFERROR(__xludf.DUMMYFUNCTION("""COMPUTED_VALUE"""),"dae")</f>
        <v>dae</v>
      </c>
      <c r="C3157" s="3" t="str">
        <f>IFERROR(__xludf.DUMMYFUNCTION("""COMPUTED_VALUE"""),"Daefrom")</f>
        <v>Daefrom</v>
      </c>
    </row>
    <row r="3158">
      <c r="A3158" s="3" t="str">
        <f>IFERROR(__xludf.DUMMYFUNCTION("""COMPUTED_VALUE"""),"daex")</f>
        <v>daex</v>
      </c>
      <c r="B3158" s="3" t="str">
        <f>IFERROR(__xludf.DUMMYFUNCTION("""COMPUTED_VALUE"""),"dax")</f>
        <v>dax</v>
      </c>
      <c r="C3158" s="3" t="str">
        <f>IFERROR(__xludf.DUMMYFUNCTION("""COMPUTED_VALUE"""),"DAEX")</f>
        <v>DAEX</v>
      </c>
    </row>
    <row r="3159">
      <c r="A3159" s="3" t="str">
        <f>IFERROR(__xludf.DUMMYFUNCTION("""COMPUTED_VALUE"""),"dafin")</f>
        <v>dafin</v>
      </c>
      <c r="B3159" s="3" t="str">
        <f>IFERROR(__xludf.DUMMYFUNCTION("""COMPUTED_VALUE"""),"daf")</f>
        <v>daf</v>
      </c>
      <c r="C3159" s="3" t="str">
        <f>IFERROR(__xludf.DUMMYFUNCTION("""COMPUTED_VALUE"""),"DaFIN")</f>
        <v>DaFIN</v>
      </c>
    </row>
    <row r="3160">
      <c r="A3160" s="3" t="str">
        <f>IFERROR(__xludf.DUMMYFUNCTION("""COMPUTED_VALUE"""),"dafi-protocol")</f>
        <v>dafi-protocol</v>
      </c>
      <c r="B3160" s="3" t="str">
        <f>IFERROR(__xludf.DUMMYFUNCTION("""COMPUTED_VALUE"""),"dafi")</f>
        <v>dafi</v>
      </c>
      <c r="C3160" s="3" t="str">
        <f>IFERROR(__xludf.DUMMYFUNCTION("""COMPUTED_VALUE"""),"Dafi Protocol")</f>
        <v>Dafi Protocol</v>
      </c>
    </row>
    <row r="3161">
      <c r="A3161" s="3" t="str">
        <f>IFERROR(__xludf.DUMMYFUNCTION("""COMPUTED_VALUE"""),"dagger")</f>
        <v>dagger</v>
      </c>
      <c r="B3161" s="3" t="str">
        <f>IFERROR(__xludf.DUMMYFUNCTION("""COMPUTED_VALUE"""),"xdag")</f>
        <v>xdag</v>
      </c>
      <c r="C3161" s="3" t="str">
        <f>IFERROR(__xludf.DUMMYFUNCTION("""COMPUTED_VALUE"""),"Dagger")</f>
        <v>Dagger</v>
      </c>
    </row>
    <row r="3162">
      <c r="A3162" s="3" t="str">
        <f>IFERROR(__xludf.DUMMYFUNCTION("""COMPUTED_VALUE"""),"dai")</f>
        <v>dai</v>
      </c>
      <c r="B3162" s="3" t="str">
        <f>IFERROR(__xludf.DUMMYFUNCTION("""COMPUTED_VALUE"""),"dai")</f>
        <v>dai</v>
      </c>
      <c r="C3162" s="3" t="str">
        <f>IFERROR(__xludf.DUMMYFUNCTION("""COMPUTED_VALUE"""),"Dai")</f>
        <v>Dai</v>
      </c>
    </row>
    <row r="3163">
      <c r="A3163" s="3" t="str">
        <f>IFERROR(__xludf.DUMMYFUNCTION("""COMPUTED_VALUE"""),"daikicoin")</f>
        <v>daikicoin</v>
      </c>
      <c r="B3163" s="3" t="str">
        <f>IFERROR(__xludf.DUMMYFUNCTION("""COMPUTED_VALUE"""),"dic")</f>
        <v>dic</v>
      </c>
      <c r="C3163" s="3" t="str">
        <f>IFERROR(__xludf.DUMMYFUNCTION("""COMPUTED_VALUE"""),"Daikicoin")</f>
        <v>Daikicoin</v>
      </c>
    </row>
    <row r="3164">
      <c r="A3164" s="3" t="str">
        <f>IFERROR(__xludf.DUMMYFUNCTION("""COMPUTED_VALUE"""),"daikokuten-sama")</f>
        <v>daikokuten-sama</v>
      </c>
      <c r="B3164" s="3" t="str">
        <f>IFERROR(__xludf.DUMMYFUNCTION("""COMPUTED_VALUE"""),"dkks")</f>
        <v>dkks</v>
      </c>
      <c r="C3164" s="3" t="str">
        <f>IFERROR(__xludf.DUMMYFUNCTION("""COMPUTED_VALUE"""),"Daikokuten Sama")</f>
        <v>Daikokuten Sama</v>
      </c>
    </row>
    <row r="3165">
      <c r="A3165" s="3" t="str">
        <f>IFERROR(__xludf.DUMMYFUNCTION("""COMPUTED_VALUE"""),"dain-token")</f>
        <v>dain-token</v>
      </c>
      <c r="B3165" s="3" t="str">
        <f>IFERROR(__xludf.DUMMYFUNCTION("""COMPUTED_VALUE"""),"dain")</f>
        <v>dain</v>
      </c>
      <c r="C3165" s="3" t="str">
        <f>IFERROR(__xludf.DUMMYFUNCTION("""COMPUTED_VALUE"""),"Dain")</f>
        <v>Dain</v>
      </c>
    </row>
    <row r="3166">
      <c r="A3166" s="3" t="str">
        <f>IFERROR(__xludf.DUMMYFUNCTION("""COMPUTED_VALUE"""),"dairy-money-milk")</f>
        <v>dairy-money-milk</v>
      </c>
      <c r="B3166" s="3" t="str">
        <f>IFERROR(__xludf.DUMMYFUNCTION("""COMPUTED_VALUE"""),"milk")</f>
        <v>milk</v>
      </c>
      <c r="C3166" s="3" t="str">
        <f>IFERROR(__xludf.DUMMYFUNCTION("""COMPUTED_VALUE"""),"Dairy.Money MILK")</f>
        <v>Dairy.Money MILK</v>
      </c>
    </row>
    <row r="3167">
      <c r="A3167" s="3" t="str">
        <f>IFERROR(__xludf.DUMMYFUNCTION("""COMPUTED_VALUE"""),"daisy")</f>
        <v>daisy</v>
      </c>
      <c r="B3167" s="3" t="str">
        <f>IFERROR(__xludf.DUMMYFUNCTION("""COMPUTED_VALUE"""),"daisy")</f>
        <v>daisy</v>
      </c>
      <c r="C3167" s="3" t="str">
        <f>IFERROR(__xludf.DUMMYFUNCTION("""COMPUTED_VALUE"""),"Daisy Protocol")</f>
        <v>Daisy Protocol</v>
      </c>
    </row>
    <row r="3168">
      <c r="A3168" s="3" t="str">
        <f>IFERROR(__xludf.DUMMYFUNCTION("""COMPUTED_VALUE"""),"dalecoin")</f>
        <v>dalecoin</v>
      </c>
      <c r="B3168" s="3" t="str">
        <f>IFERROR(__xludf.DUMMYFUNCTION("""COMPUTED_VALUE"""),"dalc")</f>
        <v>dalc</v>
      </c>
      <c r="C3168" s="3" t="str">
        <f>IFERROR(__xludf.DUMMYFUNCTION("""COMPUTED_VALUE"""),"Dalecoin")</f>
        <v>Dalecoin</v>
      </c>
    </row>
    <row r="3169">
      <c r="A3169" s="3" t="str">
        <f>IFERROR(__xludf.DUMMYFUNCTION("""COMPUTED_VALUE"""),"dali")</f>
        <v>dali</v>
      </c>
      <c r="B3169" s="3" t="str">
        <f>IFERROR(__xludf.DUMMYFUNCTION("""COMPUTED_VALUE"""),"dali")</f>
        <v>dali</v>
      </c>
      <c r="C3169" s="3" t="str">
        <f>IFERROR(__xludf.DUMMYFUNCTION("""COMPUTED_VALUE"""),"DALI")</f>
        <v>DALI</v>
      </c>
    </row>
    <row r="3170">
      <c r="A3170" s="3" t="str">
        <f>IFERROR(__xludf.DUMMYFUNCTION("""COMPUTED_VALUE"""),"dama")</f>
        <v>dama</v>
      </c>
      <c r="B3170" s="3" t="str">
        <f>IFERROR(__xludf.DUMMYFUNCTION("""COMPUTED_VALUE"""),"dama")</f>
        <v>dama</v>
      </c>
      <c r="C3170" s="3" t="str">
        <f>IFERROR(__xludf.DUMMYFUNCTION("""COMPUTED_VALUE"""),"DAMA")</f>
        <v>DAMA</v>
      </c>
    </row>
    <row r="3171">
      <c r="A3171" s="3" t="str">
        <f>IFERROR(__xludf.DUMMYFUNCTION("""COMPUTED_VALUE"""),"damm")</f>
        <v>damm</v>
      </c>
      <c r="B3171" s="3" t="str">
        <f>IFERROR(__xludf.DUMMYFUNCTION("""COMPUTED_VALUE"""),"damm")</f>
        <v>damm</v>
      </c>
      <c r="C3171" s="3" t="str">
        <f>IFERROR(__xludf.DUMMYFUNCTION("""COMPUTED_VALUE"""),"dAMM")</f>
        <v>dAMM</v>
      </c>
    </row>
    <row r="3172">
      <c r="A3172" s="3" t="str">
        <f>IFERROR(__xludf.DUMMYFUNCTION("""COMPUTED_VALUE"""),"danat-coin")</f>
        <v>danat-coin</v>
      </c>
      <c r="B3172" s="3" t="str">
        <f>IFERROR(__xludf.DUMMYFUNCTION("""COMPUTED_VALUE"""),"dnc")</f>
        <v>dnc</v>
      </c>
      <c r="C3172" s="3" t="str">
        <f>IFERROR(__xludf.DUMMYFUNCTION("""COMPUTED_VALUE"""),"Danat Coin")</f>
        <v>Danat Coin</v>
      </c>
    </row>
    <row r="3173">
      <c r="A3173" s="3" t="str">
        <f>IFERROR(__xludf.DUMMYFUNCTION("""COMPUTED_VALUE"""),"dandy")</f>
        <v>dandy</v>
      </c>
      <c r="B3173" s="3" t="str">
        <f>IFERROR(__xludf.DUMMYFUNCTION("""COMPUTED_VALUE"""),"dandy")</f>
        <v>dandy</v>
      </c>
      <c r="C3173" s="3" t="str">
        <f>IFERROR(__xludf.DUMMYFUNCTION("""COMPUTED_VALUE"""),"Dandy Dego")</f>
        <v>Dandy Dego</v>
      </c>
    </row>
    <row r="3174">
      <c r="A3174" s="3" t="str">
        <f>IFERROR(__xludf.DUMMYFUNCTION("""COMPUTED_VALUE"""),"dangermoon")</f>
        <v>dangermoon</v>
      </c>
      <c r="B3174" s="3" t="str">
        <f>IFERROR(__xludf.DUMMYFUNCTION("""COMPUTED_VALUE"""),"dangermoon")</f>
        <v>dangermoon</v>
      </c>
      <c r="C3174" s="3" t="str">
        <f>IFERROR(__xludf.DUMMYFUNCTION("""COMPUTED_VALUE"""),"DangerMoon")</f>
        <v>DangerMoon</v>
      </c>
    </row>
    <row r="3175">
      <c r="A3175" s="3" t="str">
        <f>IFERROR(__xludf.DUMMYFUNCTION("""COMPUTED_VALUE"""),"dante-finance")</f>
        <v>dante-finance</v>
      </c>
      <c r="B3175" s="3" t="str">
        <f>IFERROR(__xludf.DUMMYFUNCTION("""COMPUTED_VALUE"""),"dante")</f>
        <v>dante</v>
      </c>
      <c r="C3175" s="3" t="str">
        <f>IFERROR(__xludf.DUMMYFUNCTION("""COMPUTED_VALUE"""),"Dante Finance")</f>
        <v>Dante Finance</v>
      </c>
    </row>
    <row r="3176">
      <c r="A3176" s="3" t="str">
        <f>IFERROR(__xludf.DUMMYFUNCTION("""COMPUTED_VALUE"""),"dao1")</f>
        <v>dao1</v>
      </c>
      <c r="B3176" s="3" t="str">
        <f>IFERROR(__xludf.DUMMYFUNCTION("""COMPUTED_VALUE"""),"dao1")</f>
        <v>dao1</v>
      </c>
      <c r="C3176" s="3" t="str">
        <f>IFERROR(__xludf.DUMMYFUNCTION("""COMPUTED_VALUE"""),"DAO1")</f>
        <v>DAO1</v>
      </c>
    </row>
    <row r="3177">
      <c r="A3177" s="3" t="str">
        <f>IFERROR(__xludf.DUMMYFUNCTION("""COMPUTED_VALUE"""),"dao-farmer-dfg")</f>
        <v>dao-farmer-dfg</v>
      </c>
      <c r="B3177" s="3" t="str">
        <f>IFERROR(__xludf.DUMMYFUNCTION("""COMPUTED_VALUE"""),"dfg")</f>
        <v>dfg</v>
      </c>
      <c r="C3177" s="3" t="str">
        <f>IFERROR(__xludf.DUMMYFUNCTION("""COMPUTED_VALUE"""),"DAO Farmer DFG")</f>
        <v>DAO Farmer DFG</v>
      </c>
    </row>
    <row r="3178">
      <c r="A3178" s="3" t="str">
        <f>IFERROR(__xludf.DUMMYFUNCTION("""COMPUTED_VALUE"""),"dao-farmer-dfm")</f>
        <v>dao-farmer-dfm</v>
      </c>
      <c r="B3178" s="3" t="str">
        <f>IFERROR(__xludf.DUMMYFUNCTION("""COMPUTED_VALUE"""),"dfm")</f>
        <v>dfm</v>
      </c>
      <c r="C3178" s="3" t="str">
        <f>IFERROR(__xludf.DUMMYFUNCTION("""COMPUTED_VALUE"""),"DAO Farmer DFM")</f>
        <v>DAO Farmer DFM</v>
      </c>
    </row>
    <row r="3179">
      <c r="A3179" s="3" t="str">
        <f>IFERROR(__xludf.DUMMYFUNCTION("""COMPUTED_VALUE"""),"dao-farmer-dfw")</f>
        <v>dao-farmer-dfw</v>
      </c>
      <c r="B3179" s="3" t="str">
        <f>IFERROR(__xludf.DUMMYFUNCTION("""COMPUTED_VALUE"""),"dfw")</f>
        <v>dfw</v>
      </c>
      <c r="C3179" s="3" t="str">
        <f>IFERROR(__xludf.DUMMYFUNCTION("""COMPUTED_VALUE"""),"DAO Farmer DFW")</f>
        <v>DAO Farmer DFW</v>
      </c>
    </row>
    <row r="3180">
      <c r="A3180" s="3" t="str">
        <f>IFERROR(__xludf.DUMMYFUNCTION("""COMPUTED_VALUE"""),"daohaus")</f>
        <v>daohaus</v>
      </c>
      <c r="B3180" s="3" t="str">
        <f>IFERROR(__xludf.DUMMYFUNCTION("""COMPUTED_VALUE"""),"haus")</f>
        <v>haus</v>
      </c>
      <c r="C3180" s="3" t="str">
        <f>IFERROR(__xludf.DUMMYFUNCTION("""COMPUTED_VALUE"""),"DAOhaus")</f>
        <v>DAOhaus</v>
      </c>
    </row>
    <row r="3181">
      <c r="A3181" s="3" t="str">
        <f>IFERROR(__xludf.DUMMYFUNCTION("""COMPUTED_VALUE"""),"dao-invest")</f>
        <v>dao-invest</v>
      </c>
      <c r="B3181" s="3" t="str">
        <f>IFERROR(__xludf.DUMMYFUNCTION("""COMPUTED_VALUE"""),"vest")</f>
        <v>vest</v>
      </c>
      <c r="C3181" s="3" t="str">
        <f>IFERROR(__xludf.DUMMYFUNCTION("""COMPUTED_VALUE"""),"DAO Invest")</f>
        <v>DAO Invest</v>
      </c>
    </row>
    <row r="3182">
      <c r="A3182" s="3" t="str">
        <f>IFERROR(__xludf.DUMMYFUNCTION("""COMPUTED_VALUE"""),"daoland")</f>
        <v>daoland</v>
      </c>
      <c r="B3182" s="3" t="str">
        <f>IFERROR(__xludf.DUMMYFUNCTION("""COMPUTED_VALUE"""),"dld")</f>
        <v>dld</v>
      </c>
      <c r="C3182" s="3" t="str">
        <f>IFERROR(__xludf.DUMMYFUNCTION("""COMPUTED_VALUE"""),"Daoland")</f>
        <v>Daoland</v>
      </c>
    </row>
    <row r="3183">
      <c r="A3183" s="3" t="str">
        <f>IFERROR(__xludf.DUMMYFUNCTION("""COMPUTED_VALUE"""),"daolaunch")</f>
        <v>daolaunch</v>
      </c>
      <c r="B3183" s="3" t="str">
        <f>IFERROR(__xludf.DUMMYFUNCTION("""COMPUTED_VALUE"""),"dal")</f>
        <v>dal</v>
      </c>
      <c r="C3183" s="3" t="str">
        <f>IFERROR(__xludf.DUMMYFUNCTION("""COMPUTED_VALUE"""),"DAOLaunch")</f>
        <v>DAOLaunch</v>
      </c>
    </row>
    <row r="3184">
      <c r="A3184" s="3" t="str">
        <f>IFERROR(__xludf.DUMMYFUNCTION("""COMPUTED_VALUE"""),"dao-maker")</f>
        <v>dao-maker</v>
      </c>
      <c r="B3184" s="3" t="str">
        <f>IFERROR(__xludf.DUMMYFUNCTION("""COMPUTED_VALUE"""),"dao")</f>
        <v>dao</v>
      </c>
      <c r="C3184" s="3" t="str">
        <f>IFERROR(__xludf.DUMMYFUNCTION("""COMPUTED_VALUE"""),"DAO Maker")</f>
        <v>DAO Maker</v>
      </c>
    </row>
    <row r="3185">
      <c r="A3185" s="3" t="str">
        <f>IFERROR(__xludf.DUMMYFUNCTION("""COMPUTED_VALUE"""),"daosol")</f>
        <v>daosol</v>
      </c>
      <c r="B3185" s="3" t="str">
        <f>IFERROR(__xludf.DUMMYFUNCTION("""COMPUTED_VALUE"""),"daosol")</f>
        <v>daosol</v>
      </c>
      <c r="C3185" s="3" t="str">
        <f>IFERROR(__xludf.DUMMYFUNCTION("""COMPUTED_VALUE"""),"daoSOL")</f>
        <v>daoSOL</v>
      </c>
    </row>
    <row r="3186">
      <c r="A3186" s="3" t="str">
        <f>IFERROR(__xludf.DUMMYFUNCTION("""COMPUTED_VALUE"""),"daosquare")</f>
        <v>daosquare</v>
      </c>
      <c r="B3186" s="3" t="str">
        <f>IFERROR(__xludf.DUMMYFUNCTION("""COMPUTED_VALUE"""),"rice")</f>
        <v>rice</v>
      </c>
      <c r="C3186" s="3" t="str">
        <f>IFERROR(__xludf.DUMMYFUNCTION("""COMPUTED_VALUE"""),"DAOSquare")</f>
        <v>DAOSquare</v>
      </c>
    </row>
    <row r="3187">
      <c r="A3187" s="3" t="str">
        <f>IFERROR(__xludf.DUMMYFUNCTION("""COMPUTED_VALUE"""),"daostack")</f>
        <v>daostack</v>
      </c>
      <c r="B3187" s="3" t="str">
        <f>IFERROR(__xludf.DUMMYFUNCTION("""COMPUTED_VALUE"""),"gen")</f>
        <v>gen</v>
      </c>
      <c r="C3187" s="3" t="str">
        <f>IFERROR(__xludf.DUMMYFUNCTION("""COMPUTED_VALUE"""),"DAOstack")</f>
        <v>DAOstack</v>
      </c>
    </row>
    <row r="3188">
      <c r="A3188" s="3" t="str">
        <f>IFERROR(__xludf.DUMMYFUNCTION("""COMPUTED_VALUE"""),"daovc")</f>
        <v>daovc</v>
      </c>
      <c r="B3188" s="3" t="str">
        <f>IFERROR(__xludf.DUMMYFUNCTION("""COMPUTED_VALUE"""),"daovc")</f>
        <v>daovc</v>
      </c>
      <c r="C3188" s="3" t="str">
        <f>IFERROR(__xludf.DUMMYFUNCTION("""COMPUTED_VALUE"""),"DAOvc")</f>
        <v>DAOvc</v>
      </c>
    </row>
    <row r="3189">
      <c r="A3189" s="3" t="str">
        <f>IFERROR(__xludf.DUMMYFUNCTION("""COMPUTED_VALUE"""),"daoventures")</f>
        <v>daoventures</v>
      </c>
      <c r="B3189" s="3" t="str">
        <f>IFERROR(__xludf.DUMMYFUNCTION("""COMPUTED_VALUE"""),"dvd")</f>
        <v>dvd</v>
      </c>
      <c r="C3189" s="3" t="str">
        <f>IFERROR(__xludf.DUMMYFUNCTION("""COMPUTED_VALUE"""),"DAOventures")</f>
        <v>DAOventures</v>
      </c>
    </row>
    <row r="3190">
      <c r="A3190" s="3" t="str">
        <f>IFERROR(__xludf.DUMMYFUNCTION("""COMPUTED_VALUE"""),"daoverse")</f>
        <v>daoverse</v>
      </c>
      <c r="B3190" s="3" t="str">
        <f>IFERROR(__xludf.DUMMYFUNCTION("""COMPUTED_VALUE"""),"dvrs")</f>
        <v>dvrs</v>
      </c>
      <c r="C3190" s="3" t="str">
        <f>IFERROR(__xludf.DUMMYFUNCTION("""COMPUTED_VALUE"""),"DaoVerse")</f>
        <v>DaoVerse</v>
      </c>
    </row>
    <row r="3191">
      <c r="A3191" s="3" t="str">
        <f>IFERROR(__xludf.DUMMYFUNCTION("""COMPUTED_VALUE"""),"dapp")</f>
        <v>dapp</v>
      </c>
      <c r="B3191" s="3" t="str">
        <f>IFERROR(__xludf.DUMMYFUNCTION("""COMPUTED_VALUE"""),"dapp")</f>
        <v>dapp</v>
      </c>
      <c r="C3191" s="3" t="str">
        <f>IFERROR(__xludf.DUMMYFUNCTION("""COMPUTED_VALUE"""),"LiquidApps")</f>
        <v>LiquidApps</v>
      </c>
    </row>
    <row r="3192">
      <c r="A3192" s="3" t="str">
        <f>IFERROR(__xludf.DUMMYFUNCTION("""COMPUTED_VALUE"""),"dapp-com")</f>
        <v>dapp-com</v>
      </c>
      <c r="B3192" s="3" t="str">
        <f>IFERROR(__xludf.DUMMYFUNCTION("""COMPUTED_VALUE"""),"dappt")</f>
        <v>dappt</v>
      </c>
      <c r="C3192" s="4" t="str">
        <f>IFERROR(__xludf.DUMMYFUNCTION("""COMPUTED_VALUE"""),"Dapp.com")</f>
        <v>Dapp.com</v>
      </c>
    </row>
    <row r="3193">
      <c r="A3193" s="3" t="str">
        <f>IFERROR(__xludf.DUMMYFUNCTION("""COMPUTED_VALUE"""),"dappercoin")</f>
        <v>dappercoin</v>
      </c>
      <c r="B3193" s="3" t="str">
        <f>IFERROR(__xludf.DUMMYFUNCTION("""COMPUTED_VALUE"""),"dapp")</f>
        <v>dapp</v>
      </c>
      <c r="C3193" s="3" t="str">
        <f>IFERROR(__xludf.DUMMYFUNCTION("""COMPUTED_VALUE"""),"DapperCoin")</f>
        <v>DapperCoin</v>
      </c>
    </row>
    <row r="3194">
      <c r="A3194" s="3" t="str">
        <f>IFERROR(__xludf.DUMMYFUNCTION("""COMPUTED_VALUE"""),"dappnode")</f>
        <v>dappnode</v>
      </c>
      <c r="B3194" s="3" t="str">
        <f>IFERROR(__xludf.DUMMYFUNCTION("""COMPUTED_VALUE"""),"node")</f>
        <v>node</v>
      </c>
      <c r="C3194" s="3" t="str">
        <f>IFERROR(__xludf.DUMMYFUNCTION("""COMPUTED_VALUE"""),"DAppNode")</f>
        <v>DAppNode</v>
      </c>
    </row>
    <row r="3195">
      <c r="A3195" s="3" t="str">
        <f>IFERROR(__xludf.DUMMYFUNCTION("""COMPUTED_VALUE"""),"dappradar")</f>
        <v>dappradar</v>
      </c>
      <c r="B3195" s="3" t="str">
        <f>IFERROR(__xludf.DUMMYFUNCTION("""COMPUTED_VALUE"""),"radar")</f>
        <v>radar</v>
      </c>
      <c r="C3195" s="3" t="str">
        <f>IFERROR(__xludf.DUMMYFUNCTION("""COMPUTED_VALUE"""),"DappRadar")</f>
        <v>DappRadar</v>
      </c>
    </row>
    <row r="3196">
      <c r="A3196" s="3" t="str">
        <f>IFERROR(__xludf.DUMMYFUNCTION("""COMPUTED_VALUE"""),"dappstore")</f>
        <v>dappstore</v>
      </c>
      <c r="B3196" s="3" t="str">
        <f>IFERROR(__xludf.DUMMYFUNCTION("""COMPUTED_VALUE"""),"dappx")</f>
        <v>dappx</v>
      </c>
      <c r="C3196" s="3" t="str">
        <f>IFERROR(__xludf.DUMMYFUNCTION("""COMPUTED_VALUE"""),"dAppstore")</f>
        <v>dAppstore</v>
      </c>
    </row>
    <row r="3197">
      <c r="A3197" s="3" t="str">
        <f>IFERROR(__xludf.DUMMYFUNCTION("""COMPUTED_VALUE"""),"dappsy")</f>
        <v>dappsy</v>
      </c>
      <c r="B3197" s="3" t="str">
        <f>IFERROR(__xludf.DUMMYFUNCTION("""COMPUTED_VALUE"""),"app")</f>
        <v>app</v>
      </c>
      <c r="C3197" s="3" t="str">
        <f>IFERROR(__xludf.DUMMYFUNCTION("""COMPUTED_VALUE"""),"Dappsy")</f>
        <v>Dappsy</v>
      </c>
    </row>
    <row r="3198">
      <c r="A3198" s="3" t="str">
        <f>IFERROR(__xludf.DUMMYFUNCTION("""COMPUTED_VALUE"""),"daps-token")</f>
        <v>daps-token</v>
      </c>
      <c r="B3198" s="3" t="str">
        <f>IFERROR(__xludf.DUMMYFUNCTION("""COMPUTED_VALUE"""),"daps")</f>
        <v>daps</v>
      </c>
      <c r="C3198" s="3" t="str">
        <f>IFERROR(__xludf.DUMMYFUNCTION("""COMPUTED_VALUE"""),"DAPS Coin")</f>
        <v>DAPS Coin</v>
      </c>
    </row>
    <row r="3199">
      <c r="A3199" s="3" t="str">
        <f>IFERROR(__xludf.DUMMYFUNCTION("""COMPUTED_VALUE"""),"darcmatter-coin")</f>
        <v>darcmatter-coin</v>
      </c>
      <c r="B3199" s="3" t="str">
        <f>IFERROR(__xludf.DUMMYFUNCTION("""COMPUTED_VALUE"""),"darc")</f>
        <v>darc</v>
      </c>
      <c r="C3199" s="3" t="str">
        <f>IFERROR(__xludf.DUMMYFUNCTION("""COMPUTED_VALUE"""),"Konstellation")</f>
        <v>Konstellation</v>
      </c>
    </row>
    <row r="3200">
      <c r="A3200" s="3" t="str">
        <f>IFERROR(__xludf.DUMMYFUNCTION("""COMPUTED_VALUE"""),"dar-dex-token")</f>
        <v>dar-dex-token</v>
      </c>
      <c r="B3200" s="3" t="str">
        <f>IFERROR(__xludf.DUMMYFUNCTION("""COMPUTED_VALUE"""),"dut")</f>
        <v>dut</v>
      </c>
      <c r="C3200" s="3" t="str">
        <f>IFERROR(__xludf.DUMMYFUNCTION("""COMPUTED_VALUE"""),"Dar Dex")</f>
        <v>Dar Dex</v>
      </c>
    </row>
    <row r="3201">
      <c r="A3201" s="3" t="str">
        <f>IFERROR(__xludf.DUMMYFUNCTION("""COMPUTED_VALUE"""),"darenft")</f>
        <v>darenft</v>
      </c>
      <c r="B3201" s="3" t="str">
        <f>IFERROR(__xludf.DUMMYFUNCTION("""COMPUTED_VALUE"""),"dnft")</f>
        <v>dnft</v>
      </c>
      <c r="C3201" s="3" t="str">
        <f>IFERROR(__xludf.DUMMYFUNCTION("""COMPUTED_VALUE"""),"DareNFT")</f>
        <v>DareNFT</v>
      </c>
    </row>
    <row r="3202">
      <c r="A3202" s="3" t="str">
        <f>IFERROR(__xludf.DUMMYFUNCTION("""COMPUTED_VALUE"""),"dareplay")</f>
        <v>dareplay</v>
      </c>
      <c r="B3202" s="3" t="str">
        <f>IFERROR(__xludf.DUMMYFUNCTION("""COMPUTED_VALUE"""),"dpl")</f>
        <v>dpl</v>
      </c>
      <c r="C3202" s="3" t="str">
        <f>IFERROR(__xludf.DUMMYFUNCTION("""COMPUTED_VALUE"""),"DarePlay")</f>
        <v>DarePlay</v>
      </c>
    </row>
    <row r="3203">
      <c r="A3203" s="3" t="str">
        <f>IFERROR(__xludf.DUMMYFUNCTION("""COMPUTED_VALUE"""),"darkbuild-v2")</f>
        <v>darkbuild-v2</v>
      </c>
      <c r="B3203" s="3" t="str">
        <f>IFERROR(__xludf.DUMMYFUNCTION("""COMPUTED_VALUE"""),"db")</f>
        <v>db</v>
      </c>
      <c r="C3203" s="3" t="str">
        <f>IFERROR(__xludf.DUMMYFUNCTION("""COMPUTED_VALUE"""),"Dark.Build")</f>
        <v>Dark.Build</v>
      </c>
    </row>
    <row r="3204">
      <c r="A3204" s="3" t="str">
        <f>IFERROR(__xludf.DUMMYFUNCTION("""COMPUTED_VALUE"""),"darkcrypto")</f>
        <v>darkcrypto</v>
      </c>
      <c r="B3204" s="3" t="str">
        <f>IFERROR(__xludf.DUMMYFUNCTION("""COMPUTED_VALUE"""),"dark")</f>
        <v>dark</v>
      </c>
      <c r="C3204" s="3" t="str">
        <f>IFERROR(__xludf.DUMMYFUNCTION("""COMPUTED_VALUE"""),"DarkCrypto")</f>
        <v>DarkCrypto</v>
      </c>
    </row>
    <row r="3205">
      <c r="A3205" s="3" t="str">
        <f>IFERROR(__xludf.DUMMYFUNCTION("""COMPUTED_VALUE"""),"darkcrypto-foundation")</f>
        <v>darkcrypto-foundation</v>
      </c>
      <c r="B3205" s="3" t="str">
        <f>IFERROR(__xludf.DUMMYFUNCTION("""COMPUTED_VALUE"""),"dcf")</f>
        <v>dcf</v>
      </c>
      <c r="C3205" s="3" t="str">
        <f>IFERROR(__xludf.DUMMYFUNCTION("""COMPUTED_VALUE"""),"DarkCrypto Foundation")</f>
        <v>DarkCrypto Foundation</v>
      </c>
    </row>
    <row r="3206">
      <c r="A3206" s="3" t="str">
        <f>IFERROR(__xludf.DUMMYFUNCTION("""COMPUTED_VALUE"""),"darkcrypto-share")</f>
        <v>darkcrypto-share</v>
      </c>
      <c r="B3206" s="3" t="str">
        <f>IFERROR(__xludf.DUMMYFUNCTION("""COMPUTED_VALUE"""),"sky")</f>
        <v>sky</v>
      </c>
      <c r="C3206" s="3" t="str">
        <f>IFERROR(__xludf.DUMMYFUNCTION("""COMPUTED_VALUE"""),"DarkCrypto Share")</f>
        <v>DarkCrypto Share</v>
      </c>
    </row>
    <row r="3207">
      <c r="A3207" s="3" t="str">
        <f>IFERROR(__xludf.DUMMYFUNCTION("""COMPUTED_VALUE"""),"darkcrystl")</f>
        <v>darkcrystl</v>
      </c>
      <c r="B3207" s="3" t="str">
        <f>IFERROR(__xludf.DUMMYFUNCTION("""COMPUTED_VALUE"""),"darkcrystl")</f>
        <v>darkcrystl</v>
      </c>
      <c r="C3207" s="3" t="str">
        <f>IFERROR(__xludf.DUMMYFUNCTION("""COMPUTED_VALUE"""),"DarkCrystl")</f>
        <v>DarkCrystl</v>
      </c>
    </row>
    <row r="3208">
      <c r="A3208" s="3" t="str">
        <f>IFERROR(__xludf.DUMMYFUNCTION("""COMPUTED_VALUE"""),"dark-energy-crystals")</f>
        <v>dark-energy-crystals</v>
      </c>
      <c r="B3208" s="3" t="str">
        <f>IFERROR(__xludf.DUMMYFUNCTION("""COMPUTED_VALUE"""),"dec")</f>
        <v>dec</v>
      </c>
      <c r="C3208" s="3" t="str">
        <f>IFERROR(__xludf.DUMMYFUNCTION("""COMPUTED_VALUE"""),"Dark Energy Crystals")</f>
        <v>Dark Energy Crystals</v>
      </c>
    </row>
    <row r="3209">
      <c r="A3209" s="3" t="str">
        <f>IFERROR(__xludf.DUMMYFUNCTION("""COMPUTED_VALUE"""),"dark-frontiers")</f>
        <v>dark-frontiers</v>
      </c>
      <c r="B3209" s="3" t="str">
        <f>IFERROR(__xludf.DUMMYFUNCTION("""COMPUTED_VALUE"""),"dark")</f>
        <v>dark</v>
      </c>
      <c r="C3209" s="3" t="str">
        <f>IFERROR(__xludf.DUMMYFUNCTION("""COMPUTED_VALUE"""),"Dark Frontiers")</f>
        <v>Dark Frontiers</v>
      </c>
    </row>
    <row r="3210">
      <c r="A3210" s="3" t="str">
        <f>IFERROR(__xludf.DUMMYFUNCTION("""COMPUTED_VALUE"""),"darkgang-finance")</f>
        <v>darkgang-finance</v>
      </c>
      <c r="B3210" s="3" t="str">
        <f>IFERROR(__xludf.DUMMYFUNCTION("""COMPUTED_VALUE"""),"darkg")</f>
        <v>darkg</v>
      </c>
      <c r="C3210" s="3" t="str">
        <f>IFERROR(__xludf.DUMMYFUNCTION("""COMPUTED_VALUE"""),"DarkGang Finance")</f>
        <v>DarkGang Finance</v>
      </c>
    </row>
    <row r="3211">
      <c r="A3211" s="3" t="str">
        <f>IFERROR(__xludf.DUMMYFUNCTION("""COMPUTED_VALUE"""),"darkknight")</f>
        <v>darkknight</v>
      </c>
      <c r="B3211" s="3" t="str">
        <f>IFERROR(__xludf.DUMMYFUNCTION("""COMPUTED_VALUE"""),"dknight")</f>
        <v>dknight</v>
      </c>
      <c r="C3211" s="3" t="str">
        <f>IFERROR(__xludf.DUMMYFUNCTION("""COMPUTED_VALUE"""),"Dark Knight")</f>
        <v>Dark Knight</v>
      </c>
    </row>
    <row r="3212">
      <c r="A3212" s="3" t="str">
        <f>IFERROR(__xludf.DUMMYFUNCTION("""COMPUTED_VALUE"""),"dark-land-survival")</f>
        <v>dark-land-survival</v>
      </c>
      <c r="B3212" s="3" t="str">
        <f>IFERROR(__xludf.DUMMYFUNCTION("""COMPUTED_VALUE"""),"big")</f>
        <v>big</v>
      </c>
      <c r="C3212" s="3" t="str">
        <f>IFERROR(__xludf.DUMMYFUNCTION("""COMPUTED_VALUE"""),"Dark Land Survival")</f>
        <v>Dark Land Survival</v>
      </c>
    </row>
    <row r="3213">
      <c r="A3213" s="3" t="str">
        <f>IFERROR(__xludf.DUMMYFUNCTION("""COMPUTED_VALUE"""),"dark-magic")</f>
        <v>dark-magic</v>
      </c>
      <c r="B3213" s="3" t="str">
        <f>IFERROR(__xludf.DUMMYFUNCTION("""COMPUTED_VALUE"""),"dmagic")</f>
        <v>dmagic</v>
      </c>
      <c r="C3213" s="3" t="str">
        <f>IFERROR(__xludf.DUMMYFUNCTION("""COMPUTED_VALUE"""),"Dark Magic")</f>
        <v>Dark Magic</v>
      </c>
    </row>
    <row r="3214">
      <c r="A3214" s="3" t="str">
        <f>IFERROR(__xludf.DUMMYFUNCTION("""COMPUTED_VALUE"""),"darkmatter")</f>
        <v>darkmatter</v>
      </c>
      <c r="B3214" s="3" t="str">
        <f>IFERROR(__xludf.DUMMYFUNCTION("""COMPUTED_VALUE"""),"dmt")</f>
        <v>dmt</v>
      </c>
      <c r="C3214" s="3" t="str">
        <f>IFERROR(__xludf.DUMMYFUNCTION("""COMPUTED_VALUE"""),"DarkMatter")</f>
        <v>DarkMatter</v>
      </c>
    </row>
    <row r="3215">
      <c r="A3215" s="3" t="str">
        <f>IFERROR(__xludf.DUMMYFUNCTION("""COMPUTED_VALUE"""),"dark-matter")</f>
        <v>dark-matter</v>
      </c>
      <c r="B3215" s="3" t="str">
        <f>IFERROR(__xludf.DUMMYFUNCTION("""COMPUTED_VALUE"""),"dmt")</f>
        <v>dmt</v>
      </c>
      <c r="C3215" s="3" t="str">
        <f>IFERROR(__xludf.DUMMYFUNCTION("""COMPUTED_VALUE"""),"Dark Matter")</f>
        <v>Dark Matter</v>
      </c>
    </row>
    <row r="3216">
      <c r="A3216" s="3" t="str">
        <f>IFERROR(__xludf.DUMMYFUNCTION("""COMPUTED_VALUE"""),"dark-matter-defi")</f>
        <v>dark-matter-defi</v>
      </c>
      <c r="B3216" s="3" t="str">
        <f>IFERROR(__xludf.DUMMYFUNCTION("""COMPUTED_VALUE"""),"dmd")</f>
        <v>dmd</v>
      </c>
      <c r="C3216" s="3" t="str">
        <f>IFERROR(__xludf.DUMMYFUNCTION("""COMPUTED_VALUE"""),"Dark Matter Defi")</f>
        <v>Dark Matter Defi</v>
      </c>
    </row>
    <row r="3217">
      <c r="A3217" s="3" t="str">
        <f>IFERROR(__xludf.DUMMYFUNCTION("""COMPUTED_VALUE"""),"darkness-dollar")</f>
        <v>darkness-dollar</v>
      </c>
      <c r="B3217" s="3" t="str">
        <f>IFERROR(__xludf.DUMMYFUNCTION("""COMPUTED_VALUE"""),"dusd")</f>
        <v>dusd</v>
      </c>
      <c r="C3217" s="3" t="str">
        <f>IFERROR(__xludf.DUMMYFUNCTION("""COMPUTED_VALUE"""),"Darkness Dollar")</f>
        <v>Darkness Dollar</v>
      </c>
    </row>
    <row r="3218">
      <c r="A3218" s="3" t="str">
        <f>IFERROR(__xludf.DUMMYFUNCTION("""COMPUTED_VALUE"""),"darkness-share")</f>
        <v>darkness-share</v>
      </c>
      <c r="B3218" s="3" t="str">
        <f>IFERROR(__xludf.DUMMYFUNCTION("""COMPUTED_VALUE"""),"ness")</f>
        <v>ness</v>
      </c>
      <c r="C3218" s="3" t="str">
        <f>IFERROR(__xludf.DUMMYFUNCTION("""COMPUTED_VALUE"""),"Darkness Share")</f>
        <v>Darkness Share</v>
      </c>
    </row>
    <row r="3219">
      <c r="A3219" s="3" t="str">
        <f>IFERROR(__xludf.DUMMYFUNCTION("""COMPUTED_VALUE"""),"darkopera-finance")</f>
        <v>darkopera-finance</v>
      </c>
      <c r="B3219" s="3" t="str">
        <f>IFERROR(__xludf.DUMMYFUNCTION("""COMPUTED_VALUE"""),"darko")</f>
        <v>darko</v>
      </c>
      <c r="C3219" s="3" t="str">
        <f>IFERROR(__xludf.DUMMYFUNCTION("""COMPUTED_VALUE"""),"DarkOpera Finance")</f>
        <v>DarkOpera Finance</v>
      </c>
    </row>
    <row r="3220">
      <c r="A3220" s="3" t="str">
        <f>IFERROR(__xludf.DUMMYFUNCTION("""COMPUTED_VALUE"""),"dark-planet")</f>
        <v>dark-planet</v>
      </c>
      <c r="B3220" s="3" t="str">
        <f>IFERROR(__xludf.DUMMYFUNCTION("""COMPUTED_VALUE"""),"dp")</f>
        <v>dp</v>
      </c>
      <c r="C3220" s="3" t="str">
        <f>IFERROR(__xludf.DUMMYFUNCTION("""COMPUTED_VALUE"""),"Dark Planet")</f>
        <v>Dark Planet</v>
      </c>
    </row>
    <row r="3221">
      <c r="A3221" s="3" t="str">
        <f>IFERROR(__xludf.DUMMYFUNCTION("""COMPUTED_VALUE"""),"darkshield")</f>
        <v>darkshield</v>
      </c>
      <c r="B3221" s="3" t="str">
        <f>IFERROR(__xludf.DUMMYFUNCTION("""COMPUTED_VALUE"""),"dks")</f>
        <v>dks</v>
      </c>
      <c r="C3221" s="3" t="str">
        <f>IFERROR(__xludf.DUMMYFUNCTION("""COMPUTED_VALUE"""),"DarkShield")</f>
        <v>DarkShield</v>
      </c>
    </row>
    <row r="3222">
      <c r="A3222" s="3" t="str">
        <f>IFERROR(__xludf.DUMMYFUNCTION("""COMPUTED_VALUE"""),"darleygo-essence")</f>
        <v>darleygo-essence</v>
      </c>
      <c r="B3222" s="3" t="str">
        <f>IFERROR(__xludf.DUMMYFUNCTION("""COMPUTED_VALUE"""),"dge")</f>
        <v>dge</v>
      </c>
      <c r="C3222" s="3" t="str">
        <f>IFERROR(__xludf.DUMMYFUNCTION("""COMPUTED_VALUE"""),"DarleyGo Essence")</f>
        <v>DarleyGo Essence</v>
      </c>
    </row>
    <row r="3223">
      <c r="A3223" s="3" t="str">
        <f>IFERROR(__xludf.DUMMYFUNCTION("""COMPUTED_VALUE"""),"darma-cash")</f>
        <v>darma-cash</v>
      </c>
      <c r="B3223" s="3" t="str">
        <f>IFERROR(__xludf.DUMMYFUNCTION("""COMPUTED_VALUE"""),"dmch")</f>
        <v>dmch</v>
      </c>
      <c r="C3223" s="3" t="str">
        <f>IFERROR(__xludf.DUMMYFUNCTION("""COMPUTED_VALUE"""),"Darma Cash")</f>
        <v>Darma Cash</v>
      </c>
    </row>
    <row r="3224">
      <c r="A3224" s="3" t="str">
        <f>IFERROR(__xludf.DUMMYFUNCTION("""COMPUTED_VALUE"""),"dart-insurance")</f>
        <v>dart-insurance</v>
      </c>
      <c r="B3224" s="3" t="str">
        <f>IFERROR(__xludf.DUMMYFUNCTION("""COMPUTED_VALUE"""),"dart")</f>
        <v>dart</v>
      </c>
      <c r="C3224" s="3" t="str">
        <f>IFERROR(__xludf.DUMMYFUNCTION("""COMPUTED_VALUE"""),"dART Insurance")</f>
        <v>dART Insurance</v>
      </c>
    </row>
    <row r="3225">
      <c r="A3225" s="3" t="str">
        <f>IFERROR(__xludf.DUMMYFUNCTION("""COMPUTED_VALUE"""),"dart-inu")</f>
        <v>dart-inu</v>
      </c>
      <c r="B3225" s="3" t="str">
        <f>IFERROR(__xludf.DUMMYFUNCTION("""COMPUTED_VALUE"""),"dart")</f>
        <v>dart</v>
      </c>
      <c r="C3225" s="3" t="str">
        <f>IFERROR(__xludf.DUMMYFUNCTION("""COMPUTED_VALUE"""),"Dart Inu")</f>
        <v>Dart Inu</v>
      </c>
    </row>
    <row r="3226">
      <c r="A3226" s="3" t="str">
        <f>IFERROR(__xludf.DUMMYFUNCTION("""COMPUTED_VALUE"""),"daruma")</f>
        <v>daruma</v>
      </c>
      <c r="B3226" s="3" t="str">
        <f>IFERROR(__xludf.DUMMYFUNCTION("""COMPUTED_VALUE"""),"daruma")</f>
        <v>daruma</v>
      </c>
      <c r="C3226" s="3" t="str">
        <f>IFERROR(__xludf.DUMMYFUNCTION("""COMPUTED_VALUE"""),"Daruma")</f>
        <v>Daruma</v>
      </c>
    </row>
    <row r="3227">
      <c r="A3227" s="3" t="str">
        <f>IFERROR(__xludf.DUMMYFUNCTION("""COMPUTED_VALUE"""),"darussafaka-sports-club")</f>
        <v>darussafaka-sports-club</v>
      </c>
      <c r="B3227" s="3" t="str">
        <f>IFERROR(__xludf.DUMMYFUNCTION("""COMPUTED_VALUE"""),"dsk")</f>
        <v>dsk</v>
      </c>
      <c r="C3227" s="3" t="str">
        <f>IFERROR(__xludf.DUMMYFUNCTION("""COMPUTED_VALUE"""),"Darüşşafaka Sports Club")</f>
        <v>Darüşşafaka Sports Club</v>
      </c>
    </row>
    <row r="3228">
      <c r="A3228" s="3" t="str">
        <f>IFERROR(__xludf.DUMMYFUNCTION("""COMPUTED_VALUE"""),"darwinia-commitment-token")</f>
        <v>darwinia-commitment-token</v>
      </c>
      <c r="B3228" s="3" t="str">
        <f>IFERROR(__xludf.DUMMYFUNCTION("""COMPUTED_VALUE"""),"kton")</f>
        <v>kton</v>
      </c>
      <c r="C3228" s="3" t="str">
        <f>IFERROR(__xludf.DUMMYFUNCTION("""COMPUTED_VALUE"""),"Darwinia Commitment")</f>
        <v>Darwinia Commitment</v>
      </c>
    </row>
    <row r="3229">
      <c r="A3229" s="3" t="str">
        <f>IFERROR(__xludf.DUMMYFUNCTION("""COMPUTED_VALUE"""),"darwinia-network-native-token")</f>
        <v>darwinia-network-native-token</v>
      </c>
      <c r="B3229" s="3" t="str">
        <f>IFERROR(__xludf.DUMMYFUNCTION("""COMPUTED_VALUE"""),"ring")</f>
        <v>ring</v>
      </c>
      <c r="C3229" s="3" t="str">
        <f>IFERROR(__xludf.DUMMYFUNCTION("""COMPUTED_VALUE"""),"Darwinia Network")</f>
        <v>Darwinia Network</v>
      </c>
    </row>
    <row r="3230">
      <c r="A3230" s="3" t="str">
        <f>IFERROR(__xludf.DUMMYFUNCTION("""COMPUTED_VALUE"""),"dascoin")</f>
        <v>dascoin</v>
      </c>
      <c r="B3230" s="3" t="str">
        <f>IFERROR(__xludf.DUMMYFUNCTION("""COMPUTED_VALUE"""),"grn")</f>
        <v>grn</v>
      </c>
      <c r="C3230" s="3" t="str">
        <f>IFERROR(__xludf.DUMMYFUNCTION("""COMPUTED_VALUE"""),"GreenPower")</f>
        <v>GreenPower</v>
      </c>
    </row>
    <row r="3231">
      <c r="A3231" s="3" t="str">
        <f>IFERROR(__xludf.DUMMYFUNCTION("""COMPUTED_VALUE"""),"dash")</f>
        <v>dash</v>
      </c>
      <c r="B3231" s="3" t="str">
        <f>IFERROR(__xludf.DUMMYFUNCTION("""COMPUTED_VALUE"""),"dash")</f>
        <v>dash</v>
      </c>
      <c r="C3231" s="3" t="str">
        <f>IFERROR(__xludf.DUMMYFUNCTION("""COMPUTED_VALUE"""),"Dash")</f>
        <v>Dash</v>
      </c>
    </row>
    <row r="3232">
      <c r="A3232" s="3" t="str">
        <f>IFERROR(__xludf.DUMMYFUNCTION("""COMPUTED_VALUE"""),"dash-diamond")</f>
        <v>dash-diamond</v>
      </c>
      <c r="B3232" s="3" t="str">
        <f>IFERROR(__xludf.DUMMYFUNCTION("""COMPUTED_VALUE"""),"dashd")</f>
        <v>dashd</v>
      </c>
      <c r="C3232" s="3" t="str">
        <f>IFERROR(__xludf.DUMMYFUNCTION("""COMPUTED_VALUE"""),"Dash Diamond")</f>
        <v>Dash Diamond</v>
      </c>
    </row>
    <row r="3233">
      <c r="A3233" s="3" t="str">
        <f>IFERROR(__xludf.DUMMYFUNCTION("""COMPUTED_VALUE"""),"dashleague-crystals")</f>
        <v>dashleague-crystals</v>
      </c>
      <c r="B3233" s="3" t="str">
        <f>IFERROR(__xludf.DUMMYFUNCTION("""COMPUTED_VALUE"""),"dlc")</f>
        <v>dlc</v>
      </c>
      <c r="C3233" s="3" t="str">
        <f>IFERROR(__xludf.DUMMYFUNCTION("""COMPUTED_VALUE"""),"DashLeague Crystals")</f>
        <v>DashLeague Crystals</v>
      </c>
    </row>
    <row r="3234">
      <c r="A3234" s="3" t="str">
        <f>IFERROR(__xludf.DUMMYFUNCTION("""COMPUTED_VALUE"""),"dashsports")</f>
        <v>dashsports</v>
      </c>
      <c r="B3234" s="3" t="str">
        <f>IFERROR(__xludf.DUMMYFUNCTION("""COMPUTED_VALUE"""),"dass")</f>
        <v>dass</v>
      </c>
      <c r="C3234" s="3" t="str">
        <f>IFERROR(__xludf.DUMMYFUNCTION("""COMPUTED_VALUE"""),"DashSports")</f>
        <v>DashSports</v>
      </c>
    </row>
    <row r="3235">
      <c r="A3235" s="3" t="str">
        <f>IFERROR(__xludf.DUMMYFUNCTION("""COMPUTED_VALUE"""),"data")</f>
        <v>data</v>
      </c>
      <c r="B3235" s="3" t="str">
        <f>IFERROR(__xludf.DUMMYFUNCTION("""COMPUTED_VALUE"""),"dta")</f>
        <v>dta</v>
      </c>
      <c r="C3235" s="3" t="str">
        <f>IFERROR(__xludf.DUMMYFUNCTION("""COMPUTED_VALUE"""),"DATA")</f>
        <v>DATA</v>
      </c>
    </row>
    <row r="3236">
      <c r="A3236" s="3" t="str">
        <f>IFERROR(__xludf.DUMMYFUNCTION("""COMPUTED_VALUE"""),"databroker-dao")</f>
        <v>databroker-dao</v>
      </c>
      <c r="B3236" s="3" t="str">
        <f>IFERROR(__xludf.DUMMYFUNCTION("""COMPUTED_VALUE"""),"dtx")</f>
        <v>dtx</v>
      </c>
      <c r="C3236" s="3" t="str">
        <f>IFERROR(__xludf.DUMMYFUNCTION("""COMPUTED_VALUE"""),"DaTa eXchange DTX")</f>
        <v>DaTa eXchange DTX</v>
      </c>
    </row>
    <row r="3237">
      <c r="A3237" s="3" t="str">
        <f>IFERROR(__xludf.DUMMYFUNCTION("""COMPUTED_VALUE"""),"datachain-foundation")</f>
        <v>datachain-foundation</v>
      </c>
      <c r="B3237" s="3" t="str">
        <f>IFERROR(__xludf.DUMMYFUNCTION("""COMPUTED_VALUE"""),"dc")</f>
        <v>dc</v>
      </c>
      <c r="C3237" s="3" t="str">
        <f>IFERROR(__xludf.DUMMYFUNCTION("""COMPUTED_VALUE"""),"DATACHAIN FOUNDATION")</f>
        <v>DATACHAIN FOUNDATION</v>
      </c>
    </row>
    <row r="3238">
      <c r="A3238" s="3" t="str">
        <f>IFERROR(__xludf.DUMMYFUNCTION("""COMPUTED_VALUE"""),"data-economy-index")</f>
        <v>data-economy-index</v>
      </c>
      <c r="B3238" s="3" t="str">
        <f>IFERROR(__xludf.DUMMYFUNCTION("""COMPUTED_VALUE"""),"data")</f>
        <v>data</v>
      </c>
      <c r="C3238" s="3" t="str">
        <f>IFERROR(__xludf.DUMMYFUNCTION("""COMPUTED_VALUE"""),"Data Economy Index")</f>
        <v>Data Economy Index</v>
      </c>
    </row>
    <row r="3239">
      <c r="A3239" s="3" t="str">
        <f>IFERROR(__xludf.DUMMYFUNCTION("""COMPUTED_VALUE"""),"data-enterprise-chain")</f>
        <v>data-enterprise-chain</v>
      </c>
      <c r="B3239" s="3" t="str">
        <f>IFERROR(__xludf.DUMMYFUNCTION("""COMPUTED_VALUE"""),"dec")</f>
        <v>dec</v>
      </c>
      <c r="C3239" s="3" t="str">
        <f>IFERROR(__xludf.DUMMYFUNCTION("""COMPUTED_VALUE"""),"Data Enterprise Chain")</f>
        <v>Data Enterprise Chain</v>
      </c>
    </row>
    <row r="3240">
      <c r="A3240" s="3" t="str">
        <f>IFERROR(__xludf.DUMMYFUNCTION("""COMPUTED_VALUE"""),"datahighway")</f>
        <v>datahighway</v>
      </c>
      <c r="B3240" s="3" t="str">
        <f>IFERROR(__xludf.DUMMYFUNCTION("""COMPUTED_VALUE"""),"dhx")</f>
        <v>dhx</v>
      </c>
      <c r="C3240" s="3" t="str">
        <f>IFERROR(__xludf.DUMMYFUNCTION("""COMPUTED_VALUE"""),"DataHighway")</f>
        <v>DataHighway</v>
      </c>
    </row>
    <row r="3241">
      <c r="A3241" s="3" t="str">
        <f>IFERROR(__xludf.DUMMYFUNCTION("""COMPUTED_VALUE"""),"datakyc")</f>
        <v>datakyc</v>
      </c>
      <c r="B3241" s="3" t="str">
        <f>IFERROR(__xludf.DUMMYFUNCTION("""COMPUTED_VALUE"""),"dkyc")</f>
        <v>dkyc</v>
      </c>
      <c r="C3241" s="3" t="str">
        <f>IFERROR(__xludf.DUMMYFUNCTION("""COMPUTED_VALUE"""),"DataKYC")</f>
        <v>DataKYC</v>
      </c>
    </row>
    <row r="3242">
      <c r="A3242" s="3" t="str">
        <f>IFERROR(__xludf.DUMMYFUNCTION("""COMPUTED_VALUE"""),"datamine")</f>
        <v>datamine</v>
      </c>
      <c r="B3242" s="3" t="str">
        <f>IFERROR(__xludf.DUMMYFUNCTION("""COMPUTED_VALUE"""),"dam")</f>
        <v>dam</v>
      </c>
      <c r="C3242" s="3" t="str">
        <f>IFERROR(__xludf.DUMMYFUNCTION("""COMPUTED_VALUE"""),"Datamine")</f>
        <v>Datamine</v>
      </c>
    </row>
    <row r="3243">
      <c r="A3243" s="3" t="str">
        <f>IFERROR(__xludf.DUMMYFUNCTION("""COMPUTED_VALUE"""),"datx")</f>
        <v>datx</v>
      </c>
      <c r="B3243" s="3" t="str">
        <f>IFERROR(__xludf.DUMMYFUNCTION("""COMPUTED_VALUE"""),"datx")</f>
        <v>datx</v>
      </c>
      <c r="C3243" s="3" t="str">
        <f>IFERROR(__xludf.DUMMYFUNCTION("""COMPUTED_VALUE"""),"DATx")</f>
        <v>DATx</v>
      </c>
    </row>
    <row r="3244">
      <c r="A3244" s="3" t="str">
        <f>IFERROR(__xludf.DUMMYFUNCTION("""COMPUTED_VALUE"""),"dav")</f>
        <v>dav</v>
      </c>
      <c r="B3244" s="3" t="str">
        <f>IFERROR(__xludf.DUMMYFUNCTION("""COMPUTED_VALUE"""),"dav")</f>
        <v>dav</v>
      </c>
      <c r="C3244" s="3" t="str">
        <f>IFERROR(__xludf.DUMMYFUNCTION("""COMPUTED_VALUE"""),"DAV Network")</f>
        <v>DAV Network</v>
      </c>
    </row>
    <row r="3245">
      <c r="A3245" s="3" t="str">
        <f>IFERROR(__xludf.DUMMYFUNCTION("""COMPUTED_VALUE"""),"davidcoin")</f>
        <v>davidcoin</v>
      </c>
      <c r="B3245" s="3" t="str">
        <f>IFERROR(__xludf.DUMMYFUNCTION("""COMPUTED_VALUE"""),"dc")</f>
        <v>dc</v>
      </c>
      <c r="C3245" s="3" t="str">
        <f>IFERROR(__xludf.DUMMYFUNCTION("""COMPUTED_VALUE"""),"DavidCoin")</f>
        <v>DavidCoin</v>
      </c>
    </row>
    <row r="3246">
      <c r="A3246" s="3" t="str">
        <f>IFERROR(__xludf.DUMMYFUNCTION("""COMPUTED_VALUE"""),"davinci-coin")</f>
        <v>davinci-coin</v>
      </c>
      <c r="B3246" s="3" t="str">
        <f>IFERROR(__xludf.DUMMYFUNCTION("""COMPUTED_VALUE"""),"dac")</f>
        <v>dac</v>
      </c>
      <c r="C3246" s="3" t="str">
        <f>IFERROR(__xludf.DUMMYFUNCTION("""COMPUTED_VALUE"""),"Davinci Coin")</f>
        <v>Davinci Coin</v>
      </c>
    </row>
    <row r="3247">
      <c r="A3247" s="3" t="str">
        <f>IFERROR(__xludf.DUMMYFUNCTION("""COMPUTED_VALUE"""),"davinci-token")</f>
        <v>davinci-token</v>
      </c>
      <c r="B3247" s="3" t="str">
        <f>IFERROR(__xludf.DUMMYFUNCTION("""COMPUTED_VALUE"""),"vinci")</f>
        <v>vinci</v>
      </c>
      <c r="C3247" s="3" t="str">
        <f>IFERROR(__xludf.DUMMYFUNCTION("""COMPUTED_VALUE"""),"DaVinci")</f>
        <v>DaVinci</v>
      </c>
    </row>
    <row r="3248">
      <c r="A3248" s="3" t="str">
        <f>IFERROR(__xludf.DUMMYFUNCTION("""COMPUTED_VALUE"""),"davis-cup-fan-token")</f>
        <v>davis-cup-fan-token</v>
      </c>
      <c r="B3248" s="3" t="str">
        <f>IFERROR(__xludf.DUMMYFUNCTION("""COMPUTED_VALUE"""),"davis")</f>
        <v>davis</v>
      </c>
      <c r="C3248" s="3" t="str">
        <f>IFERROR(__xludf.DUMMYFUNCTION("""COMPUTED_VALUE"""),"Davis Cup Fan Token")</f>
        <v>Davis Cup Fan Token</v>
      </c>
    </row>
    <row r="3249">
      <c r="A3249" s="3" t="str">
        <f>IFERROR(__xludf.DUMMYFUNCTION("""COMPUTED_VALUE"""),"dawg")</f>
        <v>dawg</v>
      </c>
      <c r="B3249" s="3" t="str">
        <f>IFERROR(__xludf.DUMMYFUNCTION("""COMPUTED_VALUE"""),"dawg")</f>
        <v>dawg</v>
      </c>
      <c r="C3249" s="3" t="str">
        <f>IFERROR(__xludf.DUMMYFUNCTION("""COMPUTED_VALUE"""),"DAWG")</f>
        <v>DAWG</v>
      </c>
    </row>
    <row r="3250">
      <c r="A3250" s="3" t="str">
        <f>IFERROR(__xludf.DUMMYFUNCTION("""COMPUTED_VALUE"""),"dawin-token")</f>
        <v>dawin-token</v>
      </c>
      <c r="B3250" s="3" t="str">
        <f>IFERROR(__xludf.DUMMYFUNCTION("""COMPUTED_VALUE"""),"dwt")</f>
        <v>dwt</v>
      </c>
      <c r="C3250" s="3" t="str">
        <f>IFERROR(__xludf.DUMMYFUNCTION("""COMPUTED_VALUE"""),"DaWin Token")</f>
        <v>DaWin Token</v>
      </c>
    </row>
    <row r="3251">
      <c r="A3251" s="3" t="str">
        <f>IFERROR(__xludf.DUMMYFUNCTION("""COMPUTED_VALUE"""),"dawn-of-gods")</f>
        <v>dawn-of-gods</v>
      </c>
      <c r="B3251" s="3" t="str">
        <f>IFERROR(__xludf.DUMMYFUNCTION("""COMPUTED_VALUE"""),"dago")</f>
        <v>dago</v>
      </c>
      <c r="C3251" s="3" t="str">
        <f>IFERROR(__xludf.DUMMYFUNCTION("""COMPUTED_VALUE"""),"Dawn Of Gods")</f>
        <v>Dawn Of Gods</v>
      </c>
    </row>
    <row r="3252">
      <c r="A3252" s="3" t="str">
        <f>IFERROR(__xludf.DUMMYFUNCTION("""COMPUTED_VALUE"""),"dawn-protocol")</f>
        <v>dawn-protocol</v>
      </c>
      <c r="B3252" s="3" t="str">
        <f>IFERROR(__xludf.DUMMYFUNCTION("""COMPUTED_VALUE"""),"dawn")</f>
        <v>dawn</v>
      </c>
      <c r="C3252" s="3" t="str">
        <f>IFERROR(__xludf.DUMMYFUNCTION("""COMPUTED_VALUE"""),"Dawn Protocol")</f>
        <v>Dawn Protocol</v>
      </c>
    </row>
    <row r="3253">
      <c r="A3253" s="3" t="str">
        <f>IFERROR(__xludf.DUMMYFUNCTION("""COMPUTED_VALUE"""),"dawn-star-share")</f>
        <v>dawn-star-share</v>
      </c>
      <c r="B3253" s="3" t="str">
        <f>IFERROR(__xludf.DUMMYFUNCTION("""COMPUTED_VALUE"""),"solar")</f>
        <v>solar</v>
      </c>
      <c r="C3253" s="3" t="str">
        <f>IFERROR(__xludf.DUMMYFUNCTION("""COMPUTED_VALUE"""),"Dawn Star Share")</f>
        <v>Dawn Star Share</v>
      </c>
    </row>
    <row r="3254">
      <c r="A3254" s="3" t="str">
        <f>IFERROR(__xludf.DUMMYFUNCTION("""COMPUTED_VALUE"""),"dawn-star-token")</f>
        <v>dawn-star-token</v>
      </c>
      <c r="B3254" s="3" t="str">
        <f>IFERROR(__xludf.DUMMYFUNCTION("""COMPUTED_VALUE"""),"dsf")</f>
        <v>dsf</v>
      </c>
      <c r="C3254" s="3" t="str">
        <f>IFERROR(__xludf.DUMMYFUNCTION("""COMPUTED_VALUE"""),"Dawn Star Token")</f>
        <v>Dawn Star Token</v>
      </c>
    </row>
    <row r="3255">
      <c r="A3255" s="3" t="str">
        <f>IFERROR(__xludf.DUMMYFUNCTION("""COMPUTED_VALUE"""),"day-by-day")</f>
        <v>day-by-day</v>
      </c>
      <c r="B3255" s="3" t="str">
        <f>IFERROR(__xludf.DUMMYFUNCTION("""COMPUTED_VALUE"""),"dbd")</f>
        <v>dbd</v>
      </c>
      <c r="C3255" s="3" t="str">
        <f>IFERROR(__xludf.DUMMYFUNCTION("""COMPUTED_VALUE"""),"Day By Day")</f>
        <v>Day By Day</v>
      </c>
    </row>
    <row r="3256">
      <c r="A3256" s="3" t="str">
        <f>IFERROR(__xludf.DUMMYFUNCTION("""COMPUTED_VALUE"""),"day-of-defeat")</f>
        <v>day-of-defeat</v>
      </c>
      <c r="B3256" s="3" t="str">
        <f>IFERROR(__xludf.DUMMYFUNCTION("""COMPUTED_VALUE"""),"dod")</f>
        <v>dod</v>
      </c>
      <c r="C3256" s="3" t="str">
        <f>IFERROR(__xludf.DUMMYFUNCTION("""COMPUTED_VALUE"""),"Day Of Defeat")</f>
        <v>Day Of Defeat</v>
      </c>
    </row>
    <row r="3257">
      <c r="A3257" s="3" t="str">
        <f>IFERROR(__xludf.DUMMYFUNCTION("""COMPUTED_VALUE"""),"daystarter")</f>
        <v>daystarter</v>
      </c>
      <c r="B3257" s="3" t="str">
        <f>IFERROR(__xludf.DUMMYFUNCTION("""COMPUTED_VALUE"""),"dst")</f>
        <v>dst</v>
      </c>
      <c r="C3257" s="3" t="str">
        <f>IFERROR(__xludf.DUMMYFUNCTION("""COMPUTED_VALUE"""),"DAYSTARTER")</f>
        <v>DAYSTARTER</v>
      </c>
    </row>
    <row r="3258">
      <c r="A3258" s="3" t="str">
        <f>IFERROR(__xludf.DUMMYFUNCTION("""COMPUTED_VALUE"""),"dbx-2")</f>
        <v>dbx-2</v>
      </c>
      <c r="B3258" s="3" t="str">
        <f>IFERROR(__xludf.DUMMYFUNCTION("""COMPUTED_VALUE"""),"dbx")</f>
        <v>dbx</v>
      </c>
      <c r="C3258" s="3" t="str">
        <f>IFERROR(__xludf.DUMMYFUNCTION("""COMPUTED_VALUE"""),"DBX")</f>
        <v>DBX</v>
      </c>
    </row>
    <row r="3259">
      <c r="A3259" s="3" t="str">
        <f>IFERROR(__xludf.DUMMYFUNCTION("""COMPUTED_VALUE"""),"dcap")</f>
        <v>dcap</v>
      </c>
      <c r="B3259" s="3" t="str">
        <f>IFERROR(__xludf.DUMMYFUNCTION("""COMPUTED_VALUE"""),"$dcap")</f>
        <v>$dcap</v>
      </c>
      <c r="C3259" s="3" t="str">
        <f>IFERROR(__xludf.DUMMYFUNCTION("""COMPUTED_VALUE"""),"DCAP")</f>
        <v>DCAP</v>
      </c>
    </row>
    <row r="3260">
      <c r="A3260" s="3" t="str">
        <f>IFERROR(__xludf.DUMMYFUNCTION("""COMPUTED_VALUE"""),"dcd-ecosystem")</f>
        <v>dcd-ecosystem</v>
      </c>
      <c r="B3260" s="3" t="str">
        <f>IFERROR(__xludf.DUMMYFUNCTION("""COMPUTED_VALUE"""),"dcd")</f>
        <v>dcd</v>
      </c>
      <c r="C3260" s="3" t="str">
        <f>IFERROR(__xludf.DUMMYFUNCTION("""COMPUTED_VALUE"""),"DCD Ecosystem")</f>
        <v>DCD Ecosystem</v>
      </c>
    </row>
    <row r="3261">
      <c r="A3261" s="3" t="str">
        <f>IFERROR(__xludf.DUMMYFUNCTION("""COMPUTED_VALUE"""),"dchess-king")</f>
        <v>dchess-king</v>
      </c>
      <c r="B3261" s="3" t="str">
        <f>IFERROR(__xludf.DUMMYFUNCTION("""COMPUTED_VALUE"""),"king")</f>
        <v>king</v>
      </c>
      <c r="C3261" s="3" t="str">
        <f>IFERROR(__xludf.DUMMYFUNCTION("""COMPUTED_VALUE"""),"DChess King")</f>
        <v>DChess King</v>
      </c>
    </row>
    <row r="3262">
      <c r="A3262" s="3" t="str">
        <f>IFERROR(__xludf.DUMMYFUNCTION("""COMPUTED_VALUE"""),"dcoin-token")</f>
        <v>dcoin-token</v>
      </c>
      <c r="B3262" s="3" t="str">
        <f>IFERROR(__xludf.DUMMYFUNCTION("""COMPUTED_VALUE"""),"dt")</f>
        <v>dt</v>
      </c>
      <c r="C3262" s="3" t="str">
        <f>IFERROR(__xludf.DUMMYFUNCTION("""COMPUTED_VALUE"""),"Dcoin")</f>
        <v>Dcoin</v>
      </c>
    </row>
    <row r="3263">
      <c r="A3263" s="3" t="str">
        <f>IFERROR(__xludf.DUMMYFUNCTION("""COMPUTED_VALUE"""),"d-community")</f>
        <v>d-community</v>
      </c>
      <c r="B3263" s="3" t="str">
        <f>IFERROR(__xludf.DUMMYFUNCTION("""COMPUTED_VALUE"""),"dili")</f>
        <v>dili</v>
      </c>
      <c r="C3263" s="3" t="str">
        <f>IFERROR(__xludf.DUMMYFUNCTION("""COMPUTED_VALUE"""),"D Community")</f>
        <v>D Community</v>
      </c>
    </row>
    <row r="3264">
      <c r="A3264" s="3" t="str">
        <f>IFERROR(__xludf.DUMMYFUNCTION("""COMPUTED_VALUE"""),"dddx-protocol")</f>
        <v>dddx-protocol</v>
      </c>
      <c r="B3264" s="3" t="str">
        <f>IFERROR(__xludf.DUMMYFUNCTION("""COMPUTED_VALUE"""),"dddx")</f>
        <v>dddx</v>
      </c>
      <c r="C3264" s="3" t="str">
        <f>IFERROR(__xludf.DUMMYFUNCTION("""COMPUTED_VALUE"""),"DDDX Protocol")</f>
        <v>DDDX Protocol</v>
      </c>
    </row>
    <row r="3265">
      <c r="A3265" s="3" t="str">
        <f>IFERROR(__xludf.DUMMYFUNCTION("""COMPUTED_VALUE"""),"d-drops")</f>
        <v>d-drops</v>
      </c>
      <c r="B3265" s="3" t="str">
        <f>IFERROR(__xludf.DUMMYFUNCTION("""COMPUTED_VALUE"""),"dop")</f>
        <v>dop</v>
      </c>
      <c r="C3265" s="3" t="str">
        <f>IFERROR(__xludf.DUMMYFUNCTION("""COMPUTED_VALUE"""),"D-Drops")</f>
        <v>D-Drops</v>
      </c>
    </row>
    <row r="3266">
      <c r="A3266" s="3" t="str">
        <f>IFERROR(__xludf.DUMMYFUNCTION("""COMPUTED_VALUE"""),"dead-knight")</f>
        <v>dead-knight</v>
      </c>
      <c r="B3266" s="3" t="str">
        <f>IFERROR(__xludf.DUMMYFUNCTION("""COMPUTED_VALUE"""),"dkm")</f>
        <v>dkm</v>
      </c>
      <c r="C3266" s="3" t="str">
        <f>IFERROR(__xludf.DUMMYFUNCTION("""COMPUTED_VALUE"""),"Dead Knight")</f>
        <v>Dead Knight</v>
      </c>
    </row>
    <row r="3267">
      <c r="A3267" s="3" t="str">
        <f>IFERROR(__xludf.DUMMYFUNCTION("""COMPUTED_VALUE"""),"deadpxlz")</f>
        <v>deadpxlz</v>
      </c>
      <c r="B3267" s="3" t="str">
        <f>IFERROR(__xludf.DUMMYFUNCTION("""COMPUTED_VALUE"""),"ding")</f>
        <v>ding</v>
      </c>
      <c r="C3267" s="3" t="str">
        <f>IFERROR(__xludf.DUMMYFUNCTION("""COMPUTED_VALUE"""),"DEADPXLZ")</f>
        <v>DEADPXLZ</v>
      </c>
    </row>
    <row r="3268">
      <c r="A3268" s="3" t="str">
        <f>IFERROR(__xludf.DUMMYFUNCTION("""COMPUTED_VALUE"""),"deapcoin")</f>
        <v>deapcoin</v>
      </c>
      <c r="B3268" s="3" t="str">
        <f>IFERROR(__xludf.DUMMYFUNCTION("""COMPUTED_VALUE"""),"dep")</f>
        <v>dep</v>
      </c>
      <c r="C3268" s="3" t="str">
        <f>IFERROR(__xludf.DUMMYFUNCTION("""COMPUTED_VALUE"""),"DEAPCOIN")</f>
        <v>DEAPCOIN</v>
      </c>
    </row>
    <row r="3269">
      <c r="A3269" s="3" t="str">
        <f>IFERROR(__xludf.DUMMYFUNCTION("""COMPUTED_VALUE"""),"deathroad")</f>
        <v>deathroad</v>
      </c>
      <c r="B3269" s="3" t="str">
        <f>IFERROR(__xludf.DUMMYFUNCTION("""COMPUTED_VALUE"""),"drace")</f>
        <v>drace</v>
      </c>
      <c r="C3269" s="3" t="str">
        <f>IFERROR(__xludf.DUMMYFUNCTION("""COMPUTED_VALUE"""),"DeathRoad")</f>
        <v>DeathRoad</v>
      </c>
    </row>
    <row r="3270">
      <c r="A3270" s="3" t="str">
        <f>IFERROR(__xludf.DUMMYFUNCTION("""COMPUTED_VALUE"""),"death-token")</f>
        <v>death-token</v>
      </c>
      <c r="B3270" s="3" t="str">
        <f>IFERROR(__xludf.DUMMYFUNCTION("""COMPUTED_VALUE"""),"death")</f>
        <v>death</v>
      </c>
      <c r="C3270" s="3" t="str">
        <f>IFERROR(__xludf.DUMMYFUNCTION("""COMPUTED_VALUE"""),"Death")</f>
        <v>Death</v>
      </c>
    </row>
    <row r="3271">
      <c r="A3271" s="3" t="str">
        <f>IFERROR(__xludf.DUMMYFUNCTION("""COMPUTED_VALUE"""),"debio-network")</f>
        <v>debio-network</v>
      </c>
      <c r="B3271" s="3" t="str">
        <f>IFERROR(__xludf.DUMMYFUNCTION("""COMPUTED_VALUE"""),"dbio")</f>
        <v>dbio</v>
      </c>
      <c r="C3271" s="3" t="str">
        <f>IFERROR(__xludf.DUMMYFUNCTION("""COMPUTED_VALUE"""),"DeBio Network")</f>
        <v>DeBio Network</v>
      </c>
    </row>
    <row r="3272">
      <c r="A3272" s="3" t="str">
        <f>IFERROR(__xludf.DUMMYFUNCTION("""COMPUTED_VALUE"""),"debitum-network")</f>
        <v>debitum-network</v>
      </c>
      <c r="B3272" s="3" t="str">
        <f>IFERROR(__xludf.DUMMYFUNCTION("""COMPUTED_VALUE"""),"deb")</f>
        <v>deb</v>
      </c>
      <c r="C3272" s="3" t="str">
        <f>IFERROR(__xludf.DUMMYFUNCTION("""COMPUTED_VALUE"""),"Debitum Network")</f>
        <v>Debitum Network</v>
      </c>
    </row>
    <row r="3273">
      <c r="A3273" s="3" t="str">
        <f>IFERROR(__xludf.DUMMYFUNCTION("""COMPUTED_VALUE"""),"deblox")</f>
        <v>deblox</v>
      </c>
      <c r="B3273" s="3" t="str">
        <f>IFERROR(__xludf.DUMMYFUNCTION("""COMPUTED_VALUE"""),"dgs")</f>
        <v>dgs</v>
      </c>
      <c r="C3273" s="3" t="str">
        <f>IFERROR(__xludf.DUMMYFUNCTION("""COMPUTED_VALUE"""),"Deblox")</f>
        <v>Deblox</v>
      </c>
    </row>
    <row r="3274">
      <c r="A3274" s="3" t="str">
        <f>IFERROR(__xludf.DUMMYFUNCTION("""COMPUTED_VALUE"""),"decanect")</f>
        <v>decanect</v>
      </c>
      <c r="B3274" s="3" t="str">
        <f>IFERROR(__xludf.DUMMYFUNCTION("""COMPUTED_VALUE"""),"dcnt")</f>
        <v>dcnt</v>
      </c>
      <c r="C3274" s="3" t="str">
        <f>IFERROR(__xludf.DUMMYFUNCTION("""COMPUTED_VALUE"""),"Decanect")</f>
        <v>Decanect</v>
      </c>
    </row>
    <row r="3275">
      <c r="A3275" s="3" t="str">
        <f>IFERROR(__xludf.DUMMYFUNCTION("""COMPUTED_VALUE"""),"decaswap")</f>
        <v>decaswap</v>
      </c>
      <c r="B3275" s="3" t="str">
        <f>IFERROR(__xludf.DUMMYFUNCTION("""COMPUTED_VALUE"""),"deca")</f>
        <v>deca</v>
      </c>
      <c r="C3275" s="3" t="str">
        <f>IFERROR(__xludf.DUMMYFUNCTION("""COMPUTED_VALUE"""),"DecaSwap")</f>
        <v>DecaSwap</v>
      </c>
    </row>
    <row r="3276">
      <c r="A3276" s="3" t="str">
        <f>IFERROR(__xludf.DUMMYFUNCTION("""COMPUTED_VALUE"""),"decaswap-corn")</f>
        <v>decaswap-corn</v>
      </c>
      <c r="B3276" s="3" t="str">
        <f>IFERROR(__xludf.DUMMYFUNCTION("""COMPUTED_VALUE"""),"corn")</f>
        <v>corn</v>
      </c>
      <c r="C3276" s="3" t="str">
        <f>IFERROR(__xludf.DUMMYFUNCTION("""COMPUTED_VALUE"""),"DecaSwap CORN")</f>
        <v>DecaSwap CORN</v>
      </c>
    </row>
    <row r="3277">
      <c r="A3277" s="3" t="str">
        <f>IFERROR(__xludf.DUMMYFUNCTION("""COMPUTED_VALUE"""),"decentbet")</f>
        <v>decentbet</v>
      </c>
      <c r="B3277" s="3" t="str">
        <f>IFERROR(__xludf.DUMMYFUNCTION("""COMPUTED_VALUE"""),"dbet")</f>
        <v>dbet</v>
      </c>
      <c r="C3277" s="3" t="str">
        <f>IFERROR(__xludf.DUMMYFUNCTION("""COMPUTED_VALUE"""),"DecentBet")</f>
        <v>DecentBet</v>
      </c>
    </row>
    <row r="3278">
      <c r="A3278" s="3" t="str">
        <f>IFERROR(__xludf.DUMMYFUNCTION("""COMPUTED_VALUE"""),"decent-database")</f>
        <v>decent-database</v>
      </c>
      <c r="B3278" s="3" t="str">
        <f>IFERROR(__xludf.DUMMYFUNCTION("""COMPUTED_VALUE"""),"decent")</f>
        <v>decent</v>
      </c>
      <c r="C3278" s="3" t="str">
        <f>IFERROR(__xludf.DUMMYFUNCTION("""COMPUTED_VALUE"""),"DECENT Database")</f>
        <v>DECENT Database</v>
      </c>
    </row>
    <row r="3279">
      <c r="A3279" s="3" t="str">
        <f>IFERROR(__xludf.DUMMYFUNCTION("""COMPUTED_VALUE"""),"decentr")</f>
        <v>decentr</v>
      </c>
      <c r="B3279" s="3" t="str">
        <f>IFERROR(__xludf.DUMMYFUNCTION("""COMPUTED_VALUE"""),"dec")</f>
        <v>dec</v>
      </c>
      <c r="C3279" s="3" t="str">
        <f>IFERROR(__xludf.DUMMYFUNCTION("""COMPUTED_VALUE"""),"Decentr")</f>
        <v>Decentr</v>
      </c>
    </row>
    <row r="3280">
      <c r="A3280" s="3" t="str">
        <f>IFERROR(__xludf.DUMMYFUNCTION("""COMPUTED_VALUE"""),"decentrabnb")</f>
        <v>decentrabnb</v>
      </c>
      <c r="B3280" s="3" t="str">
        <f>IFERROR(__xludf.DUMMYFUNCTION("""COMPUTED_VALUE"""),"dbnb")</f>
        <v>dbnb</v>
      </c>
      <c r="C3280" s="3" t="str">
        <f>IFERROR(__xludf.DUMMYFUNCTION("""COMPUTED_VALUE"""),"DecentraBNB")</f>
        <v>DecentraBNB</v>
      </c>
    </row>
    <row r="3281">
      <c r="A3281" s="3" t="str">
        <f>IFERROR(__xludf.DUMMYFUNCTION("""COMPUTED_VALUE"""),"decentrahub-coin")</f>
        <v>decentrahub-coin</v>
      </c>
      <c r="B3281" s="3" t="str">
        <f>IFERROR(__xludf.DUMMYFUNCTION("""COMPUTED_VALUE"""),"dcntr")</f>
        <v>dcntr</v>
      </c>
      <c r="C3281" s="3" t="str">
        <f>IFERROR(__xludf.DUMMYFUNCTION("""COMPUTED_VALUE"""),"Decentrahub Coin")</f>
        <v>Decentrahub Coin</v>
      </c>
    </row>
    <row r="3282">
      <c r="A3282" s="3" t="str">
        <f>IFERROR(__xludf.DUMMYFUNCTION("""COMPUTED_VALUE"""),"decentraland")</f>
        <v>decentraland</v>
      </c>
      <c r="B3282" s="3" t="str">
        <f>IFERROR(__xludf.DUMMYFUNCTION("""COMPUTED_VALUE"""),"mana")</f>
        <v>mana</v>
      </c>
      <c r="C3282" s="3" t="str">
        <f>IFERROR(__xludf.DUMMYFUNCTION("""COMPUTED_VALUE"""),"Decentraland")</f>
        <v>Decentraland</v>
      </c>
    </row>
    <row r="3283">
      <c r="A3283" s="3" t="str">
        <f>IFERROR(__xludf.DUMMYFUNCTION("""COMPUTED_VALUE"""),"decentraland-wormhole")</f>
        <v>decentraland-wormhole</v>
      </c>
      <c r="B3283" s="3" t="str">
        <f>IFERROR(__xludf.DUMMYFUNCTION("""COMPUTED_VALUE"""),"mana")</f>
        <v>mana</v>
      </c>
      <c r="C3283" s="3" t="str">
        <f>IFERROR(__xludf.DUMMYFUNCTION("""COMPUTED_VALUE"""),"Decentraland (Wormhole)")</f>
        <v>Decentraland (Wormhole)</v>
      </c>
    </row>
    <row r="3284">
      <c r="A3284" s="3" t="str">
        <f>IFERROR(__xludf.DUMMYFUNCTION("""COMPUTED_VALUE"""),"decentral-games")</f>
        <v>decentral-games</v>
      </c>
      <c r="B3284" s="3" t="str">
        <f>IFERROR(__xludf.DUMMYFUNCTION("""COMPUTED_VALUE"""),"dg")</f>
        <v>dg</v>
      </c>
      <c r="C3284" s="3" t="str">
        <f>IFERROR(__xludf.DUMMYFUNCTION("""COMPUTED_VALUE"""),"Decentral Games")</f>
        <v>Decentral Games</v>
      </c>
    </row>
    <row r="3285">
      <c r="A3285" s="3" t="str">
        <f>IFERROR(__xludf.DUMMYFUNCTION("""COMPUTED_VALUE"""),"decentral-games-governance")</f>
        <v>decentral-games-governance</v>
      </c>
      <c r="B3285" s="3" t="str">
        <f>IFERROR(__xludf.DUMMYFUNCTION("""COMPUTED_VALUE"""),"xdg")</f>
        <v>xdg</v>
      </c>
      <c r="C3285" s="3" t="str">
        <f>IFERROR(__xludf.DUMMYFUNCTION("""COMPUTED_VALUE"""),"Decentral Games Governance")</f>
        <v>Decentral Games Governance</v>
      </c>
    </row>
    <row r="3286">
      <c r="A3286" s="3" t="str">
        <f>IFERROR(__xludf.DUMMYFUNCTION("""COMPUTED_VALUE"""),"decentral-games-ice")</f>
        <v>decentral-games-ice</v>
      </c>
      <c r="B3286" s="3" t="str">
        <f>IFERROR(__xludf.DUMMYFUNCTION("""COMPUTED_VALUE"""),"ice")</f>
        <v>ice</v>
      </c>
      <c r="C3286" s="3" t="str">
        <f>IFERROR(__xludf.DUMMYFUNCTION("""COMPUTED_VALUE"""),"Decentral Games ICE")</f>
        <v>Decentral Games ICE</v>
      </c>
    </row>
    <row r="3287">
      <c r="A3287" s="3" t="str">
        <f>IFERROR(__xludf.DUMMYFUNCTION("""COMPUTED_VALUE"""),"decentral-games-old")</f>
        <v>decentral-games-old</v>
      </c>
      <c r="B3287" s="3" t="str">
        <f>IFERROR(__xludf.DUMMYFUNCTION("""COMPUTED_VALUE"""),"dg")</f>
        <v>dg</v>
      </c>
      <c r="C3287" s="3" t="str">
        <f>IFERROR(__xludf.DUMMYFUNCTION("""COMPUTED_VALUE"""),"Decentral Games (Old)")</f>
        <v>Decentral Games (Old)</v>
      </c>
    </row>
    <row r="3288">
      <c r="A3288" s="3" t="str">
        <f>IFERROR(__xludf.DUMMYFUNCTION("""COMPUTED_VALUE"""),"decentralized-activism")</f>
        <v>decentralized-activism</v>
      </c>
      <c r="B3288" s="3" t="str">
        <f>IFERROR(__xludf.DUMMYFUNCTION("""COMPUTED_VALUE"""),"dact")</f>
        <v>dact</v>
      </c>
      <c r="C3288" s="3" t="str">
        <f>IFERROR(__xludf.DUMMYFUNCTION("""COMPUTED_VALUE"""),"Decentralized Activism")</f>
        <v>Decentralized Activism</v>
      </c>
    </row>
    <row r="3289">
      <c r="A3289" s="3" t="str">
        <f>IFERROR(__xludf.DUMMYFUNCTION("""COMPUTED_VALUE"""),"decentralized-advertising")</f>
        <v>decentralized-advertising</v>
      </c>
      <c r="B3289" s="3" t="str">
        <f>IFERROR(__xludf.DUMMYFUNCTION("""COMPUTED_VALUE"""),"dad")</f>
        <v>dad</v>
      </c>
      <c r="C3289" s="3" t="str">
        <f>IFERROR(__xludf.DUMMYFUNCTION("""COMPUTED_VALUE"""),"DAD")</f>
        <v>DAD</v>
      </c>
    </row>
    <row r="3290">
      <c r="A3290" s="3" t="str">
        <f>IFERROR(__xludf.DUMMYFUNCTION("""COMPUTED_VALUE"""),"decentralized-asset-trading-platform")</f>
        <v>decentralized-asset-trading-platform</v>
      </c>
      <c r="B3290" s="3" t="str">
        <f>IFERROR(__xludf.DUMMYFUNCTION("""COMPUTED_VALUE"""),"datp")</f>
        <v>datp</v>
      </c>
      <c r="C3290" s="3" t="str">
        <f>IFERROR(__xludf.DUMMYFUNCTION("""COMPUTED_VALUE"""),"Decentralized Asset Trading Platform")</f>
        <v>Decentralized Asset Trading Platform</v>
      </c>
    </row>
    <row r="3291">
      <c r="A3291" s="3" t="str">
        <f>IFERROR(__xludf.DUMMYFUNCTION("""COMPUTED_VALUE"""),"decentralized-autonomous-organization")</f>
        <v>decentralized-autonomous-organization</v>
      </c>
      <c r="B3291" s="3" t="str">
        <f>IFERROR(__xludf.DUMMYFUNCTION("""COMPUTED_VALUE"""),"dao")</f>
        <v>dao</v>
      </c>
      <c r="C3291" s="3" t="str">
        <f>IFERROR(__xludf.DUMMYFUNCTION("""COMPUTED_VALUE"""),"Decentralized Autonomous Organization")</f>
        <v>Decentralized Autonomous Organization</v>
      </c>
    </row>
    <row r="3292">
      <c r="A3292" s="3" t="str">
        <f>IFERROR(__xludf.DUMMYFUNCTION("""COMPUTED_VALUE"""),"decentralized-business-systems")</f>
        <v>decentralized-business-systems</v>
      </c>
      <c r="B3292" s="3" t="str">
        <f>IFERROR(__xludf.DUMMYFUNCTION("""COMPUTED_VALUE"""),"dbs")</f>
        <v>dbs</v>
      </c>
      <c r="C3292" s="3" t="str">
        <f>IFERROR(__xludf.DUMMYFUNCTION("""COMPUTED_VALUE"""),"Decentralized Business Systems")</f>
        <v>Decentralized Business Systems</v>
      </c>
    </row>
    <row r="3293">
      <c r="A3293" s="3" t="str">
        <f>IFERROR(__xludf.DUMMYFUNCTION("""COMPUTED_VALUE"""),"decentralized-community-investment-protocol")</f>
        <v>decentralized-community-investment-protocol</v>
      </c>
      <c r="B3293" s="3" t="str">
        <f>IFERROR(__xludf.DUMMYFUNCTION("""COMPUTED_VALUE"""),"dcip")</f>
        <v>dcip</v>
      </c>
      <c r="C3293" s="3" t="str">
        <f>IFERROR(__xludf.DUMMYFUNCTION("""COMPUTED_VALUE"""),"Decentralized Community Investment Protocol")</f>
        <v>Decentralized Community Investment Protocol</v>
      </c>
    </row>
    <row r="3294">
      <c r="A3294" s="3" t="str">
        <f>IFERROR(__xludf.DUMMYFUNCTION("""COMPUTED_VALUE"""),"decentralized-currency-assets")</f>
        <v>decentralized-currency-assets</v>
      </c>
      <c r="B3294" s="3" t="str">
        <f>IFERROR(__xludf.DUMMYFUNCTION("""COMPUTED_VALUE"""),"dca")</f>
        <v>dca</v>
      </c>
      <c r="C3294" s="3" t="str">
        <f>IFERROR(__xludf.DUMMYFUNCTION("""COMPUTED_VALUE"""),"Decentralize Currency")</f>
        <v>Decentralize Currency</v>
      </c>
    </row>
    <row r="3295">
      <c r="A3295" s="3" t="str">
        <f>IFERROR(__xludf.DUMMYFUNCTION("""COMPUTED_VALUE"""),"decentralized-liquidity-program")</f>
        <v>decentralized-liquidity-program</v>
      </c>
      <c r="B3295" s="3" t="str">
        <f>IFERROR(__xludf.DUMMYFUNCTION("""COMPUTED_VALUE"""),"dlp")</f>
        <v>dlp</v>
      </c>
      <c r="C3295" s="3" t="str">
        <f>IFERROR(__xludf.DUMMYFUNCTION("""COMPUTED_VALUE"""),"Decentralized Liquidity Program")</f>
        <v>Decentralized Liquidity Program</v>
      </c>
    </row>
    <row r="3296">
      <c r="A3296" s="3" t="str">
        <f>IFERROR(__xludf.DUMMYFUNCTION("""COMPUTED_VALUE"""),"decentralized-machine-learning")</f>
        <v>decentralized-machine-learning</v>
      </c>
      <c r="B3296" s="3" t="str">
        <f>IFERROR(__xludf.DUMMYFUNCTION("""COMPUTED_VALUE"""),"dml")</f>
        <v>dml</v>
      </c>
      <c r="C3296" s="3" t="str">
        <f>IFERROR(__xludf.DUMMYFUNCTION("""COMPUTED_VALUE"""),"Decentralized Machine Learning Protocol")</f>
        <v>Decentralized Machine Learning Protocol</v>
      </c>
    </row>
    <row r="3297">
      <c r="A3297" s="3" t="str">
        <f>IFERROR(__xludf.DUMMYFUNCTION("""COMPUTED_VALUE"""),"decentralized-mining-exchange")</f>
        <v>decentralized-mining-exchange</v>
      </c>
      <c r="B3297" s="3" t="str">
        <f>IFERROR(__xludf.DUMMYFUNCTION("""COMPUTED_VALUE"""),"dmc")</f>
        <v>dmc</v>
      </c>
      <c r="C3297" s="3" t="str">
        <f>IFERROR(__xludf.DUMMYFUNCTION("""COMPUTED_VALUE"""),"Decentralized Mining Exchange")</f>
        <v>Decentralized Mining Exchange</v>
      </c>
    </row>
    <row r="3298">
      <c r="A3298" s="3" t="str">
        <f>IFERROR(__xludf.DUMMYFUNCTION("""COMPUTED_VALUE"""),"decentralized-nations")</f>
        <v>decentralized-nations</v>
      </c>
      <c r="B3298" s="3" t="str">
        <f>IFERROR(__xludf.DUMMYFUNCTION("""COMPUTED_VALUE"""),"dena")</f>
        <v>dena</v>
      </c>
      <c r="C3298" s="3" t="str">
        <f>IFERROR(__xludf.DUMMYFUNCTION("""COMPUTED_VALUE"""),"Decentralized Nations")</f>
        <v>Decentralized Nations</v>
      </c>
    </row>
    <row r="3299">
      <c r="A3299" s="3" t="str">
        <f>IFERROR(__xludf.DUMMYFUNCTION("""COMPUTED_VALUE"""),"decentralized-pirates")</f>
        <v>decentralized-pirates</v>
      </c>
      <c r="B3299" s="3" t="str">
        <f>IFERROR(__xludf.DUMMYFUNCTION("""COMPUTED_VALUE"""),"depi")</f>
        <v>depi</v>
      </c>
      <c r="C3299" s="3" t="str">
        <f>IFERROR(__xludf.DUMMYFUNCTION("""COMPUTED_VALUE"""),"Decentralized Pirates")</f>
        <v>Decentralized Pirates</v>
      </c>
    </row>
    <row r="3300">
      <c r="A3300" s="3" t="str">
        <f>IFERROR(__xludf.DUMMYFUNCTION("""COMPUTED_VALUE"""),"decentralized-united")</f>
        <v>decentralized-united</v>
      </c>
      <c r="B3300" s="3" t="str">
        <f>IFERROR(__xludf.DUMMYFUNCTION("""COMPUTED_VALUE"""),"dcu")</f>
        <v>dcu</v>
      </c>
      <c r="C3300" s="3" t="str">
        <f>IFERROR(__xludf.DUMMYFUNCTION("""COMPUTED_VALUE"""),"Decentralized United")</f>
        <v>Decentralized United</v>
      </c>
    </row>
    <row r="3301">
      <c r="A3301" s="3" t="str">
        <f>IFERROR(__xludf.DUMMYFUNCTION("""COMPUTED_VALUE"""),"decentralized-universal-basic-income")</f>
        <v>decentralized-universal-basic-income</v>
      </c>
      <c r="B3301" s="3" t="str">
        <f>IFERROR(__xludf.DUMMYFUNCTION("""COMPUTED_VALUE"""),"dubi")</f>
        <v>dubi</v>
      </c>
      <c r="C3301" s="3" t="str">
        <f>IFERROR(__xludf.DUMMYFUNCTION("""COMPUTED_VALUE"""),"Decentralized Universal Basic Income")</f>
        <v>Decentralized Universal Basic Income</v>
      </c>
    </row>
    <row r="3302">
      <c r="A3302" s="3" t="str">
        <f>IFERROR(__xludf.DUMMYFUNCTION("""COMPUTED_VALUE"""),"decentralized-usd")</f>
        <v>decentralized-usd</v>
      </c>
      <c r="B3302" s="3" t="str">
        <f>IFERROR(__xludf.DUMMYFUNCTION("""COMPUTED_VALUE"""),"dusd")</f>
        <v>dusd</v>
      </c>
      <c r="C3302" s="3" t="str">
        <f>IFERROR(__xludf.DUMMYFUNCTION("""COMPUTED_VALUE"""),"Decentralized USD")</f>
        <v>Decentralized USD</v>
      </c>
    </row>
    <row r="3303">
      <c r="A3303" s="3" t="str">
        <f>IFERROR(__xludf.DUMMYFUNCTION("""COMPUTED_VALUE"""),"decentralized-vulnerability-platform")</f>
        <v>decentralized-vulnerability-platform</v>
      </c>
      <c r="B3303" s="3" t="str">
        <f>IFERROR(__xludf.DUMMYFUNCTION("""COMPUTED_VALUE"""),"dvp")</f>
        <v>dvp</v>
      </c>
      <c r="C3303" s="3" t="str">
        <f>IFERROR(__xludf.DUMMYFUNCTION("""COMPUTED_VALUE"""),"Decentralized Vulnerability Platform")</f>
        <v>Decentralized Vulnerability Platform</v>
      </c>
    </row>
    <row r="3304">
      <c r="A3304" s="3" t="str">
        <f>IFERROR(__xludf.DUMMYFUNCTION("""COMPUTED_VALUE"""),"decentra-lotto")</f>
        <v>decentra-lotto</v>
      </c>
      <c r="B3304" s="3" t="str">
        <f>IFERROR(__xludf.DUMMYFUNCTION("""COMPUTED_VALUE"""),"delo")</f>
        <v>delo</v>
      </c>
      <c r="C3304" s="3" t="str">
        <f>IFERROR(__xludf.DUMMYFUNCTION("""COMPUTED_VALUE"""),"Decentra-Lotto")</f>
        <v>Decentra-Lotto</v>
      </c>
    </row>
    <row r="3305">
      <c r="A3305" s="3" t="str">
        <f>IFERROR(__xludf.DUMMYFUNCTION("""COMPUTED_VALUE"""),"decentralway")</f>
        <v>decentralway</v>
      </c>
      <c r="B3305" s="3" t="str">
        <f>IFERROR(__xludf.DUMMYFUNCTION("""COMPUTED_VALUE"""),"dcw")</f>
        <v>dcw</v>
      </c>
      <c r="C3305" s="3" t="str">
        <f>IFERROR(__xludf.DUMMYFUNCTION("""COMPUTED_VALUE"""),"Decentralway")</f>
        <v>Decentralway</v>
      </c>
    </row>
    <row r="3306">
      <c r="A3306" s="3" t="str">
        <f>IFERROR(__xludf.DUMMYFUNCTION("""COMPUTED_VALUE"""),"decentraweb")</f>
        <v>decentraweb</v>
      </c>
      <c r="B3306" s="3" t="str">
        <f>IFERROR(__xludf.DUMMYFUNCTION("""COMPUTED_VALUE"""),"dweb")</f>
        <v>dweb</v>
      </c>
      <c r="C3306" s="3" t="str">
        <f>IFERROR(__xludf.DUMMYFUNCTION("""COMPUTED_VALUE"""),"DecentraWeb")</f>
        <v>DecentraWeb</v>
      </c>
    </row>
    <row r="3307">
      <c r="A3307" s="3" t="str">
        <f>IFERROR(__xludf.DUMMYFUNCTION("""COMPUTED_VALUE"""),"decentsol")</f>
        <v>decentsol</v>
      </c>
      <c r="B3307" s="3" t="str">
        <f>IFERROR(__xludf.DUMMYFUNCTION("""COMPUTED_VALUE"""),"dsol")</f>
        <v>dsol</v>
      </c>
      <c r="C3307" s="3" t="str">
        <f>IFERROR(__xludf.DUMMYFUNCTION("""COMPUTED_VALUE"""),"DecentSol")</f>
        <v>DecentSol</v>
      </c>
    </row>
    <row r="3308">
      <c r="A3308" s="3" t="str">
        <f>IFERROR(__xludf.DUMMYFUNCTION("""COMPUTED_VALUE"""),"decenturion")</f>
        <v>decenturion</v>
      </c>
      <c r="B3308" s="3" t="str">
        <f>IFERROR(__xludf.DUMMYFUNCTION("""COMPUTED_VALUE"""),"dcnt")</f>
        <v>dcnt</v>
      </c>
      <c r="C3308" s="3" t="str">
        <f>IFERROR(__xludf.DUMMYFUNCTION("""COMPUTED_VALUE"""),"Decenturion")</f>
        <v>Decenturion</v>
      </c>
    </row>
    <row r="3309">
      <c r="A3309" s="3" t="str">
        <f>IFERROR(__xludf.DUMMYFUNCTION("""COMPUTED_VALUE"""),"dechart")</f>
        <v>dechart</v>
      </c>
      <c r="B3309" s="3" t="str">
        <f>IFERROR(__xludf.DUMMYFUNCTION("""COMPUTED_VALUE"""),"dch")</f>
        <v>dch</v>
      </c>
      <c r="C3309" s="3" t="str">
        <f>IFERROR(__xludf.DUMMYFUNCTION("""COMPUTED_VALUE"""),"DeChart")</f>
        <v>DeChart</v>
      </c>
    </row>
    <row r="3310">
      <c r="A3310" s="3" t="str">
        <f>IFERROR(__xludf.DUMMYFUNCTION("""COMPUTED_VALUE"""),"decimal")</f>
        <v>decimal</v>
      </c>
      <c r="B3310" s="3" t="str">
        <f>IFERROR(__xludf.DUMMYFUNCTION("""COMPUTED_VALUE"""),"del")</f>
        <v>del</v>
      </c>
      <c r="C3310" s="3" t="str">
        <f>IFERROR(__xludf.DUMMYFUNCTION("""COMPUTED_VALUE"""),"Decimal")</f>
        <v>Decimal</v>
      </c>
    </row>
    <row r="3311">
      <c r="A3311" s="3" t="str">
        <f>IFERROR(__xludf.DUMMYFUNCTION("""COMPUTED_VALUE"""),"decimated")</f>
        <v>decimated</v>
      </c>
      <c r="B3311" s="3" t="str">
        <f>IFERROR(__xludf.DUMMYFUNCTION("""COMPUTED_VALUE"""),"dio")</f>
        <v>dio</v>
      </c>
      <c r="C3311" s="3" t="str">
        <f>IFERROR(__xludf.DUMMYFUNCTION("""COMPUTED_VALUE"""),"Decimated")</f>
        <v>Decimated</v>
      </c>
    </row>
    <row r="3312">
      <c r="A3312" s="3" t="str">
        <f>IFERROR(__xludf.DUMMYFUNCTION("""COMPUTED_VALUE"""),"decode-coin")</f>
        <v>decode-coin</v>
      </c>
      <c r="B3312" s="3" t="str">
        <f>IFERROR(__xludf.DUMMYFUNCTION("""COMPUTED_VALUE"""),"decode")</f>
        <v>decode</v>
      </c>
      <c r="C3312" s="3" t="str">
        <f>IFERROR(__xludf.DUMMYFUNCTION("""COMPUTED_VALUE"""),"Decode Coin")</f>
        <v>Decode Coin</v>
      </c>
    </row>
    <row r="3313">
      <c r="A3313" s="3" t="str">
        <f>IFERROR(__xludf.DUMMYFUNCTION("""COMPUTED_VALUE"""),"decoin")</f>
        <v>decoin</v>
      </c>
      <c r="B3313" s="3" t="str">
        <f>IFERROR(__xludf.DUMMYFUNCTION("""COMPUTED_VALUE"""),"dtep")</f>
        <v>dtep</v>
      </c>
      <c r="C3313" s="3" t="str">
        <f>IFERROR(__xludf.DUMMYFUNCTION("""COMPUTED_VALUE"""),"Decoin")</f>
        <v>Decoin</v>
      </c>
    </row>
    <row r="3314">
      <c r="A3314" s="3" t="str">
        <f>IFERROR(__xludf.DUMMYFUNCTION("""COMPUTED_VALUE"""),"decred")</f>
        <v>decred</v>
      </c>
      <c r="B3314" s="3" t="str">
        <f>IFERROR(__xludf.DUMMYFUNCTION("""COMPUTED_VALUE"""),"dcr")</f>
        <v>dcr</v>
      </c>
      <c r="C3314" s="3" t="str">
        <f>IFERROR(__xludf.DUMMYFUNCTION("""COMPUTED_VALUE"""),"Decred")</f>
        <v>Decred</v>
      </c>
    </row>
    <row r="3315">
      <c r="A3315" s="3" t="str">
        <f>IFERROR(__xludf.DUMMYFUNCTION("""COMPUTED_VALUE"""),"decredit")</f>
        <v>decredit</v>
      </c>
      <c r="B3315" s="3" t="str">
        <f>IFERROR(__xludf.DUMMYFUNCTION("""COMPUTED_VALUE"""),"cdtc")</f>
        <v>cdtc</v>
      </c>
      <c r="C3315" s="3" t="str">
        <f>IFERROR(__xludf.DUMMYFUNCTION("""COMPUTED_VALUE"""),"DeCredit")</f>
        <v>DeCredit</v>
      </c>
    </row>
    <row r="3316">
      <c r="A3316" s="3" t="str">
        <f>IFERROR(__xludf.DUMMYFUNCTION("""COMPUTED_VALUE"""),"decred-next")</f>
        <v>decred-next</v>
      </c>
      <c r="B3316" s="3" t="str">
        <f>IFERROR(__xludf.DUMMYFUNCTION("""COMPUTED_VALUE"""),"dcrn")</f>
        <v>dcrn</v>
      </c>
      <c r="C3316" s="3" t="str">
        <f>IFERROR(__xludf.DUMMYFUNCTION("""COMPUTED_VALUE"""),"Decred-Next")</f>
        <v>Decred-Next</v>
      </c>
    </row>
    <row r="3317">
      <c r="A3317" s="3" t="str">
        <f>IFERROR(__xludf.DUMMYFUNCTION("""COMPUTED_VALUE"""),"decubate")</f>
        <v>decubate</v>
      </c>
      <c r="B3317" s="3" t="str">
        <f>IFERROR(__xludf.DUMMYFUNCTION("""COMPUTED_VALUE"""),"dcb")</f>
        <v>dcb</v>
      </c>
      <c r="C3317" s="3" t="str">
        <f>IFERROR(__xludf.DUMMYFUNCTION("""COMPUTED_VALUE"""),"Decubate")</f>
        <v>Decubate</v>
      </c>
    </row>
    <row r="3318">
      <c r="A3318" s="3" t="str">
        <f>IFERROR(__xludf.DUMMYFUNCTION("""COMPUTED_VALUE"""),"decurian")</f>
        <v>decurian</v>
      </c>
      <c r="B3318" s="3" t="str">
        <f>IFERROR(__xludf.DUMMYFUNCTION("""COMPUTED_VALUE"""),"ecu")</f>
        <v>ecu</v>
      </c>
      <c r="C3318" s="3" t="str">
        <f>IFERROR(__xludf.DUMMYFUNCTION("""COMPUTED_VALUE"""),"Decurian")</f>
        <v>Decurian</v>
      </c>
    </row>
    <row r="3319">
      <c r="A3319" s="3" t="str">
        <f>IFERROR(__xludf.DUMMYFUNCTION("""COMPUTED_VALUE"""),"deep-blue-sea")</f>
        <v>deep-blue-sea</v>
      </c>
      <c r="B3319" s="3" t="str">
        <f>IFERROR(__xludf.DUMMYFUNCTION("""COMPUTED_VALUE"""),"dbea")</f>
        <v>dbea</v>
      </c>
      <c r="C3319" s="3" t="str">
        <f>IFERROR(__xludf.DUMMYFUNCTION("""COMPUTED_VALUE"""),"Deep Blue Sea")</f>
        <v>Deep Blue Sea</v>
      </c>
    </row>
    <row r="3320">
      <c r="A3320" s="3" t="str">
        <f>IFERROR(__xludf.DUMMYFUNCTION("""COMPUTED_VALUE"""),"deepbrain-chain")</f>
        <v>deepbrain-chain</v>
      </c>
      <c r="B3320" s="3" t="str">
        <f>IFERROR(__xludf.DUMMYFUNCTION("""COMPUTED_VALUE"""),"dbc")</f>
        <v>dbc</v>
      </c>
      <c r="C3320" s="3" t="str">
        <f>IFERROR(__xludf.DUMMYFUNCTION("""COMPUTED_VALUE"""),"DeepBrain Chain")</f>
        <v>DeepBrain Chain</v>
      </c>
    </row>
    <row r="3321">
      <c r="A3321" s="3" t="str">
        <f>IFERROR(__xludf.DUMMYFUNCTION("""COMPUTED_VALUE"""),"deepcloud-ai")</f>
        <v>deepcloud-ai</v>
      </c>
      <c r="B3321" s="3" t="str">
        <f>IFERROR(__xludf.DUMMYFUNCTION("""COMPUTED_VALUE"""),"deep")</f>
        <v>deep</v>
      </c>
      <c r="C3321" s="3" t="str">
        <f>IFERROR(__xludf.DUMMYFUNCTION("""COMPUTED_VALUE"""),"DeepCloud AI")</f>
        <v>DeepCloud AI</v>
      </c>
    </row>
    <row r="3322">
      <c r="A3322" s="3" t="str">
        <f>IFERROR(__xludf.DUMMYFUNCTION("""COMPUTED_VALUE"""),"deeper-network")</f>
        <v>deeper-network</v>
      </c>
      <c r="B3322" s="3" t="str">
        <f>IFERROR(__xludf.DUMMYFUNCTION("""COMPUTED_VALUE"""),"dpr")</f>
        <v>dpr</v>
      </c>
      <c r="C3322" s="3" t="str">
        <f>IFERROR(__xludf.DUMMYFUNCTION("""COMPUTED_VALUE"""),"Deeper Network")</f>
        <v>Deeper Network</v>
      </c>
    </row>
    <row r="3323">
      <c r="A3323" s="3" t="str">
        <f>IFERROR(__xludf.DUMMYFUNCTION("""COMPUTED_VALUE"""),"deeponion")</f>
        <v>deeponion</v>
      </c>
      <c r="B3323" s="3" t="str">
        <f>IFERROR(__xludf.DUMMYFUNCTION("""COMPUTED_VALUE"""),"onion")</f>
        <v>onion</v>
      </c>
      <c r="C3323" s="3" t="str">
        <f>IFERROR(__xludf.DUMMYFUNCTION("""COMPUTED_VALUE"""),"DeepOnion")</f>
        <v>DeepOnion</v>
      </c>
    </row>
    <row r="3324">
      <c r="A3324" s="3" t="str">
        <f>IFERROR(__xludf.DUMMYFUNCTION("""COMPUTED_VALUE"""),"deepspace")</f>
        <v>deepspace</v>
      </c>
      <c r="B3324" s="3" t="str">
        <f>IFERROR(__xludf.DUMMYFUNCTION("""COMPUTED_VALUE"""),"dps")</f>
        <v>dps</v>
      </c>
      <c r="C3324" s="3" t="str">
        <f>IFERROR(__xludf.DUMMYFUNCTION("""COMPUTED_VALUE"""),"DEEPSPACE")</f>
        <v>DEEPSPACE</v>
      </c>
    </row>
    <row r="3325">
      <c r="A3325" s="3" t="str">
        <f>IFERROR(__xludf.DUMMYFUNCTION("""COMPUTED_VALUE"""),"deepspace-token")</f>
        <v>deepspace-token</v>
      </c>
      <c r="B3325" s="3" t="str">
        <f>IFERROR(__xludf.DUMMYFUNCTION("""COMPUTED_VALUE"""),"dxo")</f>
        <v>dxo</v>
      </c>
      <c r="C3325" s="3" t="str">
        <f>IFERROR(__xludf.DUMMYFUNCTION("""COMPUTED_VALUE"""),"DeepSpace DXO")</f>
        <v>DeepSpace DXO</v>
      </c>
    </row>
    <row r="3326">
      <c r="A3326" s="3" t="str">
        <f>IFERROR(__xludf.DUMMYFUNCTION("""COMPUTED_VALUE"""),"deesse")</f>
        <v>deesse</v>
      </c>
      <c r="B3326" s="3" t="str">
        <f>IFERROR(__xludf.DUMMYFUNCTION("""COMPUTED_VALUE"""),"love")</f>
        <v>love</v>
      </c>
      <c r="C3326" s="3" t="str">
        <f>IFERROR(__xludf.DUMMYFUNCTION("""COMPUTED_VALUE"""),"Deesse")</f>
        <v>Deesse</v>
      </c>
    </row>
    <row r="3327">
      <c r="A3327" s="3" t="str">
        <f>IFERROR(__xludf.DUMMYFUNCTION("""COMPUTED_VALUE"""),"deez-nuts")</f>
        <v>deez-nuts</v>
      </c>
      <c r="B3327" s="3" t="str">
        <f>IFERROR(__xludf.DUMMYFUNCTION("""COMPUTED_VALUE"""),"deeznuts")</f>
        <v>deeznuts</v>
      </c>
      <c r="C3327" s="3" t="str">
        <f>IFERROR(__xludf.DUMMYFUNCTION("""COMPUTED_VALUE"""),"Deez Nuts")</f>
        <v>Deez Nuts</v>
      </c>
    </row>
    <row r="3328">
      <c r="A3328" s="3" t="str">
        <f>IFERROR(__xludf.DUMMYFUNCTION("""COMPUTED_VALUE"""),"defactor")</f>
        <v>defactor</v>
      </c>
      <c r="B3328" s="3" t="str">
        <f>IFERROR(__xludf.DUMMYFUNCTION("""COMPUTED_VALUE"""),"factr")</f>
        <v>factr</v>
      </c>
      <c r="C3328" s="3" t="str">
        <f>IFERROR(__xludf.DUMMYFUNCTION("""COMPUTED_VALUE"""),"Defactor")</f>
        <v>Defactor</v>
      </c>
    </row>
    <row r="3329">
      <c r="A3329" s="3" t="str">
        <f>IFERROR(__xludf.DUMMYFUNCTION("""COMPUTED_VALUE"""),"defhold")</f>
        <v>defhold</v>
      </c>
      <c r="B3329" s="3" t="str">
        <f>IFERROR(__xludf.DUMMYFUNCTION("""COMPUTED_VALUE"""),"defo")</f>
        <v>defo</v>
      </c>
      <c r="C3329" s="3" t="str">
        <f>IFERROR(__xludf.DUMMYFUNCTION("""COMPUTED_VALUE"""),"DefHold")</f>
        <v>DefHold</v>
      </c>
    </row>
    <row r="3330">
      <c r="A3330" s="3" t="str">
        <f>IFERROR(__xludf.DUMMYFUNCTION("""COMPUTED_VALUE"""),"defi11")</f>
        <v>defi11</v>
      </c>
      <c r="B3330" s="3" t="str">
        <f>IFERROR(__xludf.DUMMYFUNCTION("""COMPUTED_VALUE"""),"d11")</f>
        <v>d11</v>
      </c>
      <c r="C3330" s="3" t="str">
        <f>IFERROR(__xludf.DUMMYFUNCTION("""COMPUTED_VALUE"""),"DeFi11")</f>
        <v>DeFi11</v>
      </c>
    </row>
    <row r="3331">
      <c r="A3331" s="3" t="str">
        <f>IFERROR(__xludf.DUMMYFUNCTION("""COMPUTED_VALUE"""),"defiai")</f>
        <v>defiai</v>
      </c>
      <c r="B3331" s="3" t="str">
        <f>IFERROR(__xludf.DUMMYFUNCTION("""COMPUTED_VALUE"""),"dfai")</f>
        <v>dfai</v>
      </c>
      <c r="C3331" s="3" t="str">
        <f>IFERROR(__xludf.DUMMYFUNCTION("""COMPUTED_VALUE"""),"DeFiAI")</f>
        <v>DeFiAI</v>
      </c>
    </row>
    <row r="3332">
      <c r="A3332" s="3" t="str">
        <f>IFERROR(__xludf.DUMMYFUNCTION("""COMPUTED_VALUE"""),"defiato")</f>
        <v>defiato</v>
      </c>
      <c r="B3332" s="3" t="str">
        <f>IFERROR(__xludf.DUMMYFUNCTION("""COMPUTED_VALUE"""),"dfiat")</f>
        <v>dfiat</v>
      </c>
      <c r="C3332" s="3" t="str">
        <f>IFERROR(__xludf.DUMMYFUNCTION("""COMPUTED_VALUE"""),"DeFiato")</f>
        <v>DeFiato</v>
      </c>
    </row>
    <row r="3333">
      <c r="A3333" s="3" t="str">
        <f>IFERROR(__xludf.DUMMYFUNCTION("""COMPUTED_VALUE"""),"defi-bank-tycoon")</f>
        <v>defi-bank-tycoon</v>
      </c>
      <c r="B3333" s="3" t="str">
        <f>IFERROR(__xludf.DUMMYFUNCTION("""COMPUTED_VALUE"""),"dbtycoon")</f>
        <v>dbtycoon</v>
      </c>
      <c r="C3333" s="3" t="str">
        <f>IFERROR(__xludf.DUMMYFUNCTION("""COMPUTED_VALUE"""),"DeFi Bank Tycoon")</f>
        <v>DeFi Bank Tycoon</v>
      </c>
    </row>
    <row r="3334">
      <c r="A3334" s="3" t="str">
        <f>IFERROR(__xludf.DUMMYFUNCTION("""COMPUTED_VALUE"""),"defibay")</f>
        <v>defibay</v>
      </c>
      <c r="B3334" s="3" t="str">
        <f>IFERROR(__xludf.DUMMYFUNCTION("""COMPUTED_VALUE"""),"dbay")</f>
        <v>dbay</v>
      </c>
      <c r="C3334" s="3" t="str">
        <f>IFERROR(__xludf.DUMMYFUNCTION("""COMPUTED_VALUE"""),"DefiBay")</f>
        <v>DefiBay</v>
      </c>
    </row>
    <row r="3335">
      <c r="A3335" s="3" t="str">
        <f>IFERROR(__xludf.DUMMYFUNCTION("""COMPUTED_VALUE"""),"defibet")</f>
        <v>defibet</v>
      </c>
      <c r="B3335" s="3" t="str">
        <f>IFERROR(__xludf.DUMMYFUNCTION("""COMPUTED_VALUE"""),"$dbet")</f>
        <v>$dbet</v>
      </c>
      <c r="C3335" s="3" t="str">
        <f>IFERROR(__xludf.DUMMYFUNCTION("""COMPUTED_VALUE"""),"DefiBet")</f>
        <v>DefiBet</v>
      </c>
    </row>
    <row r="3336">
      <c r="A3336" s="3" t="str">
        <f>IFERROR(__xludf.DUMMYFUNCTION("""COMPUTED_VALUE"""),"defi-bids")</f>
        <v>defi-bids</v>
      </c>
      <c r="B3336" s="3" t="str">
        <f>IFERROR(__xludf.DUMMYFUNCTION("""COMPUTED_VALUE"""),"bid")</f>
        <v>bid</v>
      </c>
      <c r="C3336" s="3" t="str">
        <f>IFERROR(__xludf.DUMMYFUNCTION("""COMPUTED_VALUE"""),"DeFi Bids")</f>
        <v>DeFi Bids</v>
      </c>
    </row>
    <row r="3337">
      <c r="A3337" s="3" t="str">
        <f>IFERROR(__xludf.DUMMYFUNCTION("""COMPUTED_VALUE"""),"defi-bomb")</f>
        <v>defi-bomb</v>
      </c>
      <c r="B3337" s="3" t="str">
        <f>IFERROR(__xludf.DUMMYFUNCTION("""COMPUTED_VALUE"""),"dbomb")</f>
        <v>dbomb</v>
      </c>
      <c r="C3337" s="3" t="str">
        <f>IFERROR(__xludf.DUMMYFUNCTION("""COMPUTED_VALUE"""),"Defi Bomb")</f>
        <v>Defi Bomb</v>
      </c>
    </row>
    <row r="3338">
      <c r="A3338" s="3" t="str">
        <f>IFERROR(__xludf.DUMMYFUNCTION("""COMPUTED_VALUE"""),"defibox")</f>
        <v>defibox</v>
      </c>
      <c r="B3338" s="3" t="str">
        <f>IFERROR(__xludf.DUMMYFUNCTION("""COMPUTED_VALUE"""),"box")</f>
        <v>box</v>
      </c>
      <c r="C3338" s="3" t="str">
        <f>IFERROR(__xludf.DUMMYFUNCTION("""COMPUTED_VALUE"""),"DefiBox")</f>
        <v>DefiBox</v>
      </c>
    </row>
    <row r="3339">
      <c r="A3339" s="3" t="str">
        <f>IFERROR(__xludf.DUMMYFUNCTION("""COMPUTED_VALUE"""),"defi-ch")</f>
        <v>defi-ch</v>
      </c>
      <c r="B3339" s="3" t="str">
        <f>IFERROR(__xludf.DUMMYFUNCTION("""COMPUTED_VALUE"""),"dfch")</f>
        <v>dfch</v>
      </c>
      <c r="C3339" s="4" t="str">
        <f>IFERROR(__xludf.DUMMYFUNCTION("""COMPUTED_VALUE"""),"DeFi.ch")</f>
        <v>DeFi.ch</v>
      </c>
    </row>
    <row r="3340">
      <c r="A3340" s="3" t="str">
        <f>IFERROR(__xludf.DUMMYFUNCTION("""COMPUTED_VALUE"""),"defichain")</f>
        <v>defichain</v>
      </c>
      <c r="B3340" s="3" t="str">
        <f>IFERROR(__xludf.DUMMYFUNCTION("""COMPUTED_VALUE"""),"dfi")</f>
        <v>dfi</v>
      </c>
      <c r="C3340" s="3" t="str">
        <f>IFERROR(__xludf.DUMMYFUNCTION("""COMPUTED_VALUE"""),"DeFiChain")</f>
        <v>DeFiChain</v>
      </c>
    </row>
    <row r="3341">
      <c r="A3341" s="3" t="str">
        <f>IFERROR(__xludf.DUMMYFUNCTION("""COMPUTED_VALUE"""),"defi-city")</f>
        <v>defi-city</v>
      </c>
      <c r="B3341" s="3" t="str">
        <f>IFERROR(__xludf.DUMMYFUNCTION("""COMPUTED_VALUE"""),"dfc")</f>
        <v>dfc</v>
      </c>
      <c r="C3341" s="3" t="str">
        <f>IFERROR(__xludf.DUMMYFUNCTION("""COMPUTED_VALUE"""),"DeFi City")</f>
        <v>DeFi City</v>
      </c>
    </row>
    <row r="3342">
      <c r="A3342" s="3" t="str">
        <f>IFERROR(__xludf.DUMMYFUNCTION("""COMPUTED_VALUE"""),"deficliq")</f>
        <v>deficliq</v>
      </c>
      <c r="B3342" s="3" t="str">
        <f>IFERROR(__xludf.DUMMYFUNCTION("""COMPUTED_VALUE"""),"cliq")</f>
        <v>cliq</v>
      </c>
      <c r="C3342" s="3" t="str">
        <f>IFERROR(__xludf.DUMMYFUNCTION("""COMPUTED_VALUE"""),"DefiCliq")</f>
        <v>DefiCliq</v>
      </c>
    </row>
    <row r="3343">
      <c r="A3343" s="3" t="str">
        <f>IFERROR(__xludf.DUMMYFUNCTION("""COMPUTED_VALUE"""),"defi-coin")</f>
        <v>defi-coin</v>
      </c>
      <c r="B3343" s="3" t="str">
        <f>IFERROR(__xludf.DUMMYFUNCTION("""COMPUTED_VALUE"""),"defc")</f>
        <v>defc</v>
      </c>
      <c r="C3343" s="3" t="str">
        <f>IFERROR(__xludf.DUMMYFUNCTION("""COMPUTED_VALUE"""),"DeFi Coin")</f>
        <v>DeFi Coin</v>
      </c>
    </row>
    <row r="3344">
      <c r="A3344" s="3" t="str">
        <f>IFERROR(__xludf.DUMMYFUNCTION("""COMPUTED_VALUE"""),"deficonnect")</f>
        <v>deficonnect</v>
      </c>
      <c r="B3344" s="3" t="str">
        <f>IFERROR(__xludf.DUMMYFUNCTION("""COMPUTED_VALUE"""),"dfc")</f>
        <v>dfc</v>
      </c>
      <c r="C3344" s="3" t="str">
        <f>IFERROR(__xludf.DUMMYFUNCTION("""COMPUTED_VALUE"""),"DefiConnect")</f>
        <v>DefiConnect</v>
      </c>
    </row>
    <row r="3345">
      <c r="A3345" s="3" t="str">
        <f>IFERROR(__xludf.DUMMYFUNCTION("""COMPUTED_VALUE"""),"defi-degen-land")</f>
        <v>defi-degen-land</v>
      </c>
      <c r="B3345" s="3" t="str">
        <f>IFERROR(__xludf.DUMMYFUNCTION("""COMPUTED_VALUE"""),"ddl")</f>
        <v>ddl</v>
      </c>
      <c r="C3345" s="3" t="str">
        <f>IFERROR(__xludf.DUMMYFUNCTION("""COMPUTED_VALUE"""),"DeFi Degen Land")</f>
        <v>DeFi Degen Land</v>
      </c>
    </row>
    <row r="3346">
      <c r="A3346" s="3" t="str">
        <f>IFERROR(__xludf.DUMMYFUNCTION("""COMPUTED_VALUE"""),"defido")</f>
        <v>defido</v>
      </c>
      <c r="B3346" s="3" t="str">
        <f>IFERROR(__xludf.DUMMYFUNCTION("""COMPUTED_VALUE"""),"defido")</f>
        <v>defido</v>
      </c>
      <c r="C3346" s="3" t="str">
        <f>IFERROR(__xludf.DUMMYFUNCTION("""COMPUTED_VALUE"""),"DeFido")</f>
        <v>DeFido</v>
      </c>
    </row>
    <row r="3347">
      <c r="A3347" s="3" t="str">
        <f>IFERROR(__xludf.DUMMYFUNCTION("""COMPUTED_VALUE"""),"defidollar")</f>
        <v>defidollar</v>
      </c>
      <c r="B3347" s="3" t="str">
        <f>IFERROR(__xludf.DUMMYFUNCTION("""COMPUTED_VALUE"""),"dusd")</f>
        <v>dusd</v>
      </c>
      <c r="C3347" s="3" t="str">
        <f>IFERROR(__xludf.DUMMYFUNCTION("""COMPUTED_VALUE"""),"DefiDollar")</f>
        <v>DefiDollar</v>
      </c>
    </row>
    <row r="3348">
      <c r="A3348" s="3" t="str">
        <f>IFERROR(__xludf.DUMMYFUNCTION("""COMPUTED_VALUE"""),"defidollar-dao")</f>
        <v>defidollar-dao</v>
      </c>
      <c r="B3348" s="3" t="str">
        <f>IFERROR(__xludf.DUMMYFUNCTION("""COMPUTED_VALUE"""),"dfd")</f>
        <v>dfd</v>
      </c>
      <c r="C3348" s="3" t="str">
        <f>IFERROR(__xludf.DUMMYFUNCTION("""COMPUTED_VALUE"""),"DefiDollar DAO")</f>
        <v>DefiDollar DAO</v>
      </c>
    </row>
    <row r="3349">
      <c r="A3349" s="3" t="str">
        <f>IFERROR(__xludf.DUMMYFUNCTION("""COMPUTED_VALUE"""),"defi-forge")</f>
        <v>defi-forge</v>
      </c>
      <c r="B3349" s="3" t="str">
        <f>IFERROR(__xludf.DUMMYFUNCTION("""COMPUTED_VALUE"""),"forge")</f>
        <v>forge</v>
      </c>
      <c r="C3349" s="3" t="str">
        <f>IFERROR(__xludf.DUMMYFUNCTION("""COMPUTED_VALUE"""),"DeFi Forge")</f>
        <v>DeFi Forge</v>
      </c>
    </row>
    <row r="3350">
      <c r="A3350" s="3" t="str">
        <f>IFERROR(__xludf.DUMMYFUNCTION("""COMPUTED_VALUE"""),"defi-for-you")</f>
        <v>defi-for-you</v>
      </c>
      <c r="B3350" s="3" t="str">
        <f>IFERROR(__xludf.DUMMYFUNCTION("""COMPUTED_VALUE"""),"dfy")</f>
        <v>dfy</v>
      </c>
      <c r="C3350" s="3" t="str">
        <f>IFERROR(__xludf.DUMMYFUNCTION("""COMPUTED_VALUE"""),"Defi For You")</f>
        <v>Defi For You</v>
      </c>
    </row>
    <row r="3351">
      <c r="A3351" s="3" t="str">
        <f>IFERROR(__xludf.DUMMYFUNCTION("""COMPUTED_VALUE"""),"defi-franc")</f>
        <v>defi-franc</v>
      </c>
      <c r="B3351" s="3" t="str">
        <f>IFERROR(__xludf.DUMMYFUNCTION("""COMPUTED_VALUE"""),"dchf")</f>
        <v>dchf</v>
      </c>
      <c r="C3351" s="3" t="str">
        <f>IFERROR(__xludf.DUMMYFUNCTION("""COMPUTED_VALUE"""),"DeFi Franc")</f>
        <v>DeFi Franc</v>
      </c>
    </row>
    <row r="3352">
      <c r="A3352" s="3" t="str">
        <f>IFERROR(__xludf.DUMMYFUNCTION("""COMPUTED_VALUE"""),"defi-franc-moneta")</f>
        <v>defi-franc-moneta</v>
      </c>
      <c r="B3352" s="3" t="str">
        <f>IFERROR(__xludf.DUMMYFUNCTION("""COMPUTED_VALUE"""),"mon")</f>
        <v>mon</v>
      </c>
      <c r="C3352" s="3" t="str">
        <f>IFERROR(__xludf.DUMMYFUNCTION("""COMPUTED_VALUE"""),"Defi Franc Moneta")</f>
        <v>Defi Franc Moneta</v>
      </c>
    </row>
    <row r="3353">
      <c r="A3353" s="3" t="str">
        <f>IFERROR(__xludf.DUMMYFUNCTION("""COMPUTED_VALUE"""),"defi-gold")</f>
        <v>defi-gold</v>
      </c>
      <c r="B3353" s="3" t="str">
        <f>IFERROR(__xludf.DUMMYFUNCTION("""COMPUTED_VALUE"""),"dfgl")</f>
        <v>dfgl</v>
      </c>
      <c r="C3353" s="3" t="str">
        <f>IFERROR(__xludf.DUMMYFUNCTION("""COMPUTED_VALUE"""),"DeFi Gold")</f>
        <v>DeFi Gold</v>
      </c>
    </row>
    <row r="3354">
      <c r="A3354" s="3" t="str">
        <f>IFERROR(__xludf.DUMMYFUNCTION("""COMPUTED_VALUE"""),"defigram")</f>
        <v>defigram</v>
      </c>
      <c r="B3354" s="3" t="str">
        <f>IFERROR(__xludf.DUMMYFUNCTION("""COMPUTED_VALUE"""),"dfg")</f>
        <v>dfg</v>
      </c>
      <c r="C3354" s="3" t="str">
        <f>IFERROR(__xludf.DUMMYFUNCTION("""COMPUTED_VALUE"""),"Defigram")</f>
        <v>Defigram</v>
      </c>
    </row>
    <row r="3355">
      <c r="A3355" s="3" t="str">
        <f>IFERROR(__xludf.DUMMYFUNCTION("""COMPUTED_VALUE"""),"defi-holdings")</f>
        <v>defi-holdings</v>
      </c>
      <c r="B3355" s="3" t="str">
        <f>IFERROR(__xludf.DUMMYFUNCTION("""COMPUTED_VALUE"""),"dhold")</f>
        <v>dhold</v>
      </c>
      <c r="C3355" s="3" t="str">
        <f>IFERROR(__xludf.DUMMYFUNCTION("""COMPUTED_VALUE"""),"DeFi Holdings")</f>
        <v>DeFi Holdings</v>
      </c>
    </row>
    <row r="3356">
      <c r="A3356" s="3" t="str">
        <f>IFERROR(__xludf.DUMMYFUNCTION("""COMPUTED_VALUE"""),"defihorse")</f>
        <v>defihorse</v>
      </c>
      <c r="B3356" s="3" t="str">
        <f>IFERROR(__xludf.DUMMYFUNCTION("""COMPUTED_VALUE"""),"dfh")</f>
        <v>dfh</v>
      </c>
      <c r="C3356" s="3" t="str">
        <f>IFERROR(__xludf.DUMMYFUNCTION("""COMPUTED_VALUE"""),"DeFiHorse")</f>
        <v>DeFiHorse</v>
      </c>
    </row>
    <row r="3357">
      <c r="A3357" s="3" t="str">
        <f>IFERROR(__xludf.DUMMYFUNCTION("""COMPUTED_VALUE"""),"defihorse-rocket-race")</f>
        <v>defihorse-rocket-race</v>
      </c>
      <c r="B3357" s="3" t="str">
        <f>IFERROR(__xludf.DUMMYFUNCTION("""COMPUTED_VALUE"""),"rr")</f>
        <v>rr</v>
      </c>
      <c r="C3357" s="3" t="str">
        <f>IFERROR(__xludf.DUMMYFUNCTION("""COMPUTED_VALUE"""),"DeFiHorse Rocket Race")</f>
        <v>DeFiHorse Rocket Race</v>
      </c>
    </row>
    <row r="3358">
      <c r="A3358" s="3" t="str">
        <f>IFERROR(__xludf.DUMMYFUNCTION("""COMPUTED_VALUE"""),"defi-hunters-dao")</f>
        <v>defi-hunters-dao</v>
      </c>
      <c r="B3358" s="3" t="str">
        <f>IFERROR(__xludf.DUMMYFUNCTION("""COMPUTED_VALUE"""),"ddao")</f>
        <v>ddao</v>
      </c>
      <c r="C3358" s="3" t="str">
        <f>IFERROR(__xludf.DUMMYFUNCTION("""COMPUTED_VALUE"""),"DeFi Hunters DAO")</f>
        <v>DeFi Hunters DAO</v>
      </c>
    </row>
    <row r="3359">
      <c r="A3359" s="3" t="str">
        <f>IFERROR(__xludf.DUMMYFUNCTION("""COMPUTED_VALUE"""),"defi-kingdoms")</f>
        <v>defi-kingdoms</v>
      </c>
      <c r="B3359" s="3" t="str">
        <f>IFERROR(__xludf.DUMMYFUNCTION("""COMPUTED_VALUE"""),"jewel")</f>
        <v>jewel</v>
      </c>
      <c r="C3359" s="3" t="str">
        <f>IFERROR(__xludf.DUMMYFUNCTION("""COMPUTED_VALUE"""),"DeFi Kingdoms")</f>
        <v>DeFi Kingdoms</v>
      </c>
    </row>
    <row r="3360">
      <c r="A3360" s="3" t="str">
        <f>IFERROR(__xludf.DUMMYFUNCTION("""COMPUTED_VALUE"""),"defi-kingdoms-crystal")</f>
        <v>defi-kingdoms-crystal</v>
      </c>
      <c r="B3360" s="3" t="str">
        <f>IFERROR(__xludf.DUMMYFUNCTION("""COMPUTED_VALUE"""),"crystal")</f>
        <v>crystal</v>
      </c>
      <c r="C3360" s="3" t="str">
        <f>IFERROR(__xludf.DUMMYFUNCTION("""COMPUTED_VALUE"""),"DeFi Kingdoms Crystal")</f>
        <v>DeFi Kingdoms Crystal</v>
      </c>
    </row>
    <row r="3361">
      <c r="A3361" s="3" t="str">
        <f>IFERROR(__xludf.DUMMYFUNCTION("""COMPUTED_VALUE"""),"defil")</f>
        <v>defil</v>
      </c>
      <c r="B3361" s="3" t="str">
        <f>IFERROR(__xludf.DUMMYFUNCTION("""COMPUTED_VALUE"""),"dfl")</f>
        <v>dfl</v>
      </c>
      <c r="C3361" s="3" t="str">
        <f>IFERROR(__xludf.DUMMYFUNCTION("""COMPUTED_VALUE"""),"DeFIL")</f>
        <v>DeFIL</v>
      </c>
    </row>
    <row r="3362">
      <c r="A3362" s="3" t="str">
        <f>IFERROR(__xludf.DUMMYFUNCTION("""COMPUTED_VALUE"""),"defilancer")</f>
        <v>defilancer</v>
      </c>
      <c r="B3362" s="3" t="str">
        <f>IFERROR(__xludf.DUMMYFUNCTION("""COMPUTED_VALUE"""),"defilancer")</f>
        <v>defilancer</v>
      </c>
      <c r="C3362" s="3" t="str">
        <f>IFERROR(__xludf.DUMMYFUNCTION("""COMPUTED_VALUE"""),"Defilancer")</f>
        <v>Defilancer</v>
      </c>
    </row>
    <row r="3363">
      <c r="A3363" s="3" t="str">
        <f>IFERROR(__xludf.DUMMYFUNCTION("""COMPUTED_VALUE"""),"defi-land")</f>
        <v>defi-land</v>
      </c>
      <c r="B3363" s="3" t="str">
        <f>IFERROR(__xludf.DUMMYFUNCTION("""COMPUTED_VALUE"""),"dfl")</f>
        <v>dfl</v>
      </c>
      <c r="C3363" s="3" t="str">
        <f>IFERROR(__xludf.DUMMYFUNCTION("""COMPUTED_VALUE"""),"DeFi Land")</f>
        <v>DeFi Land</v>
      </c>
    </row>
    <row r="3364">
      <c r="A3364" s="3" t="str">
        <f>IFERROR(__xludf.DUMMYFUNCTION("""COMPUTED_VALUE"""),"defi-land-gold")</f>
        <v>defi-land-gold</v>
      </c>
      <c r="B3364" s="3" t="str">
        <f>IFERROR(__xludf.DUMMYFUNCTION("""COMPUTED_VALUE"""),"goldy")</f>
        <v>goldy</v>
      </c>
      <c r="C3364" s="3" t="str">
        <f>IFERROR(__xludf.DUMMYFUNCTION("""COMPUTED_VALUE"""),"DeFi Land Gold")</f>
        <v>DeFi Land Gold</v>
      </c>
    </row>
    <row r="3365">
      <c r="A3365" s="3" t="str">
        <f>IFERROR(__xludf.DUMMYFUNCTION("""COMPUTED_VALUE"""),"defi-launch")</f>
        <v>defi-launch</v>
      </c>
      <c r="B3365" s="3" t="str">
        <f>IFERROR(__xludf.DUMMYFUNCTION("""COMPUTED_VALUE"""),"dlaunch")</f>
        <v>dlaunch</v>
      </c>
      <c r="C3365" s="3" t="str">
        <f>IFERROR(__xludf.DUMMYFUNCTION("""COMPUTED_VALUE"""),"DeFi Launch")</f>
        <v>DeFi Launch</v>
      </c>
    </row>
    <row r="3366">
      <c r="A3366" s="3" t="str">
        <f>IFERROR(__xludf.DUMMYFUNCTION("""COMPUTED_VALUE"""),"defily")</f>
        <v>defily</v>
      </c>
      <c r="B3366" s="3" t="str">
        <f>IFERROR(__xludf.DUMMYFUNCTION("""COMPUTED_VALUE"""),"dfl")</f>
        <v>dfl</v>
      </c>
      <c r="C3366" s="3" t="str">
        <f>IFERROR(__xludf.DUMMYFUNCTION("""COMPUTED_VALUE"""),"Defily")</f>
        <v>Defily</v>
      </c>
    </row>
    <row r="3367">
      <c r="A3367" s="3" t="str">
        <f>IFERROR(__xludf.DUMMYFUNCTION("""COMPUTED_VALUE"""),"defina-finance")</f>
        <v>defina-finance</v>
      </c>
      <c r="B3367" s="3" t="str">
        <f>IFERROR(__xludf.DUMMYFUNCTION("""COMPUTED_VALUE"""),"fina")</f>
        <v>fina</v>
      </c>
      <c r="C3367" s="3" t="str">
        <f>IFERROR(__xludf.DUMMYFUNCTION("""COMPUTED_VALUE"""),"Defina Finance")</f>
        <v>Defina Finance</v>
      </c>
    </row>
    <row r="3368">
      <c r="A3368" s="3" t="str">
        <f>IFERROR(__xludf.DUMMYFUNCTION("""COMPUTED_VALUE"""),"define")</f>
        <v>define</v>
      </c>
      <c r="B3368" s="3" t="str">
        <f>IFERROR(__xludf.DUMMYFUNCTION("""COMPUTED_VALUE"""),"dfa")</f>
        <v>dfa</v>
      </c>
      <c r="C3368" s="3" t="str">
        <f>IFERROR(__xludf.DUMMYFUNCTION("""COMPUTED_VALUE"""),"DeFine")</f>
        <v>DeFine</v>
      </c>
    </row>
    <row r="3369">
      <c r="A3369" s="3" t="str">
        <f>IFERROR(__xludf.DUMMYFUNCTION("""COMPUTED_VALUE"""),"definer")</f>
        <v>definer</v>
      </c>
      <c r="B3369" s="3" t="str">
        <f>IFERROR(__xludf.DUMMYFUNCTION("""COMPUTED_VALUE"""),"fin")</f>
        <v>fin</v>
      </c>
      <c r="C3369" s="3" t="str">
        <f>IFERROR(__xludf.DUMMYFUNCTION("""COMPUTED_VALUE"""),"DeFiner")</f>
        <v>DeFiner</v>
      </c>
    </row>
    <row r="3370">
      <c r="A3370" s="3" t="str">
        <f>IFERROR(__xludf.DUMMYFUNCTION("""COMPUTED_VALUE"""),"definity")</f>
        <v>definity</v>
      </c>
      <c r="B3370" s="3" t="str">
        <f>IFERROR(__xludf.DUMMYFUNCTION("""COMPUTED_VALUE"""),"defx")</f>
        <v>defx</v>
      </c>
      <c r="C3370" s="3" t="str">
        <f>IFERROR(__xludf.DUMMYFUNCTION("""COMPUTED_VALUE"""),"DeFinity")</f>
        <v>DeFinity</v>
      </c>
    </row>
    <row r="3371">
      <c r="A3371" s="3" t="str">
        <f>IFERROR(__xludf.DUMMYFUNCTION("""COMPUTED_VALUE"""),"defi-on-mcw")</f>
        <v>defi-on-mcw</v>
      </c>
      <c r="B3371" s="3" t="str">
        <f>IFERROR(__xludf.DUMMYFUNCTION("""COMPUTED_VALUE"""),"dfm")</f>
        <v>dfm</v>
      </c>
      <c r="C3371" s="3" t="str">
        <f>IFERROR(__xludf.DUMMYFUNCTION("""COMPUTED_VALUE"""),"DeFi on MCW")</f>
        <v>DeFi on MCW</v>
      </c>
    </row>
    <row r="3372">
      <c r="A3372" s="3" t="str">
        <f>IFERROR(__xludf.DUMMYFUNCTION("""COMPUTED_VALUE"""),"defi-or-die")</f>
        <v>defi-or-die</v>
      </c>
      <c r="B3372" s="3" t="str">
        <f>IFERROR(__xludf.DUMMYFUNCTION("""COMPUTED_VALUE"""),"dord")</f>
        <v>dord</v>
      </c>
      <c r="C3372" s="3" t="str">
        <f>IFERROR(__xludf.DUMMYFUNCTION("""COMPUTED_VALUE"""),"DeFi Or Die")</f>
        <v>DeFi Or Die</v>
      </c>
    </row>
    <row r="3373">
      <c r="A3373" s="3" t="str">
        <f>IFERROR(__xludf.DUMMYFUNCTION("""COMPUTED_VALUE"""),"defipie")</f>
        <v>defipie</v>
      </c>
      <c r="B3373" s="3" t="str">
        <f>IFERROR(__xludf.DUMMYFUNCTION("""COMPUTED_VALUE"""),"pie")</f>
        <v>pie</v>
      </c>
      <c r="C3373" s="3" t="str">
        <f>IFERROR(__xludf.DUMMYFUNCTION("""COMPUTED_VALUE"""),"DeFiPie")</f>
        <v>DeFiPie</v>
      </c>
    </row>
    <row r="3374">
      <c r="A3374" s="3" t="str">
        <f>IFERROR(__xludf.DUMMYFUNCTION("""COMPUTED_VALUE"""),"defiplaza")</f>
        <v>defiplaza</v>
      </c>
      <c r="B3374" s="3" t="str">
        <f>IFERROR(__xludf.DUMMYFUNCTION("""COMPUTED_VALUE"""),"dfp2")</f>
        <v>dfp2</v>
      </c>
      <c r="C3374" s="3" t="str">
        <f>IFERROR(__xludf.DUMMYFUNCTION("""COMPUTED_VALUE"""),"DefiPlaza")</f>
        <v>DefiPlaza</v>
      </c>
    </row>
    <row r="3375">
      <c r="A3375" s="3" t="str">
        <f>IFERROR(__xludf.DUMMYFUNCTION("""COMPUTED_VALUE"""),"defipulse-index")</f>
        <v>defipulse-index</v>
      </c>
      <c r="B3375" s="3" t="str">
        <f>IFERROR(__xludf.DUMMYFUNCTION("""COMPUTED_VALUE"""),"dpi")</f>
        <v>dpi</v>
      </c>
      <c r="C3375" s="3" t="str">
        <f>IFERROR(__xludf.DUMMYFUNCTION("""COMPUTED_VALUE"""),"DeFi Pulse Index")</f>
        <v>DeFi Pulse Index</v>
      </c>
    </row>
    <row r="3376">
      <c r="A3376" s="3" t="str">
        <f>IFERROR(__xludf.DUMMYFUNCTION("""COMPUTED_VALUE"""),"defire")</f>
        <v>defire</v>
      </c>
      <c r="B3376" s="3" t="str">
        <f>IFERROR(__xludf.DUMMYFUNCTION("""COMPUTED_VALUE"""),"cwap")</f>
        <v>cwap</v>
      </c>
      <c r="C3376" s="3" t="str">
        <f>IFERROR(__xludf.DUMMYFUNCTION("""COMPUTED_VALUE"""),"DeFIRE")</f>
        <v>DeFIRE</v>
      </c>
    </row>
    <row r="3377">
      <c r="A3377" s="3" t="str">
        <f>IFERROR(__xludf.DUMMYFUNCTION("""COMPUTED_VALUE"""),"defis")</f>
        <v>defis</v>
      </c>
      <c r="B3377" s="3" t="str">
        <f>IFERROR(__xludf.DUMMYFUNCTION("""COMPUTED_VALUE"""),"xgm")</f>
        <v>xgm</v>
      </c>
      <c r="C3377" s="3" t="str">
        <f>IFERROR(__xludf.DUMMYFUNCTION("""COMPUTED_VALUE"""),"Defis")</f>
        <v>Defis</v>
      </c>
    </row>
    <row r="3378">
      <c r="A3378" s="3" t="str">
        <f>IFERROR(__xludf.DUMMYFUNCTION("""COMPUTED_VALUE"""),"defiscale")</f>
        <v>defiscale</v>
      </c>
      <c r="B3378" s="3" t="str">
        <f>IFERROR(__xludf.DUMMYFUNCTION("""COMPUTED_VALUE"""),"dfc")</f>
        <v>dfc</v>
      </c>
      <c r="C3378" s="3" t="str">
        <f>IFERROR(__xludf.DUMMYFUNCTION("""COMPUTED_VALUE"""),"DeFiScale")</f>
        <v>DeFiScale</v>
      </c>
    </row>
    <row r="3379">
      <c r="A3379" s="3" t="str">
        <f>IFERROR(__xludf.DUMMYFUNCTION("""COMPUTED_VALUE"""),"defi-shopping-stake")</f>
        <v>defi-shopping-stake</v>
      </c>
      <c r="B3379" s="3" t="str">
        <f>IFERROR(__xludf.DUMMYFUNCTION("""COMPUTED_VALUE"""),"dss")</f>
        <v>dss</v>
      </c>
      <c r="C3379" s="3" t="str">
        <f>IFERROR(__xludf.DUMMYFUNCTION("""COMPUTED_VALUE"""),"Defi Shopping Stake")</f>
        <v>Defi Shopping Stake</v>
      </c>
    </row>
    <row r="3380">
      <c r="A3380" s="3" t="str">
        <f>IFERROR(__xludf.DUMMYFUNCTION("""COMPUTED_VALUE"""),"defiskeletons")</f>
        <v>defiskeletons</v>
      </c>
      <c r="B3380" s="3" t="str">
        <f>IFERROR(__xludf.DUMMYFUNCTION("""COMPUTED_VALUE"""),"skeleton")</f>
        <v>skeleton</v>
      </c>
      <c r="C3380" s="3" t="str">
        <f>IFERROR(__xludf.DUMMYFUNCTION("""COMPUTED_VALUE"""),"Defiskeletons")</f>
        <v>Defiskeletons</v>
      </c>
    </row>
    <row r="3381">
      <c r="A3381" s="3" t="str">
        <f>IFERROR(__xludf.DUMMYFUNCTION("""COMPUTED_VALUE"""),"defis-network")</f>
        <v>defis-network</v>
      </c>
      <c r="B3381" s="3" t="str">
        <f>IFERROR(__xludf.DUMMYFUNCTION("""COMPUTED_VALUE"""),"dfs")</f>
        <v>dfs</v>
      </c>
      <c r="C3381" s="3" t="str">
        <f>IFERROR(__xludf.DUMMYFUNCTION("""COMPUTED_VALUE"""),"Defis Network")</f>
        <v>Defis Network</v>
      </c>
    </row>
    <row r="3382">
      <c r="A3382" s="3" t="str">
        <f>IFERROR(__xludf.DUMMYFUNCTION("""COMPUTED_VALUE"""),"defisportscoin")</f>
        <v>defisportscoin</v>
      </c>
      <c r="B3382" s="3" t="str">
        <f>IFERROR(__xludf.DUMMYFUNCTION("""COMPUTED_VALUE"""),"dsc")</f>
        <v>dsc</v>
      </c>
      <c r="C3382" s="3" t="str">
        <f>IFERROR(__xludf.DUMMYFUNCTION("""COMPUTED_VALUE"""),"DefiSportsCoin")</f>
        <v>DefiSportsCoin</v>
      </c>
    </row>
    <row r="3383">
      <c r="A3383" s="3" t="str">
        <f>IFERROR(__xludf.DUMMYFUNCTION("""COMPUTED_VALUE"""),"defistarter")</f>
        <v>defistarter</v>
      </c>
      <c r="B3383" s="3" t="str">
        <f>IFERROR(__xludf.DUMMYFUNCTION("""COMPUTED_VALUE"""),"dfi")</f>
        <v>dfi</v>
      </c>
      <c r="C3383" s="3" t="str">
        <f>IFERROR(__xludf.DUMMYFUNCTION("""COMPUTED_VALUE"""),"DfiStarter")</f>
        <v>DfiStarter</v>
      </c>
    </row>
    <row r="3384">
      <c r="A3384" s="3" t="str">
        <f>IFERROR(__xludf.DUMMYFUNCTION("""COMPUTED_VALUE"""),"defi-stoa")</f>
        <v>defi-stoa</v>
      </c>
      <c r="B3384" s="3" t="str">
        <f>IFERROR(__xludf.DUMMYFUNCTION("""COMPUTED_VALUE"""),"sta")</f>
        <v>sta</v>
      </c>
      <c r="C3384" s="3" t="str">
        <f>IFERROR(__xludf.DUMMYFUNCTION("""COMPUTED_VALUE"""),"STOA Network")</f>
        <v>STOA Network</v>
      </c>
    </row>
    <row r="3385">
      <c r="A3385" s="3" t="str">
        <f>IFERROR(__xludf.DUMMYFUNCTION("""COMPUTED_VALUE"""),"defit")</f>
        <v>defit</v>
      </c>
      <c r="B3385" s="3" t="str">
        <f>IFERROR(__xludf.DUMMYFUNCTION("""COMPUTED_VALUE"""),"defit")</f>
        <v>defit</v>
      </c>
      <c r="C3385" s="3" t="str">
        <f>IFERROR(__xludf.DUMMYFUNCTION("""COMPUTED_VALUE"""),"Digital Fitness")</f>
        <v>Digital Fitness</v>
      </c>
    </row>
    <row r="3386">
      <c r="A3386" s="3" t="str">
        <f>IFERROR(__xludf.DUMMYFUNCTION("""COMPUTED_VALUE"""),"defiville-island")</f>
        <v>defiville-island</v>
      </c>
      <c r="B3386" s="3" t="str">
        <f>IFERROR(__xludf.DUMMYFUNCTION("""COMPUTED_VALUE"""),"isla")</f>
        <v>isla</v>
      </c>
      <c r="C3386" s="3" t="str">
        <f>IFERROR(__xludf.DUMMYFUNCTION("""COMPUTED_VALUE"""),"DefiVille Island")</f>
        <v>DefiVille Island</v>
      </c>
    </row>
    <row r="3387">
      <c r="A3387" s="3" t="str">
        <f>IFERROR(__xludf.DUMMYFUNCTION("""COMPUTED_VALUE"""),"defiwall")</f>
        <v>defiwall</v>
      </c>
      <c r="B3387" s="3" t="str">
        <f>IFERROR(__xludf.DUMMYFUNCTION("""COMPUTED_VALUE"""),"fiwa")</f>
        <v>fiwa</v>
      </c>
      <c r="C3387" s="3" t="str">
        <f>IFERROR(__xludf.DUMMYFUNCTION("""COMPUTED_VALUE"""),"DeFiWall")</f>
        <v>DeFiWall</v>
      </c>
    </row>
    <row r="3388">
      <c r="A3388" s="3" t="str">
        <f>IFERROR(__xludf.DUMMYFUNCTION("""COMPUTED_VALUE"""),"defi-warrior")</f>
        <v>defi-warrior</v>
      </c>
      <c r="B3388" s="3" t="str">
        <f>IFERROR(__xludf.DUMMYFUNCTION("""COMPUTED_VALUE"""),"fiwa")</f>
        <v>fiwa</v>
      </c>
      <c r="C3388" s="3" t="str">
        <f>IFERROR(__xludf.DUMMYFUNCTION("""COMPUTED_VALUE"""),"Defi Warrior")</f>
        <v>Defi Warrior</v>
      </c>
    </row>
    <row r="3389">
      <c r="A3389" s="3" t="str">
        <f>IFERROR(__xludf.DUMMYFUNCTION("""COMPUTED_VALUE"""),"defi-yield-protocol")</f>
        <v>defi-yield-protocol</v>
      </c>
      <c r="B3389" s="3" t="str">
        <f>IFERROR(__xludf.DUMMYFUNCTION("""COMPUTED_VALUE"""),"dyp")</f>
        <v>dyp</v>
      </c>
      <c r="C3389" s="3" t="str">
        <f>IFERROR(__xludf.DUMMYFUNCTION("""COMPUTED_VALUE"""),"DeFi Yield Protocol")</f>
        <v>DeFi Yield Protocol</v>
      </c>
    </row>
    <row r="3390">
      <c r="A3390" s="3" t="str">
        <f>IFERROR(__xludf.DUMMYFUNCTION("""COMPUTED_VALUE"""),"defly")</f>
        <v>defly</v>
      </c>
      <c r="B3390" s="3" t="str">
        <f>IFERROR(__xludf.DUMMYFUNCTION("""COMPUTED_VALUE"""),"defly")</f>
        <v>defly</v>
      </c>
      <c r="C3390" s="3" t="str">
        <f>IFERROR(__xludf.DUMMYFUNCTION("""COMPUTED_VALUE"""),"Defly")</f>
        <v>Defly</v>
      </c>
    </row>
    <row r="3391">
      <c r="A3391" s="3" t="str">
        <f>IFERROR(__xludf.DUMMYFUNCTION("""COMPUTED_VALUE"""),"deflyball")</f>
        <v>deflyball</v>
      </c>
      <c r="B3391" s="3" t="str">
        <f>IFERROR(__xludf.DUMMYFUNCTION("""COMPUTED_VALUE"""),"defly")</f>
        <v>defly</v>
      </c>
      <c r="C3391" s="3" t="str">
        <f>IFERROR(__xludf.DUMMYFUNCTION("""COMPUTED_VALUE"""),"Deflyball")</f>
        <v>Deflyball</v>
      </c>
    </row>
    <row r="3392">
      <c r="A3392" s="3" t="str">
        <f>IFERROR(__xludf.DUMMYFUNCTION("""COMPUTED_VALUE"""),"defrost-finance")</f>
        <v>defrost-finance</v>
      </c>
      <c r="B3392" s="3" t="str">
        <f>IFERROR(__xludf.DUMMYFUNCTION("""COMPUTED_VALUE"""),"melt")</f>
        <v>melt</v>
      </c>
      <c r="C3392" s="3" t="str">
        <f>IFERROR(__xludf.DUMMYFUNCTION("""COMPUTED_VALUE"""),"Defrost Finance")</f>
        <v>Defrost Finance</v>
      </c>
    </row>
    <row r="3393">
      <c r="A3393" s="3" t="str">
        <f>IFERROR(__xludf.DUMMYFUNCTION("""COMPUTED_VALUE"""),"defrost-finance-h2o")</f>
        <v>defrost-finance-h2o</v>
      </c>
      <c r="B3393" s="3" t="str">
        <f>IFERROR(__xludf.DUMMYFUNCTION("""COMPUTED_VALUE"""),"h2o")</f>
        <v>h2o</v>
      </c>
      <c r="C3393" s="3" t="str">
        <f>IFERROR(__xludf.DUMMYFUNCTION("""COMPUTED_VALUE"""),"Defrost Finance H2O")</f>
        <v>Defrost Finance H2O</v>
      </c>
    </row>
    <row r="3394">
      <c r="A3394" s="3" t="str">
        <f>IFERROR(__xludf.DUMMYFUNCTION("""COMPUTED_VALUE"""),"defun-gaming")</f>
        <v>defun-gaming</v>
      </c>
      <c r="B3394" s="3" t="str">
        <f>IFERROR(__xludf.DUMMYFUNCTION("""COMPUTED_VALUE"""),"defun")</f>
        <v>defun</v>
      </c>
      <c r="C3394" s="3" t="str">
        <f>IFERROR(__xludf.DUMMYFUNCTION("""COMPUTED_VALUE"""),"Defun Gaming")</f>
        <v>Defun Gaming</v>
      </c>
    </row>
    <row r="3395">
      <c r="A3395" s="3" t="str">
        <f>IFERROR(__xludf.DUMMYFUNCTION("""COMPUTED_VALUE"""),"defy")</f>
        <v>defy</v>
      </c>
      <c r="B3395" s="3" t="str">
        <f>IFERROR(__xludf.DUMMYFUNCTION("""COMPUTED_VALUE"""),"defy")</f>
        <v>defy</v>
      </c>
      <c r="C3395" s="3" t="str">
        <f>IFERROR(__xludf.DUMMYFUNCTION("""COMPUTED_VALUE"""),"DEFY")</f>
        <v>DEFY</v>
      </c>
    </row>
    <row r="3396">
      <c r="A3396" s="3" t="str">
        <f>IFERROR(__xludf.DUMMYFUNCTION("""COMPUTED_VALUE"""),"defyswap")</f>
        <v>defyswap</v>
      </c>
      <c r="B3396" s="3" t="str">
        <f>IFERROR(__xludf.DUMMYFUNCTION("""COMPUTED_VALUE"""),"dfy")</f>
        <v>dfy</v>
      </c>
      <c r="C3396" s="3" t="str">
        <f>IFERROR(__xludf.DUMMYFUNCTION("""COMPUTED_VALUE"""),"Defyswap")</f>
        <v>Defyswap</v>
      </c>
    </row>
    <row r="3397">
      <c r="A3397" s="3" t="str">
        <f>IFERROR(__xludf.DUMMYFUNCTION("""COMPUTED_VALUE"""),"degate")</f>
        <v>degate</v>
      </c>
      <c r="B3397" s="3" t="str">
        <f>IFERROR(__xludf.DUMMYFUNCTION("""COMPUTED_VALUE"""),"dg")</f>
        <v>dg</v>
      </c>
      <c r="C3397" s="3" t="str">
        <f>IFERROR(__xludf.DUMMYFUNCTION("""COMPUTED_VALUE"""),"DeGate")</f>
        <v>DeGate</v>
      </c>
    </row>
    <row r="3398">
      <c r="A3398" s="3" t="str">
        <f>IFERROR(__xludf.DUMMYFUNCTION("""COMPUTED_VALUE"""),"degem")</f>
        <v>degem</v>
      </c>
      <c r="B3398" s="3" t="str">
        <f>IFERROR(__xludf.DUMMYFUNCTION("""COMPUTED_VALUE"""),"dgm")</f>
        <v>dgm</v>
      </c>
      <c r="C3398" s="3" t="str">
        <f>IFERROR(__xludf.DUMMYFUNCTION("""COMPUTED_VALUE"""),"DegemV2")</f>
        <v>DegemV2</v>
      </c>
    </row>
    <row r="3399">
      <c r="A3399" s="3" t="str">
        <f>IFERROR(__xludf.DUMMYFUNCTION("""COMPUTED_VALUE"""),"degemeth")</f>
        <v>degemeth</v>
      </c>
      <c r="B3399" s="3" t="str">
        <f>IFERROR(__xludf.DUMMYFUNCTION("""COMPUTED_VALUE"""),"dgm")</f>
        <v>dgm</v>
      </c>
      <c r="C3399" s="3" t="str">
        <f>IFERROR(__xludf.DUMMYFUNCTION("""COMPUTED_VALUE"""),"DeGEM")</f>
        <v>DeGEM</v>
      </c>
    </row>
    <row r="3400">
      <c r="A3400" s="3" t="str">
        <f>IFERROR(__xludf.DUMMYFUNCTION("""COMPUTED_VALUE"""),"degen")</f>
        <v>degen</v>
      </c>
      <c r="B3400" s="3" t="str">
        <f>IFERROR(__xludf.DUMMYFUNCTION("""COMPUTED_VALUE"""),"degn")</f>
        <v>degn</v>
      </c>
      <c r="C3400" s="3" t="str">
        <f>IFERROR(__xludf.DUMMYFUNCTION("""COMPUTED_VALUE"""),"Degen")</f>
        <v>Degen</v>
      </c>
    </row>
    <row r="3401">
      <c r="A3401" s="3" t="str">
        <f>IFERROR(__xludf.DUMMYFUNCTION("""COMPUTED_VALUE"""),"degenerate-ape-academy-floor-index")</f>
        <v>degenerate-ape-academy-floor-index</v>
      </c>
      <c r="B3401" s="3" t="str">
        <f>IFERROR(__xludf.DUMMYFUNCTION("""COMPUTED_VALUE"""),"dape")</f>
        <v>dape</v>
      </c>
      <c r="C3401" s="3" t="str">
        <f>IFERROR(__xludf.DUMMYFUNCTION("""COMPUTED_VALUE"""),"Degenerate Ape Academy Floor Index")</f>
        <v>Degenerate Ape Academy Floor Index</v>
      </c>
    </row>
    <row r="3402">
      <c r="A3402" s="3" t="str">
        <f>IFERROR(__xludf.DUMMYFUNCTION("""COMPUTED_VALUE"""),"degenerate-money")</f>
        <v>degenerate-money</v>
      </c>
      <c r="B3402" s="3" t="str">
        <f>IFERROR(__xludf.DUMMYFUNCTION("""COMPUTED_VALUE"""),"degenr")</f>
        <v>degenr</v>
      </c>
      <c r="C3402" s="3" t="str">
        <f>IFERROR(__xludf.DUMMYFUNCTION("""COMPUTED_VALUE"""),"Degenerate Money")</f>
        <v>Degenerate Money</v>
      </c>
    </row>
    <row r="3403">
      <c r="A3403" s="3" t="str">
        <f>IFERROR(__xludf.DUMMYFUNCTION("""COMPUTED_VALUE"""),"degenerator")</f>
        <v>degenerator</v>
      </c>
      <c r="B3403" s="3" t="str">
        <f>IFERROR(__xludf.DUMMYFUNCTION("""COMPUTED_VALUE"""),"meme")</f>
        <v>meme</v>
      </c>
      <c r="C3403" s="3" t="str">
        <f>IFERROR(__xludf.DUMMYFUNCTION("""COMPUTED_VALUE"""),"Meme")</f>
        <v>Meme</v>
      </c>
    </row>
    <row r="3404">
      <c r="A3404" s="3" t="str">
        <f>IFERROR(__xludf.DUMMYFUNCTION("""COMPUTED_VALUE"""),"degen-finance")</f>
        <v>degen-finance</v>
      </c>
      <c r="B3404" s="3" t="str">
        <f>IFERROR(__xludf.DUMMYFUNCTION("""COMPUTED_VALUE"""),"degen")</f>
        <v>degen</v>
      </c>
      <c r="C3404" s="3" t="str">
        <f>IFERROR(__xludf.DUMMYFUNCTION("""COMPUTED_VALUE"""),"Degen Finance")</f>
        <v>Degen Finance</v>
      </c>
    </row>
    <row r="3405">
      <c r="A3405" s="3" t="str">
        <f>IFERROR(__xludf.DUMMYFUNCTION("""COMPUTED_VALUE"""),"degen-gold")</f>
        <v>degen-gold</v>
      </c>
      <c r="B3405" s="3" t="str">
        <f>IFERROR(__xludf.DUMMYFUNCTION("""COMPUTED_VALUE"""),"dgold")</f>
        <v>dgold</v>
      </c>
      <c r="C3405" s="3" t="str">
        <f>IFERROR(__xludf.DUMMYFUNCTION("""COMPUTED_VALUE"""),"Degen Gold")</f>
        <v>Degen Gold</v>
      </c>
    </row>
    <row r="3406">
      <c r="A3406" s="3" t="str">
        <f>IFERROR(__xludf.DUMMYFUNCTION("""COMPUTED_VALUE"""),"degen-index")</f>
        <v>degen-index</v>
      </c>
      <c r="B3406" s="3" t="str">
        <f>IFERROR(__xludf.DUMMYFUNCTION("""COMPUTED_VALUE"""),"degen")</f>
        <v>degen</v>
      </c>
      <c r="C3406" s="3" t="str">
        <f>IFERROR(__xludf.DUMMYFUNCTION("""COMPUTED_VALUE"""),"DEGEN Index")</f>
        <v>DEGEN Index</v>
      </c>
    </row>
    <row r="3407">
      <c r="A3407" s="3" t="str">
        <f>IFERROR(__xludf.DUMMYFUNCTION("""COMPUTED_VALUE"""),"degen-nugget")</f>
        <v>degen-nugget</v>
      </c>
      <c r="B3407" s="3" t="str">
        <f>IFERROR(__xludf.DUMMYFUNCTION("""COMPUTED_VALUE"""),"nugget")</f>
        <v>nugget</v>
      </c>
      <c r="C3407" s="3" t="str">
        <f>IFERROR(__xludf.DUMMYFUNCTION("""COMPUTED_VALUE"""),"Degen NUGGET")</f>
        <v>Degen NUGGET</v>
      </c>
    </row>
    <row r="3408">
      <c r="A3408" s="3" t="str">
        <f>IFERROR(__xludf.DUMMYFUNCTION("""COMPUTED_VALUE"""),"degen-protocol-token")</f>
        <v>degen-protocol-token</v>
      </c>
      <c r="B3408" s="3" t="str">
        <f>IFERROR(__xludf.DUMMYFUNCTION("""COMPUTED_VALUE"""),"sh33p")</f>
        <v>sh33p</v>
      </c>
      <c r="C3408" s="3" t="str">
        <f>IFERROR(__xludf.DUMMYFUNCTION("""COMPUTED_VALUE"""),"Degen Protocol")</f>
        <v>Degen Protocol</v>
      </c>
    </row>
    <row r="3409">
      <c r="A3409" s="3" t="str">
        <f>IFERROR(__xludf.DUMMYFUNCTION("""COMPUTED_VALUE"""),"degens")</f>
        <v>degens</v>
      </c>
      <c r="B3409" s="3" t="str">
        <f>IFERROR(__xludf.DUMMYFUNCTION("""COMPUTED_VALUE"""),"degens")</f>
        <v>degens</v>
      </c>
      <c r="C3409" s="3" t="str">
        <f>IFERROR(__xludf.DUMMYFUNCTION("""COMPUTED_VALUE"""),"Degens")</f>
        <v>Degens</v>
      </c>
    </row>
    <row r="3410">
      <c r="A3410" s="3" t="str">
        <f>IFERROR(__xludf.DUMMYFUNCTION("""COMPUTED_VALUE"""),"degenvc")</f>
        <v>degenvc</v>
      </c>
      <c r="B3410" s="3" t="str">
        <f>IFERROR(__xludf.DUMMYFUNCTION("""COMPUTED_VALUE"""),"dgvc")</f>
        <v>dgvc</v>
      </c>
      <c r="C3410" s="3" t="str">
        <f>IFERROR(__xludf.DUMMYFUNCTION("""COMPUTED_VALUE"""),"DegenVC")</f>
        <v>DegenVC</v>
      </c>
    </row>
    <row r="3411">
      <c r="A3411" s="3" t="str">
        <f>IFERROR(__xludf.DUMMYFUNCTION("""COMPUTED_VALUE"""),"degenx")</f>
        <v>degenx</v>
      </c>
      <c r="B3411" s="3" t="str">
        <f>IFERROR(__xludf.DUMMYFUNCTION("""COMPUTED_VALUE"""),"dgnx")</f>
        <v>dgnx</v>
      </c>
      <c r="C3411" s="3" t="str">
        <f>IFERROR(__xludf.DUMMYFUNCTION("""COMPUTED_VALUE"""),"DegenX")</f>
        <v>DegenX</v>
      </c>
    </row>
    <row r="3412">
      <c r="A3412" s="3" t="str">
        <f>IFERROR(__xludf.DUMMYFUNCTION("""COMPUTED_VALUE"""),"degis")</f>
        <v>degis</v>
      </c>
      <c r="B3412" s="3" t="str">
        <f>IFERROR(__xludf.DUMMYFUNCTION("""COMPUTED_VALUE"""),"deg")</f>
        <v>deg</v>
      </c>
      <c r="C3412" s="3" t="str">
        <f>IFERROR(__xludf.DUMMYFUNCTION("""COMPUTED_VALUE"""),"Degis")</f>
        <v>Degis</v>
      </c>
    </row>
    <row r="3413">
      <c r="A3413" s="3" t="str">
        <f>IFERROR(__xludf.DUMMYFUNCTION("""COMPUTED_VALUE"""),"dego-finance")</f>
        <v>dego-finance</v>
      </c>
      <c r="B3413" s="3" t="str">
        <f>IFERROR(__xludf.DUMMYFUNCTION("""COMPUTED_VALUE"""),"dego")</f>
        <v>dego</v>
      </c>
      <c r="C3413" s="3" t="str">
        <f>IFERROR(__xludf.DUMMYFUNCTION("""COMPUTED_VALUE"""),"Dego Finance")</f>
        <v>Dego Finance</v>
      </c>
    </row>
    <row r="3414">
      <c r="A3414" s="3" t="str">
        <f>IFERROR(__xludf.DUMMYFUNCTION("""COMPUTED_VALUE"""),"degrain")</f>
        <v>degrain</v>
      </c>
      <c r="B3414" s="3" t="str">
        <f>IFERROR(__xludf.DUMMYFUNCTION("""COMPUTED_VALUE"""),"dgrn")</f>
        <v>dgrn</v>
      </c>
      <c r="C3414" s="3" t="str">
        <f>IFERROR(__xludf.DUMMYFUNCTION("""COMPUTED_VALUE"""),"Degrain")</f>
        <v>Degrain</v>
      </c>
    </row>
    <row r="3415">
      <c r="A3415" s="3" t="str">
        <f>IFERROR(__xludf.DUMMYFUNCTION("""COMPUTED_VALUE"""),"degree-crypto-token")</f>
        <v>degree-crypto-token</v>
      </c>
      <c r="B3415" s="3" t="str">
        <f>IFERROR(__xludf.DUMMYFUNCTION("""COMPUTED_VALUE"""),"dct")</f>
        <v>dct</v>
      </c>
      <c r="C3415" s="3" t="str">
        <f>IFERROR(__xludf.DUMMYFUNCTION("""COMPUTED_VALUE"""),"Degree Crypto")</f>
        <v>Degree Crypto</v>
      </c>
    </row>
    <row r="3416">
      <c r="A3416" s="3" t="str">
        <f>IFERROR(__xludf.DUMMYFUNCTION("""COMPUTED_VALUE"""),"dehealth")</f>
        <v>dehealth</v>
      </c>
      <c r="B3416" s="3" t="str">
        <f>IFERROR(__xludf.DUMMYFUNCTION("""COMPUTED_VALUE"""),"dhlt")</f>
        <v>dhlt</v>
      </c>
      <c r="C3416" s="3" t="str">
        <f>IFERROR(__xludf.DUMMYFUNCTION("""COMPUTED_VALUE"""),"DeHealth")</f>
        <v>DeHealth</v>
      </c>
    </row>
    <row r="3417">
      <c r="A3417" s="3" t="str">
        <f>IFERROR(__xludf.DUMMYFUNCTION("""COMPUTED_VALUE"""),"dehero-community-token")</f>
        <v>dehero-community-token</v>
      </c>
      <c r="B3417" s="3" t="str">
        <f>IFERROR(__xludf.DUMMYFUNCTION("""COMPUTED_VALUE"""),"heroes")</f>
        <v>heroes</v>
      </c>
      <c r="C3417" s="3" t="str">
        <f>IFERROR(__xludf.DUMMYFUNCTION("""COMPUTED_VALUE"""),"Dehero Community")</f>
        <v>Dehero Community</v>
      </c>
    </row>
    <row r="3418">
      <c r="A3418" s="3" t="str">
        <f>IFERROR(__xludf.DUMMYFUNCTION("""COMPUTED_VALUE"""),"dehive")</f>
        <v>dehive</v>
      </c>
      <c r="B3418" s="3" t="str">
        <f>IFERROR(__xludf.DUMMYFUNCTION("""COMPUTED_VALUE"""),"dhv")</f>
        <v>dhv</v>
      </c>
      <c r="C3418" s="3" t="str">
        <f>IFERROR(__xludf.DUMMYFUNCTION("""COMPUTED_VALUE"""),"DeHive")</f>
        <v>DeHive</v>
      </c>
    </row>
    <row r="3419">
      <c r="A3419" s="3" t="str">
        <f>IFERROR(__xludf.DUMMYFUNCTION("""COMPUTED_VALUE"""),"dehorizon")</f>
        <v>dehorizon</v>
      </c>
      <c r="B3419" s="3" t="str">
        <f>IFERROR(__xludf.DUMMYFUNCTION("""COMPUTED_VALUE"""),"devt")</f>
        <v>devt</v>
      </c>
      <c r="C3419" s="3" t="str">
        <f>IFERROR(__xludf.DUMMYFUNCTION("""COMPUTED_VALUE"""),"DeHorizon")</f>
        <v>DeHorizon</v>
      </c>
    </row>
    <row r="3420">
      <c r="A3420" s="3" t="str">
        <f>IFERROR(__xludf.DUMMYFUNCTION("""COMPUTED_VALUE"""),"dehr-network")</f>
        <v>dehr-network</v>
      </c>
      <c r="B3420" s="3" t="str">
        <f>IFERROR(__xludf.DUMMYFUNCTION("""COMPUTED_VALUE"""),"dhr")</f>
        <v>dhr</v>
      </c>
      <c r="C3420" s="3" t="str">
        <f>IFERROR(__xludf.DUMMYFUNCTION("""COMPUTED_VALUE"""),"DeHR Network")</f>
        <v>DeHR Network</v>
      </c>
    </row>
    <row r="3421">
      <c r="A3421" s="3" t="str">
        <f>IFERROR(__xludf.DUMMYFUNCTION("""COMPUTED_VALUE"""),"dehub")</f>
        <v>dehub</v>
      </c>
      <c r="B3421" s="3" t="str">
        <f>IFERROR(__xludf.DUMMYFUNCTION("""COMPUTED_VALUE"""),"dehub")</f>
        <v>dehub</v>
      </c>
      <c r="C3421" s="3" t="str">
        <f>IFERROR(__xludf.DUMMYFUNCTION("""COMPUTED_VALUE"""),"DeHub")</f>
        <v>DeHub</v>
      </c>
    </row>
    <row r="3422">
      <c r="A3422" s="3" t="str">
        <f>IFERROR(__xludf.DUMMYFUNCTION("""COMPUTED_VALUE"""),"deip-protocol")</f>
        <v>deip-protocol</v>
      </c>
      <c r="B3422" s="3" t="str">
        <f>IFERROR(__xludf.DUMMYFUNCTION("""COMPUTED_VALUE"""),"deip")</f>
        <v>deip</v>
      </c>
      <c r="C3422" s="3" t="str">
        <f>IFERROR(__xludf.DUMMYFUNCTION("""COMPUTED_VALUE"""),"DEIP Protocol")</f>
        <v>DEIP Protocol</v>
      </c>
    </row>
    <row r="3423">
      <c r="A3423" s="3" t="str">
        <f>IFERROR(__xludf.DUMMYFUNCTION("""COMPUTED_VALUE"""),"dei-token")</f>
        <v>dei-token</v>
      </c>
      <c r="B3423" s="3" t="str">
        <f>IFERROR(__xludf.DUMMYFUNCTION("""COMPUTED_VALUE"""),"dei")</f>
        <v>dei</v>
      </c>
      <c r="C3423" s="3" t="str">
        <f>IFERROR(__xludf.DUMMYFUNCTION("""COMPUTED_VALUE"""),"DEI")</f>
        <v>DEI</v>
      </c>
    </row>
    <row r="3424">
      <c r="A3424" s="3" t="str">
        <f>IFERROR(__xludf.DUMMYFUNCTION("""COMPUTED_VALUE"""),"dejitaru-kaida")</f>
        <v>dejitaru-kaida</v>
      </c>
      <c r="B3424" s="3" t="str">
        <f>IFERROR(__xludf.DUMMYFUNCTION("""COMPUTED_VALUE"""),"kaida")</f>
        <v>kaida</v>
      </c>
      <c r="C3424" s="3" t="str">
        <f>IFERROR(__xludf.DUMMYFUNCTION("""COMPUTED_VALUE"""),"Dejitaru Kaida")</f>
        <v>Dejitaru Kaida</v>
      </c>
    </row>
    <row r="3425">
      <c r="A3425" s="3" t="str">
        <f>IFERROR(__xludf.DUMMYFUNCTION("""COMPUTED_VALUE"""),"dejitaru-tsuka")</f>
        <v>dejitaru-tsuka</v>
      </c>
      <c r="B3425" s="3" t="str">
        <f>IFERROR(__xludf.DUMMYFUNCTION("""COMPUTED_VALUE"""),"tsuka")</f>
        <v>tsuka</v>
      </c>
      <c r="C3425" s="3" t="str">
        <f>IFERROR(__xludf.DUMMYFUNCTION("""COMPUTED_VALUE"""),"Dejitaru Tsuka")</f>
        <v>Dejitaru Tsuka</v>
      </c>
    </row>
    <row r="3426">
      <c r="A3426" s="3" t="str">
        <f>IFERROR(__xludf.DUMMYFUNCTION("""COMPUTED_VALUE"""),"dejitaru-tsuka-pow")</f>
        <v>dejitaru-tsuka-pow</v>
      </c>
      <c r="B3426" s="3" t="str">
        <f>IFERROR(__xludf.DUMMYFUNCTION("""COMPUTED_VALUE"""),"tsukaw")</f>
        <v>tsukaw</v>
      </c>
      <c r="C3426" s="3" t="str">
        <f>IFERROR(__xludf.DUMMYFUNCTION("""COMPUTED_VALUE"""),"Dejitaru Tsuka POW")</f>
        <v>Dejitaru Tsuka POW</v>
      </c>
    </row>
    <row r="3427">
      <c r="A3427" s="3" t="str">
        <f>IFERROR(__xludf.DUMMYFUNCTION("""COMPUTED_VALUE"""),"dekbox")</f>
        <v>dekbox</v>
      </c>
      <c r="B3427" s="3" t="str">
        <f>IFERROR(__xludf.DUMMYFUNCTION("""COMPUTED_VALUE"""),"dek")</f>
        <v>dek</v>
      </c>
      <c r="C3427" s="3" t="str">
        <f>IFERROR(__xludf.DUMMYFUNCTION("""COMPUTED_VALUE"""),"DekBox")</f>
        <v>DekBox</v>
      </c>
    </row>
    <row r="3428">
      <c r="A3428" s="3" t="str">
        <f>IFERROR(__xludf.DUMMYFUNCTION("""COMPUTED_VALUE"""),"deku-inu")</f>
        <v>deku-inu</v>
      </c>
      <c r="B3428" s="3" t="str">
        <f>IFERROR(__xludf.DUMMYFUNCTION("""COMPUTED_VALUE"""),"deku")</f>
        <v>deku</v>
      </c>
      <c r="C3428" s="3" t="str">
        <f>IFERROR(__xludf.DUMMYFUNCTION("""COMPUTED_VALUE"""),"Deku Inu")</f>
        <v>Deku Inu</v>
      </c>
    </row>
    <row r="3429">
      <c r="A3429" s="3" t="str">
        <f>IFERROR(__xludf.DUMMYFUNCTION("""COMPUTED_VALUE"""),"delfino-finance")</f>
        <v>delfino-finance</v>
      </c>
      <c r="B3429" s="3" t="str">
        <f>IFERROR(__xludf.DUMMYFUNCTION("""COMPUTED_VALUE"""),"dlf")</f>
        <v>dlf</v>
      </c>
      <c r="C3429" s="3" t="str">
        <f>IFERROR(__xludf.DUMMYFUNCTION("""COMPUTED_VALUE"""),"Delfino Finance")</f>
        <v>Delfino Finance</v>
      </c>
    </row>
    <row r="3430">
      <c r="A3430" s="3" t="str">
        <f>IFERROR(__xludf.DUMMYFUNCTION("""COMPUTED_VALUE"""),"deligence")</f>
        <v>deligence</v>
      </c>
      <c r="B3430" s="3" t="str">
        <f>IFERROR(__xludf.DUMMYFUNCTION("""COMPUTED_VALUE"""),"ira")</f>
        <v>ira</v>
      </c>
      <c r="C3430" s="3" t="str">
        <f>IFERROR(__xludf.DUMMYFUNCTION("""COMPUTED_VALUE"""),"Diligence")</f>
        <v>Diligence</v>
      </c>
    </row>
    <row r="3431">
      <c r="A3431" s="3" t="str">
        <f>IFERROR(__xludf.DUMMYFUNCTION("""COMPUTED_VALUE"""),"delio-dsp")</f>
        <v>delio-dsp</v>
      </c>
      <c r="B3431" s="3" t="str">
        <f>IFERROR(__xludf.DUMMYFUNCTION("""COMPUTED_VALUE"""),"dsp")</f>
        <v>dsp</v>
      </c>
      <c r="C3431" s="3" t="str">
        <f>IFERROR(__xludf.DUMMYFUNCTION("""COMPUTED_VALUE"""),"Delio DSP")</f>
        <v>Delio DSP</v>
      </c>
    </row>
    <row r="3432">
      <c r="A3432" s="3" t="str">
        <f>IFERROR(__xludf.DUMMYFUNCTION("""COMPUTED_VALUE"""),"deli-of-thrones")</f>
        <v>deli-of-thrones</v>
      </c>
      <c r="B3432" s="3" t="str">
        <f>IFERROR(__xludf.DUMMYFUNCTION("""COMPUTED_VALUE"""),"dotx")</f>
        <v>dotx</v>
      </c>
      <c r="C3432" s="3" t="str">
        <f>IFERROR(__xludf.DUMMYFUNCTION("""COMPUTED_VALUE"""),"DeFi of Thrones")</f>
        <v>DeFi of Thrones</v>
      </c>
    </row>
    <row r="3433">
      <c r="A3433" s="3" t="str">
        <f>IFERROR(__xludf.DUMMYFUNCTION("""COMPUTED_VALUE"""),"delion")</f>
        <v>delion</v>
      </c>
      <c r="B3433" s="3" t="str">
        <f>IFERROR(__xludf.DUMMYFUNCTION("""COMPUTED_VALUE"""),"dln")</f>
        <v>dln</v>
      </c>
      <c r="C3433" s="3" t="str">
        <f>IFERROR(__xludf.DUMMYFUNCTION("""COMPUTED_VALUE"""),"Delion")</f>
        <v>Delion</v>
      </c>
    </row>
    <row r="3434">
      <c r="A3434" s="3" t="str">
        <f>IFERROR(__xludf.DUMMYFUNCTION("""COMPUTED_VALUE"""),"deliq")</f>
        <v>deliq</v>
      </c>
      <c r="B3434" s="3" t="str">
        <f>IFERROR(__xludf.DUMMYFUNCTION("""COMPUTED_VALUE"""),"dlq")</f>
        <v>dlq</v>
      </c>
      <c r="C3434" s="3" t="str">
        <f>IFERROR(__xludf.DUMMYFUNCTION("""COMPUTED_VALUE"""),"Deliq")</f>
        <v>Deliq</v>
      </c>
    </row>
    <row r="3435">
      <c r="A3435" s="3" t="str">
        <f>IFERROR(__xludf.DUMMYFUNCTION("""COMPUTED_VALUE"""),"delos-defi")</f>
        <v>delos-defi</v>
      </c>
      <c r="B3435" s="3" t="str">
        <f>IFERROR(__xludf.DUMMYFUNCTION("""COMPUTED_VALUE"""),"delos")</f>
        <v>delos</v>
      </c>
      <c r="C3435" s="3" t="str">
        <f>IFERROR(__xludf.DUMMYFUNCTION("""COMPUTED_VALUE"""),"Delos Defi")</f>
        <v>Delos Defi</v>
      </c>
    </row>
    <row r="3436">
      <c r="A3436" s="3" t="str">
        <f>IFERROR(__xludf.DUMMYFUNCTION("""COMPUTED_VALUE"""),"delot-io")</f>
        <v>delot-io</v>
      </c>
      <c r="B3436" s="3" t="str">
        <f>IFERROR(__xludf.DUMMYFUNCTION("""COMPUTED_VALUE"""),"delot")</f>
        <v>delot</v>
      </c>
      <c r="C3436" s="4" t="str">
        <f>IFERROR(__xludf.DUMMYFUNCTION("""COMPUTED_VALUE"""),"DELOT.IO")</f>
        <v>DELOT.IO</v>
      </c>
    </row>
    <row r="3437">
      <c r="A3437" s="3" t="str">
        <f>IFERROR(__xludf.DUMMYFUNCTION("""COMPUTED_VALUE"""),"delphy")</f>
        <v>delphy</v>
      </c>
      <c r="B3437" s="3" t="str">
        <f>IFERROR(__xludf.DUMMYFUNCTION("""COMPUTED_VALUE"""),"dpy")</f>
        <v>dpy</v>
      </c>
      <c r="C3437" s="3" t="str">
        <f>IFERROR(__xludf.DUMMYFUNCTION("""COMPUTED_VALUE"""),"Delphy")</f>
        <v>Delphy</v>
      </c>
    </row>
    <row r="3438">
      <c r="A3438" s="3" t="str">
        <f>IFERROR(__xludf.DUMMYFUNCTION("""COMPUTED_VALUE"""),"deltachain")</f>
        <v>deltachain</v>
      </c>
      <c r="B3438" s="3" t="str">
        <f>IFERROR(__xludf.DUMMYFUNCTION("""COMPUTED_VALUE"""),"delta")</f>
        <v>delta</v>
      </c>
      <c r="C3438" s="3" t="str">
        <f>IFERROR(__xludf.DUMMYFUNCTION("""COMPUTED_VALUE"""),"DeltaChain")</f>
        <v>DeltaChain</v>
      </c>
    </row>
    <row r="3439">
      <c r="A3439" s="3" t="str">
        <f>IFERROR(__xludf.DUMMYFUNCTION("""COMPUTED_VALUE"""),"delta-exchange-token")</f>
        <v>delta-exchange-token</v>
      </c>
      <c r="B3439" s="3" t="str">
        <f>IFERROR(__xludf.DUMMYFUNCTION("""COMPUTED_VALUE"""),"deto")</f>
        <v>deto</v>
      </c>
      <c r="C3439" s="3" t="str">
        <f>IFERROR(__xludf.DUMMYFUNCTION("""COMPUTED_VALUE"""),"Delta Exchange")</f>
        <v>Delta Exchange</v>
      </c>
    </row>
    <row r="3440">
      <c r="A3440" s="3" t="str">
        <f>IFERROR(__xludf.DUMMYFUNCTION("""COMPUTED_VALUE"""),"deltafi")</f>
        <v>deltafi</v>
      </c>
      <c r="B3440" s="3" t="str">
        <f>IFERROR(__xludf.DUMMYFUNCTION("""COMPUTED_VALUE"""),"delfi")</f>
        <v>delfi</v>
      </c>
      <c r="C3440" s="3" t="str">
        <f>IFERROR(__xludf.DUMMYFUNCTION("""COMPUTED_VALUE"""),"DeltaFi")</f>
        <v>DeltaFi</v>
      </c>
    </row>
    <row r="3441">
      <c r="A3441" s="3" t="str">
        <f>IFERROR(__xludf.DUMMYFUNCTION("""COMPUTED_VALUE"""),"delta-financial")</f>
        <v>delta-financial</v>
      </c>
      <c r="B3441" s="3" t="str">
        <f>IFERROR(__xludf.DUMMYFUNCTION("""COMPUTED_VALUE"""),"delta")</f>
        <v>delta</v>
      </c>
      <c r="C3441" s="3" t="str">
        <f>IFERROR(__xludf.DUMMYFUNCTION("""COMPUTED_VALUE"""),"Delta Financial")</f>
        <v>Delta Financial</v>
      </c>
    </row>
    <row r="3442">
      <c r="A3442" s="3" t="str">
        <f>IFERROR(__xludf.DUMMYFUNCTION("""COMPUTED_VALUE"""),"deltaflare")</f>
        <v>deltaflare</v>
      </c>
      <c r="B3442" s="3" t="str">
        <f>IFERROR(__xludf.DUMMYFUNCTION("""COMPUTED_VALUE"""),"honr")</f>
        <v>honr</v>
      </c>
      <c r="C3442" s="3" t="str">
        <f>IFERROR(__xludf.DUMMYFUNCTION("""COMPUTED_VALUE"""),"DeltaFlare")</f>
        <v>DeltaFlare</v>
      </c>
    </row>
    <row r="3443">
      <c r="A3443" s="3" t="str">
        <f>IFERROR(__xludf.DUMMYFUNCTION("""COMPUTED_VALUE"""),"deltaflip")</f>
        <v>deltaflip</v>
      </c>
      <c r="B3443" s="3" t="str">
        <f>IFERROR(__xludf.DUMMYFUNCTION("""COMPUTED_VALUE"""),"deltaf")</f>
        <v>deltaf</v>
      </c>
      <c r="C3443" s="3" t="str">
        <f>IFERROR(__xludf.DUMMYFUNCTION("""COMPUTED_VALUE"""),"DeltaFlip")</f>
        <v>DeltaFlip</v>
      </c>
    </row>
    <row r="3444">
      <c r="A3444" s="3" t="str">
        <f>IFERROR(__xludf.DUMMYFUNCTION("""COMPUTED_VALUE"""),"deltahub-community")</f>
        <v>deltahub-community</v>
      </c>
      <c r="B3444" s="3" t="str">
        <f>IFERROR(__xludf.DUMMYFUNCTION("""COMPUTED_VALUE"""),"dhc")</f>
        <v>dhc</v>
      </c>
      <c r="C3444" s="3" t="str">
        <f>IFERROR(__xludf.DUMMYFUNCTION("""COMPUTED_VALUE"""),"DeltaHub Community")</f>
        <v>DeltaHub Community</v>
      </c>
    </row>
    <row r="3445">
      <c r="A3445" s="3" t="str">
        <f>IFERROR(__xludf.DUMMYFUNCTION("""COMPUTED_VALUE"""),"delta-theta")</f>
        <v>delta-theta</v>
      </c>
      <c r="B3445" s="3" t="str">
        <f>IFERROR(__xludf.DUMMYFUNCTION("""COMPUTED_VALUE"""),"dlta")</f>
        <v>dlta</v>
      </c>
      <c r="C3445" s="3" t="str">
        <f>IFERROR(__xludf.DUMMYFUNCTION("""COMPUTED_VALUE"""),"delta.theta")</f>
        <v>delta.theta</v>
      </c>
    </row>
    <row r="3446">
      <c r="A3446" s="3" t="str">
        <f>IFERROR(__xludf.DUMMYFUNCTION("""COMPUTED_VALUE"""),"demeter")</f>
        <v>demeter</v>
      </c>
      <c r="B3446" s="3" t="str">
        <f>IFERROR(__xludf.DUMMYFUNCTION("""COMPUTED_VALUE"""),"deo")</f>
        <v>deo</v>
      </c>
      <c r="C3446" s="3" t="str">
        <f>IFERROR(__xludf.DUMMYFUNCTION("""COMPUTED_VALUE"""),"Demeter")</f>
        <v>Demeter</v>
      </c>
    </row>
    <row r="3447">
      <c r="A3447" s="3" t="str">
        <f>IFERROR(__xludf.DUMMYFUNCTION("""COMPUTED_VALUE"""),"demeter-usd")</f>
        <v>demeter-usd</v>
      </c>
      <c r="B3447" s="3" t="str">
        <f>IFERROR(__xludf.DUMMYFUNCTION("""COMPUTED_VALUE"""),"dusd")</f>
        <v>dusd</v>
      </c>
      <c r="C3447" s="3" t="str">
        <f>IFERROR(__xludf.DUMMYFUNCTION("""COMPUTED_VALUE"""),"Demeter USD")</f>
        <v>Demeter USD</v>
      </c>
    </row>
    <row r="3448">
      <c r="A3448" s="3" t="str">
        <f>IFERROR(__xludf.DUMMYFUNCTION("""COMPUTED_VALUE"""),"demodyfi")</f>
        <v>demodyfi</v>
      </c>
      <c r="B3448" s="3" t="str">
        <f>IFERROR(__xludf.DUMMYFUNCTION("""COMPUTED_VALUE"""),"dmod")</f>
        <v>dmod</v>
      </c>
      <c r="C3448" s="3" t="str">
        <f>IFERROR(__xludf.DUMMYFUNCTION("""COMPUTED_VALUE"""),"Demodyfi")</f>
        <v>Demodyfi</v>
      </c>
    </row>
    <row r="3449">
      <c r="A3449" s="3" t="str">
        <f>IFERROR(__xludf.DUMMYFUNCTION("""COMPUTED_VALUE"""),"demole")</f>
        <v>demole</v>
      </c>
      <c r="B3449" s="3" t="str">
        <f>IFERROR(__xludf.DUMMYFUNCTION("""COMPUTED_VALUE"""),"dmlg")</f>
        <v>dmlg</v>
      </c>
      <c r="C3449" s="3" t="str">
        <f>IFERROR(__xludf.DUMMYFUNCTION("""COMPUTED_VALUE"""),"Demole")</f>
        <v>Demole</v>
      </c>
    </row>
    <row r="3450">
      <c r="A3450" s="3" t="str">
        <f>IFERROR(__xludf.DUMMYFUNCTION("""COMPUTED_VALUE"""),"denarius")</f>
        <v>denarius</v>
      </c>
      <c r="B3450" s="3" t="str">
        <f>IFERROR(__xludf.DUMMYFUNCTION("""COMPUTED_VALUE"""),"d")</f>
        <v>d</v>
      </c>
      <c r="C3450" s="3" t="str">
        <f>IFERROR(__xludf.DUMMYFUNCTION("""COMPUTED_VALUE"""),"Denarius")</f>
        <v>Denarius</v>
      </c>
    </row>
    <row r="3451">
      <c r="A3451" s="3" t="str">
        <f>IFERROR(__xludf.DUMMYFUNCTION("""COMPUTED_VALUE"""),"dendomains")</f>
        <v>dendomains</v>
      </c>
      <c r="B3451" s="3" t="str">
        <f>IFERROR(__xludf.DUMMYFUNCTION("""COMPUTED_VALUE"""),"ddn")</f>
        <v>ddn</v>
      </c>
      <c r="C3451" s="3" t="str">
        <f>IFERROR(__xludf.DUMMYFUNCTION("""COMPUTED_VALUE"""),"Den Domains")</f>
        <v>Den Domains</v>
      </c>
    </row>
    <row r="3452">
      <c r="A3452" s="3" t="str">
        <f>IFERROR(__xludf.DUMMYFUNCTION("""COMPUTED_VALUE"""),"dengba-planet")</f>
        <v>dengba-planet</v>
      </c>
      <c r="B3452" s="3" t="str">
        <f>IFERROR(__xludf.DUMMYFUNCTION("""COMPUTED_VALUE"""),"dbt")</f>
        <v>dbt</v>
      </c>
      <c r="C3452" s="3" t="str">
        <f>IFERROR(__xludf.DUMMYFUNCTION("""COMPUTED_VALUE"""),"Dengba Planet")</f>
        <v>Dengba Planet</v>
      </c>
    </row>
    <row r="3453">
      <c r="A3453" s="3" t="str">
        <f>IFERROR(__xludf.DUMMYFUNCTION("""COMPUTED_VALUE"""),"denizlispor-fan-token")</f>
        <v>denizlispor-fan-token</v>
      </c>
      <c r="B3453" s="3" t="str">
        <f>IFERROR(__xludf.DUMMYFUNCTION("""COMPUTED_VALUE"""),"dnz")</f>
        <v>dnz</v>
      </c>
      <c r="C3453" s="3" t="str">
        <f>IFERROR(__xludf.DUMMYFUNCTION("""COMPUTED_VALUE"""),"Denizlispor Fan Token")</f>
        <v>Denizlispor Fan Token</v>
      </c>
    </row>
    <row r="3454">
      <c r="A3454" s="3" t="str">
        <f>IFERROR(__xludf.DUMMYFUNCTION("""COMPUTED_VALUE"""),"dent")</f>
        <v>dent</v>
      </c>
      <c r="B3454" s="3" t="str">
        <f>IFERROR(__xludf.DUMMYFUNCTION("""COMPUTED_VALUE"""),"dent")</f>
        <v>dent</v>
      </c>
      <c r="C3454" s="3" t="str">
        <f>IFERROR(__xludf.DUMMYFUNCTION("""COMPUTED_VALUE"""),"Dent")</f>
        <v>Dent</v>
      </c>
    </row>
    <row r="3455">
      <c r="A3455" s="3" t="str">
        <f>IFERROR(__xludf.DUMMYFUNCTION("""COMPUTED_VALUE"""),"dentacoin")</f>
        <v>dentacoin</v>
      </c>
      <c r="B3455" s="3" t="str">
        <f>IFERROR(__xludf.DUMMYFUNCTION("""COMPUTED_VALUE"""),"dcn")</f>
        <v>dcn</v>
      </c>
      <c r="C3455" s="3" t="str">
        <f>IFERROR(__xludf.DUMMYFUNCTION("""COMPUTED_VALUE"""),"Dentacoin")</f>
        <v>Dentacoin</v>
      </c>
    </row>
    <row r="3456">
      <c r="A3456" s="3" t="str">
        <f>IFERROR(__xludf.DUMMYFUNCTION("""COMPUTED_VALUE"""),"dentrocoin")</f>
        <v>dentrocoin</v>
      </c>
      <c r="B3456" s="3" t="str">
        <f>IFERROR(__xludf.DUMMYFUNCTION("""COMPUTED_VALUE"""),"dentro")</f>
        <v>dentro</v>
      </c>
      <c r="C3456" s="3" t="str">
        <f>IFERROR(__xludf.DUMMYFUNCTION("""COMPUTED_VALUE"""),"Dentrocoin")</f>
        <v>Dentrocoin</v>
      </c>
    </row>
    <row r="3457">
      <c r="A3457" s="3" t="str">
        <f>IFERROR(__xludf.DUMMYFUNCTION("""COMPUTED_VALUE"""),"deonex-token")</f>
        <v>deonex-token</v>
      </c>
      <c r="B3457" s="3" t="str">
        <f>IFERROR(__xludf.DUMMYFUNCTION("""COMPUTED_VALUE"""),"don")</f>
        <v>don</v>
      </c>
      <c r="C3457" s="3" t="str">
        <f>IFERROR(__xludf.DUMMYFUNCTION("""COMPUTED_VALUE"""),"DEONEX")</f>
        <v>DEONEX</v>
      </c>
    </row>
    <row r="3458">
      <c r="A3458" s="3" t="str">
        <f>IFERROR(__xludf.DUMMYFUNCTION("""COMPUTED_VALUE"""),"depay")</f>
        <v>depay</v>
      </c>
      <c r="B3458" s="3" t="str">
        <f>IFERROR(__xludf.DUMMYFUNCTION("""COMPUTED_VALUE"""),"depay")</f>
        <v>depay</v>
      </c>
      <c r="C3458" s="3" t="str">
        <f>IFERROR(__xludf.DUMMYFUNCTION("""COMPUTED_VALUE"""),"DePay")</f>
        <v>DePay</v>
      </c>
    </row>
    <row r="3459">
      <c r="A3459" s="3" t="str">
        <f>IFERROR(__xludf.DUMMYFUNCTION("""COMPUTED_VALUE"""),"deploying-more-capital")</f>
        <v>deploying-more-capital</v>
      </c>
      <c r="B3459" s="3" t="str">
        <f>IFERROR(__xludf.DUMMYFUNCTION("""COMPUTED_VALUE"""),"dmc")</f>
        <v>dmc</v>
      </c>
      <c r="C3459" s="3" t="str">
        <f>IFERROR(__xludf.DUMMYFUNCTION("""COMPUTED_VALUE"""),"Deploying More Capital")</f>
        <v>Deploying More Capital</v>
      </c>
    </row>
    <row r="3460">
      <c r="A3460" s="3" t="str">
        <f>IFERROR(__xludf.DUMMYFUNCTION("""COMPUTED_VALUE"""),"depo")</f>
        <v>depo</v>
      </c>
      <c r="B3460" s="3" t="str">
        <f>IFERROR(__xludf.DUMMYFUNCTION("""COMPUTED_VALUE"""),"depo")</f>
        <v>depo</v>
      </c>
      <c r="C3460" s="3" t="str">
        <f>IFERROR(__xludf.DUMMYFUNCTION("""COMPUTED_VALUE"""),"Depo")</f>
        <v>Depo</v>
      </c>
    </row>
    <row r="3461">
      <c r="A3461" s="3" t="str">
        <f>IFERROR(__xludf.DUMMYFUNCTION("""COMPUTED_VALUE"""),"depocket")</f>
        <v>depocket</v>
      </c>
      <c r="B3461" s="3" t="str">
        <f>IFERROR(__xludf.DUMMYFUNCTION("""COMPUTED_VALUE"""),"depo")</f>
        <v>depo</v>
      </c>
      <c r="C3461" s="3" t="str">
        <f>IFERROR(__xludf.DUMMYFUNCTION("""COMPUTED_VALUE"""),"DePocket")</f>
        <v>DePocket</v>
      </c>
    </row>
    <row r="3462">
      <c r="A3462" s="3" t="str">
        <f>IFERROR(__xludf.DUMMYFUNCTION("""COMPUTED_VALUE"""),"deportivo-alaves-fan-token")</f>
        <v>deportivo-alaves-fan-token</v>
      </c>
      <c r="B3462" s="3" t="str">
        <f>IFERROR(__xludf.DUMMYFUNCTION("""COMPUTED_VALUE"""),"daft")</f>
        <v>daft</v>
      </c>
      <c r="C3462" s="3" t="str">
        <f>IFERROR(__xludf.DUMMYFUNCTION("""COMPUTED_VALUE"""),"Deportivo Alavés Fan Token")</f>
        <v>Deportivo Alavés Fan Token</v>
      </c>
    </row>
    <row r="3463">
      <c r="A3463" s="3" t="str">
        <f>IFERROR(__xludf.DUMMYFUNCTION("""COMPUTED_VALUE"""),"depth-token")</f>
        <v>depth-token</v>
      </c>
      <c r="B3463" s="3" t="str">
        <f>IFERROR(__xludf.DUMMYFUNCTION("""COMPUTED_VALUE"""),"dep")</f>
        <v>dep</v>
      </c>
      <c r="C3463" s="3" t="str">
        <f>IFERROR(__xludf.DUMMYFUNCTION("""COMPUTED_VALUE"""),"Depth")</f>
        <v>Depth</v>
      </c>
    </row>
    <row r="3464">
      <c r="A3464" s="3" t="str">
        <f>IFERROR(__xludf.DUMMYFUNCTION("""COMPUTED_VALUE"""),"dequant")</f>
        <v>dequant</v>
      </c>
      <c r="B3464" s="3" t="str">
        <f>IFERROR(__xludf.DUMMYFUNCTION("""COMPUTED_VALUE"""),"deq")</f>
        <v>deq</v>
      </c>
      <c r="C3464" s="3" t="str">
        <f>IFERROR(__xludf.DUMMYFUNCTION("""COMPUTED_VALUE"""),"Dequant")</f>
        <v>Dequant</v>
      </c>
    </row>
    <row r="3465">
      <c r="A3465" s="3" t="str">
        <f>IFERROR(__xludf.DUMMYFUNCTION("""COMPUTED_VALUE"""),"derace")</f>
        <v>derace</v>
      </c>
      <c r="B3465" s="3" t="str">
        <f>IFERROR(__xludf.DUMMYFUNCTION("""COMPUTED_VALUE"""),"derc")</f>
        <v>derc</v>
      </c>
      <c r="C3465" s="3" t="str">
        <f>IFERROR(__xludf.DUMMYFUNCTION("""COMPUTED_VALUE"""),"DeRace")</f>
        <v>DeRace</v>
      </c>
    </row>
    <row r="3466">
      <c r="A3466" s="3" t="str">
        <f>IFERROR(__xludf.DUMMYFUNCTION("""COMPUTED_VALUE"""),"deracoin")</f>
        <v>deracoin</v>
      </c>
      <c r="B3466" s="3" t="str">
        <f>IFERROR(__xludf.DUMMYFUNCTION("""COMPUTED_VALUE"""),"drc")</f>
        <v>drc</v>
      </c>
      <c r="C3466" s="3" t="str">
        <f>IFERROR(__xludf.DUMMYFUNCTION("""COMPUTED_VALUE"""),"Deracoin")</f>
        <v>Deracoin</v>
      </c>
    </row>
    <row r="3467">
      <c r="A3467" s="3" t="str">
        <f>IFERROR(__xludf.DUMMYFUNCTION("""COMPUTED_VALUE"""),"derify-protocol")</f>
        <v>derify-protocol</v>
      </c>
      <c r="B3467" s="3" t="str">
        <f>IFERROR(__xludf.DUMMYFUNCTION("""COMPUTED_VALUE"""),"drf")</f>
        <v>drf</v>
      </c>
      <c r="C3467" s="3" t="str">
        <f>IFERROR(__xludf.DUMMYFUNCTION("""COMPUTED_VALUE"""),"Derify Protocol")</f>
        <v>Derify Protocol</v>
      </c>
    </row>
    <row r="3468">
      <c r="A3468" s="3" t="str">
        <f>IFERROR(__xludf.DUMMYFUNCTION("""COMPUTED_VALUE"""),"deri-protocol")</f>
        <v>deri-protocol</v>
      </c>
      <c r="B3468" s="3" t="str">
        <f>IFERROR(__xludf.DUMMYFUNCTION("""COMPUTED_VALUE"""),"deri")</f>
        <v>deri</v>
      </c>
      <c r="C3468" s="3" t="str">
        <f>IFERROR(__xludf.DUMMYFUNCTION("""COMPUTED_VALUE"""),"Deri Protocol")</f>
        <v>Deri Protocol</v>
      </c>
    </row>
    <row r="3469">
      <c r="A3469" s="3" t="str">
        <f>IFERROR(__xludf.DUMMYFUNCTION("""COMPUTED_VALUE"""),"derivadao")</f>
        <v>derivadao</v>
      </c>
      <c r="B3469" s="3" t="str">
        <f>IFERROR(__xludf.DUMMYFUNCTION("""COMPUTED_VALUE"""),"ddx")</f>
        <v>ddx</v>
      </c>
      <c r="C3469" s="3" t="str">
        <f>IFERROR(__xludf.DUMMYFUNCTION("""COMPUTED_VALUE"""),"DerivaDAO")</f>
        <v>DerivaDAO</v>
      </c>
    </row>
    <row r="3470">
      <c r="A3470" s="3" t="str">
        <f>IFERROR(__xludf.DUMMYFUNCTION("""COMPUTED_VALUE"""),"derived")</f>
        <v>derived</v>
      </c>
      <c r="B3470" s="3" t="str">
        <f>IFERROR(__xludf.DUMMYFUNCTION("""COMPUTED_VALUE"""),"dvdx")</f>
        <v>dvdx</v>
      </c>
      <c r="C3470" s="3" t="str">
        <f>IFERROR(__xludf.DUMMYFUNCTION("""COMPUTED_VALUE"""),"Derived")</f>
        <v>Derived</v>
      </c>
    </row>
    <row r="3471">
      <c r="A3471" s="3" t="str">
        <f>IFERROR(__xludf.DUMMYFUNCTION("""COMPUTED_VALUE"""),"dero")</f>
        <v>dero</v>
      </c>
      <c r="B3471" s="3" t="str">
        <f>IFERROR(__xludf.DUMMYFUNCTION("""COMPUTED_VALUE"""),"dero")</f>
        <v>dero</v>
      </c>
      <c r="C3471" s="3" t="str">
        <f>IFERROR(__xludf.DUMMYFUNCTION("""COMPUTED_VALUE"""),"Dero")</f>
        <v>Dero</v>
      </c>
    </row>
    <row r="3472">
      <c r="A3472" s="3" t="str">
        <f>IFERROR(__xludf.DUMMYFUNCTION("""COMPUTED_VALUE"""),"desmos")</f>
        <v>desmos</v>
      </c>
      <c r="B3472" s="3" t="str">
        <f>IFERROR(__xludf.DUMMYFUNCTION("""COMPUTED_VALUE"""),"dsm")</f>
        <v>dsm</v>
      </c>
      <c r="C3472" s="3" t="str">
        <f>IFERROR(__xludf.DUMMYFUNCTION("""COMPUTED_VALUE"""),"Desmos")</f>
        <v>Desmos</v>
      </c>
    </row>
    <row r="3473">
      <c r="A3473" s="3" t="str">
        <f>IFERROR(__xludf.DUMMYFUNCTION("""COMPUTED_VALUE"""),"deso")</f>
        <v>deso</v>
      </c>
      <c r="B3473" s="3" t="str">
        <f>IFERROR(__xludf.DUMMYFUNCTION("""COMPUTED_VALUE"""),"deso")</f>
        <v>deso</v>
      </c>
      <c r="C3473" s="3" t="str">
        <f>IFERROR(__xludf.DUMMYFUNCTION("""COMPUTED_VALUE"""),"Decentralized Social")</f>
        <v>Decentralized Social</v>
      </c>
    </row>
    <row r="3474">
      <c r="A3474" s="3" t="str">
        <f>IFERROR(__xludf.DUMMYFUNCTION("""COMPUTED_VALUE"""),"despace-protocol")</f>
        <v>despace-protocol</v>
      </c>
      <c r="B3474" s="3" t="str">
        <f>IFERROR(__xludf.DUMMYFUNCTION("""COMPUTED_VALUE"""),"des")</f>
        <v>des</v>
      </c>
      <c r="C3474" s="3" t="str">
        <f>IFERROR(__xludf.DUMMYFUNCTION("""COMPUTED_VALUE"""),"DeSpace Protocol")</f>
        <v>DeSpace Protocol</v>
      </c>
    </row>
    <row r="3475">
      <c r="A3475" s="3" t="str">
        <f>IFERROR(__xludf.DUMMYFUNCTION("""COMPUTED_VALUE"""),"destiny-world")</f>
        <v>destiny-world</v>
      </c>
      <c r="B3475" s="3" t="str">
        <f>IFERROR(__xludf.DUMMYFUNCTION("""COMPUTED_VALUE"""),"deco")</f>
        <v>deco</v>
      </c>
      <c r="C3475" s="3" t="str">
        <f>IFERROR(__xludf.DUMMYFUNCTION("""COMPUTED_VALUE"""),"Destiny World")</f>
        <v>Destiny World</v>
      </c>
    </row>
    <row r="3476">
      <c r="A3476" s="3" t="str">
        <f>IFERROR(__xludf.DUMMYFUNCTION("""COMPUTED_VALUE"""),"destorage")</f>
        <v>destorage</v>
      </c>
      <c r="B3476" s="3" t="str">
        <f>IFERROR(__xludf.DUMMYFUNCTION("""COMPUTED_VALUE"""),"ds")</f>
        <v>ds</v>
      </c>
      <c r="C3476" s="3" t="str">
        <f>IFERROR(__xludf.DUMMYFUNCTION("""COMPUTED_VALUE"""),"DeStorage")</f>
        <v>DeStorage</v>
      </c>
    </row>
    <row r="3477">
      <c r="A3477" s="3" t="str">
        <f>IFERROR(__xludf.DUMMYFUNCTION("""COMPUTED_VALUE"""),"deusdc")</f>
        <v>deusdc</v>
      </c>
      <c r="B3477" s="3" t="str">
        <f>IFERROR(__xludf.DUMMYFUNCTION("""COMPUTED_VALUE"""),"deusdc")</f>
        <v>deusdc</v>
      </c>
      <c r="C3477" s="3" t="str">
        <f>IFERROR(__xludf.DUMMYFUNCTION("""COMPUTED_VALUE"""),"deUSDC")</f>
        <v>deUSDC</v>
      </c>
    </row>
    <row r="3478">
      <c r="A3478" s="3" t="str">
        <f>IFERROR(__xludf.DUMMYFUNCTION("""COMPUTED_VALUE"""),"deus-finance-2")</f>
        <v>deus-finance-2</v>
      </c>
      <c r="B3478" s="3" t="str">
        <f>IFERROR(__xludf.DUMMYFUNCTION("""COMPUTED_VALUE"""),"deus")</f>
        <v>deus</v>
      </c>
      <c r="C3478" s="3" t="str">
        <f>IFERROR(__xludf.DUMMYFUNCTION("""COMPUTED_VALUE"""),"DEUS Finance")</f>
        <v>DEUS Finance</v>
      </c>
    </row>
    <row r="3479">
      <c r="A3479" s="3" t="str">
        <f>IFERROR(__xludf.DUMMYFUNCTION("""COMPUTED_VALUE"""),"deutsche-emark")</f>
        <v>deutsche-emark</v>
      </c>
      <c r="B3479" s="3" t="str">
        <f>IFERROR(__xludf.DUMMYFUNCTION("""COMPUTED_VALUE"""),"dem")</f>
        <v>dem</v>
      </c>
      <c r="C3479" s="3" t="str">
        <f>IFERROR(__xludf.DUMMYFUNCTION("""COMPUTED_VALUE"""),"Deutsche eMark")</f>
        <v>Deutsche eMark</v>
      </c>
    </row>
    <row r="3480">
      <c r="A3480" s="3" t="str">
        <f>IFERROR(__xludf.DUMMYFUNCTION("""COMPUTED_VALUE"""),"deuxpad")</f>
        <v>deuxpad</v>
      </c>
      <c r="B3480" s="3" t="str">
        <f>IFERROR(__xludf.DUMMYFUNCTION("""COMPUTED_VALUE"""),"deux")</f>
        <v>deux</v>
      </c>
      <c r="C3480" s="3" t="str">
        <f>IFERROR(__xludf.DUMMYFUNCTION("""COMPUTED_VALUE"""),"DeuxPad")</f>
        <v>DeuxPad</v>
      </c>
    </row>
    <row r="3481">
      <c r="A3481" s="3" t="str">
        <f>IFERROR(__xludf.DUMMYFUNCTION("""COMPUTED_VALUE"""),"devault")</f>
        <v>devault</v>
      </c>
      <c r="B3481" s="3" t="str">
        <f>IFERROR(__xludf.DUMMYFUNCTION("""COMPUTED_VALUE"""),"dvt")</f>
        <v>dvt</v>
      </c>
      <c r="C3481" s="3" t="str">
        <f>IFERROR(__xludf.DUMMYFUNCTION("""COMPUTED_VALUE"""),"DeVault")</f>
        <v>DeVault</v>
      </c>
    </row>
    <row r="3482">
      <c r="A3482" s="3" t="str">
        <f>IFERROR(__xludf.DUMMYFUNCTION("""COMPUTED_VALUE"""),"dev-doing-something")</f>
        <v>dev-doing-something</v>
      </c>
      <c r="B3482" s="3" t="str">
        <f>IFERROR(__xludf.DUMMYFUNCTION("""COMPUTED_VALUE"""),"dev")</f>
        <v>dev</v>
      </c>
      <c r="C3482" s="3" t="str">
        <f>IFERROR(__xludf.DUMMYFUNCTION("""COMPUTED_VALUE"""),"Dev Doing Something")</f>
        <v>Dev Doing Something</v>
      </c>
    </row>
    <row r="3483">
      <c r="A3483" s="3" t="str">
        <f>IFERROR(__xludf.DUMMYFUNCTION("""COMPUTED_VALUE"""),"developer-dao")</f>
        <v>developer-dao</v>
      </c>
      <c r="B3483" s="3" t="str">
        <f>IFERROR(__xludf.DUMMYFUNCTION("""COMPUTED_VALUE"""),"code")</f>
        <v>code</v>
      </c>
      <c r="C3483" s="3" t="str">
        <f>IFERROR(__xludf.DUMMYFUNCTION("""COMPUTED_VALUE"""),"Developer DAO")</f>
        <v>Developer DAO</v>
      </c>
    </row>
    <row r="3484">
      <c r="A3484" s="3" t="str">
        <f>IFERROR(__xludf.DUMMYFUNCTION("""COMPUTED_VALUE"""),"devery")</f>
        <v>devery</v>
      </c>
      <c r="B3484" s="3" t="str">
        <f>IFERROR(__xludf.DUMMYFUNCTION("""COMPUTED_VALUE"""),"eve")</f>
        <v>eve</v>
      </c>
      <c r="C3484" s="3" t="str">
        <f>IFERROR(__xludf.DUMMYFUNCTION("""COMPUTED_VALUE"""),"Devery")</f>
        <v>Devery</v>
      </c>
    </row>
    <row r="3485">
      <c r="A3485" s="3" t="str">
        <f>IFERROR(__xludf.DUMMYFUNCTION("""COMPUTED_VALUE"""),"devikins")</f>
        <v>devikins</v>
      </c>
      <c r="B3485" s="3" t="str">
        <f>IFERROR(__xludf.DUMMYFUNCTION("""COMPUTED_VALUE"""),"dvk")</f>
        <v>dvk</v>
      </c>
      <c r="C3485" s="3" t="str">
        <f>IFERROR(__xludf.DUMMYFUNCTION("""COMPUTED_VALUE"""),"Devikins")</f>
        <v>Devikins</v>
      </c>
    </row>
    <row r="3486">
      <c r="A3486" s="3" t="str">
        <f>IFERROR(__xludf.DUMMYFUNCTION("""COMPUTED_VALUE"""),"devil-finance")</f>
        <v>devil-finance</v>
      </c>
      <c r="B3486" s="3" t="str">
        <f>IFERROR(__xludf.DUMMYFUNCTION("""COMPUTED_VALUE"""),"devil")</f>
        <v>devil</v>
      </c>
      <c r="C3486" s="3" t="str">
        <f>IFERROR(__xludf.DUMMYFUNCTION("""COMPUTED_VALUE"""),"Devil Finance")</f>
        <v>Devil Finance</v>
      </c>
    </row>
    <row r="3487">
      <c r="A3487" s="3" t="str">
        <f>IFERROR(__xludf.DUMMYFUNCTION("""COMPUTED_VALUE"""),"devil-token")</f>
        <v>devil-token</v>
      </c>
      <c r="B3487" s="3" t="str">
        <f>IFERROR(__xludf.DUMMYFUNCTION("""COMPUTED_VALUE"""),"devl")</f>
        <v>devl</v>
      </c>
      <c r="C3487" s="3" t="str">
        <f>IFERROR(__xludf.DUMMYFUNCTION("""COMPUTED_VALUE"""),"Devil")</f>
        <v>Devil</v>
      </c>
    </row>
    <row r="3488">
      <c r="A3488" s="3" t="str">
        <f>IFERROR(__xludf.DUMMYFUNCTION("""COMPUTED_VALUE"""),"devious-licks-gold")</f>
        <v>devious-licks-gold</v>
      </c>
      <c r="B3488" s="3" t="str">
        <f>IFERROR(__xludf.DUMMYFUNCTION("""COMPUTED_VALUE"""),"dgold")</f>
        <v>dgold</v>
      </c>
      <c r="C3488" s="3" t="str">
        <f>IFERROR(__xludf.DUMMYFUNCTION("""COMPUTED_VALUE"""),"Devious Licks Gold")</f>
        <v>Devious Licks Gold</v>
      </c>
    </row>
    <row r="3489">
      <c r="A3489" s="3" t="str">
        <f>IFERROR(__xludf.DUMMYFUNCTION("""COMPUTED_VALUE"""),"devita-global")</f>
        <v>devita-global</v>
      </c>
      <c r="B3489" s="3" t="str">
        <f>IFERROR(__xludf.DUMMYFUNCTION("""COMPUTED_VALUE"""),"life")</f>
        <v>life</v>
      </c>
      <c r="C3489" s="3" t="str">
        <f>IFERROR(__xludf.DUMMYFUNCTION("""COMPUTED_VALUE"""),"DEVITA")</f>
        <v>DEVITA</v>
      </c>
    </row>
    <row r="3490">
      <c r="A3490" s="3" t="str">
        <f>IFERROR(__xludf.DUMMYFUNCTION("""COMPUTED_VALUE"""),"devolution")</f>
        <v>devolution</v>
      </c>
      <c r="B3490" s="3" t="str">
        <f>IFERROR(__xludf.DUMMYFUNCTION("""COMPUTED_VALUE"""),"devo")</f>
        <v>devo</v>
      </c>
      <c r="C3490" s="3" t="str">
        <f>IFERROR(__xludf.DUMMYFUNCTION("""COMPUTED_VALUE"""),"DeVolution")</f>
        <v>DeVolution</v>
      </c>
    </row>
    <row r="3491">
      <c r="A3491" s="3" t="str">
        <f>IFERROR(__xludf.DUMMYFUNCTION("""COMPUTED_VALUE"""),"devour")</f>
        <v>devour</v>
      </c>
      <c r="B3491" s="3" t="str">
        <f>IFERROR(__xludf.DUMMYFUNCTION("""COMPUTED_VALUE"""),"restaurants")</f>
        <v>restaurants</v>
      </c>
      <c r="C3491" s="3" t="str">
        <f>IFERROR(__xludf.DUMMYFUNCTION("""COMPUTED_VALUE"""),"Devour Token")</f>
        <v>Devour Token</v>
      </c>
    </row>
    <row r="3492">
      <c r="A3492" s="3" t="str">
        <f>IFERROR(__xludf.DUMMYFUNCTION("""COMPUTED_VALUE"""),"devour-2")</f>
        <v>devour-2</v>
      </c>
      <c r="B3492" s="3" t="str">
        <f>IFERROR(__xludf.DUMMYFUNCTION("""COMPUTED_VALUE"""),"dpay")</f>
        <v>dpay</v>
      </c>
      <c r="C3492" s="3" t="str">
        <f>IFERROR(__xludf.DUMMYFUNCTION("""COMPUTED_VALUE"""),"Devour")</f>
        <v>Devour</v>
      </c>
    </row>
    <row r="3493">
      <c r="A3493" s="3" t="str">
        <f>IFERROR(__xludf.DUMMYFUNCTION("""COMPUTED_VALUE"""),"dev-protocol")</f>
        <v>dev-protocol</v>
      </c>
      <c r="B3493" s="3" t="str">
        <f>IFERROR(__xludf.DUMMYFUNCTION("""COMPUTED_VALUE"""),"dev")</f>
        <v>dev</v>
      </c>
      <c r="C3493" s="3" t="str">
        <f>IFERROR(__xludf.DUMMYFUNCTION("""COMPUTED_VALUE"""),"Dev Protocol")</f>
        <v>Dev Protocol</v>
      </c>
    </row>
    <row r="3494">
      <c r="A3494" s="3" t="str">
        <f>IFERROR(__xludf.DUMMYFUNCTION("""COMPUTED_VALUE"""),"dexa-coin")</f>
        <v>dexa-coin</v>
      </c>
      <c r="B3494" s="3" t="str">
        <f>IFERROR(__xludf.DUMMYFUNCTION("""COMPUTED_VALUE"""),"dexa")</f>
        <v>dexa</v>
      </c>
      <c r="C3494" s="3" t="str">
        <f>IFERROR(__xludf.DUMMYFUNCTION("""COMPUTED_VALUE"""),"DEXA COIN")</f>
        <v>DEXA COIN</v>
      </c>
    </row>
    <row r="3495">
      <c r="A3495" s="3" t="str">
        <f>IFERROR(__xludf.DUMMYFUNCTION("""COMPUTED_VALUE"""),"dexalot")</f>
        <v>dexalot</v>
      </c>
      <c r="B3495" s="3" t="str">
        <f>IFERROR(__xludf.DUMMYFUNCTION("""COMPUTED_VALUE"""),"alot")</f>
        <v>alot</v>
      </c>
      <c r="C3495" s="3" t="str">
        <f>IFERROR(__xludf.DUMMYFUNCTION("""COMPUTED_VALUE"""),"Dexalot")</f>
        <v>Dexalot</v>
      </c>
    </row>
    <row r="3496">
      <c r="A3496" s="3" t="str">
        <f>IFERROR(__xludf.DUMMYFUNCTION("""COMPUTED_VALUE"""),"dexbrowser")</f>
        <v>dexbrowser</v>
      </c>
      <c r="B3496" s="3" t="str">
        <f>IFERROR(__xludf.DUMMYFUNCTION("""COMPUTED_VALUE"""),"bro")</f>
        <v>bro</v>
      </c>
      <c r="C3496" s="3" t="str">
        <f>IFERROR(__xludf.DUMMYFUNCTION("""COMPUTED_VALUE"""),"DexBrowser")</f>
        <v>DexBrowser</v>
      </c>
    </row>
    <row r="3497">
      <c r="A3497" s="3" t="str">
        <f>IFERROR(__xludf.DUMMYFUNCTION("""COMPUTED_VALUE"""),"dexcheck")</f>
        <v>dexcheck</v>
      </c>
      <c r="B3497" s="3" t="str">
        <f>IFERROR(__xludf.DUMMYFUNCTION("""COMPUTED_VALUE"""),"dxcheck")</f>
        <v>dxcheck</v>
      </c>
      <c r="C3497" s="3" t="str">
        <f>IFERROR(__xludf.DUMMYFUNCTION("""COMPUTED_VALUE"""),"DexCheck")</f>
        <v>DexCheck</v>
      </c>
    </row>
    <row r="3498">
      <c r="A3498" s="3" t="str">
        <f>IFERROR(__xludf.DUMMYFUNCTION("""COMPUTED_VALUE"""),"dexe")</f>
        <v>dexe</v>
      </c>
      <c r="B3498" s="3" t="str">
        <f>IFERROR(__xludf.DUMMYFUNCTION("""COMPUTED_VALUE"""),"dexe")</f>
        <v>dexe</v>
      </c>
      <c r="C3498" s="3" t="str">
        <f>IFERROR(__xludf.DUMMYFUNCTION("""COMPUTED_VALUE"""),"DeXe")</f>
        <v>DeXe</v>
      </c>
    </row>
    <row r="3499">
      <c r="A3499" s="3" t="str">
        <f>IFERROR(__xludf.DUMMYFUNCTION("""COMPUTED_VALUE"""),"dexfin")</f>
        <v>dexfin</v>
      </c>
      <c r="B3499" s="3" t="str">
        <f>IFERROR(__xludf.DUMMYFUNCTION("""COMPUTED_VALUE"""),"dxf")</f>
        <v>dxf</v>
      </c>
      <c r="C3499" s="3" t="str">
        <f>IFERROR(__xludf.DUMMYFUNCTION("""COMPUTED_VALUE"""),"Dexfin")</f>
        <v>Dexfin</v>
      </c>
    </row>
    <row r="3500">
      <c r="A3500" s="3" t="str">
        <f>IFERROR(__xludf.DUMMYFUNCTION("""COMPUTED_VALUE"""),"dexfolio")</f>
        <v>dexfolio</v>
      </c>
      <c r="B3500" s="3" t="str">
        <f>IFERROR(__xludf.DUMMYFUNCTION("""COMPUTED_VALUE"""),"dexf")</f>
        <v>dexf</v>
      </c>
      <c r="C3500" s="3" t="str">
        <f>IFERROR(__xludf.DUMMYFUNCTION("""COMPUTED_VALUE"""),"Dexfolio")</f>
        <v>Dexfolio</v>
      </c>
    </row>
    <row r="3501">
      <c r="A3501" s="3" t="str">
        <f>IFERROR(__xludf.DUMMYFUNCTION("""COMPUTED_VALUE"""),"dex-game")</f>
        <v>dex-game</v>
      </c>
      <c r="B3501" s="3" t="str">
        <f>IFERROR(__xludf.DUMMYFUNCTION("""COMPUTED_VALUE"""),"dxgm")</f>
        <v>dxgm</v>
      </c>
      <c r="C3501" s="3" t="str">
        <f>IFERROR(__xludf.DUMMYFUNCTION("""COMPUTED_VALUE"""),"DexGame")</f>
        <v>DexGame</v>
      </c>
    </row>
    <row r="3502">
      <c r="A3502" s="3" t="str">
        <f>IFERROR(__xludf.DUMMYFUNCTION("""COMPUTED_VALUE"""),"dexioprotocol-v1")</f>
        <v>dexioprotocol-v1</v>
      </c>
      <c r="B3502" s="3" t="str">
        <f>IFERROR(__xludf.DUMMYFUNCTION("""COMPUTED_VALUE"""),"dexi")</f>
        <v>dexi</v>
      </c>
      <c r="C3502" s="3" t="str">
        <f>IFERROR(__xludf.DUMMYFUNCTION("""COMPUTED_VALUE"""),"Dexioprotocol V1")</f>
        <v>Dexioprotocol V1</v>
      </c>
    </row>
    <row r="3503">
      <c r="A3503" s="3" t="str">
        <f>IFERROR(__xludf.DUMMYFUNCTION("""COMPUTED_VALUE"""),"dexioprotocol-v2")</f>
        <v>dexioprotocol-v2</v>
      </c>
      <c r="B3503" s="3" t="str">
        <f>IFERROR(__xludf.DUMMYFUNCTION("""COMPUTED_VALUE"""),"dexi")</f>
        <v>dexi</v>
      </c>
      <c r="C3503" s="3" t="str">
        <f>IFERROR(__xludf.DUMMYFUNCTION("""COMPUTED_VALUE"""),"Dexioprotocol")</f>
        <v>Dexioprotocol</v>
      </c>
    </row>
    <row r="3504">
      <c r="A3504" s="3" t="str">
        <f>IFERROR(__xludf.DUMMYFUNCTION("""COMPUTED_VALUE"""),"dexira")</f>
        <v>dexira</v>
      </c>
      <c r="B3504" s="3" t="str">
        <f>IFERROR(__xludf.DUMMYFUNCTION("""COMPUTED_VALUE"""),"dex")</f>
        <v>dex</v>
      </c>
      <c r="C3504" s="3" t="str">
        <f>IFERROR(__xludf.DUMMYFUNCTION("""COMPUTED_VALUE"""),"dexIRA")</f>
        <v>dexIRA</v>
      </c>
    </row>
    <row r="3505">
      <c r="A3505" s="3" t="str">
        <f>IFERROR(__xludf.DUMMYFUNCTION("""COMPUTED_VALUE"""),"dexit-finance")</f>
        <v>dexit-finance</v>
      </c>
      <c r="B3505" s="3" t="str">
        <f>IFERROR(__xludf.DUMMYFUNCTION("""COMPUTED_VALUE"""),"dxt")</f>
        <v>dxt</v>
      </c>
      <c r="C3505" s="3" t="str">
        <f>IFERROR(__xludf.DUMMYFUNCTION("""COMPUTED_VALUE"""),"Dexit Network")</f>
        <v>Dexit Network</v>
      </c>
    </row>
    <row r="3506">
      <c r="A3506" s="3" t="str">
        <f>IFERROR(__xludf.DUMMYFUNCTION("""COMPUTED_VALUE"""),"dexkit")</f>
        <v>dexkit</v>
      </c>
      <c r="B3506" s="3" t="str">
        <f>IFERROR(__xludf.DUMMYFUNCTION("""COMPUTED_VALUE"""),"kit")</f>
        <v>kit</v>
      </c>
      <c r="C3506" s="3" t="str">
        <f>IFERROR(__xludf.DUMMYFUNCTION("""COMPUTED_VALUE"""),"DexKit")</f>
        <v>DexKit</v>
      </c>
    </row>
    <row r="3507">
      <c r="A3507" s="3" t="str">
        <f>IFERROR(__xludf.DUMMYFUNCTION("""COMPUTED_VALUE"""),"dexlab")</f>
        <v>dexlab</v>
      </c>
      <c r="B3507" s="3" t="str">
        <f>IFERROR(__xludf.DUMMYFUNCTION("""COMPUTED_VALUE"""),"dxl")</f>
        <v>dxl</v>
      </c>
      <c r="C3507" s="3" t="str">
        <f>IFERROR(__xludf.DUMMYFUNCTION("""COMPUTED_VALUE"""),"Dexlab")</f>
        <v>Dexlab</v>
      </c>
    </row>
    <row r="3508">
      <c r="A3508" s="3" t="str">
        <f>IFERROR(__xludf.DUMMYFUNCTION("""COMPUTED_VALUE"""),"dexpad")</f>
        <v>dexpad</v>
      </c>
      <c r="B3508" s="3" t="str">
        <f>IFERROR(__xludf.DUMMYFUNCTION("""COMPUTED_VALUE"""),"dxp")</f>
        <v>dxp</v>
      </c>
      <c r="C3508" s="3" t="str">
        <f>IFERROR(__xludf.DUMMYFUNCTION("""COMPUTED_VALUE"""),"DexPad")</f>
        <v>DexPad</v>
      </c>
    </row>
    <row r="3509">
      <c r="A3509" s="3" t="str">
        <f>IFERROR(__xludf.DUMMYFUNCTION("""COMPUTED_VALUE"""),"dexpools")</f>
        <v>dexpools</v>
      </c>
      <c r="B3509" s="3" t="str">
        <f>IFERROR(__xludf.DUMMYFUNCTION("""COMPUTED_VALUE"""),"dxp")</f>
        <v>dxp</v>
      </c>
      <c r="C3509" s="3" t="str">
        <f>IFERROR(__xludf.DUMMYFUNCTION("""COMPUTED_VALUE"""),"Vela Exchange")</f>
        <v>Vela Exchange</v>
      </c>
    </row>
    <row r="3510">
      <c r="A3510" s="3" t="str">
        <f>IFERROR(__xludf.DUMMYFUNCTION("""COMPUTED_VALUE"""),"dexscrow")</f>
        <v>dexscrow</v>
      </c>
      <c r="B3510" s="3" t="str">
        <f>IFERROR(__xludf.DUMMYFUNCTION("""COMPUTED_VALUE"""),"dxw")</f>
        <v>dxw</v>
      </c>
      <c r="C3510" s="3" t="str">
        <f>IFERROR(__xludf.DUMMYFUNCTION("""COMPUTED_VALUE"""),"Dexscrow")</f>
        <v>Dexscrow</v>
      </c>
    </row>
    <row r="3511">
      <c r="A3511" s="3" t="str">
        <f>IFERROR(__xludf.DUMMYFUNCTION("""COMPUTED_VALUE"""),"dexshare")</f>
        <v>dexshare</v>
      </c>
      <c r="B3511" s="3" t="str">
        <f>IFERROR(__xludf.DUMMYFUNCTION("""COMPUTED_VALUE"""),"dexshare")</f>
        <v>dexshare</v>
      </c>
      <c r="C3511" s="3" t="str">
        <f>IFERROR(__xludf.DUMMYFUNCTION("""COMPUTED_VALUE"""),"dexSHARE")</f>
        <v>dexSHARE</v>
      </c>
    </row>
    <row r="3512">
      <c r="A3512" s="3" t="str">
        <f>IFERROR(__xludf.DUMMYFUNCTION("""COMPUTED_VALUE"""),"dexsport")</f>
        <v>dexsport</v>
      </c>
      <c r="B3512" s="3" t="str">
        <f>IFERROR(__xludf.DUMMYFUNCTION("""COMPUTED_VALUE"""),"desu")</f>
        <v>desu</v>
      </c>
      <c r="C3512" s="3" t="str">
        <f>IFERROR(__xludf.DUMMYFUNCTION("""COMPUTED_VALUE"""),"Dexsport")</f>
        <v>Dexsport</v>
      </c>
    </row>
    <row r="3513">
      <c r="A3513" s="3" t="str">
        <f>IFERROR(__xludf.DUMMYFUNCTION("""COMPUTED_VALUE"""),"dextf")</f>
        <v>dextf</v>
      </c>
      <c r="B3513" s="3" t="str">
        <f>IFERROR(__xludf.DUMMYFUNCTION("""COMPUTED_VALUE"""),"dextf")</f>
        <v>dextf</v>
      </c>
      <c r="C3513" s="3" t="str">
        <f>IFERROR(__xludf.DUMMYFUNCTION("""COMPUTED_VALUE"""),"Domani Protocol")</f>
        <v>Domani Protocol</v>
      </c>
    </row>
    <row r="3514">
      <c r="A3514" s="3" t="str">
        <f>IFERROR(__xludf.DUMMYFUNCTION("""COMPUTED_VALUE"""),"dextoken-governance")</f>
        <v>dextoken-governance</v>
      </c>
      <c r="B3514" s="3" t="str">
        <f>IFERROR(__xludf.DUMMYFUNCTION("""COMPUTED_VALUE"""),"dexg")</f>
        <v>dexg</v>
      </c>
      <c r="C3514" s="3" t="str">
        <f>IFERROR(__xludf.DUMMYFUNCTION("""COMPUTED_VALUE"""),"Dextoken Governance")</f>
        <v>Dextoken Governance</v>
      </c>
    </row>
    <row r="3515">
      <c r="A3515" s="3" t="str">
        <f>IFERROR(__xludf.DUMMYFUNCTION("""COMPUTED_VALUE"""),"dextools")</f>
        <v>dextools</v>
      </c>
      <c r="B3515" s="3" t="str">
        <f>IFERROR(__xludf.DUMMYFUNCTION("""COMPUTED_VALUE"""),"dext")</f>
        <v>dext</v>
      </c>
      <c r="C3515" s="3" t="str">
        <f>IFERROR(__xludf.DUMMYFUNCTION("""COMPUTED_VALUE"""),"DexTools")</f>
        <v>DexTools</v>
      </c>
    </row>
    <row r="3516">
      <c r="A3516" s="3" t="str">
        <f>IFERROR(__xludf.DUMMYFUNCTION("""COMPUTED_VALUE"""),"dex-trade-coin")</f>
        <v>dex-trade-coin</v>
      </c>
      <c r="B3516" s="3" t="str">
        <f>IFERROR(__xludf.DUMMYFUNCTION("""COMPUTED_VALUE"""),"dxc")</f>
        <v>dxc</v>
      </c>
      <c r="C3516" s="3" t="str">
        <f>IFERROR(__xludf.DUMMYFUNCTION("""COMPUTED_VALUE"""),"Dex-Trade Coin")</f>
        <v>Dex-Trade Coin</v>
      </c>
    </row>
    <row r="3517">
      <c r="A3517" s="3" t="str">
        <f>IFERROR(__xludf.DUMMYFUNCTION("""COMPUTED_VALUE"""),"dextro")</f>
        <v>dextro</v>
      </c>
      <c r="B3517" s="3" t="str">
        <f>IFERROR(__xludf.DUMMYFUNCTION("""COMPUTED_VALUE"""),"dxo")</f>
        <v>dxo</v>
      </c>
      <c r="C3517" s="3" t="str">
        <f>IFERROR(__xludf.DUMMYFUNCTION("""COMPUTED_VALUE"""),"Dextro")</f>
        <v>Dextro</v>
      </c>
    </row>
    <row r="3518">
      <c r="A3518" s="3" t="str">
        <f>IFERROR(__xludf.DUMMYFUNCTION("""COMPUTED_VALUE"""),"dfe-finance")</f>
        <v>dfe-finance</v>
      </c>
      <c r="B3518" s="3" t="str">
        <f>IFERROR(__xludf.DUMMYFUNCTION("""COMPUTED_VALUE"""),"dfe")</f>
        <v>dfe</v>
      </c>
      <c r="C3518" s="3" t="str">
        <f>IFERROR(__xludf.DUMMYFUNCTION("""COMPUTED_VALUE"""),"DFE.Finance")</f>
        <v>DFE.Finance</v>
      </c>
    </row>
    <row r="3519">
      <c r="A3519" s="3" t="str">
        <f>IFERROR(__xludf.DUMMYFUNCTION("""COMPUTED_VALUE"""),"dfinance")</f>
        <v>dfinance</v>
      </c>
      <c r="B3519" s="3" t="str">
        <f>IFERROR(__xludf.DUMMYFUNCTION("""COMPUTED_VALUE"""),"xfi")</f>
        <v>xfi</v>
      </c>
      <c r="C3519" s="3" t="str">
        <f>IFERROR(__xludf.DUMMYFUNCTION("""COMPUTED_VALUE"""),"Dfinance")</f>
        <v>Dfinance</v>
      </c>
    </row>
    <row r="3520">
      <c r="A3520" s="3" t="str">
        <f>IFERROR(__xludf.DUMMYFUNCTION("""COMPUTED_VALUE"""),"dfohub")</f>
        <v>dfohub</v>
      </c>
      <c r="B3520" s="3" t="str">
        <f>IFERROR(__xludf.DUMMYFUNCTION("""COMPUTED_VALUE"""),"buidl")</f>
        <v>buidl</v>
      </c>
      <c r="C3520" s="3" t="str">
        <f>IFERROR(__xludf.DUMMYFUNCTION("""COMPUTED_VALUE"""),"dfohub")</f>
        <v>dfohub</v>
      </c>
    </row>
    <row r="3521">
      <c r="A3521" s="3" t="str">
        <f>IFERROR(__xludf.DUMMYFUNCTION("""COMPUTED_VALUE"""),"dforce-token")</f>
        <v>dforce-token</v>
      </c>
      <c r="B3521" s="3" t="str">
        <f>IFERROR(__xludf.DUMMYFUNCTION("""COMPUTED_VALUE"""),"df")</f>
        <v>df</v>
      </c>
      <c r="C3521" s="3" t="str">
        <f>IFERROR(__xludf.DUMMYFUNCTION("""COMPUTED_VALUE"""),"dForce")</f>
        <v>dForce</v>
      </c>
    </row>
    <row r="3522">
      <c r="A3522" s="3" t="str">
        <f>IFERROR(__xludf.DUMMYFUNCTION("""COMPUTED_VALUE"""),"dfs-mafia")</f>
        <v>dfs-mafia</v>
      </c>
      <c r="B3522" s="3" t="str">
        <f>IFERROR(__xludf.DUMMYFUNCTION("""COMPUTED_VALUE"""),"dfsm")</f>
        <v>dfsm</v>
      </c>
      <c r="C3522" s="3" t="str">
        <f>IFERROR(__xludf.DUMMYFUNCTION("""COMPUTED_VALUE"""),"DFS Mafia V2")</f>
        <v>DFS Mafia V2</v>
      </c>
    </row>
    <row r="3523">
      <c r="A3523" s="3" t="str">
        <f>IFERROR(__xludf.DUMMYFUNCTION("""COMPUTED_VALUE"""),"dfsocial-gaming-2")</f>
        <v>dfsocial-gaming-2</v>
      </c>
      <c r="B3523" s="3" t="str">
        <f>IFERROR(__xludf.DUMMYFUNCTION("""COMPUTED_VALUE"""),"dfsg")</f>
        <v>dfsg</v>
      </c>
      <c r="C3523" s="3" t="str">
        <f>IFERROR(__xludf.DUMMYFUNCTION("""COMPUTED_VALUE"""),"DFSocial Gaming")</f>
        <v>DFSocial Gaming</v>
      </c>
    </row>
    <row r="3524">
      <c r="A3524" s="3" t="str">
        <f>IFERROR(__xludf.DUMMYFUNCTION("""COMPUTED_VALUE"""),"dfund")</f>
        <v>dfund</v>
      </c>
      <c r="B3524" s="3" t="str">
        <f>IFERROR(__xludf.DUMMYFUNCTION("""COMPUTED_VALUE"""),"dfnd")</f>
        <v>dfnd</v>
      </c>
      <c r="C3524" s="3" t="str">
        <f>IFERROR(__xludf.DUMMYFUNCTION("""COMPUTED_VALUE"""),"dFund")</f>
        <v>dFund</v>
      </c>
    </row>
    <row r="3525">
      <c r="A3525" s="3" t="str">
        <f>IFERROR(__xludf.DUMMYFUNCTION("""COMPUTED_VALUE"""),"dfx-finance")</f>
        <v>dfx-finance</v>
      </c>
      <c r="B3525" s="3" t="str">
        <f>IFERROR(__xludf.DUMMYFUNCTION("""COMPUTED_VALUE"""),"dfx")</f>
        <v>dfx</v>
      </c>
      <c r="C3525" s="3" t="str">
        <f>IFERROR(__xludf.DUMMYFUNCTION("""COMPUTED_VALUE"""),"DFX Finance")</f>
        <v>DFX Finance</v>
      </c>
    </row>
    <row r="3526">
      <c r="A3526" s="3" t="str">
        <f>IFERROR(__xludf.DUMMYFUNCTION("""COMPUTED_VALUE"""),"dfyn-network")</f>
        <v>dfyn-network</v>
      </c>
      <c r="B3526" s="3" t="str">
        <f>IFERROR(__xludf.DUMMYFUNCTION("""COMPUTED_VALUE"""),"dfyn")</f>
        <v>dfyn</v>
      </c>
      <c r="C3526" s="3" t="str">
        <f>IFERROR(__xludf.DUMMYFUNCTION("""COMPUTED_VALUE"""),"Dfyn Network")</f>
        <v>Dfyn Network</v>
      </c>
    </row>
    <row r="3527">
      <c r="A3527" s="3" t="str">
        <f>IFERROR(__xludf.DUMMYFUNCTION("""COMPUTED_VALUE"""),"dgld")</f>
        <v>dgld</v>
      </c>
      <c r="B3527" s="3" t="str">
        <f>IFERROR(__xludf.DUMMYFUNCTION("""COMPUTED_VALUE"""),"dgld")</f>
        <v>dgld</v>
      </c>
      <c r="C3527" s="3" t="str">
        <f>IFERROR(__xludf.DUMMYFUNCTION("""COMPUTED_VALUE"""),"DGLD")</f>
        <v>DGLD</v>
      </c>
    </row>
    <row r="3528">
      <c r="A3528" s="3" t="str">
        <f>IFERROR(__xludf.DUMMYFUNCTION("""COMPUTED_VALUE"""),"dgpayment")</f>
        <v>dgpayment</v>
      </c>
      <c r="B3528" s="3" t="str">
        <f>IFERROR(__xludf.DUMMYFUNCTION("""COMPUTED_VALUE"""),"dgp")</f>
        <v>dgp</v>
      </c>
      <c r="C3528" s="3" t="str">
        <f>IFERROR(__xludf.DUMMYFUNCTION("""COMPUTED_VALUE"""),"DGPayment")</f>
        <v>DGPayment</v>
      </c>
    </row>
    <row r="3529">
      <c r="A3529" s="3" t="str">
        <f>IFERROR(__xludf.DUMMYFUNCTION("""COMPUTED_VALUE"""),"dgt-community-token")</f>
        <v>dgt-community-token</v>
      </c>
      <c r="B3529" s="3" t="str">
        <f>IFERROR(__xludf.DUMMYFUNCTION("""COMPUTED_VALUE"""),"dgt")</f>
        <v>dgt</v>
      </c>
      <c r="C3529" s="3" t="str">
        <f>IFERROR(__xludf.DUMMYFUNCTION("""COMPUTED_VALUE"""),"DGT Community Token")</f>
        <v>DGT Community Token</v>
      </c>
    </row>
    <row r="3530">
      <c r="A3530" s="3" t="str">
        <f>IFERROR(__xludf.DUMMYFUNCTION("""COMPUTED_VALUE"""),"dhabicoin")</f>
        <v>dhabicoin</v>
      </c>
      <c r="B3530" s="3" t="str">
        <f>IFERROR(__xludf.DUMMYFUNCTION("""COMPUTED_VALUE"""),"dbc")</f>
        <v>dbc</v>
      </c>
      <c r="C3530" s="3" t="str">
        <f>IFERROR(__xludf.DUMMYFUNCTION("""COMPUTED_VALUE"""),"Dhabicoin")</f>
        <v>Dhabicoin</v>
      </c>
    </row>
    <row r="3531">
      <c r="A3531" s="3" t="str">
        <f>IFERROR(__xludf.DUMMYFUNCTION("""COMPUTED_VALUE"""),"dhealth")</f>
        <v>dhealth</v>
      </c>
      <c r="B3531" s="3" t="str">
        <f>IFERROR(__xludf.DUMMYFUNCTION("""COMPUTED_VALUE"""),"dhp")</f>
        <v>dhp</v>
      </c>
      <c r="C3531" s="3" t="str">
        <f>IFERROR(__xludf.DUMMYFUNCTION("""COMPUTED_VALUE"""),"dHealth")</f>
        <v>dHealth</v>
      </c>
    </row>
    <row r="3532">
      <c r="A3532" s="3" t="str">
        <f>IFERROR(__xludf.DUMMYFUNCTION("""COMPUTED_VALUE"""),"dhedge-dao")</f>
        <v>dhedge-dao</v>
      </c>
      <c r="B3532" s="3" t="str">
        <f>IFERROR(__xludf.DUMMYFUNCTION("""COMPUTED_VALUE"""),"dht")</f>
        <v>dht</v>
      </c>
      <c r="C3532" s="3" t="str">
        <f>IFERROR(__xludf.DUMMYFUNCTION("""COMPUTED_VALUE"""),"dHEDGE DAO")</f>
        <v>dHEDGE DAO</v>
      </c>
    </row>
    <row r="3533">
      <c r="A3533" s="3" t="str">
        <f>IFERROR(__xludf.DUMMYFUNCTION("""COMPUTED_VALUE"""),"diabolo")</f>
        <v>diabolo</v>
      </c>
      <c r="B3533" s="3" t="str">
        <f>IFERROR(__xludf.DUMMYFUNCTION("""COMPUTED_VALUE"""),"dcash")</f>
        <v>dcash</v>
      </c>
      <c r="C3533" s="3" t="str">
        <f>IFERROR(__xludf.DUMMYFUNCTION("""COMPUTED_VALUE"""),"Diabolo")</f>
        <v>Diabolo</v>
      </c>
    </row>
    <row r="3534">
      <c r="A3534" s="3" t="str">
        <f>IFERROR(__xludf.DUMMYFUNCTION("""COMPUTED_VALUE"""),"dia-data")</f>
        <v>dia-data</v>
      </c>
      <c r="B3534" s="3" t="str">
        <f>IFERROR(__xludf.DUMMYFUNCTION("""COMPUTED_VALUE"""),"dia")</f>
        <v>dia</v>
      </c>
      <c r="C3534" s="3" t="str">
        <f>IFERROR(__xludf.DUMMYFUNCTION("""COMPUTED_VALUE"""),"DIA")</f>
        <v>DIA</v>
      </c>
    </row>
    <row r="3535">
      <c r="A3535" s="3" t="str">
        <f>IFERROR(__xludf.DUMMYFUNCTION("""COMPUTED_VALUE"""),"diamond")</f>
        <v>diamond</v>
      </c>
      <c r="B3535" s="3" t="str">
        <f>IFERROR(__xludf.DUMMYFUNCTION("""COMPUTED_VALUE"""),"dmd")</f>
        <v>dmd</v>
      </c>
      <c r="C3535" s="3" t="str">
        <f>IFERROR(__xludf.DUMMYFUNCTION("""COMPUTED_VALUE"""),"Diamond")</f>
        <v>Diamond</v>
      </c>
    </row>
    <row r="3536">
      <c r="A3536" s="3" t="str">
        <f>IFERROR(__xludf.DUMMYFUNCTION("""COMPUTED_VALUE"""),"diamond-boyz-coin")</f>
        <v>diamond-boyz-coin</v>
      </c>
      <c r="B3536" s="3" t="str">
        <f>IFERROR(__xludf.DUMMYFUNCTION("""COMPUTED_VALUE"""),"dbz")</f>
        <v>dbz</v>
      </c>
      <c r="C3536" s="3" t="str">
        <f>IFERROR(__xludf.DUMMYFUNCTION("""COMPUTED_VALUE"""),"Diamond Boyz Coin")</f>
        <v>Diamond Boyz Coin</v>
      </c>
    </row>
    <row r="3537">
      <c r="A3537" s="3" t="str">
        <f>IFERROR(__xludf.DUMMYFUNCTION("""COMPUTED_VALUE"""),"diamond-coin")</f>
        <v>diamond-coin</v>
      </c>
      <c r="B3537" s="3" t="str">
        <f>IFERROR(__xludf.DUMMYFUNCTION("""COMPUTED_VALUE"""),"diamond")</f>
        <v>diamond</v>
      </c>
      <c r="C3537" s="3" t="str">
        <f>IFERROR(__xludf.DUMMYFUNCTION("""COMPUTED_VALUE"""),"Diamond Coin")</f>
        <v>Diamond Coin</v>
      </c>
    </row>
    <row r="3538">
      <c r="A3538" s="3" t="str">
        <f>IFERROR(__xludf.DUMMYFUNCTION("""COMPUTED_VALUE"""),"diamond-dnd")</f>
        <v>diamond-dnd</v>
      </c>
      <c r="B3538" s="3" t="str">
        <f>IFERROR(__xludf.DUMMYFUNCTION("""COMPUTED_VALUE"""),"dnd")</f>
        <v>dnd</v>
      </c>
      <c r="C3538" s="3" t="str">
        <f>IFERROR(__xludf.DUMMYFUNCTION("""COMPUTED_VALUE"""),"Diamond DND")</f>
        <v>Diamond DND</v>
      </c>
    </row>
    <row r="3539">
      <c r="A3539" s="3" t="str">
        <f>IFERROR(__xludf.DUMMYFUNCTION("""COMPUTED_VALUE"""),"diamond-hands-token")</f>
        <v>diamond-hands-token</v>
      </c>
      <c r="B3539" s="3" t="str">
        <f>IFERROR(__xludf.DUMMYFUNCTION("""COMPUTED_VALUE"""),"dhc")</f>
        <v>dhc</v>
      </c>
      <c r="C3539" s="3" t="str">
        <f>IFERROR(__xludf.DUMMYFUNCTION("""COMPUTED_VALUE"""),"Diamond Hands DHC")</f>
        <v>Diamond Hands DHC</v>
      </c>
    </row>
    <row r="3540">
      <c r="A3540" s="3" t="str">
        <f>IFERROR(__xludf.DUMMYFUNCTION("""COMPUTED_VALUE"""),"diamondhold")</f>
        <v>diamondhold</v>
      </c>
      <c r="B3540" s="3" t="str">
        <f>IFERROR(__xludf.DUMMYFUNCTION("""COMPUTED_VALUE"""),"dhold")</f>
        <v>dhold</v>
      </c>
      <c r="C3540" s="3" t="str">
        <f>IFERROR(__xludf.DUMMYFUNCTION("""COMPUTED_VALUE"""),"DiamondHold")</f>
        <v>DiamondHold</v>
      </c>
    </row>
    <row r="3541">
      <c r="A3541" s="3" t="str">
        <f>IFERROR(__xludf.DUMMYFUNCTION("""COMPUTED_VALUE"""),"diamond-launch")</f>
        <v>diamond-launch</v>
      </c>
      <c r="B3541" s="3" t="str">
        <f>IFERROR(__xludf.DUMMYFUNCTION("""COMPUTED_VALUE"""),"dlc")</f>
        <v>dlc</v>
      </c>
      <c r="C3541" s="3" t="str">
        <f>IFERROR(__xludf.DUMMYFUNCTION("""COMPUTED_VALUE"""),"Diamond Launch")</f>
        <v>Diamond Launch</v>
      </c>
    </row>
    <row r="3542">
      <c r="A3542" s="3" t="str">
        <f>IFERROR(__xludf.DUMMYFUNCTION("""COMPUTED_VALUE"""),"diamond-love")</f>
        <v>diamond-love</v>
      </c>
      <c r="B3542" s="3" t="str">
        <f>IFERROR(__xludf.DUMMYFUNCTION("""COMPUTED_VALUE"""),"love")</f>
        <v>love</v>
      </c>
      <c r="C3542" s="3" t="str">
        <f>IFERROR(__xludf.DUMMYFUNCTION("""COMPUTED_VALUE"""),"Diamond Love")</f>
        <v>Diamond Love</v>
      </c>
    </row>
    <row r="3543">
      <c r="A3543" s="3" t="str">
        <f>IFERROR(__xludf.DUMMYFUNCTION("""COMPUTED_VALUE"""),"diamond-platform-token")</f>
        <v>diamond-platform-token</v>
      </c>
      <c r="B3543" s="3" t="str">
        <f>IFERROR(__xludf.DUMMYFUNCTION("""COMPUTED_VALUE"""),"dpt")</f>
        <v>dpt</v>
      </c>
      <c r="C3543" s="3" t="str">
        <f>IFERROR(__xludf.DUMMYFUNCTION("""COMPUTED_VALUE"""),"Diamond Platform")</f>
        <v>Diamond Platform</v>
      </c>
    </row>
    <row r="3544">
      <c r="A3544" s="3" t="str">
        <f>IFERROR(__xludf.DUMMYFUNCTION("""COMPUTED_VALUE"""),"diamondq")</f>
        <v>diamondq</v>
      </c>
      <c r="B3544" s="3" t="str">
        <f>IFERROR(__xludf.DUMMYFUNCTION("""COMPUTED_VALUE"""),"diq")</f>
        <v>diq</v>
      </c>
      <c r="C3544" s="3" t="str">
        <f>IFERROR(__xludf.DUMMYFUNCTION("""COMPUTED_VALUE"""),"DiamondQ")</f>
        <v>DiamondQ</v>
      </c>
    </row>
    <row r="3545">
      <c r="A3545" s="3" t="str">
        <f>IFERROR(__xludf.DUMMYFUNCTION("""COMPUTED_VALUE"""),"diamondshiba")</f>
        <v>diamondshiba</v>
      </c>
      <c r="B3545" s="3" t="str">
        <f>IFERROR(__xludf.DUMMYFUNCTION("""COMPUTED_VALUE"""),"ds$")</f>
        <v>ds$</v>
      </c>
      <c r="C3545" s="3" t="str">
        <f>IFERROR(__xludf.DUMMYFUNCTION("""COMPUTED_VALUE"""),"DiamondShiba")</f>
        <v>DiamondShiba</v>
      </c>
    </row>
    <row r="3546">
      <c r="A3546" s="3" t="str">
        <f>IFERROR(__xludf.DUMMYFUNCTION("""COMPUTED_VALUE"""),"diamond-xrpl")</f>
        <v>diamond-xrpl</v>
      </c>
      <c r="B3546" s="3" t="str">
        <f>IFERROR(__xludf.DUMMYFUNCTION("""COMPUTED_VALUE"""),"diamond")</f>
        <v>diamond</v>
      </c>
      <c r="C3546" s="3" t="str">
        <f>IFERROR(__xludf.DUMMYFUNCTION("""COMPUTED_VALUE"""),"Diamond XRPL")</f>
        <v>Diamond XRPL</v>
      </c>
    </row>
    <row r="3547">
      <c r="A3547" s="3" t="str">
        <f>IFERROR(__xludf.DUMMYFUNCTION("""COMPUTED_VALUE"""),"dibs-money")</f>
        <v>dibs-money</v>
      </c>
      <c r="B3547" s="3" t="str">
        <f>IFERROR(__xludf.DUMMYFUNCTION("""COMPUTED_VALUE"""),"dibs")</f>
        <v>dibs</v>
      </c>
      <c r="C3547" s="3" t="str">
        <f>IFERROR(__xludf.DUMMYFUNCTION("""COMPUTED_VALUE"""),"Dibs Money")</f>
        <v>Dibs Money</v>
      </c>
    </row>
    <row r="3548">
      <c r="A3548" s="3" t="str">
        <f>IFERROR(__xludf.DUMMYFUNCTION("""COMPUTED_VALUE"""),"dibs-share")</f>
        <v>dibs-share</v>
      </c>
      <c r="B3548" s="3" t="str">
        <f>IFERROR(__xludf.DUMMYFUNCTION("""COMPUTED_VALUE"""),"dshare")</f>
        <v>dshare</v>
      </c>
      <c r="C3548" s="3" t="str">
        <f>IFERROR(__xludf.DUMMYFUNCTION("""COMPUTED_VALUE"""),"Dibs Share")</f>
        <v>Dibs Share</v>
      </c>
    </row>
    <row r="3549">
      <c r="A3549" s="3" t="str">
        <f>IFERROR(__xludf.DUMMYFUNCTION("""COMPUTED_VALUE"""),"dibs-usd")</f>
        <v>dibs-usd</v>
      </c>
      <c r="B3549" s="3" t="str">
        <f>IFERROR(__xludf.DUMMYFUNCTION("""COMPUTED_VALUE"""),"usdibs")</f>
        <v>usdibs</v>
      </c>
      <c r="C3549" s="3" t="str">
        <f>IFERROR(__xludf.DUMMYFUNCTION("""COMPUTED_VALUE"""),"Dibs USD")</f>
        <v>Dibs USD</v>
      </c>
    </row>
    <row r="3550">
      <c r="A3550" s="3" t="str">
        <f>IFERROR(__xludf.DUMMYFUNCTION("""COMPUTED_VALUE"""),"didcoin-2")</f>
        <v>didcoin-2</v>
      </c>
      <c r="B3550" s="3" t="str">
        <f>IFERROR(__xludf.DUMMYFUNCTION("""COMPUTED_VALUE"""),"did")</f>
        <v>did</v>
      </c>
      <c r="C3550" s="3" t="str">
        <f>IFERROR(__xludf.DUMMYFUNCTION("""COMPUTED_VALUE"""),"Didcoin")</f>
        <v>Didcoin</v>
      </c>
    </row>
    <row r="3551">
      <c r="A3551" s="3" t="str">
        <f>IFERROR(__xludf.DUMMYFUNCTION("""COMPUTED_VALUE"""),"diego")</f>
        <v>diego</v>
      </c>
      <c r="B3551" s="3" t="str">
        <f>IFERROR(__xludf.DUMMYFUNCTION("""COMPUTED_VALUE"""),"dig")</f>
        <v>dig</v>
      </c>
      <c r="C3551" s="3" t="str">
        <f>IFERROR(__xludf.DUMMYFUNCTION("""COMPUTED_VALUE"""),"DIEGO")</f>
        <v>DIEGO</v>
      </c>
    </row>
    <row r="3552">
      <c r="A3552" s="3" t="str">
        <f>IFERROR(__xludf.DUMMYFUNCTION("""COMPUTED_VALUE"""),"die-protocol")</f>
        <v>die-protocol</v>
      </c>
      <c r="B3552" s="3" t="str">
        <f>IFERROR(__xludf.DUMMYFUNCTION("""COMPUTED_VALUE"""),"die")</f>
        <v>die</v>
      </c>
      <c r="C3552" s="3" t="str">
        <f>IFERROR(__xludf.DUMMYFUNCTION("""COMPUTED_VALUE"""),"Die Protocol")</f>
        <v>Die Protocol</v>
      </c>
    </row>
    <row r="3553">
      <c r="A3553" s="3" t="str">
        <f>IFERROR(__xludf.DUMMYFUNCTION("""COMPUTED_VALUE"""),"diffusion")</f>
        <v>diffusion</v>
      </c>
      <c r="B3553" s="3" t="str">
        <f>IFERROR(__xludf.DUMMYFUNCTION("""COMPUTED_VALUE"""),"diff")</f>
        <v>diff</v>
      </c>
      <c r="C3553" s="3" t="str">
        <f>IFERROR(__xludf.DUMMYFUNCTION("""COMPUTED_VALUE"""),"Diffusion")</f>
        <v>Diffusion</v>
      </c>
    </row>
    <row r="3554">
      <c r="A3554" s="3" t="str">
        <f>IFERROR(__xludf.DUMMYFUNCTION("""COMPUTED_VALUE"""),"difo-network")</f>
        <v>difo-network</v>
      </c>
      <c r="B3554" s="3" t="str">
        <f>IFERROR(__xludf.DUMMYFUNCTION("""COMPUTED_VALUE"""),"dfn")</f>
        <v>dfn</v>
      </c>
      <c r="C3554" s="3" t="str">
        <f>IFERROR(__xludf.DUMMYFUNCTION("""COMPUTED_VALUE"""),"Difo Network")</f>
        <v>Difo Network</v>
      </c>
    </row>
    <row r="3555">
      <c r="A3555" s="3" t="str">
        <f>IFERROR(__xludf.DUMMYFUNCTION("""COMPUTED_VALUE"""),"dify-finance")</f>
        <v>dify-finance</v>
      </c>
      <c r="B3555" s="3" t="str">
        <f>IFERROR(__xludf.DUMMYFUNCTION("""COMPUTED_VALUE"""),"yfiii")</f>
        <v>yfiii</v>
      </c>
      <c r="C3555" s="3" t="str">
        <f>IFERROR(__xludf.DUMMYFUNCTION("""COMPUTED_VALUE"""),"Dify.Finance")</f>
        <v>Dify.Finance</v>
      </c>
    </row>
    <row r="3556">
      <c r="A3556" s="3" t="str">
        <f>IFERROR(__xludf.DUMMYFUNCTION("""COMPUTED_VALUE"""),"dig-chain")</f>
        <v>dig-chain</v>
      </c>
      <c r="B3556" s="3" t="str">
        <f>IFERROR(__xludf.DUMMYFUNCTION("""COMPUTED_VALUE"""),"dig")</f>
        <v>dig</v>
      </c>
      <c r="C3556" s="3" t="str">
        <f>IFERROR(__xludf.DUMMYFUNCTION("""COMPUTED_VALUE"""),"Dig Chain")</f>
        <v>Dig Chain</v>
      </c>
    </row>
    <row r="3557">
      <c r="A3557" s="3" t="str">
        <f>IFERROR(__xludf.DUMMYFUNCTION("""COMPUTED_VALUE"""),"digg")</f>
        <v>digg</v>
      </c>
      <c r="B3557" s="3" t="str">
        <f>IFERROR(__xludf.DUMMYFUNCTION("""COMPUTED_VALUE"""),"digg")</f>
        <v>digg</v>
      </c>
      <c r="C3557" s="3" t="str">
        <f>IFERROR(__xludf.DUMMYFUNCTION("""COMPUTED_VALUE"""),"DIGG")</f>
        <v>DIGG</v>
      </c>
    </row>
    <row r="3558">
      <c r="A3558" s="3" t="str">
        <f>IFERROR(__xludf.DUMMYFUNCTION("""COMPUTED_VALUE"""),"digible")</f>
        <v>digible</v>
      </c>
      <c r="B3558" s="3" t="str">
        <f>IFERROR(__xludf.DUMMYFUNCTION("""COMPUTED_VALUE"""),"digi")</f>
        <v>digi</v>
      </c>
      <c r="C3558" s="3" t="str">
        <f>IFERROR(__xludf.DUMMYFUNCTION("""COMPUTED_VALUE"""),"Digible")</f>
        <v>Digible</v>
      </c>
    </row>
    <row r="3559">
      <c r="A3559" s="3" t="str">
        <f>IFERROR(__xludf.DUMMYFUNCTION("""COMPUTED_VALUE"""),"digibyte")</f>
        <v>digibyte</v>
      </c>
      <c r="B3559" s="3" t="str">
        <f>IFERROR(__xludf.DUMMYFUNCTION("""COMPUTED_VALUE"""),"dgb")</f>
        <v>dgb</v>
      </c>
      <c r="C3559" s="3" t="str">
        <f>IFERROR(__xludf.DUMMYFUNCTION("""COMPUTED_VALUE"""),"DigiByte")</f>
        <v>DigiByte</v>
      </c>
    </row>
    <row r="3560">
      <c r="A3560" s="3" t="str">
        <f>IFERROR(__xludf.DUMMYFUNCTION("""COMPUTED_VALUE"""),"digichain")</f>
        <v>digichain</v>
      </c>
      <c r="B3560" s="3" t="str">
        <f>IFERROR(__xludf.DUMMYFUNCTION("""COMPUTED_VALUE"""),"digichain")</f>
        <v>digichain</v>
      </c>
      <c r="C3560" s="3" t="str">
        <f>IFERROR(__xludf.DUMMYFUNCTION("""COMPUTED_VALUE"""),"Digichain Coin")</f>
        <v>Digichain Coin</v>
      </c>
    </row>
    <row r="3561">
      <c r="A3561" s="3" t="str">
        <f>IFERROR(__xludf.DUMMYFUNCTION("""COMPUTED_VALUE"""),"digicol-token")</f>
        <v>digicol-token</v>
      </c>
      <c r="B3561" s="3" t="str">
        <f>IFERROR(__xludf.DUMMYFUNCTION("""COMPUTED_VALUE"""),"dgcl")</f>
        <v>dgcl</v>
      </c>
      <c r="C3561" s="3" t="str">
        <f>IFERROR(__xludf.DUMMYFUNCTION("""COMPUTED_VALUE"""),"DigiCol")</f>
        <v>DigiCol</v>
      </c>
    </row>
    <row r="3562">
      <c r="A3562" s="3" t="str">
        <f>IFERROR(__xludf.DUMMYFUNCTION("""COMPUTED_VALUE"""),"digi-dinar")</f>
        <v>digi-dinar</v>
      </c>
      <c r="B3562" s="3" t="str">
        <f>IFERROR(__xludf.DUMMYFUNCTION("""COMPUTED_VALUE"""),"ddr")</f>
        <v>ddr</v>
      </c>
      <c r="C3562" s="3" t="str">
        <f>IFERROR(__xludf.DUMMYFUNCTION("""COMPUTED_VALUE"""),"Digi Dinar")</f>
        <v>Digi Dinar</v>
      </c>
    </row>
    <row r="3563">
      <c r="A3563" s="3" t="str">
        <f>IFERROR(__xludf.DUMMYFUNCTION("""COMPUTED_VALUE"""),"digidinar-token")</f>
        <v>digidinar-token</v>
      </c>
      <c r="B3563" s="3" t="str">
        <f>IFERROR(__xludf.DUMMYFUNCTION("""COMPUTED_VALUE"""),"ddrt")</f>
        <v>ddrt</v>
      </c>
      <c r="C3563" s="3" t="str">
        <f>IFERROR(__xludf.DUMMYFUNCTION("""COMPUTED_VALUE"""),"DigiDinar Token")</f>
        <v>DigiDinar Token</v>
      </c>
    </row>
    <row r="3564">
      <c r="A3564" s="3" t="str">
        <f>IFERROR(__xludf.DUMMYFUNCTION("""COMPUTED_VALUE"""),"digifinextoken")</f>
        <v>digifinextoken</v>
      </c>
      <c r="B3564" s="3" t="str">
        <f>IFERROR(__xludf.DUMMYFUNCTION("""COMPUTED_VALUE"""),"dft")</f>
        <v>dft</v>
      </c>
      <c r="C3564" s="3" t="str">
        <f>IFERROR(__xludf.DUMMYFUNCTION("""COMPUTED_VALUE"""),"DigiFinex")</f>
        <v>DigiFinex</v>
      </c>
    </row>
    <row r="3565">
      <c r="A3565" s="3" t="str">
        <f>IFERROR(__xludf.DUMMYFUNCTION("""COMPUTED_VALUE"""),"digimetaverse")</f>
        <v>digimetaverse</v>
      </c>
      <c r="B3565" s="3" t="str">
        <f>IFERROR(__xludf.DUMMYFUNCTION("""COMPUTED_VALUE"""),"dgmv")</f>
        <v>dgmv</v>
      </c>
      <c r="C3565" s="3" t="str">
        <f>IFERROR(__xludf.DUMMYFUNCTION("""COMPUTED_VALUE"""),"DigiMetaverse")</f>
        <v>DigiMetaverse</v>
      </c>
    </row>
    <row r="3566">
      <c r="A3566" s="3" t="str">
        <f>IFERROR(__xludf.DUMMYFUNCTION("""COMPUTED_VALUE"""),"digimoney")</f>
        <v>digimoney</v>
      </c>
      <c r="B3566" s="3" t="str">
        <f>IFERROR(__xludf.DUMMYFUNCTION("""COMPUTED_VALUE"""),"dgm")</f>
        <v>dgm</v>
      </c>
      <c r="C3566" s="3" t="str">
        <f>IFERROR(__xludf.DUMMYFUNCTION("""COMPUTED_VALUE"""),"DigiMoney")</f>
        <v>DigiMoney</v>
      </c>
    </row>
    <row r="3567">
      <c r="A3567" s="3" t="str">
        <f>IFERROR(__xludf.DUMMYFUNCTION("""COMPUTED_VALUE"""),"digipad")</f>
        <v>digipad</v>
      </c>
      <c r="B3567" s="3" t="str">
        <f>IFERROR(__xludf.DUMMYFUNCTION("""COMPUTED_VALUE"""),"dgp")</f>
        <v>dgp</v>
      </c>
      <c r="C3567" s="3" t="str">
        <f>IFERROR(__xludf.DUMMYFUNCTION("""COMPUTED_VALUE"""),"Digipad")</f>
        <v>Digipad</v>
      </c>
    </row>
    <row r="3568">
      <c r="A3568" s="3" t="str">
        <f>IFERROR(__xludf.DUMMYFUNCTION("""COMPUTED_VALUE"""),"digiswap")</f>
        <v>digiswap</v>
      </c>
      <c r="B3568" s="3" t="str">
        <f>IFERROR(__xludf.DUMMYFUNCTION("""COMPUTED_VALUE"""),"digis")</f>
        <v>digis</v>
      </c>
      <c r="C3568" s="3" t="str">
        <f>IFERROR(__xludf.DUMMYFUNCTION("""COMPUTED_VALUE"""),"DigiSwap")</f>
        <v>DigiSwap</v>
      </c>
    </row>
    <row r="3569">
      <c r="A3569" s="3" t="str">
        <f>IFERROR(__xludf.DUMMYFUNCTION("""COMPUTED_VALUE"""),"digital-bank-of-africa")</f>
        <v>digital-bank-of-africa</v>
      </c>
      <c r="B3569" s="3" t="str">
        <f>IFERROR(__xludf.DUMMYFUNCTION("""COMPUTED_VALUE"""),"dba")</f>
        <v>dba</v>
      </c>
      <c r="C3569" s="3" t="str">
        <f>IFERROR(__xludf.DUMMYFUNCTION("""COMPUTED_VALUE"""),"Digital Bank of Africa")</f>
        <v>Digital Bank of Africa</v>
      </c>
    </row>
    <row r="3570">
      <c r="A3570" s="3" t="str">
        <f>IFERROR(__xludf.DUMMYFUNCTION("""COMPUTED_VALUE"""),"digitalbits")</f>
        <v>digitalbits</v>
      </c>
      <c r="B3570" s="3" t="str">
        <f>IFERROR(__xludf.DUMMYFUNCTION("""COMPUTED_VALUE"""),"xdb")</f>
        <v>xdb</v>
      </c>
      <c r="C3570" s="3" t="str">
        <f>IFERROR(__xludf.DUMMYFUNCTION("""COMPUTED_VALUE"""),"DigitalBits")</f>
        <v>DigitalBits</v>
      </c>
    </row>
    <row r="3571">
      <c r="A3571" s="3" t="str">
        <f>IFERROR(__xludf.DUMMYFUNCTION("""COMPUTED_VALUE"""),"digitalcoin")</f>
        <v>digitalcoin</v>
      </c>
      <c r="B3571" s="3" t="str">
        <f>IFERROR(__xludf.DUMMYFUNCTION("""COMPUTED_VALUE"""),"dgc")</f>
        <v>dgc</v>
      </c>
      <c r="C3571" s="3" t="str">
        <f>IFERROR(__xludf.DUMMYFUNCTION("""COMPUTED_VALUE"""),"Digitalcoin")</f>
        <v>Digitalcoin</v>
      </c>
    </row>
    <row r="3572">
      <c r="A3572" s="3" t="str">
        <f>IFERROR(__xludf.DUMMYFUNCTION("""COMPUTED_VALUE"""),"digital-financial-exchange")</f>
        <v>digital-financial-exchange</v>
      </c>
      <c r="B3572" s="3" t="str">
        <f>IFERROR(__xludf.DUMMYFUNCTION("""COMPUTED_VALUE"""),"difx")</f>
        <v>difx</v>
      </c>
      <c r="C3572" s="3" t="str">
        <f>IFERROR(__xludf.DUMMYFUNCTION("""COMPUTED_VALUE"""),"Digital Financial Exchange")</f>
        <v>Digital Financial Exchange</v>
      </c>
    </row>
    <row r="3573">
      <c r="A3573" s="3" t="str">
        <f>IFERROR(__xludf.DUMMYFUNCTION("""COMPUTED_VALUE"""),"digital-money-bits")</f>
        <v>digital-money-bits</v>
      </c>
      <c r="B3573" s="3" t="str">
        <f>IFERROR(__xludf.DUMMYFUNCTION("""COMPUTED_VALUE"""),"dmb")</f>
        <v>dmb</v>
      </c>
      <c r="C3573" s="3" t="str">
        <f>IFERROR(__xludf.DUMMYFUNCTION("""COMPUTED_VALUE"""),"Digital Money Bits")</f>
        <v>Digital Money Bits</v>
      </c>
    </row>
    <row r="3574">
      <c r="A3574" s="3" t="str">
        <f>IFERROR(__xludf.DUMMYFUNCTION("""COMPUTED_VALUE"""),"digitalnote")</f>
        <v>digitalnote</v>
      </c>
      <c r="B3574" s="3" t="str">
        <f>IFERROR(__xludf.DUMMYFUNCTION("""COMPUTED_VALUE"""),"xdn")</f>
        <v>xdn</v>
      </c>
      <c r="C3574" s="3" t="str">
        <f>IFERROR(__xludf.DUMMYFUNCTION("""COMPUTED_VALUE"""),"DigitalNote")</f>
        <v>DigitalNote</v>
      </c>
    </row>
    <row r="3575">
      <c r="A3575" s="3" t="str">
        <f>IFERROR(__xludf.DUMMYFUNCTION("""COMPUTED_VALUE"""),"digitalprice")</f>
        <v>digitalprice</v>
      </c>
      <c r="B3575" s="3" t="str">
        <f>IFERROR(__xludf.DUMMYFUNCTION("""COMPUTED_VALUE"""),"dp")</f>
        <v>dp</v>
      </c>
      <c r="C3575" s="3" t="str">
        <f>IFERROR(__xludf.DUMMYFUNCTION("""COMPUTED_VALUE"""),"DigitalPrice")</f>
        <v>DigitalPrice</v>
      </c>
    </row>
    <row r="3576">
      <c r="A3576" s="3" t="str">
        <f>IFERROR(__xludf.DUMMYFUNCTION("""COMPUTED_VALUE"""),"digital-rand")</f>
        <v>digital-rand</v>
      </c>
      <c r="B3576" s="3" t="str">
        <f>IFERROR(__xludf.DUMMYFUNCTION("""COMPUTED_VALUE"""),"dzar")</f>
        <v>dzar</v>
      </c>
      <c r="C3576" s="3" t="str">
        <f>IFERROR(__xludf.DUMMYFUNCTION("""COMPUTED_VALUE"""),"Digital Rand")</f>
        <v>Digital Rand</v>
      </c>
    </row>
    <row r="3577">
      <c r="A3577" s="3" t="str">
        <f>IFERROR(__xludf.DUMMYFUNCTION("""COMPUTED_VALUE"""),"digital-reserve-currency")</f>
        <v>digital-reserve-currency</v>
      </c>
      <c r="B3577" s="3" t="str">
        <f>IFERROR(__xludf.DUMMYFUNCTION("""COMPUTED_VALUE"""),"drc")</f>
        <v>drc</v>
      </c>
      <c r="C3577" s="3" t="str">
        <f>IFERROR(__xludf.DUMMYFUNCTION("""COMPUTED_VALUE"""),"Digital Reserve Currency")</f>
        <v>Digital Reserve Currency</v>
      </c>
    </row>
    <row r="3578">
      <c r="A3578" s="3" t="str">
        <f>IFERROR(__xludf.DUMMYFUNCTION("""COMPUTED_VALUE"""),"digital-standard-unit")</f>
        <v>digital-standard-unit</v>
      </c>
      <c r="B3578" s="3" t="str">
        <f>IFERROR(__xludf.DUMMYFUNCTION("""COMPUTED_VALUE"""),"dsu")</f>
        <v>dsu</v>
      </c>
      <c r="C3578" s="3" t="str">
        <f>IFERROR(__xludf.DUMMYFUNCTION("""COMPUTED_VALUE"""),"Digital Standard Unit")</f>
        <v>Digital Standard Unit</v>
      </c>
    </row>
    <row r="3579">
      <c r="A3579" s="3" t="str">
        <f>IFERROR(__xludf.DUMMYFUNCTION("""COMPUTED_VALUE"""),"digital-swis-franc")</f>
        <v>digital-swis-franc</v>
      </c>
      <c r="B3579" s="3" t="str">
        <f>IFERROR(__xludf.DUMMYFUNCTION("""COMPUTED_VALUE"""),"dsfr")</f>
        <v>dsfr</v>
      </c>
      <c r="C3579" s="3" t="str">
        <f>IFERROR(__xludf.DUMMYFUNCTION("""COMPUTED_VALUE"""),"Digital Swiss Franc")</f>
        <v>Digital Swiss Franc</v>
      </c>
    </row>
    <row r="3580">
      <c r="A3580" s="3" t="str">
        <f>IFERROR(__xludf.DUMMYFUNCTION("""COMPUTED_VALUE"""),"digital-ticks")</f>
        <v>digital-ticks</v>
      </c>
      <c r="B3580" s="3" t="str">
        <f>IFERROR(__xludf.DUMMYFUNCTION("""COMPUTED_VALUE"""),"dtx")</f>
        <v>dtx</v>
      </c>
      <c r="C3580" s="3" t="str">
        <f>IFERROR(__xludf.DUMMYFUNCTION("""COMPUTED_VALUE"""),"Digital Ticks")</f>
        <v>Digital Ticks</v>
      </c>
    </row>
    <row r="3581">
      <c r="A3581" s="3" t="str">
        <f>IFERROR(__xludf.DUMMYFUNCTION("""COMPUTED_VALUE"""),"digitex-futures-exchange")</f>
        <v>digitex-futures-exchange</v>
      </c>
      <c r="B3581" s="3" t="str">
        <f>IFERROR(__xludf.DUMMYFUNCTION("""COMPUTED_VALUE"""),"dgtx")</f>
        <v>dgtx</v>
      </c>
      <c r="C3581" s="3" t="str">
        <f>IFERROR(__xludf.DUMMYFUNCTION("""COMPUTED_VALUE"""),"Digitex")</f>
        <v>Digitex</v>
      </c>
    </row>
    <row r="3582">
      <c r="A3582" s="3" t="str">
        <f>IFERROR(__xludf.DUMMYFUNCTION("""COMPUTED_VALUE"""),"digits-dao")</f>
        <v>digits-dao</v>
      </c>
      <c r="B3582" s="3" t="str">
        <f>IFERROR(__xludf.DUMMYFUNCTION("""COMPUTED_VALUE"""),"digits")</f>
        <v>digits</v>
      </c>
      <c r="C3582" s="3" t="str">
        <f>IFERROR(__xludf.DUMMYFUNCTION("""COMPUTED_VALUE"""),"Digits DAO")</f>
        <v>Digits DAO</v>
      </c>
    </row>
    <row r="3583">
      <c r="A3583" s="3" t="str">
        <f>IFERROR(__xludf.DUMMYFUNCTION("""COMPUTED_VALUE"""),"digixdao")</f>
        <v>digixdao</v>
      </c>
      <c r="B3583" s="3" t="str">
        <f>IFERROR(__xludf.DUMMYFUNCTION("""COMPUTED_VALUE"""),"dgd")</f>
        <v>dgd</v>
      </c>
      <c r="C3583" s="3" t="str">
        <f>IFERROR(__xludf.DUMMYFUNCTION("""COMPUTED_VALUE"""),"DigixDAO")</f>
        <v>DigixDAO</v>
      </c>
    </row>
    <row r="3584">
      <c r="A3584" s="3" t="str">
        <f>IFERROR(__xludf.DUMMYFUNCTION("""COMPUTED_VALUE"""),"digix-gold")</f>
        <v>digix-gold</v>
      </c>
      <c r="B3584" s="3" t="str">
        <f>IFERROR(__xludf.DUMMYFUNCTION("""COMPUTED_VALUE"""),"dgx")</f>
        <v>dgx</v>
      </c>
      <c r="C3584" s="3" t="str">
        <f>IFERROR(__xludf.DUMMYFUNCTION("""COMPUTED_VALUE"""),"Digix Gold")</f>
        <v>Digix Gold</v>
      </c>
    </row>
    <row r="3585">
      <c r="A3585" s="3" t="str">
        <f>IFERROR(__xludf.DUMMYFUNCTION("""COMPUTED_VALUE"""),"dignity-gold")</f>
        <v>dignity-gold</v>
      </c>
      <c r="B3585" s="3" t="str">
        <f>IFERROR(__xludf.DUMMYFUNCTION("""COMPUTED_VALUE"""),"digau")</f>
        <v>digau</v>
      </c>
      <c r="C3585" s="3" t="str">
        <f>IFERROR(__xludf.DUMMYFUNCTION("""COMPUTED_VALUE"""),"Dignity Gold")</f>
        <v>Dignity Gold</v>
      </c>
    </row>
    <row r="3586">
      <c r="A3586" s="3" t="str">
        <f>IFERROR(__xludf.DUMMYFUNCTION("""COMPUTED_VALUE"""),"dii-coin")</f>
        <v>dii-coin</v>
      </c>
      <c r="B3586" s="3" t="str">
        <f>IFERROR(__xludf.DUMMYFUNCTION("""COMPUTED_VALUE"""),"diic")</f>
        <v>diic</v>
      </c>
      <c r="C3586" s="3" t="str">
        <f>IFERROR(__xludf.DUMMYFUNCTION("""COMPUTED_VALUE"""),"Dii Coin")</f>
        <v>Dii Coin</v>
      </c>
    </row>
    <row r="3587">
      <c r="A3587" s="3" t="str">
        <f>IFERROR(__xludf.DUMMYFUNCTION("""COMPUTED_VALUE"""),"dike")</f>
        <v>dike</v>
      </c>
      <c r="B3587" s="3" t="str">
        <f>IFERROR(__xludf.DUMMYFUNCTION("""COMPUTED_VALUE"""),"dike")</f>
        <v>dike</v>
      </c>
      <c r="C3587" s="3" t="str">
        <f>IFERROR(__xludf.DUMMYFUNCTION("""COMPUTED_VALUE"""),"Dike")</f>
        <v>Dike</v>
      </c>
    </row>
    <row r="3588">
      <c r="A3588" s="3" t="str">
        <f>IFERROR(__xludf.DUMMYFUNCTION("""COMPUTED_VALUE"""),"dimecoin")</f>
        <v>dimecoin</v>
      </c>
      <c r="B3588" s="3" t="str">
        <f>IFERROR(__xludf.DUMMYFUNCTION("""COMPUTED_VALUE"""),"dime")</f>
        <v>dime</v>
      </c>
      <c r="C3588" s="3" t="str">
        <f>IFERROR(__xludf.DUMMYFUNCTION("""COMPUTED_VALUE"""),"Dimecoin")</f>
        <v>Dimecoin</v>
      </c>
    </row>
    <row r="3589">
      <c r="A3589" s="3" t="str">
        <f>IFERROR(__xludf.DUMMYFUNCTION("""COMPUTED_VALUE"""),"diminutive-coin")</f>
        <v>diminutive-coin</v>
      </c>
      <c r="B3589" s="3" t="str">
        <f>IFERROR(__xludf.DUMMYFUNCTION("""COMPUTED_VALUE"""),"dimi")</f>
        <v>dimi</v>
      </c>
      <c r="C3589" s="3" t="str">
        <f>IFERROR(__xludf.DUMMYFUNCTION("""COMPUTED_VALUE"""),"Diminutive Coin")</f>
        <v>Diminutive Coin</v>
      </c>
    </row>
    <row r="3590">
      <c r="A3590" s="3" t="str">
        <f>IFERROR(__xludf.DUMMYFUNCTION("""COMPUTED_VALUE"""),"dimitra")</f>
        <v>dimitra</v>
      </c>
      <c r="B3590" s="3" t="str">
        <f>IFERROR(__xludf.DUMMYFUNCTION("""COMPUTED_VALUE"""),"dmtr")</f>
        <v>dmtr</v>
      </c>
      <c r="C3590" s="3" t="str">
        <f>IFERROR(__xludf.DUMMYFUNCTION("""COMPUTED_VALUE"""),"Dimitra")</f>
        <v>Dimitra</v>
      </c>
    </row>
    <row r="3591">
      <c r="A3591" s="3" t="str">
        <f>IFERROR(__xludf.DUMMYFUNCTION("""COMPUTED_VALUE"""),"dina")</f>
        <v>dina</v>
      </c>
      <c r="B3591" s="3" t="str">
        <f>IFERROR(__xludf.DUMMYFUNCTION("""COMPUTED_VALUE"""),"dina")</f>
        <v>dina</v>
      </c>
      <c r="C3591" s="3" t="str">
        <f>IFERROR(__xludf.DUMMYFUNCTION("""COMPUTED_VALUE"""),"Dina")</f>
        <v>Dina</v>
      </c>
    </row>
    <row r="3592">
      <c r="A3592" s="3" t="str">
        <f>IFERROR(__xludf.DUMMYFUNCTION("""COMPUTED_VALUE"""),"dinamo-zagreb-fan-token")</f>
        <v>dinamo-zagreb-fan-token</v>
      </c>
      <c r="B3592" s="3" t="str">
        <f>IFERROR(__xludf.DUMMYFUNCTION("""COMPUTED_VALUE"""),"dzg")</f>
        <v>dzg</v>
      </c>
      <c r="C3592" s="3" t="str">
        <f>IFERROR(__xludf.DUMMYFUNCTION("""COMPUTED_VALUE"""),"Dinamo Zagreb Fan Token")</f>
        <v>Dinamo Zagreb Fan Token</v>
      </c>
    </row>
    <row r="3593">
      <c r="A3593" s="3" t="str">
        <f>IFERROR(__xludf.DUMMYFUNCTION("""COMPUTED_VALUE"""),"dinastycoin")</f>
        <v>dinastycoin</v>
      </c>
      <c r="B3593" s="3" t="str">
        <f>IFERROR(__xludf.DUMMYFUNCTION("""COMPUTED_VALUE"""),"dcy")</f>
        <v>dcy</v>
      </c>
      <c r="C3593" s="3" t="str">
        <f>IFERROR(__xludf.DUMMYFUNCTION("""COMPUTED_VALUE"""),"Dinastycoin")</f>
        <v>Dinastycoin</v>
      </c>
    </row>
    <row r="3594">
      <c r="A3594" s="3" t="str">
        <f>IFERROR(__xludf.DUMMYFUNCTION("""COMPUTED_VALUE"""),"dinero")</f>
        <v>dinero</v>
      </c>
      <c r="B3594" s="3" t="str">
        <f>IFERROR(__xludf.DUMMYFUNCTION("""COMPUTED_VALUE"""),"din")</f>
        <v>din</v>
      </c>
      <c r="C3594" s="3" t="str">
        <f>IFERROR(__xludf.DUMMYFUNCTION("""COMPUTED_VALUE"""),"Dinero")</f>
        <v>Dinero</v>
      </c>
    </row>
    <row r="3595">
      <c r="A3595" s="3" t="str">
        <f>IFERROR(__xludf.DUMMYFUNCTION("""COMPUTED_VALUE"""),"dinger-token")</f>
        <v>dinger-token</v>
      </c>
      <c r="B3595" s="3" t="str">
        <f>IFERROR(__xludf.DUMMYFUNCTION("""COMPUTED_VALUE"""),"dinger")</f>
        <v>dinger</v>
      </c>
      <c r="C3595" s="3" t="str">
        <f>IFERROR(__xludf.DUMMYFUNCTION("""COMPUTED_VALUE"""),"Dinger")</f>
        <v>Dinger</v>
      </c>
    </row>
    <row r="3596">
      <c r="A3596" s="3" t="str">
        <f>IFERROR(__xludf.DUMMYFUNCTION("""COMPUTED_VALUE"""),"dingocoin")</f>
        <v>dingocoin</v>
      </c>
      <c r="B3596" s="3" t="str">
        <f>IFERROR(__xludf.DUMMYFUNCTION("""COMPUTED_VALUE"""),"dingo")</f>
        <v>dingo</v>
      </c>
      <c r="C3596" s="3" t="str">
        <f>IFERROR(__xludf.DUMMYFUNCTION("""COMPUTED_VALUE"""),"Dingocoin")</f>
        <v>Dingocoin</v>
      </c>
    </row>
    <row r="3597">
      <c r="A3597" s="3" t="str">
        <f>IFERROR(__xludf.DUMMYFUNCTION("""COMPUTED_VALUE"""),"dingo-token")</f>
        <v>dingo-token</v>
      </c>
      <c r="B3597" s="3" t="str">
        <f>IFERROR(__xludf.DUMMYFUNCTION("""COMPUTED_VALUE"""),"dingo")</f>
        <v>dingo</v>
      </c>
      <c r="C3597" s="3" t="str">
        <f>IFERROR(__xludf.DUMMYFUNCTION("""COMPUTED_VALUE"""),"Dingo")</f>
        <v>Dingo</v>
      </c>
    </row>
    <row r="3598">
      <c r="A3598" s="3" t="str">
        <f>IFERROR(__xludf.DUMMYFUNCTION("""COMPUTED_VALUE"""),"dink-donk")</f>
        <v>dink-donk</v>
      </c>
      <c r="B3598" s="3" t="str">
        <f>IFERROR(__xludf.DUMMYFUNCTION("""COMPUTED_VALUE"""),"dink")</f>
        <v>dink</v>
      </c>
      <c r="C3598" s="3" t="str">
        <f>IFERROR(__xludf.DUMMYFUNCTION("""COMPUTED_VALUE"""),"Dink Doink")</f>
        <v>Dink Doink</v>
      </c>
    </row>
    <row r="3599">
      <c r="A3599" s="3" t="str">
        <f>IFERROR(__xludf.DUMMYFUNCTION("""COMPUTED_VALUE"""),"dino")</f>
        <v>dino</v>
      </c>
      <c r="B3599" s="3" t="str">
        <f>IFERROR(__xludf.DUMMYFUNCTION("""COMPUTED_VALUE"""),"dino")</f>
        <v>dino</v>
      </c>
      <c r="C3599" s="3" t="str">
        <f>IFERROR(__xludf.DUMMYFUNCTION("""COMPUTED_VALUE"""),"Dino")</f>
        <v>Dino</v>
      </c>
    </row>
    <row r="3600">
      <c r="A3600" s="3" t="str">
        <f>IFERROR(__xludf.DUMMYFUNCTION("""COMPUTED_VALUE"""),"dinoegg")</f>
        <v>dinoegg</v>
      </c>
      <c r="B3600" s="3" t="str">
        <f>IFERROR(__xludf.DUMMYFUNCTION("""COMPUTED_VALUE"""),"dinoegg")</f>
        <v>dinoegg</v>
      </c>
      <c r="C3600" s="3" t="str">
        <f>IFERROR(__xludf.DUMMYFUNCTION("""COMPUTED_VALUE"""),"DINOEGG")</f>
        <v>DINOEGG</v>
      </c>
    </row>
    <row r="3601">
      <c r="A3601" s="3" t="str">
        <f>IFERROR(__xludf.DUMMYFUNCTION("""COMPUTED_VALUE"""),"dinoland")</f>
        <v>dinoland</v>
      </c>
      <c r="B3601" s="3" t="str">
        <f>IFERROR(__xludf.DUMMYFUNCTION("""COMPUTED_VALUE"""),"dnl")</f>
        <v>dnl</v>
      </c>
      <c r="C3601" s="3" t="str">
        <f>IFERROR(__xludf.DUMMYFUNCTION("""COMPUTED_VALUE"""),"Dinoland")</f>
        <v>Dinoland</v>
      </c>
    </row>
    <row r="3602">
      <c r="A3602" s="3" t="str">
        <f>IFERROR(__xludf.DUMMYFUNCTION("""COMPUTED_VALUE"""),"dinopark")</f>
        <v>dinopark</v>
      </c>
      <c r="B3602" s="3" t="str">
        <f>IFERROR(__xludf.DUMMYFUNCTION("""COMPUTED_VALUE"""),"dinop")</f>
        <v>dinop</v>
      </c>
      <c r="C3602" s="3" t="str">
        <f>IFERROR(__xludf.DUMMYFUNCTION("""COMPUTED_VALUE"""),"DinoPark")</f>
        <v>DinoPark</v>
      </c>
    </row>
    <row r="3603">
      <c r="A3603" s="3" t="str">
        <f>IFERROR(__xludf.DUMMYFUNCTION("""COMPUTED_VALUE"""),"dinosaureggs")</f>
        <v>dinosaureggs</v>
      </c>
      <c r="B3603" s="3" t="str">
        <f>IFERROR(__xludf.DUMMYFUNCTION("""COMPUTED_VALUE"""),"dsg")</f>
        <v>dsg</v>
      </c>
      <c r="C3603" s="3" t="str">
        <f>IFERROR(__xludf.DUMMYFUNCTION("""COMPUTED_VALUE"""),"Dinosaur Eggs")</f>
        <v>Dinosaur Eggs</v>
      </c>
    </row>
    <row r="3604">
      <c r="A3604" s="3" t="str">
        <f>IFERROR(__xludf.DUMMYFUNCTION("""COMPUTED_VALUE"""),"dinostep")</f>
        <v>dinostep</v>
      </c>
      <c r="B3604" s="3" t="str">
        <f>IFERROR(__xludf.DUMMYFUNCTION("""COMPUTED_VALUE"""),"dns")</f>
        <v>dns</v>
      </c>
      <c r="C3604" s="3" t="str">
        <f>IFERROR(__xludf.DUMMYFUNCTION("""COMPUTED_VALUE"""),"DinoStep")</f>
        <v>DinoStep</v>
      </c>
    </row>
    <row r="3605">
      <c r="A3605" s="3" t="str">
        <f>IFERROR(__xludf.DUMMYFUNCTION("""COMPUTED_VALUE"""),"dinoswap")</f>
        <v>dinoswap</v>
      </c>
      <c r="B3605" s="3" t="str">
        <f>IFERROR(__xludf.DUMMYFUNCTION("""COMPUTED_VALUE"""),"dino")</f>
        <v>dino</v>
      </c>
      <c r="C3605" s="3" t="str">
        <f>IFERROR(__xludf.DUMMYFUNCTION("""COMPUTED_VALUE"""),"DinoSwap")</f>
        <v>DinoSwap</v>
      </c>
    </row>
    <row r="3606">
      <c r="A3606" s="3" t="str">
        <f>IFERROR(__xludf.DUMMYFUNCTION("""COMPUTED_VALUE"""),"dinox")</f>
        <v>dinox</v>
      </c>
      <c r="B3606" s="3" t="str">
        <f>IFERROR(__xludf.DUMMYFUNCTION("""COMPUTED_VALUE"""),"dnxc")</f>
        <v>dnxc</v>
      </c>
      <c r="C3606" s="3" t="str">
        <f>IFERROR(__xludf.DUMMYFUNCTION("""COMPUTED_VALUE"""),"DinoX")</f>
        <v>DinoX</v>
      </c>
    </row>
    <row r="3607">
      <c r="A3607" s="3" t="str">
        <f>IFERROR(__xludf.DUMMYFUNCTION("""COMPUTED_VALUE"""),"diolaunch")</f>
        <v>diolaunch</v>
      </c>
      <c r="B3607" s="3" t="str">
        <f>IFERROR(__xludf.DUMMYFUNCTION("""COMPUTED_VALUE"""),"dla")</f>
        <v>dla</v>
      </c>
      <c r="C3607" s="3" t="str">
        <f>IFERROR(__xludf.DUMMYFUNCTION("""COMPUTED_VALUE"""),"Diolaunch")</f>
        <v>Diolaunch</v>
      </c>
    </row>
    <row r="3608">
      <c r="A3608" s="3" t="str">
        <f>IFERROR(__xludf.DUMMYFUNCTION("""COMPUTED_VALUE"""),"dione")</f>
        <v>dione</v>
      </c>
      <c r="B3608" s="3" t="str">
        <f>IFERROR(__xludf.DUMMYFUNCTION("""COMPUTED_VALUE"""),"dione")</f>
        <v>dione</v>
      </c>
      <c r="C3608" s="3" t="str">
        <f>IFERROR(__xludf.DUMMYFUNCTION("""COMPUTED_VALUE"""),"Dione")</f>
        <v>Dione</v>
      </c>
    </row>
    <row r="3609">
      <c r="A3609" s="3" t="str">
        <f>IFERROR(__xludf.DUMMYFUNCTION("""COMPUTED_VALUE"""),"dionpay")</f>
        <v>dionpay</v>
      </c>
      <c r="B3609" s="3" t="str">
        <f>IFERROR(__xludf.DUMMYFUNCTION("""COMPUTED_VALUE"""),"dion")</f>
        <v>dion</v>
      </c>
      <c r="C3609" s="3" t="str">
        <f>IFERROR(__xludf.DUMMYFUNCTION("""COMPUTED_VALUE"""),"Dionpay")</f>
        <v>Dionpay</v>
      </c>
    </row>
    <row r="3610">
      <c r="A3610" s="3" t="str">
        <f>IFERROR(__xludf.DUMMYFUNCTION("""COMPUTED_VALUE"""),"dipper-network")</f>
        <v>dipper-network</v>
      </c>
      <c r="B3610" s="3" t="str">
        <f>IFERROR(__xludf.DUMMYFUNCTION("""COMPUTED_VALUE"""),"dip")</f>
        <v>dip</v>
      </c>
      <c r="C3610" s="3" t="str">
        <f>IFERROR(__xludf.DUMMYFUNCTION("""COMPUTED_VALUE"""),"Dipper Network")</f>
        <v>Dipper Network</v>
      </c>
    </row>
    <row r="3611">
      <c r="A3611" s="3" t="str">
        <f>IFERROR(__xludf.DUMMYFUNCTION("""COMPUTED_VALUE"""),"disbalancer")</f>
        <v>disbalancer</v>
      </c>
      <c r="B3611" s="3" t="str">
        <f>IFERROR(__xludf.DUMMYFUNCTION("""COMPUTED_VALUE"""),"ddos")</f>
        <v>ddos</v>
      </c>
      <c r="C3611" s="3" t="str">
        <f>IFERROR(__xludf.DUMMYFUNCTION("""COMPUTED_VALUE"""),"disBalancer")</f>
        <v>disBalancer</v>
      </c>
    </row>
    <row r="3612">
      <c r="A3612" s="3" t="str">
        <f>IFERROR(__xludf.DUMMYFUNCTION("""COMPUTED_VALUE"""),"disciplesdao")</f>
        <v>disciplesdao</v>
      </c>
      <c r="B3612" s="3" t="str">
        <f>IFERROR(__xludf.DUMMYFUNCTION("""COMPUTED_VALUE"""),"dct")</f>
        <v>dct</v>
      </c>
      <c r="C3612" s="3" t="str">
        <f>IFERROR(__xludf.DUMMYFUNCTION("""COMPUTED_VALUE"""),"DisciplesDAO")</f>
        <v>DisciplesDAO</v>
      </c>
    </row>
    <row r="3613">
      <c r="A3613" s="3" t="str">
        <f>IFERROR(__xludf.DUMMYFUNCTION("""COMPUTED_VALUE"""),"district0x")</f>
        <v>district0x</v>
      </c>
      <c r="B3613" s="3" t="str">
        <f>IFERROR(__xludf.DUMMYFUNCTION("""COMPUTED_VALUE"""),"dnt")</f>
        <v>dnt</v>
      </c>
      <c r="C3613" s="3" t="str">
        <f>IFERROR(__xludf.DUMMYFUNCTION("""COMPUTED_VALUE"""),"district0x")</f>
        <v>district0x</v>
      </c>
    </row>
    <row r="3614">
      <c r="A3614" s="3" t="str">
        <f>IFERROR(__xludf.DUMMYFUNCTION("""COMPUTED_VALUE"""),"distx")</f>
        <v>distx</v>
      </c>
      <c r="B3614" s="3" t="str">
        <f>IFERROR(__xludf.DUMMYFUNCTION("""COMPUTED_VALUE"""),"distx")</f>
        <v>distx</v>
      </c>
      <c r="C3614" s="3" t="str">
        <f>IFERROR(__xludf.DUMMYFUNCTION("""COMPUTED_VALUE"""),"DistX")</f>
        <v>DistX</v>
      </c>
    </row>
    <row r="3615">
      <c r="A3615" s="3" t="str">
        <f>IFERROR(__xludf.DUMMYFUNCTION("""COMPUTED_VALUE"""),"ditto-staked-aptos")</f>
        <v>ditto-staked-aptos</v>
      </c>
      <c r="B3615" s="3" t="str">
        <f>IFERROR(__xludf.DUMMYFUNCTION("""COMPUTED_VALUE"""),"stapt")</f>
        <v>stapt</v>
      </c>
      <c r="C3615" s="3" t="str">
        <f>IFERROR(__xludf.DUMMYFUNCTION("""COMPUTED_VALUE"""),"Ditto Staked Aptos")</f>
        <v>Ditto Staked Aptos</v>
      </c>
    </row>
    <row r="3616">
      <c r="A3616" s="3" t="str">
        <f>IFERROR(__xludf.DUMMYFUNCTION("""COMPUTED_VALUE"""),"divergence-protocol")</f>
        <v>divergence-protocol</v>
      </c>
      <c r="B3616" s="3" t="str">
        <f>IFERROR(__xludf.DUMMYFUNCTION("""COMPUTED_VALUE"""),"diver")</f>
        <v>diver</v>
      </c>
      <c r="C3616" s="3" t="str">
        <f>IFERROR(__xludf.DUMMYFUNCTION("""COMPUTED_VALUE"""),"Divergence Protocol")</f>
        <v>Divergence Protocol</v>
      </c>
    </row>
    <row r="3617">
      <c r="A3617" s="3" t="str">
        <f>IFERROR(__xludf.DUMMYFUNCTION("""COMPUTED_VALUE"""),"diversifi")</f>
        <v>diversifi</v>
      </c>
      <c r="B3617" s="3" t="str">
        <f>IFERROR(__xludf.DUMMYFUNCTION("""COMPUTED_VALUE"""),"dfi")</f>
        <v>dfi</v>
      </c>
      <c r="C3617" s="3" t="str">
        <f>IFERROR(__xludf.DUMMYFUNCTION("""COMPUTED_VALUE"""),"DiversiFi")</f>
        <v>DiversiFi</v>
      </c>
    </row>
    <row r="3618">
      <c r="A3618" s="3" t="str">
        <f>IFERROR(__xludf.DUMMYFUNCTION("""COMPUTED_VALUE"""),"divi")</f>
        <v>divi</v>
      </c>
      <c r="B3618" s="3" t="str">
        <f>IFERROR(__xludf.DUMMYFUNCTION("""COMPUTED_VALUE"""),"divi")</f>
        <v>divi</v>
      </c>
      <c r="C3618" s="3" t="str">
        <f>IFERROR(__xludf.DUMMYFUNCTION("""COMPUTED_VALUE"""),"Divi")</f>
        <v>Divi</v>
      </c>
    </row>
    <row r="3619">
      <c r="A3619" s="3" t="str">
        <f>IFERROR(__xludf.DUMMYFUNCTION("""COMPUTED_VALUE"""),"divi-land")</f>
        <v>divi-land</v>
      </c>
      <c r="B3619" s="3" t="str">
        <f>IFERROR(__xludf.DUMMYFUNCTION("""COMPUTED_VALUE"""),"dvld")</f>
        <v>dvld</v>
      </c>
      <c r="C3619" s="3" t="str">
        <f>IFERROR(__xludf.DUMMYFUNCTION("""COMPUTED_VALUE"""),"DIVI LAND")</f>
        <v>DIVI LAND</v>
      </c>
    </row>
    <row r="3620">
      <c r="A3620" s="3" t="str">
        <f>IFERROR(__xludf.DUMMYFUNCTION("""COMPUTED_VALUE"""),"diviner-protocol")</f>
        <v>diviner-protocol</v>
      </c>
      <c r="B3620" s="3" t="str">
        <f>IFERROR(__xludf.DUMMYFUNCTION("""COMPUTED_VALUE"""),"dpt")</f>
        <v>dpt</v>
      </c>
      <c r="C3620" s="3" t="str">
        <f>IFERROR(__xludf.DUMMYFUNCTION("""COMPUTED_VALUE"""),"Diviner Protocol")</f>
        <v>Diviner Protocol</v>
      </c>
    </row>
    <row r="3621">
      <c r="A3621" s="3" t="str">
        <f>IFERROR(__xludf.DUMMYFUNCTION("""COMPUTED_VALUE"""),"divs")</f>
        <v>divs</v>
      </c>
      <c r="B3621" s="3" t="str">
        <f>IFERROR(__xludf.DUMMYFUNCTION("""COMPUTED_VALUE"""),"divs")</f>
        <v>divs</v>
      </c>
      <c r="C3621" s="3" t="str">
        <f>IFERROR(__xludf.DUMMYFUNCTION("""COMPUTED_VALUE"""),"Divs")</f>
        <v>Divs</v>
      </c>
    </row>
    <row r="3622">
      <c r="A3622" s="3" t="str">
        <f>IFERROR(__xludf.DUMMYFUNCTION("""COMPUTED_VALUE"""),"diyarbekirspor")</f>
        <v>diyarbekirspor</v>
      </c>
      <c r="B3622" s="3" t="str">
        <f>IFERROR(__xludf.DUMMYFUNCTION("""COMPUTED_VALUE"""),"diyar")</f>
        <v>diyar</v>
      </c>
      <c r="C3622" s="3" t="str">
        <f>IFERROR(__xludf.DUMMYFUNCTION("""COMPUTED_VALUE"""),"Diyarbekirspor")</f>
        <v>Diyarbekirspor</v>
      </c>
    </row>
    <row r="3623">
      <c r="A3623" s="3" t="str">
        <f>IFERROR(__xludf.DUMMYFUNCTION("""COMPUTED_VALUE"""),"dkargo")</f>
        <v>dkargo</v>
      </c>
      <c r="B3623" s="3" t="str">
        <f>IFERROR(__xludf.DUMMYFUNCTION("""COMPUTED_VALUE"""),"dka")</f>
        <v>dka</v>
      </c>
      <c r="C3623" s="3" t="str">
        <f>IFERROR(__xludf.DUMMYFUNCTION("""COMPUTED_VALUE"""),"dKargo")</f>
        <v>dKargo</v>
      </c>
    </row>
    <row r="3624">
      <c r="A3624" s="3" t="str">
        <f>IFERROR(__xludf.DUMMYFUNCTION("""COMPUTED_VALUE"""),"dkey-bank")</f>
        <v>dkey-bank</v>
      </c>
      <c r="B3624" s="3" t="str">
        <f>IFERROR(__xludf.DUMMYFUNCTION("""COMPUTED_VALUE"""),"dkey")</f>
        <v>dkey</v>
      </c>
      <c r="C3624" s="3" t="str">
        <f>IFERROR(__xludf.DUMMYFUNCTION("""COMPUTED_VALUE"""),"DKEY Bank")</f>
        <v>DKEY Bank</v>
      </c>
    </row>
    <row r="3625">
      <c r="A3625" s="3" t="str">
        <f>IFERROR(__xludf.DUMMYFUNCTION("""COMPUTED_VALUE"""),"dlp-duck-token")</f>
        <v>dlp-duck-token</v>
      </c>
      <c r="B3625" s="3" t="str">
        <f>IFERROR(__xludf.DUMMYFUNCTION("""COMPUTED_VALUE"""),"duck")</f>
        <v>duck</v>
      </c>
      <c r="C3625" s="3" t="str">
        <f>IFERROR(__xludf.DUMMYFUNCTION("""COMPUTED_VALUE"""),"DLP Duck")</f>
        <v>DLP Duck</v>
      </c>
    </row>
    <row r="3626">
      <c r="A3626" s="3" t="str">
        <f>IFERROR(__xludf.DUMMYFUNCTION("""COMPUTED_VALUE"""),"dmarket")</f>
        <v>dmarket</v>
      </c>
      <c r="B3626" s="3" t="str">
        <f>IFERROR(__xludf.DUMMYFUNCTION("""COMPUTED_VALUE"""),"dmt")</f>
        <v>dmt</v>
      </c>
      <c r="C3626" s="3" t="str">
        <f>IFERROR(__xludf.DUMMYFUNCTION("""COMPUTED_VALUE"""),"DMarket")</f>
        <v>DMarket</v>
      </c>
    </row>
    <row r="3627">
      <c r="A3627" s="3" t="str">
        <f>IFERROR(__xludf.DUMMYFUNCTION("""COMPUTED_VALUE"""),"dmd")</f>
        <v>dmd</v>
      </c>
      <c r="B3627" s="3" t="str">
        <f>IFERROR(__xludf.DUMMYFUNCTION("""COMPUTED_VALUE"""),"dmd")</f>
        <v>dmd</v>
      </c>
      <c r="C3627" s="3" t="str">
        <f>IFERROR(__xludf.DUMMYFUNCTION("""COMPUTED_VALUE"""),"DMD")</f>
        <v>DMD</v>
      </c>
    </row>
    <row r="3628">
      <c r="A3628" s="3" t="str">
        <f>IFERROR(__xludf.DUMMYFUNCTION("""COMPUTED_VALUE"""),"dmm-governance")</f>
        <v>dmm-governance</v>
      </c>
      <c r="B3628" s="3" t="str">
        <f>IFERROR(__xludf.DUMMYFUNCTION("""COMPUTED_VALUE"""),"dmg")</f>
        <v>dmg</v>
      </c>
      <c r="C3628" s="3" t="str">
        <f>IFERROR(__xludf.DUMMYFUNCTION("""COMPUTED_VALUE"""),"DMM: Governance")</f>
        <v>DMM: Governance</v>
      </c>
    </row>
    <row r="3629">
      <c r="A3629" s="3" t="str">
        <f>IFERROR(__xludf.DUMMYFUNCTION("""COMPUTED_VALUE"""),"dmt-token")</f>
        <v>dmt-token</v>
      </c>
      <c r="B3629" s="3" t="str">
        <f>IFERROR(__xludf.DUMMYFUNCTION("""COMPUTED_VALUE"""),"dmt")</f>
        <v>dmt</v>
      </c>
      <c r="C3629" s="3" t="str">
        <f>IFERROR(__xludf.DUMMYFUNCTION("""COMPUTED_VALUE"""),"DMT")</f>
        <v>DMT</v>
      </c>
    </row>
    <row r="3630">
      <c r="A3630" s="3" t="str">
        <f>IFERROR(__xludf.DUMMYFUNCTION("""COMPUTED_VALUE"""),"dmz-token")</f>
        <v>dmz-token</v>
      </c>
      <c r="B3630" s="3" t="str">
        <f>IFERROR(__xludf.DUMMYFUNCTION("""COMPUTED_VALUE"""),"dmz")</f>
        <v>dmz</v>
      </c>
      <c r="C3630" s="3" t="str">
        <f>IFERROR(__xludf.DUMMYFUNCTION("""COMPUTED_VALUE"""),"DMZ")</f>
        <v>DMZ</v>
      </c>
    </row>
    <row r="3631">
      <c r="A3631" s="3" t="str">
        <f>IFERROR(__xludf.DUMMYFUNCTION("""COMPUTED_VALUE"""),"dna-dollar")</f>
        <v>dna-dollar</v>
      </c>
      <c r="B3631" s="3" t="str">
        <f>IFERROR(__xludf.DUMMYFUNCTION("""COMPUTED_VALUE"""),"dna")</f>
        <v>dna</v>
      </c>
      <c r="C3631" s="3" t="str">
        <f>IFERROR(__xludf.DUMMYFUNCTION("""COMPUTED_VALUE"""),"DNA Dollar")</f>
        <v>DNA Dollar</v>
      </c>
    </row>
    <row r="3632">
      <c r="A3632" s="3" t="str">
        <f>IFERROR(__xludf.DUMMYFUNCTION("""COMPUTED_VALUE"""),"dnaxcat")</f>
        <v>dnaxcat</v>
      </c>
      <c r="B3632" s="3" t="str">
        <f>IFERROR(__xludf.DUMMYFUNCTION("""COMPUTED_VALUE"""),"dxct")</f>
        <v>dxct</v>
      </c>
      <c r="C3632" s="3" t="str">
        <f>IFERROR(__xludf.DUMMYFUNCTION("""COMPUTED_VALUE"""),"DNAxCAT")</f>
        <v>DNAxCAT</v>
      </c>
    </row>
    <row r="3633">
      <c r="A3633" s="3" t="str">
        <f>IFERROR(__xludf.DUMMYFUNCTION("""COMPUTED_VALUE"""),"dnd-metaverse")</f>
        <v>dnd-metaverse</v>
      </c>
      <c r="B3633" s="3" t="str">
        <f>IFERROR(__xludf.DUMMYFUNCTION("""COMPUTED_VALUE"""),"dndb")</f>
        <v>dndb</v>
      </c>
      <c r="C3633" s="3" t="str">
        <f>IFERROR(__xludf.DUMMYFUNCTION("""COMPUTED_VALUE"""),"DnD Metaverse")</f>
        <v>DnD Metaverse</v>
      </c>
    </row>
    <row r="3634">
      <c r="A3634" s="3" t="str">
        <f>IFERROR(__xludf.DUMMYFUNCTION("""COMPUTED_VALUE"""),"doaibu")</f>
        <v>doaibu</v>
      </c>
      <c r="B3634" s="3" t="str">
        <f>IFERROR(__xludf.DUMMYFUNCTION("""COMPUTED_VALUE"""),"doa")</f>
        <v>doa</v>
      </c>
      <c r="C3634" s="3" t="str">
        <f>IFERROR(__xludf.DUMMYFUNCTION("""COMPUTED_VALUE"""),"Doaibu")</f>
        <v>Doaibu</v>
      </c>
    </row>
    <row r="3635">
      <c r="A3635" s="3" t="str">
        <f>IFERROR(__xludf.DUMMYFUNCTION("""COMPUTED_VALUE"""),"dobermann")</f>
        <v>dobermann</v>
      </c>
      <c r="B3635" s="3" t="str">
        <f>IFERROR(__xludf.DUMMYFUNCTION("""COMPUTED_VALUE"""),"dobe")</f>
        <v>dobe</v>
      </c>
      <c r="C3635" s="3" t="str">
        <f>IFERROR(__xludf.DUMMYFUNCTION("""COMPUTED_VALUE"""),"Dobermann")</f>
        <v>Dobermann</v>
      </c>
    </row>
    <row r="3636">
      <c r="A3636" s="3" t="str">
        <f>IFERROR(__xludf.DUMMYFUNCTION("""COMPUTED_VALUE"""),"dock")</f>
        <v>dock</v>
      </c>
      <c r="B3636" s="3" t="str">
        <f>IFERROR(__xludf.DUMMYFUNCTION("""COMPUTED_VALUE"""),"dock")</f>
        <v>dock</v>
      </c>
      <c r="C3636" s="3" t="str">
        <f>IFERROR(__xludf.DUMMYFUNCTION("""COMPUTED_VALUE"""),"Dock")</f>
        <v>Dock</v>
      </c>
    </row>
    <row r="3637">
      <c r="A3637" s="3" t="str">
        <f>IFERROR(__xludf.DUMMYFUNCTION("""COMPUTED_VALUE"""),"docuchain")</f>
        <v>docuchain</v>
      </c>
      <c r="B3637" s="3" t="str">
        <f>IFERROR(__xludf.DUMMYFUNCTION("""COMPUTED_VALUE"""),"dcct")</f>
        <v>dcct</v>
      </c>
      <c r="C3637" s="3" t="str">
        <f>IFERROR(__xludf.DUMMYFUNCTION("""COMPUTED_VALUE"""),"DocuChain")</f>
        <v>DocuChain</v>
      </c>
    </row>
    <row r="3638">
      <c r="A3638" s="3" t="str">
        <f>IFERROR(__xludf.DUMMYFUNCTION("""COMPUTED_VALUE"""),"documentchain")</f>
        <v>documentchain</v>
      </c>
      <c r="B3638" s="3" t="str">
        <f>IFERROR(__xludf.DUMMYFUNCTION("""COMPUTED_VALUE"""),"dms")</f>
        <v>dms</v>
      </c>
      <c r="C3638" s="3" t="str">
        <f>IFERROR(__xludf.DUMMYFUNCTION("""COMPUTED_VALUE"""),"Documentchain")</f>
        <v>Documentchain</v>
      </c>
    </row>
    <row r="3639">
      <c r="A3639" s="3" t="str">
        <f>IFERROR(__xludf.DUMMYFUNCTION("""COMPUTED_VALUE"""),"dodo")</f>
        <v>dodo</v>
      </c>
      <c r="B3639" s="3" t="str">
        <f>IFERROR(__xludf.DUMMYFUNCTION("""COMPUTED_VALUE"""),"dodo")</f>
        <v>dodo</v>
      </c>
      <c r="C3639" s="3" t="str">
        <f>IFERROR(__xludf.DUMMYFUNCTION("""COMPUTED_VALUE"""),"DODO")</f>
        <v>DODO</v>
      </c>
    </row>
    <row r="3640">
      <c r="A3640" s="3" t="str">
        <f>IFERROR(__xludf.DUMMYFUNCTION("""COMPUTED_VALUE"""),"dodreamchain")</f>
        <v>dodreamchain</v>
      </c>
      <c r="B3640" s="3" t="str">
        <f>IFERROR(__xludf.DUMMYFUNCTION("""COMPUTED_VALUE"""),"drm")</f>
        <v>drm</v>
      </c>
      <c r="C3640" s="3" t="str">
        <f>IFERROR(__xludf.DUMMYFUNCTION("""COMPUTED_VALUE"""),"DoDreamChain")</f>
        <v>DoDreamChain</v>
      </c>
    </row>
    <row r="3641">
      <c r="A3641" s="3" t="str">
        <f>IFERROR(__xludf.DUMMYFUNCTION("""COMPUTED_VALUE"""),"doex")</f>
        <v>doex</v>
      </c>
      <c r="B3641" s="3" t="str">
        <f>IFERROR(__xludf.DUMMYFUNCTION("""COMPUTED_VALUE"""),"doex")</f>
        <v>doex</v>
      </c>
      <c r="C3641" s="3" t="str">
        <f>IFERROR(__xludf.DUMMYFUNCTION("""COMPUTED_VALUE"""),"DOEX")</f>
        <v>DOEX</v>
      </c>
    </row>
    <row r="3642">
      <c r="A3642" s="3" t="str">
        <f>IFERROR(__xludf.DUMMYFUNCTION("""COMPUTED_VALUE"""),"dog")</f>
        <v>dog</v>
      </c>
      <c r="B3642" s="3" t="str">
        <f>IFERROR(__xludf.DUMMYFUNCTION("""COMPUTED_VALUE"""),"dog")</f>
        <v>dog</v>
      </c>
      <c r="C3642" s="3" t="str">
        <f>IFERROR(__xludf.DUMMYFUNCTION("""COMPUTED_VALUE"""),"Dog [OLD]")</f>
        <v>Dog [OLD]</v>
      </c>
    </row>
    <row r="3643">
      <c r="A3643" s="3" t="str">
        <f>IFERROR(__xludf.DUMMYFUNCTION("""COMPUTED_VALUE"""),"dog-2")</f>
        <v>dog-2</v>
      </c>
      <c r="B3643" s="3" t="str">
        <f>IFERROR(__xludf.DUMMYFUNCTION("""COMPUTED_VALUE"""),"dog")</f>
        <v>dog</v>
      </c>
      <c r="C3643" s="3" t="str">
        <f>IFERROR(__xludf.DUMMYFUNCTION("""COMPUTED_VALUE"""),"Dog")</f>
        <v>Dog</v>
      </c>
    </row>
    <row r="3644">
      <c r="A3644" s="3" t="str">
        <f>IFERROR(__xludf.DUMMYFUNCTION("""COMPUTED_VALUE"""),"dogami")</f>
        <v>dogami</v>
      </c>
      <c r="B3644" s="3" t="str">
        <f>IFERROR(__xludf.DUMMYFUNCTION("""COMPUTED_VALUE"""),"doga")</f>
        <v>doga</v>
      </c>
      <c r="C3644" s="3" t="str">
        <f>IFERROR(__xludf.DUMMYFUNCTION("""COMPUTED_VALUE"""),"Dogami")</f>
        <v>Dogami</v>
      </c>
    </row>
    <row r="3645">
      <c r="A3645" s="3" t="str">
        <f>IFERROR(__xludf.DUMMYFUNCTION("""COMPUTED_VALUE"""),"dog-boss")</f>
        <v>dog-boss</v>
      </c>
      <c r="B3645" s="3" t="str">
        <f>IFERROR(__xludf.DUMMYFUNCTION("""COMPUTED_VALUE"""),"dogboss")</f>
        <v>dogboss</v>
      </c>
      <c r="C3645" s="3" t="str">
        <f>IFERROR(__xludf.DUMMYFUNCTION("""COMPUTED_VALUE"""),"Dog Boss")</f>
        <v>Dog Boss</v>
      </c>
    </row>
    <row r="3646">
      <c r="A3646" s="3" t="str">
        <f>IFERROR(__xludf.DUMMYFUNCTION("""COMPUTED_VALUE"""),"dog-collar")</f>
        <v>dog-collar</v>
      </c>
      <c r="B3646" s="3" t="str">
        <f>IFERROR(__xludf.DUMMYFUNCTION("""COMPUTED_VALUE"""),"collar")</f>
        <v>collar</v>
      </c>
      <c r="C3646" s="3" t="str">
        <f>IFERROR(__xludf.DUMMYFUNCTION("""COMPUTED_VALUE"""),"Dog Collar")</f>
        <v>Dog Collar</v>
      </c>
    </row>
    <row r="3647">
      <c r="A3647" s="3" t="str">
        <f>IFERROR(__xludf.DUMMYFUNCTION("""COMPUTED_VALUE"""),"dogdeficoin")</f>
        <v>dogdeficoin</v>
      </c>
      <c r="B3647" s="3" t="str">
        <f>IFERROR(__xludf.DUMMYFUNCTION("""COMPUTED_VALUE"""),"dogdefi")</f>
        <v>dogdefi</v>
      </c>
      <c r="C3647" s="3" t="str">
        <f>IFERROR(__xludf.DUMMYFUNCTION("""COMPUTED_VALUE"""),"DogDeFiCoin")</f>
        <v>DogDeFiCoin</v>
      </c>
    </row>
    <row r="3648">
      <c r="A3648" s="3" t="str">
        <f>IFERROR(__xludf.DUMMYFUNCTION("""COMPUTED_VALUE"""),"doge-1-mission-to-the-moon")</f>
        <v>doge-1-mission-to-the-moon</v>
      </c>
      <c r="B3648" s="3" t="str">
        <f>IFERROR(__xludf.DUMMYFUNCTION("""COMPUTED_VALUE"""),"doge-1")</f>
        <v>doge-1</v>
      </c>
      <c r="C3648" s="3" t="str">
        <f>IFERROR(__xludf.DUMMYFUNCTION("""COMPUTED_VALUE"""),"Doge-1 Mission to the moon")</f>
        <v>Doge-1 Mission to the moon</v>
      </c>
    </row>
    <row r="3649">
      <c r="A3649" s="3" t="str">
        <f>IFERROR(__xludf.DUMMYFUNCTION("""COMPUTED_VALUE"""),"doge-alliance")</f>
        <v>doge-alliance</v>
      </c>
      <c r="B3649" s="3" t="str">
        <f>IFERROR(__xludf.DUMMYFUNCTION("""COMPUTED_VALUE"""),"dogeally")</f>
        <v>dogeally</v>
      </c>
      <c r="C3649" s="3" t="str">
        <f>IFERROR(__xludf.DUMMYFUNCTION("""COMPUTED_VALUE"""),"Doge Alliance")</f>
        <v>Doge Alliance</v>
      </c>
    </row>
    <row r="3650">
      <c r="A3650" s="3" t="str">
        <f>IFERROR(__xludf.DUMMYFUNCTION("""COMPUTED_VALUE"""),"doge-ape")</f>
        <v>doge-ape</v>
      </c>
      <c r="B3650" s="3" t="str">
        <f>IFERROR(__xludf.DUMMYFUNCTION("""COMPUTED_VALUE"""),"dogeape")</f>
        <v>dogeape</v>
      </c>
      <c r="C3650" s="3" t="str">
        <f>IFERROR(__xludf.DUMMYFUNCTION("""COMPUTED_VALUE"""),"Doge Ape")</f>
        <v>Doge Ape</v>
      </c>
    </row>
    <row r="3651">
      <c r="A3651" s="3" t="str">
        <f>IFERROR(__xludf.DUMMYFUNCTION("""COMPUTED_VALUE"""),"doge-army-token")</f>
        <v>doge-army-token</v>
      </c>
      <c r="B3651" s="3" t="str">
        <f>IFERROR(__xludf.DUMMYFUNCTION("""COMPUTED_VALUE"""),"dgat")</f>
        <v>dgat</v>
      </c>
      <c r="C3651" s="3" t="str">
        <f>IFERROR(__xludf.DUMMYFUNCTION("""COMPUTED_VALUE"""),"Doge Army")</f>
        <v>Doge Army</v>
      </c>
    </row>
    <row r="3652">
      <c r="A3652" s="3" t="str">
        <f>IFERROR(__xludf.DUMMYFUNCTION("""COMPUTED_VALUE"""),"dogebonk")</f>
        <v>dogebonk</v>
      </c>
      <c r="B3652" s="3" t="str">
        <f>IFERROR(__xludf.DUMMYFUNCTION("""COMPUTED_VALUE"""),"dobo")</f>
        <v>dobo</v>
      </c>
      <c r="C3652" s="3" t="str">
        <f>IFERROR(__xludf.DUMMYFUNCTION("""COMPUTED_VALUE"""),"DogeBonk")</f>
        <v>DogeBonk</v>
      </c>
    </row>
    <row r="3653">
      <c r="A3653" s="3" t="str">
        <f>IFERROR(__xludf.DUMMYFUNCTION("""COMPUTED_VALUE"""),"dogecash")</f>
        <v>dogecash</v>
      </c>
      <c r="B3653" s="3" t="str">
        <f>IFERROR(__xludf.DUMMYFUNCTION("""COMPUTED_VALUE"""),"dogec")</f>
        <v>dogec</v>
      </c>
      <c r="C3653" s="3" t="str">
        <f>IFERROR(__xludf.DUMMYFUNCTION("""COMPUTED_VALUE"""),"DogeCash")</f>
        <v>DogeCash</v>
      </c>
    </row>
    <row r="3654">
      <c r="A3654" s="3" t="str">
        <f>IFERROR(__xludf.DUMMYFUNCTION("""COMPUTED_VALUE"""),"dogechain")</f>
        <v>dogechain</v>
      </c>
      <c r="B3654" s="3" t="str">
        <f>IFERROR(__xludf.DUMMYFUNCTION("""COMPUTED_VALUE"""),"dc")</f>
        <v>dc</v>
      </c>
      <c r="C3654" s="3" t="str">
        <f>IFERROR(__xludf.DUMMYFUNCTION("""COMPUTED_VALUE"""),"Dogechain")</f>
        <v>Dogechain</v>
      </c>
    </row>
    <row r="3655">
      <c r="A3655" s="3" t="str">
        <f>IFERROR(__xludf.DUMMYFUNCTION("""COMPUTED_VALUE"""),"doge-cheems")</f>
        <v>doge-cheems</v>
      </c>
      <c r="B3655" s="3" t="str">
        <f>IFERROR(__xludf.DUMMYFUNCTION("""COMPUTED_VALUE"""),"$dheems")</f>
        <v>$dheems</v>
      </c>
      <c r="C3655" s="3" t="str">
        <f>IFERROR(__xludf.DUMMYFUNCTION("""COMPUTED_VALUE"""),"Doge Cheems")</f>
        <v>Doge Cheems</v>
      </c>
    </row>
    <row r="3656">
      <c r="A3656" s="3" t="str">
        <f>IFERROR(__xludf.DUMMYFUNCTION("""COMPUTED_VALUE"""),"dogeclaw")</f>
        <v>dogeclaw</v>
      </c>
      <c r="B3656" s="3" t="str">
        <f>IFERROR(__xludf.DUMMYFUNCTION("""COMPUTED_VALUE"""),"claw")</f>
        <v>claw</v>
      </c>
      <c r="C3656" s="3" t="str">
        <f>IFERROR(__xludf.DUMMYFUNCTION("""COMPUTED_VALUE"""),"Dogeclaw")</f>
        <v>Dogeclaw</v>
      </c>
    </row>
    <row r="3657">
      <c r="A3657" s="3" t="str">
        <f>IFERROR(__xludf.DUMMYFUNCTION("""COMPUTED_VALUE"""),"dogecoin")</f>
        <v>dogecoin</v>
      </c>
      <c r="B3657" s="3" t="str">
        <f>IFERROR(__xludf.DUMMYFUNCTION("""COMPUTED_VALUE"""),"doge")</f>
        <v>doge</v>
      </c>
      <c r="C3657" s="3" t="str">
        <f>IFERROR(__xludf.DUMMYFUNCTION("""COMPUTED_VALUE"""),"Dogecoin")</f>
        <v>Dogecoin</v>
      </c>
    </row>
    <row r="3658">
      <c r="A3658" s="3" t="str">
        <f>IFERROR(__xludf.DUMMYFUNCTION("""COMPUTED_VALUE"""),"dogecoin-2")</f>
        <v>dogecoin-2</v>
      </c>
      <c r="B3658" s="3" t="str">
        <f>IFERROR(__xludf.DUMMYFUNCTION("""COMPUTED_VALUE"""),"doge2")</f>
        <v>doge2</v>
      </c>
      <c r="C3658" s="3" t="str">
        <f>IFERROR(__xludf.DUMMYFUNCTION("""COMPUTED_VALUE"""),"Dogecoin 2.0")</f>
        <v>Dogecoin 2.0</v>
      </c>
    </row>
    <row r="3659">
      <c r="A3659" s="3" t="str">
        <f>IFERROR(__xludf.DUMMYFUNCTION("""COMPUTED_VALUE"""),"dogecola")</f>
        <v>dogecola</v>
      </c>
      <c r="B3659" s="3" t="str">
        <f>IFERROR(__xludf.DUMMYFUNCTION("""COMPUTED_VALUE"""),"dogecola")</f>
        <v>dogecola</v>
      </c>
      <c r="C3659" s="3" t="str">
        <f>IFERROR(__xludf.DUMMYFUNCTION("""COMPUTED_VALUE"""),"DogeCola")</f>
        <v>DogeCola</v>
      </c>
    </row>
    <row r="3660">
      <c r="A3660" s="3" t="str">
        <f>IFERROR(__xludf.DUMMYFUNCTION("""COMPUTED_VALUE"""),"dogecolony")</f>
        <v>dogecolony</v>
      </c>
      <c r="B3660" s="3" t="str">
        <f>IFERROR(__xludf.DUMMYFUNCTION("""COMPUTED_VALUE"""),"dogeco")</f>
        <v>dogeco</v>
      </c>
      <c r="C3660" s="3" t="str">
        <f>IFERROR(__xludf.DUMMYFUNCTION("""COMPUTED_VALUE"""),"Dogecolony")</f>
        <v>Dogecolony</v>
      </c>
    </row>
    <row r="3661">
      <c r="A3661" s="3" t="str">
        <f>IFERROR(__xludf.DUMMYFUNCTION("""COMPUTED_VALUE"""),"dogecube")</f>
        <v>dogecube</v>
      </c>
      <c r="B3661" s="3" t="str">
        <f>IFERROR(__xludf.DUMMYFUNCTION("""COMPUTED_VALUE"""),"dogecube")</f>
        <v>dogecube</v>
      </c>
      <c r="C3661" s="3" t="str">
        <f>IFERROR(__xludf.DUMMYFUNCTION("""COMPUTED_VALUE"""),"DogeCube")</f>
        <v>DogeCube</v>
      </c>
    </row>
    <row r="3662">
      <c r="A3662" s="3" t="str">
        <f>IFERROR(__xludf.DUMMYFUNCTION("""COMPUTED_VALUE"""),"doge-dash")</f>
        <v>doge-dash</v>
      </c>
      <c r="B3662" s="3" t="str">
        <f>IFERROR(__xludf.DUMMYFUNCTION("""COMPUTED_VALUE"""),"dogedash")</f>
        <v>dogedash</v>
      </c>
      <c r="C3662" s="3" t="str">
        <f>IFERROR(__xludf.DUMMYFUNCTION("""COMPUTED_VALUE"""),"Doge Dash")</f>
        <v>Doge Dash</v>
      </c>
    </row>
    <row r="3663">
      <c r="A3663" s="3" t="str">
        <f>IFERROR(__xludf.DUMMYFUNCTION("""COMPUTED_VALUE"""),"dogedead")</f>
        <v>dogedead</v>
      </c>
      <c r="B3663" s="3" t="str">
        <f>IFERROR(__xludf.DUMMYFUNCTION("""COMPUTED_VALUE"""),"dogedead")</f>
        <v>dogedead</v>
      </c>
      <c r="C3663" s="3" t="str">
        <f>IFERROR(__xludf.DUMMYFUNCTION("""COMPUTED_VALUE"""),"DogeDead")</f>
        <v>DogeDead</v>
      </c>
    </row>
    <row r="3664">
      <c r="A3664" s="3" t="str">
        <f>IFERROR(__xludf.DUMMYFUNCTION("""COMPUTED_VALUE"""),"dogedi")</f>
        <v>dogedi</v>
      </c>
      <c r="B3664" s="3" t="str">
        <f>IFERROR(__xludf.DUMMYFUNCTION("""COMPUTED_VALUE"""),"dogedi")</f>
        <v>dogedi</v>
      </c>
      <c r="C3664" s="3" t="str">
        <f>IFERROR(__xludf.DUMMYFUNCTION("""COMPUTED_VALUE"""),"DOGEDI")</f>
        <v>DOGEDI</v>
      </c>
    </row>
    <row r="3665">
      <c r="A3665" s="3" t="str">
        <f>IFERROR(__xludf.DUMMYFUNCTION("""COMPUTED_VALUE"""),"doge-digger")</f>
        <v>doge-digger</v>
      </c>
      <c r="B3665" s="3" t="str">
        <f>IFERROR(__xludf.DUMMYFUNCTION("""COMPUTED_VALUE"""),"dogedigger")</f>
        <v>dogedigger</v>
      </c>
      <c r="C3665" s="3" t="str">
        <f>IFERROR(__xludf.DUMMYFUNCTION("""COMPUTED_VALUE"""),"Doge Digger")</f>
        <v>Doge Digger</v>
      </c>
    </row>
    <row r="3666">
      <c r="A3666" s="3" t="str">
        <f>IFERROR(__xludf.DUMMYFUNCTION("""COMPUTED_VALUE"""),"dogedragon")</f>
        <v>dogedragon</v>
      </c>
      <c r="B3666" s="3" t="str">
        <f>IFERROR(__xludf.DUMMYFUNCTION("""COMPUTED_VALUE"""),"dd")</f>
        <v>dd</v>
      </c>
      <c r="C3666" s="3" t="str">
        <f>IFERROR(__xludf.DUMMYFUNCTION("""COMPUTED_VALUE"""),"DogeDragon")</f>
        <v>DogeDragon</v>
      </c>
    </row>
    <row r="3667">
      <c r="A3667" s="3" t="str">
        <f>IFERROR(__xludf.DUMMYFUNCTION("""COMPUTED_VALUE"""),"doge-eat-doge")</f>
        <v>doge-eat-doge</v>
      </c>
      <c r="B3667" s="3" t="str">
        <f>IFERROR(__xludf.DUMMYFUNCTION("""COMPUTED_VALUE"""),"omnom")</f>
        <v>omnom</v>
      </c>
      <c r="C3667" s="3" t="str">
        <f>IFERROR(__xludf.DUMMYFUNCTION("""COMPUTED_VALUE"""),"Doge Eat Doge")</f>
        <v>Doge Eat Doge</v>
      </c>
    </row>
    <row r="3668">
      <c r="A3668" s="3" t="str">
        <f>IFERROR(__xludf.DUMMYFUNCTION("""COMPUTED_VALUE"""),"dogefather-token")</f>
        <v>dogefather-token</v>
      </c>
      <c r="B3668" s="3" t="str">
        <f>IFERROR(__xludf.DUMMYFUNCTION("""COMPUTED_VALUE"""),"father")</f>
        <v>father</v>
      </c>
      <c r="C3668" s="3" t="str">
        <f>IFERROR(__xludf.DUMMYFUNCTION("""COMPUTED_VALUE"""),"DogeFather Token")</f>
        <v>DogeFather Token</v>
      </c>
    </row>
    <row r="3669">
      <c r="A3669" s="3" t="str">
        <f>IFERROR(__xludf.DUMMYFUNCTION("""COMPUTED_VALUE"""),"dogefi")</f>
        <v>dogefi</v>
      </c>
      <c r="B3669" s="3" t="str">
        <f>IFERROR(__xludf.DUMMYFUNCTION("""COMPUTED_VALUE"""),"dogefi")</f>
        <v>dogefi</v>
      </c>
      <c r="C3669" s="3" t="str">
        <f>IFERROR(__xludf.DUMMYFUNCTION("""COMPUTED_VALUE"""),"DogeFi")</f>
        <v>DogeFi</v>
      </c>
    </row>
    <row r="3670">
      <c r="A3670" s="3" t="str">
        <f>IFERROR(__xludf.DUMMYFUNCTION("""COMPUTED_VALUE"""),"doge-floki-coin")</f>
        <v>doge-floki-coin</v>
      </c>
      <c r="B3670" s="3" t="str">
        <f>IFERROR(__xludf.DUMMYFUNCTION("""COMPUTED_VALUE"""),"dofi")</f>
        <v>dofi</v>
      </c>
      <c r="C3670" s="3" t="str">
        <f>IFERROR(__xludf.DUMMYFUNCTION("""COMPUTED_VALUE"""),"Doge Floki Coin")</f>
        <v>Doge Floki Coin</v>
      </c>
    </row>
    <row r="3671">
      <c r="A3671" s="3" t="str">
        <f>IFERROR(__xludf.DUMMYFUNCTION("""COMPUTED_VALUE"""),"dogefood")</f>
        <v>dogefood</v>
      </c>
      <c r="B3671" s="3" t="str">
        <f>IFERROR(__xludf.DUMMYFUNCTION("""COMPUTED_VALUE"""),"dogefood")</f>
        <v>dogefood</v>
      </c>
      <c r="C3671" s="3" t="str">
        <f>IFERROR(__xludf.DUMMYFUNCTION("""COMPUTED_VALUE"""),"DogeFood")</f>
        <v>DogeFood</v>
      </c>
    </row>
    <row r="3672">
      <c r="A3672" s="3" t="str">
        <f>IFERROR(__xludf.DUMMYFUNCTION("""COMPUTED_VALUE"""),"dogegamer")</f>
        <v>dogegamer</v>
      </c>
      <c r="B3672" s="3" t="str">
        <f>IFERROR(__xludf.DUMMYFUNCTION("""COMPUTED_VALUE"""),"dga")</f>
        <v>dga</v>
      </c>
      <c r="C3672" s="3" t="str">
        <f>IFERROR(__xludf.DUMMYFUNCTION("""COMPUTED_VALUE"""),"Doge Gamer")</f>
        <v>Doge Gamer</v>
      </c>
    </row>
    <row r="3673">
      <c r="A3673" s="3" t="str">
        <f>IFERROR(__xludf.DUMMYFUNCTION("""COMPUTED_VALUE"""),"dogegayson")</f>
        <v>dogegayson</v>
      </c>
      <c r="B3673" s="3" t="str">
        <f>IFERROR(__xludf.DUMMYFUNCTION("""COMPUTED_VALUE"""),"goge")</f>
        <v>goge</v>
      </c>
      <c r="C3673" s="3" t="str">
        <f>IFERROR(__xludf.DUMMYFUNCTION("""COMPUTED_VALUE"""),"DogeGaySon")</f>
        <v>DogeGaySon</v>
      </c>
    </row>
    <row r="3674">
      <c r="A3674" s="3" t="str">
        <f>IFERROR(__xludf.DUMMYFUNCTION("""COMPUTED_VALUE"""),"dogegf")</f>
        <v>dogegf</v>
      </c>
      <c r="B3674" s="3" t="str">
        <f>IFERROR(__xludf.DUMMYFUNCTION("""COMPUTED_VALUE"""),"dogegf")</f>
        <v>dogegf</v>
      </c>
      <c r="C3674" s="3" t="str">
        <f>IFERROR(__xludf.DUMMYFUNCTION("""COMPUTED_VALUE"""),"DogeGF")</f>
        <v>DogeGF</v>
      </c>
    </row>
    <row r="3675">
      <c r="A3675" s="3" t="str">
        <f>IFERROR(__xludf.DUMMYFUNCTION("""COMPUTED_VALUE"""),"doge-gold-floki")</f>
        <v>doge-gold-floki</v>
      </c>
      <c r="B3675" s="3" t="str">
        <f>IFERROR(__xludf.DUMMYFUNCTION("""COMPUTED_VALUE"""),"$dgf")</f>
        <v>$dgf</v>
      </c>
      <c r="C3675" s="3" t="str">
        <f>IFERROR(__xludf.DUMMYFUNCTION("""COMPUTED_VALUE"""),"Doge Gold Floki")</f>
        <v>Doge Gold Floki</v>
      </c>
    </row>
    <row r="3676">
      <c r="A3676" s="3" t="str">
        <f>IFERROR(__xludf.DUMMYFUNCTION("""COMPUTED_VALUE"""),"doge-inu")</f>
        <v>doge-inu</v>
      </c>
      <c r="B3676" s="3" t="str">
        <f>IFERROR(__xludf.DUMMYFUNCTION("""COMPUTED_VALUE"""),"dinu")</f>
        <v>dinu</v>
      </c>
      <c r="C3676" s="3" t="str">
        <f>IFERROR(__xludf.DUMMYFUNCTION("""COMPUTED_VALUE"""),"Doge Inu")</f>
        <v>Doge Inu</v>
      </c>
    </row>
    <row r="3677">
      <c r="A3677" s="3" t="str">
        <f>IFERROR(__xludf.DUMMYFUNCTION("""COMPUTED_VALUE"""),"dogeking")</f>
        <v>dogeking</v>
      </c>
      <c r="B3677" s="3" t="str">
        <f>IFERROR(__xludf.DUMMYFUNCTION("""COMPUTED_VALUE"""),"dogeking")</f>
        <v>dogeking</v>
      </c>
      <c r="C3677" s="3" t="str">
        <f>IFERROR(__xludf.DUMMYFUNCTION("""COMPUTED_VALUE"""),"DogeKing")</f>
        <v>DogeKing</v>
      </c>
    </row>
    <row r="3678">
      <c r="A3678" s="3" t="str">
        <f>IFERROR(__xludf.DUMMYFUNCTION("""COMPUTED_VALUE"""),"dogekongzilla")</f>
        <v>dogekongzilla</v>
      </c>
      <c r="B3678" s="3" t="str">
        <f>IFERROR(__xludf.DUMMYFUNCTION("""COMPUTED_VALUE"""),"dogekongzilla")</f>
        <v>dogekongzilla</v>
      </c>
      <c r="C3678" s="3" t="str">
        <f>IFERROR(__xludf.DUMMYFUNCTION("""COMPUTED_VALUE"""),"DogeKongZilla")</f>
        <v>DogeKongZilla</v>
      </c>
    </row>
    <row r="3679">
      <c r="A3679" s="3" t="str">
        <f>IFERROR(__xludf.DUMMYFUNCTION("""COMPUTED_VALUE"""),"dogelana")</f>
        <v>dogelana</v>
      </c>
      <c r="B3679" s="3" t="str">
        <f>IFERROR(__xludf.DUMMYFUNCTION("""COMPUTED_VALUE"""),"dgln")</f>
        <v>dgln</v>
      </c>
      <c r="C3679" s="3" t="str">
        <f>IFERROR(__xludf.DUMMYFUNCTION("""COMPUTED_VALUE"""),"Dogelana")</f>
        <v>Dogelana</v>
      </c>
    </row>
    <row r="3680">
      <c r="A3680" s="3" t="str">
        <f>IFERROR(__xludf.DUMMYFUNCTION("""COMPUTED_VALUE"""),"dogelon-classic")</f>
        <v>dogelon-classic</v>
      </c>
      <c r="B3680" s="3" t="str">
        <f>IFERROR(__xludf.DUMMYFUNCTION("""COMPUTED_VALUE"""),"elonc")</f>
        <v>elonc</v>
      </c>
      <c r="C3680" s="3" t="str">
        <f>IFERROR(__xludf.DUMMYFUNCTION("""COMPUTED_VALUE"""),"Dogelon Classic")</f>
        <v>Dogelon Classic</v>
      </c>
    </row>
    <row r="3681">
      <c r="A3681" s="3" t="str">
        <f>IFERROR(__xludf.DUMMYFUNCTION("""COMPUTED_VALUE"""),"dogelon-mars")</f>
        <v>dogelon-mars</v>
      </c>
      <c r="B3681" s="3" t="str">
        <f>IFERROR(__xludf.DUMMYFUNCTION("""COMPUTED_VALUE"""),"elon")</f>
        <v>elon</v>
      </c>
      <c r="C3681" s="3" t="str">
        <f>IFERROR(__xludf.DUMMYFUNCTION("""COMPUTED_VALUE"""),"Dogelon Mars")</f>
        <v>Dogelon Mars</v>
      </c>
    </row>
    <row r="3682">
      <c r="A3682" s="3" t="str">
        <f>IFERROR(__xludf.DUMMYFUNCTION("""COMPUTED_VALUE"""),"dogelon-mars-wormhole")</f>
        <v>dogelon-mars-wormhole</v>
      </c>
      <c r="B3682" s="3" t="str">
        <f>IFERROR(__xludf.DUMMYFUNCTION("""COMPUTED_VALUE"""),"elon")</f>
        <v>elon</v>
      </c>
      <c r="C3682" s="3" t="str">
        <f>IFERROR(__xludf.DUMMYFUNCTION("""COMPUTED_VALUE"""),"Dogelon Mars (Wormhole)")</f>
        <v>Dogelon Mars (Wormhole)</v>
      </c>
    </row>
    <row r="3683">
      <c r="A3683" s="3" t="str">
        <f>IFERROR(__xludf.DUMMYFUNCTION("""COMPUTED_VALUE"""),"doge-lumens")</f>
        <v>doge-lumens</v>
      </c>
      <c r="B3683" s="3" t="str">
        <f>IFERROR(__xludf.DUMMYFUNCTION("""COMPUTED_VALUE"""),"dxlm")</f>
        <v>dxlm</v>
      </c>
      <c r="C3683" s="3" t="str">
        <f>IFERROR(__xludf.DUMMYFUNCTION("""COMPUTED_VALUE"""),"DogeLumens")</f>
        <v>DogeLumens</v>
      </c>
    </row>
    <row r="3684">
      <c r="A3684" s="3" t="str">
        <f>IFERROR(__xludf.DUMMYFUNCTION("""COMPUTED_VALUE"""),"dogematic")</f>
        <v>dogematic</v>
      </c>
      <c r="B3684" s="3" t="str">
        <f>IFERROR(__xludf.DUMMYFUNCTION("""COMPUTED_VALUE"""),"dm")</f>
        <v>dm</v>
      </c>
      <c r="C3684" s="3" t="str">
        <f>IFERROR(__xludf.DUMMYFUNCTION("""COMPUTED_VALUE"""),"Dogematic")</f>
        <v>Dogematic</v>
      </c>
    </row>
    <row r="3685">
      <c r="A3685" s="3" t="str">
        <f>IFERROR(__xludf.DUMMYFUNCTION("""COMPUTED_VALUE"""),"dogemetaverse")</f>
        <v>dogemetaverse</v>
      </c>
      <c r="B3685" s="3" t="str">
        <f>IFERROR(__xludf.DUMMYFUNCTION("""COMPUTED_VALUE"""),"dogemeta")</f>
        <v>dogemeta</v>
      </c>
      <c r="C3685" s="3" t="str">
        <f>IFERROR(__xludf.DUMMYFUNCTION("""COMPUTED_VALUE"""),"Dogemetaverse")</f>
        <v>Dogemetaverse</v>
      </c>
    </row>
    <row r="3686">
      <c r="A3686" s="3" t="str">
        <f>IFERROR(__xludf.DUMMYFUNCTION("""COMPUTED_VALUE"""),"dogemon-go")</f>
        <v>dogemon-go</v>
      </c>
      <c r="B3686" s="3" t="str">
        <f>IFERROR(__xludf.DUMMYFUNCTION("""COMPUTED_VALUE"""),"dogo")</f>
        <v>dogo</v>
      </c>
      <c r="C3686" s="3" t="str">
        <f>IFERROR(__xludf.DUMMYFUNCTION("""COMPUTED_VALUE"""),"DogemonGo")</f>
        <v>DogemonGo</v>
      </c>
    </row>
    <row r="3687">
      <c r="A3687" s="3" t="str">
        <f>IFERROR(__xludf.DUMMYFUNCTION("""COMPUTED_VALUE"""),"dogemoon")</f>
        <v>dogemoon</v>
      </c>
      <c r="B3687" s="3" t="str">
        <f>IFERROR(__xludf.DUMMYFUNCTION("""COMPUTED_VALUE"""),"dogemoon")</f>
        <v>dogemoon</v>
      </c>
      <c r="C3687" s="3" t="str">
        <f>IFERROR(__xludf.DUMMYFUNCTION("""COMPUTED_VALUE"""),"Dogemoon")</f>
        <v>Dogemoon</v>
      </c>
    </row>
    <row r="3688">
      <c r="A3688" s="3" t="str">
        <f>IFERROR(__xludf.DUMMYFUNCTION("""COMPUTED_VALUE"""),"dogeon")</f>
        <v>dogeon</v>
      </c>
      <c r="B3688" s="3" t="str">
        <f>IFERROR(__xludf.DUMMYFUNCTION("""COMPUTED_VALUE"""),"don")</f>
        <v>don</v>
      </c>
      <c r="C3688" s="3" t="str">
        <f>IFERROR(__xludf.DUMMYFUNCTION("""COMPUTED_VALUE"""),"Dogeon")</f>
        <v>Dogeon</v>
      </c>
    </row>
    <row r="3689">
      <c r="A3689" s="3" t="str">
        <f>IFERROR(__xludf.DUMMYFUNCTION("""COMPUTED_VALUE"""),"dogepepsi")</f>
        <v>dogepepsi</v>
      </c>
      <c r="B3689" s="3" t="str">
        <f>IFERROR(__xludf.DUMMYFUNCTION("""COMPUTED_VALUE"""),"dogepepsi")</f>
        <v>dogepepsi</v>
      </c>
      <c r="C3689" s="3" t="str">
        <f>IFERROR(__xludf.DUMMYFUNCTION("""COMPUTED_VALUE"""),"DogePepsi")</f>
        <v>DogePepsi</v>
      </c>
    </row>
    <row r="3690">
      <c r="A3690" s="3" t="str">
        <f>IFERROR(__xludf.DUMMYFUNCTION("""COMPUTED_VALUE"""),"dogepow")</f>
        <v>dogepow</v>
      </c>
      <c r="B3690" s="3" t="str">
        <f>IFERROR(__xludf.DUMMYFUNCTION("""COMPUTED_VALUE"""),"dogew")</f>
        <v>dogew</v>
      </c>
      <c r="C3690" s="3" t="str">
        <f>IFERROR(__xludf.DUMMYFUNCTION("""COMPUTED_VALUE"""),"DogePow")</f>
        <v>DogePow</v>
      </c>
    </row>
    <row r="3691">
      <c r="A3691" s="3" t="str">
        <f>IFERROR(__xludf.DUMMYFUNCTION("""COMPUTED_VALUE"""),"doge-protocol")</f>
        <v>doge-protocol</v>
      </c>
      <c r="B3691" s="3" t="str">
        <f>IFERROR(__xludf.DUMMYFUNCTION("""COMPUTED_VALUE"""),"dogep")</f>
        <v>dogep</v>
      </c>
      <c r="C3691" s="3" t="str">
        <f>IFERROR(__xludf.DUMMYFUNCTION("""COMPUTED_VALUE"""),"Doge Protocol")</f>
        <v>Doge Protocol</v>
      </c>
    </row>
    <row r="3692">
      <c r="A3692" s="3" t="str">
        <f>IFERROR(__xludf.DUMMYFUNCTION("""COMPUTED_VALUE"""),"doge-pup-token")</f>
        <v>doge-pup-token</v>
      </c>
      <c r="B3692" s="3" t="str">
        <f>IFERROR(__xludf.DUMMYFUNCTION("""COMPUTED_VALUE"""),"dogepup")</f>
        <v>dogepup</v>
      </c>
      <c r="C3692" s="3" t="str">
        <f>IFERROR(__xludf.DUMMYFUNCTION("""COMPUTED_VALUE"""),"Doge Pup")</f>
        <v>Doge Pup</v>
      </c>
    </row>
    <row r="3693">
      <c r="A3693" s="3" t="str">
        <f>IFERROR(__xludf.DUMMYFUNCTION("""COMPUTED_VALUE"""),"doge-rise-up")</f>
        <v>doge-rise-up</v>
      </c>
      <c r="B3693" s="3" t="str">
        <f>IFERROR(__xludf.DUMMYFUNCTION("""COMPUTED_VALUE"""),"dogeriseup")</f>
        <v>dogeriseup</v>
      </c>
      <c r="C3693" s="3" t="str">
        <f>IFERROR(__xludf.DUMMYFUNCTION("""COMPUTED_VALUE"""),"Doge Rise Up")</f>
        <v>Doge Rise Up</v>
      </c>
    </row>
    <row r="3694">
      <c r="A3694" s="3" t="str">
        <f>IFERROR(__xludf.DUMMYFUNCTION("""COMPUTED_VALUE"""),"doge-run")</f>
        <v>doge-run</v>
      </c>
      <c r="B3694" s="3" t="str">
        <f>IFERROR(__xludf.DUMMYFUNCTION("""COMPUTED_VALUE"""),"drun")</f>
        <v>drun</v>
      </c>
      <c r="C3694" s="3" t="str">
        <f>IFERROR(__xludf.DUMMYFUNCTION("""COMPUTED_VALUE"""),"Doge Run")</f>
        <v>Doge Run</v>
      </c>
    </row>
    <row r="3695">
      <c r="A3695" s="3" t="str">
        <f>IFERROR(__xludf.DUMMYFUNCTION("""COMPUTED_VALUE"""),"dogeshiba")</f>
        <v>dogeshiba</v>
      </c>
      <c r="B3695" s="3" t="str">
        <f>IFERROR(__xludf.DUMMYFUNCTION("""COMPUTED_VALUE"""),"doshib")</f>
        <v>doshib</v>
      </c>
      <c r="C3695" s="3" t="str">
        <f>IFERROR(__xludf.DUMMYFUNCTION("""COMPUTED_VALUE"""),"DogeShiba")</f>
        <v>DogeShiba</v>
      </c>
    </row>
    <row r="3696">
      <c r="A3696" s="3" t="str">
        <f>IFERROR(__xludf.DUMMYFUNCTION("""COMPUTED_VALUE"""),"dogeshrek")</f>
        <v>dogeshrek</v>
      </c>
      <c r="B3696" s="3" t="str">
        <f>IFERROR(__xludf.DUMMYFUNCTION("""COMPUTED_VALUE"""),"dogeshrek")</f>
        <v>dogeshrek</v>
      </c>
      <c r="C3696" s="3" t="str">
        <f>IFERROR(__xludf.DUMMYFUNCTION("""COMPUTED_VALUE"""),"DogeShrek")</f>
        <v>DogeShrek</v>
      </c>
    </row>
    <row r="3697">
      <c r="A3697" s="3" t="str">
        <f>IFERROR(__xludf.DUMMYFUNCTION("""COMPUTED_VALUE"""),"doge-solar")</f>
        <v>doge-solar</v>
      </c>
      <c r="B3697" s="3" t="str">
        <f>IFERROR(__xludf.DUMMYFUNCTION("""COMPUTED_VALUE"""),"dsolar")</f>
        <v>dsolar</v>
      </c>
      <c r="C3697" s="3" t="str">
        <f>IFERROR(__xludf.DUMMYFUNCTION("""COMPUTED_VALUE"""),"Doge Solar")</f>
        <v>Doge Solar</v>
      </c>
    </row>
    <row r="3698">
      <c r="A3698" s="3" t="str">
        <f>IFERROR(__xludf.DUMMYFUNCTION("""COMPUTED_VALUE"""),"dogestribute")</f>
        <v>dogestribute</v>
      </c>
      <c r="B3698" s="3" t="str">
        <f>IFERROR(__xludf.DUMMYFUNCTION("""COMPUTED_VALUE"""),"dgstb")</f>
        <v>dgstb</v>
      </c>
      <c r="C3698" s="3" t="str">
        <f>IFERROR(__xludf.DUMMYFUNCTION("""COMPUTED_VALUE"""),"Dogestribute")</f>
        <v>Dogestribute</v>
      </c>
    </row>
    <row r="3699">
      <c r="A3699" s="3" t="str">
        <f>IFERROR(__xludf.DUMMYFUNCTION("""COMPUTED_VALUE"""),"dogeswap")</f>
        <v>dogeswap</v>
      </c>
      <c r="B3699" s="3" t="str">
        <f>IFERROR(__xludf.DUMMYFUNCTION("""COMPUTED_VALUE"""),"doges")</f>
        <v>doges</v>
      </c>
      <c r="C3699" s="3" t="str">
        <f>IFERROR(__xludf.DUMMYFUNCTION("""COMPUTED_VALUE"""),"Dogeswap")</f>
        <v>Dogeswap</v>
      </c>
    </row>
    <row r="3700">
      <c r="A3700" s="3" t="str">
        <f>IFERROR(__xludf.DUMMYFUNCTION("""COMPUTED_VALUE"""),"dogetama")</f>
        <v>dogetama</v>
      </c>
      <c r="B3700" s="3" t="str">
        <f>IFERROR(__xludf.DUMMYFUNCTION("""COMPUTED_VALUE"""),"dogetama")</f>
        <v>dogetama</v>
      </c>
      <c r="C3700" s="3" t="str">
        <f>IFERROR(__xludf.DUMMYFUNCTION("""COMPUTED_VALUE"""),"Dogetama")</f>
        <v>Dogetama</v>
      </c>
    </row>
    <row r="3701">
      <c r="A3701" s="3" t="str">
        <f>IFERROR(__xludf.DUMMYFUNCTION("""COMPUTED_VALUE"""),"doge-token")</f>
        <v>doge-token</v>
      </c>
      <c r="B3701" s="3" t="str">
        <f>IFERROR(__xludf.DUMMYFUNCTION("""COMPUTED_VALUE"""),"doget")</f>
        <v>doget</v>
      </c>
      <c r="C3701" s="3" t="str">
        <f>IFERROR(__xludf.DUMMYFUNCTION("""COMPUTED_VALUE"""),"Doge Token")</f>
        <v>Doge Token</v>
      </c>
    </row>
    <row r="3702">
      <c r="A3702" s="3" t="str">
        <f>IFERROR(__xludf.DUMMYFUNCTION("""COMPUTED_VALUE"""),"dogetools")</f>
        <v>dogetools</v>
      </c>
      <c r="B3702" s="3" t="str">
        <f>IFERROR(__xludf.DUMMYFUNCTION("""COMPUTED_VALUE"""),"dtools")</f>
        <v>dtools</v>
      </c>
      <c r="C3702" s="3" t="str">
        <f>IFERROR(__xludf.DUMMYFUNCTION("""COMPUTED_VALUE"""),"DogeTools")</f>
        <v>DogeTools</v>
      </c>
    </row>
    <row r="3703">
      <c r="A3703" s="3" t="str">
        <f>IFERROR(__xludf.DUMMYFUNCTION("""COMPUTED_VALUE"""),"doge-tv")</f>
        <v>doge-tv</v>
      </c>
      <c r="B3703" s="3" t="str">
        <f>IFERROR(__xludf.DUMMYFUNCTION("""COMPUTED_VALUE"""),"$dgtv")</f>
        <v>$dgtv</v>
      </c>
      <c r="C3703" s="3" t="str">
        <f>IFERROR(__xludf.DUMMYFUNCTION("""COMPUTED_VALUE"""),"Doge-TV")</f>
        <v>Doge-TV</v>
      </c>
    </row>
    <row r="3704">
      <c r="A3704" s="3" t="str">
        <f>IFERROR(__xludf.DUMMYFUNCTION("""COMPUTED_VALUE"""),"doge-universe")</f>
        <v>doge-universe</v>
      </c>
      <c r="B3704" s="3" t="str">
        <f>IFERROR(__xludf.DUMMYFUNCTION("""COMPUTED_VALUE"""),"spacexdoge")</f>
        <v>spacexdoge</v>
      </c>
      <c r="C3704" s="3" t="str">
        <f>IFERROR(__xludf.DUMMYFUNCTION("""COMPUTED_VALUE"""),"Doge Universe")</f>
        <v>Doge Universe</v>
      </c>
    </row>
    <row r="3705">
      <c r="A3705" s="3" t="str">
        <f>IFERROR(__xludf.DUMMYFUNCTION("""COMPUTED_VALUE"""),"dogeville")</f>
        <v>dogeville</v>
      </c>
      <c r="B3705" s="3" t="str">
        <f>IFERROR(__xludf.DUMMYFUNCTION("""COMPUTED_VALUE"""),"dville")</f>
        <v>dville</v>
      </c>
      <c r="C3705" s="3" t="str">
        <f>IFERROR(__xludf.DUMMYFUNCTION("""COMPUTED_VALUE"""),"DogeVille")</f>
        <v>DogeVille</v>
      </c>
    </row>
    <row r="3706">
      <c r="A3706" s="3" t="str">
        <f>IFERROR(__xludf.DUMMYFUNCTION("""COMPUTED_VALUE"""),"dogewhale")</f>
        <v>dogewhale</v>
      </c>
      <c r="B3706" s="3" t="str">
        <f>IFERROR(__xludf.DUMMYFUNCTION("""COMPUTED_VALUE"""),"dogewhale")</f>
        <v>dogewhale</v>
      </c>
      <c r="C3706" s="3" t="str">
        <f>IFERROR(__xludf.DUMMYFUNCTION("""COMPUTED_VALUE"""),"Dogewhale")</f>
        <v>Dogewhale</v>
      </c>
    </row>
    <row r="3707">
      <c r="A3707" s="3" t="str">
        <f>IFERROR(__xludf.DUMMYFUNCTION("""COMPUTED_VALUE"""),"doge-yellow-coin")</f>
        <v>doge-yellow-coin</v>
      </c>
      <c r="B3707" s="3" t="str">
        <f>IFERROR(__xludf.DUMMYFUNCTION("""COMPUTED_VALUE"""),"dogey")</f>
        <v>dogey</v>
      </c>
      <c r="C3707" s="3" t="str">
        <f>IFERROR(__xludf.DUMMYFUNCTION("""COMPUTED_VALUE"""),"Doge Yellow Coin")</f>
        <v>Doge Yellow Coin</v>
      </c>
    </row>
    <row r="3708">
      <c r="A3708" s="3" t="str">
        <f>IFERROR(__xludf.DUMMYFUNCTION("""COMPUTED_VALUE"""),"dogeyield")</f>
        <v>dogeyield</v>
      </c>
      <c r="B3708" s="3" t="str">
        <f>IFERROR(__xludf.DUMMYFUNCTION("""COMPUTED_VALUE"""),"dogy")</f>
        <v>dogy</v>
      </c>
      <c r="C3708" s="3" t="str">
        <f>IFERROR(__xludf.DUMMYFUNCTION("""COMPUTED_VALUE"""),"DogeYield")</f>
        <v>DogeYield</v>
      </c>
    </row>
    <row r="3709">
      <c r="A3709" s="3" t="str">
        <f>IFERROR(__xludf.DUMMYFUNCTION("""COMPUTED_VALUE"""),"dogey-inu")</f>
        <v>dogey-inu</v>
      </c>
      <c r="B3709" s="3" t="str">
        <f>IFERROR(__xludf.DUMMYFUNCTION("""COMPUTED_VALUE"""),"dinu")</f>
        <v>dinu</v>
      </c>
      <c r="C3709" s="3" t="str">
        <f>IFERROR(__xludf.DUMMYFUNCTION("""COMPUTED_VALUE"""),"Dogey-Inu")</f>
        <v>Dogey-Inu</v>
      </c>
    </row>
    <row r="3710">
      <c r="A3710" s="3" t="str">
        <f>IFERROR(__xludf.DUMMYFUNCTION("""COMPUTED_VALUE"""),"dogezilla")</f>
        <v>dogezilla</v>
      </c>
      <c r="B3710" s="3" t="str">
        <f>IFERROR(__xludf.DUMMYFUNCTION("""COMPUTED_VALUE"""),"dogezilla")</f>
        <v>dogezilla</v>
      </c>
      <c r="C3710" s="3" t="str">
        <f>IFERROR(__xludf.DUMMYFUNCTION("""COMPUTED_VALUE"""),"DogeZilla")</f>
        <v>DogeZilla</v>
      </c>
    </row>
    <row r="3711">
      <c r="A3711" s="3" t="str">
        <f>IFERROR(__xludf.DUMMYFUNCTION("""COMPUTED_VALUE"""),"doge-zilla")</f>
        <v>doge-zilla</v>
      </c>
      <c r="B3711" s="3" t="str">
        <f>IFERROR(__xludf.DUMMYFUNCTION("""COMPUTED_VALUE"""),"dogez")</f>
        <v>dogez</v>
      </c>
      <c r="C3711" s="3" t="str">
        <f>IFERROR(__xludf.DUMMYFUNCTION("""COMPUTED_VALUE"""),"DogeZilla Token")</f>
        <v>DogeZilla Token</v>
      </c>
    </row>
    <row r="3712">
      <c r="A3712" s="3" t="str">
        <f>IFERROR(__xludf.DUMMYFUNCTION("""COMPUTED_VALUE"""),"dogezone")</f>
        <v>dogezone</v>
      </c>
      <c r="B3712" s="3" t="str">
        <f>IFERROR(__xludf.DUMMYFUNCTION("""COMPUTED_VALUE"""),"dgz")</f>
        <v>dgz</v>
      </c>
      <c r="C3712" s="3" t="str">
        <f>IFERROR(__xludf.DUMMYFUNCTION("""COMPUTED_VALUE"""),"Dogezone")</f>
        <v>Dogezone</v>
      </c>
    </row>
    <row r="3713">
      <c r="A3713" s="3" t="str">
        <f>IFERROR(__xludf.DUMMYFUNCTION("""COMPUTED_VALUE"""),"dogger")</f>
        <v>dogger</v>
      </c>
      <c r="B3713" s="3" t="str">
        <f>IFERROR(__xludf.DUMMYFUNCTION("""COMPUTED_VALUE"""),"dogger")</f>
        <v>dogger</v>
      </c>
      <c r="C3713" s="3" t="str">
        <f>IFERROR(__xludf.DUMMYFUNCTION("""COMPUTED_VALUE"""),"Dogger")</f>
        <v>Dogger</v>
      </c>
    </row>
    <row r="3714">
      <c r="A3714" s="3" t="str">
        <f>IFERROR(__xludf.DUMMYFUNCTION("""COMPUTED_VALUE"""),"doggod")</f>
        <v>doggod</v>
      </c>
      <c r="B3714" s="3" t="str">
        <f>IFERROR(__xludf.DUMMYFUNCTION("""COMPUTED_VALUE"""),"god")</f>
        <v>god</v>
      </c>
      <c r="C3714" s="3" t="str">
        <f>IFERROR(__xludf.DUMMYFUNCTION("""COMPUTED_VALUE"""),"DOGGOD")</f>
        <v>DOGGOD</v>
      </c>
    </row>
    <row r="3715">
      <c r="A3715" s="3" t="str">
        <f>IFERROR(__xludf.DUMMYFUNCTION("""COMPUTED_VALUE"""),"doggy")</f>
        <v>doggy</v>
      </c>
      <c r="B3715" s="3" t="str">
        <f>IFERROR(__xludf.DUMMYFUNCTION("""COMPUTED_VALUE"""),"doggy")</f>
        <v>doggy</v>
      </c>
      <c r="C3715" s="3" t="str">
        <f>IFERROR(__xludf.DUMMYFUNCTION("""COMPUTED_VALUE"""),"Doggy")</f>
        <v>Doggy</v>
      </c>
    </row>
    <row r="3716">
      <c r="A3716" s="3" t="str">
        <f>IFERROR(__xludf.DUMMYFUNCTION("""COMPUTED_VALUE"""),"doggystyle-coin")</f>
        <v>doggystyle-coin</v>
      </c>
      <c r="B3716" s="3" t="str">
        <f>IFERROR(__xludf.DUMMYFUNCTION("""COMPUTED_VALUE"""),"dsc")</f>
        <v>dsc</v>
      </c>
      <c r="C3716" s="3" t="str">
        <f>IFERROR(__xludf.DUMMYFUNCTION("""COMPUTED_VALUE"""),"DoggyStyle Coin")</f>
        <v>DoggyStyle Coin</v>
      </c>
    </row>
    <row r="3717">
      <c r="A3717" s="3" t="str">
        <f>IFERROR(__xludf.DUMMYFUNCTION("""COMPUTED_VALUE"""),"dogira")</f>
        <v>dogira</v>
      </c>
      <c r="B3717" s="3" t="str">
        <f>IFERROR(__xludf.DUMMYFUNCTION("""COMPUTED_VALUE"""),"dogira")</f>
        <v>dogira</v>
      </c>
      <c r="C3717" s="3" t="str">
        <f>IFERROR(__xludf.DUMMYFUNCTION("""COMPUTED_VALUE"""),"Dogira")</f>
        <v>Dogira</v>
      </c>
    </row>
    <row r="3718">
      <c r="A3718" s="3" t="str">
        <f>IFERROR(__xludf.DUMMYFUNCTION("""COMPUTED_VALUE"""),"dog-landing-on-the-moon")</f>
        <v>dog-landing-on-the-moon</v>
      </c>
      <c r="B3718" s="3" t="str">
        <f>IFERROR(__xludf.DUMMYFUNCTION("""COMPUTED_VALUE"""),"dogmoon")</f>
        <v>dogmoon</v>
      </c>
      <c r="C3718" s="3" t="str">
        <f>IFERROR(__xludf.DUMMYFUNCTION("""COMPUTED_VALUE"""),"Dog Landing On The Moon")</f>
        <v>Dog Landing On The Moon</v>
      </c>
    </row>
    <row r="3719">
      <c r="A3719" s="3" t="str">
        <f>IFERROR(__xludf.DUMMYFUNCTION("""COMPUTED_VALUE"""),"dog-masked")</f>
        <v>dog-masked</v>
      </c>
      <c r="B3719" s="3" t="str">
        <f>IFERROR(__xludf.DUMMYFUNCTION("""COMPUTED_VALUE"""),"dogmsk")</f>
        <v>dogmsk</v>
      </c>
      <c r="C3719" s="3" t="str">
        <f>IFERROR(__xludf.DUMMYFUNCTION("""COMPUTED_VALUE"""),"Dog Masked")</f>
        <v>Dog Masked</v>
      </c>
    </row>
    <row r="3720">
      <c r="A3720" s="3" t="str">
        <f>IFERROR(__xludf.DUMMYFUNCTION("""COMPUTED_VALUE"""),"dogmi-coin")</f>
        <v>dogmi-coin</v>
      </c>
      <c r="B3720" s="3" t="str">
        <f>IFERROR(__xludf.DUMMYFUNCTION("""COMPUTED_VALUE"""),"dogmi")</f>
        <v>dogmi</v>
      </c>
      <c r="C3720" s="3" t="str">
        <f>IFERROR(__xludf.DUMMYFUNCTION("""COMPUTED_VALUE"""),"DOGMI Coin")</f>
        <v>DOGMI Coin</v>
      </c>
    </row>
    <row r="3721">
      <c r="A3721" s="3" t="str">
        <f>IFERROR(__xludf.DUMMYFUNCTION("""COMPUTED_VALUE"""),"dogs-kombat")</f>
        <v>dogs-kombat</v>
      </c>
      <c r="B3721" s="3" t="str">
        <f>IFERROR(__xludf.DUMMYFUNCTION("""COMPUTED_VALUE"""),"dk")</f>
        <v>dk</v>
      </c>
      <c r="C3721" s="3" t="str">
        <f>IFERROR(__xludf.DUMMYFUNCTION("""COMPUTED_VALUE"""),"Dogs Kombat")</f>
        <v>Dogs Kombat</v>
      </c>
    </row>
    <row r="3722">
      <c r="A3722" s="3" t="str">
        <f>IFERROR(__xludf.DUMMYFUNCTION("""COMPUTED_VALUE"""),"dogsofelon")</f>
        <v>dogsofelon</v>
      </c>
      <c r="B3722" s="3" t="str">
        <f>IFERROR(__xludf.DUMMYFUNCTION("""COMPUTED_VALUE"""),"doe")</f>
        <v>doe</v>
      </c>
      <c r="C3722" s="3" t="str">
        <f>IFERROR(__xludf.DUMMYFUNCTION("""COMPUTED_VALUE"""),"Dogs Of Elon")</f>
        <v>Dogs Of Elon</v>
      </c>
    </row>
    <row r="3723">
      <c r="A3723" s="3" t="str">
        <f>IFERROR(__xludf.DUMMYFUNCTION("""COMPUTED_VALUE"""),"dogswap-token")</f>
        <v>dogswap-token</v>
      </c>
      <c r="B3723" s="3" t="str">
        <f>IFERROR(__xludf.DUMMYFUNCTION("""COMPUTED_VALUE"""),"dog")</f>
        <v>dog</v>
      </c>
      <c r="C3723" s="3" t="str">
        <f>IFERROR(__xludf.DUMMYFUNCTION("""COMPUTED_VALUE"""),"Dogeswap (HECO)")</f>
        <v>Dogeswap (HECO)</v>
      </c>
    </row>
    <row r="3724">
      <c r="A3724" s="3" t="str">
        <f>IFERROR(__xludf.DUMMYFUNCTION("""COMPUTED_VALUE"""),"dog-tag")</f>
        <v>dog-tag</v>
      </c>
      <c r="B3724" s="3" t="str">
        <f>IFERROR(__xludf.DUMMYFUNCTION("""COMPUTED_VALUE"""),"tag")</f>
        <v>tag</v>
      </c>
      <c r="C3724" s="3" t="str">
        <f>IFERROR(__xludf.DUMMYFUNCTION("""COMPUTED_VALUE"""),"Dog Tag")</f>
        <v>Dog Tag</v>
      </c>
    </row>
    <row r="3725">
      <c r="A3725" s="3" t="str">
        <f>IFERROR(__xludf.DUMMYFUNCTION("""COMPUTED_VALUE"""),"dogus")</f>
        <v>dogus</v>
      </c>
      <c r="B3725" s="3" t="str">
        <f>IFERROR(__xludf.DUMMYFUNCTION("""COMPUTED_VALUE"""),"dogus")</f>
        <v>dogus</v>
      </c>
      <c r="C3725" s="3" t="str">
        <f>IFERROR(__xludf.DUMMYFUNCTION("""COMPUTED_VALUE"""),"Dogus")</f>
        <v>Dogus</v>
      </c>
    </row>
    <row r="3726">
      <c r="A3726" s="3" t="str">
        <f>IFERROR(__xludf.DUMMYFUNCTION("""COMPUTED_VALUE"""),"dogyrace")</f>
        <v>dogyrace</v>
      </c>
      <c r="B3726" s="3" t="str">
        <f>IFERROR(__xludf.DUMMYFUNCTION("""COMPUTED_VALUE"""),"dor")</f>
        <v>dor</v>
      </c>
      <c r="C3726" s="3" t="str">
        <f>IFERROR(__xludf.DUMMYFUNCTION("""COMPUTED_VALUE"""),"DogyRace")</f>
        <v>DogyRace</v>
      </c>
    </row>
    <row r="3727">
      <c r="A3727" s="3" t="str">
        <f>IFERROR(__xludf.DUMMYFUNCTION("""COMPUTED_VALUE"""),"dogz")</f>
        <v>dogz</v>
      </c>
      <c r="B3727" s="3" t="str">
        <f>IFERROR(__xludf.DUMMYFUNCTION("""COMPUTED_VALUE"""),"dogz")</f>
        <v>dogz</v>
      </c>
      <c r="C3727" s="3" t="str">
        <f>IFERROR(__xludf.DUMMYFUNCTION("""COMPUTED_VALUE"""),"Dogz")</f>
        <v>Dogz</v>
      </c>
    </row>
    <row r="3728">
      <c r="A3728" s="3" t="str">
        <f>IFERROR(__xludf.DUMMYFUNCTION("""COMPUTED_VALUE"""),"dogzverse-token")</f>
        <v>dogzverse-token</v>
      </c>
      <c r="B3728" s="3" t="str">
        <f>IFERROR(__xludf.DUMMYFUNCTION("""COMPUTED_VALUE"""),"dgzv")</f>
        <v>dgzv</v>
      </c>
      <c r="C3728" s="3" t="str">
        <f>IFERROR(__xludf.DUMMYFUNCTION("""COMPUTED_VALUE"""),"DogZVerse")</f>
        <v>DogZVerse</v>
      </c>
    </row>
    <row r="3729">
      <c r="A3729" s="3" t="str">
        <f>IFERROR(__xludf.DUMMYFUNCTION("""COMPUTED_VALUE"""),"dohrnii")</f>
        <v>dohrnii</v>
      </c>
      <c r="B3729" s="3" t="str">
        <f>IFERROR(__xludf.DUMMYFUNCTION("""COMPUTED_VALUE"""),"dhn")</f>
        <v>dhn</v>
      </c>
      <c r="C3729" s="3" t="str">
        <f>IFERROR(__xludf.DUMMYFUNCTION("""COMPUTED_VALUE"""),"Dohrnii")</f>
        <v>Dohrnii</v>
      </c>
    </row>
    <row r="3730">
      <c r="A3730" s="3" t="str">
        <f>IFERROR(__xludf.DUMMYFUNCTION("""COMPUTED_VALUE"""),"doichain")</f>
        <v>doichain</v>
      </c>
      <c r="B3730" s="3" t="str">
        <f>IFERROR(__xludf.DUMMYFUNCTION("""COMPUTED_VALUE"""),"doi")</f>
        <v>doi</v>
      </c>
      <c r="C3730" s="3" t="str">
        <f>IFERROR(__xludf.DUMMYFUNCTION("""COMPUTED_VALUE"""),"Doichain")</f>
        <v>Doichain</v>
      </c>
    </row>
    <row r="3731">
      <c r="A3731" s="3" t="str">
        <f>IFERROR(__xludf.DUMMYFUNCTION("""COMPUTED_VALUE"""),"dojo")</f>
        <v>dojo</v>
      </c>
      <c r="B3731" s="3" t="str">
        <f>IFERROR(__xludf.DUMMYFUNCTION("""COMPUTED_VALUE"""),"dojo")</f>
        <v>dojo</v>
      </c>
      <c r="C3731" s="3" t="str">
        <f>IFERROR(__xludf.DUMMYFUNCTION("""COMPUTED_VALUE"""),"DOJO")</f>
        <v>DOJO</v>
      </c>
    </row>
    <row r="3732">
      <c r="A3732" s="3" t="str">
        <f>IFERROR(__xludf.DUMMYFUNCTION("""COMPUTED_VALUE"""),"dokdo")</f>
        <v>dokdo</v>
      </c>
      <c r="B3732" s="3" t="str">
        <f>IFERROR(__xludf.DUMMYFUNCTION("""COMPUTED_VALUE"""),"dkd")</f>
        <v>dkd</v>
      </c>
      <c r="C3732" s="3" t="str">
        <f>IFERROR(__xludf.DUMMYFUNCTION("""COMPUTED_VALUE"""),"Dokdo")</f>
        <v>Dokdo</v>
      </c>
    </row>
    <row r="3733">
      <c r="A3733" s="3" t="str">
        <f>IFERROR(__xludf.DUMMYFUNCTION("""COMPUTED_VALUE"""),"doken")</f>
        <v>doken</v>
      </c>
      <c r="B3733" s="3" t="str">
        <f>IFERROR(__xludf.DUMMYFUNCTION("""COMPUTED_VALUE"""),"dkn")</f>
        <v>dkn</v>
      </c>
      <c r="C3733" s="3" t="str">
        <f>IFERROR(__xludf.DUMMYFUNCTION("""COMPUTED_VALUE"""),"DoKEN V2")</f>
        <v>DoKEN V2</v>
      </c>
    </row>
    <row r="3734">
      <c r="A3734" s="3" t="str">
        <f>IFERROR(__xludf.DUMMYFUNCTION("""COMPUTED_VALUE"""),"doki-doki-finance")</f>
        <v>doki-doki-finance</v>
      </c>
      <c r="B3734" s="3" t="str">
        <f>IFERROR(__xludf.DUMMYFUNCTION("""COMPUTED_VALUE"""),"doki")</f>
        <v>doki</v>
      </c>
      <c r="C3734" s="3" t="str">
        <f>IFERROR(__xludf.DUMMYFUNCTION("""COMPUTED_VALUE"""),"Doki Doki")</f>
        <v>Doki Doki</v>
      </c>
    </row>
    <row r="3735">
      <c r="A3735" s="3" t="str">
        <f>IFERROR(__xludf.DUMMYFUNCTION("""COMPUTED_VALUE"""),"dola-usd")</f>
        <v>dola-usd</v>
      </c>
      <c r="B3735" s="3" t="str">
        <f>IFERROR(__xludf.DUMMYFUNCTION("""COMPUTED_VALUE"""),"dola")</f>
        <v>dola</v>
      </c>
      <c r="C3735" s="3" t="str">
        <f>IFERROR(__xludf.DUMMYFUNCTION("""COMPUTED_VALUE"""),"Dola")</f>
        <v>Dola</v>
      </c>
    </row>
    <row r="3736">
      <c r="A3736" s="3" t="str">
        <f>IFERROR(__xludf.DUMMYFUNCTION("""COMPUTED_VALUE"""),"dollarback")</f>
        <v>dollarback</v>
      </c>
      <c r="B3736" s="3" t="str">
        <f>IFERROR(__xludf.DUMMYFUNCTION("""COMPUTED_VALUE"""),"back")</f>
        <v>back</v>
      </c>
      <c r="C3736" s="3" t="str">
        <f>IFERROR(__xludf.DUMMYFUNCTION("""COMPUTED_VALUE"""),"DollarBack")</f>
        <v>DollarBack</v>
      </c>
    </row>
    <row r="3737">
      <c r="A3737" s="3" t="str">
        <f>IFERROR(__xludf.DUMMYFUNCTION("""COMPUTED_VALUE"""),"dollars")</f>
        <v>dollars</v>
      </c>
      <c r="B3737" s="3" t="str">
        <f>IFERROR(__xludf.DUMMYFUNCTION("""COMPUTED_VALUE"""),"usdx")</f>
        <v>usdx</v>
      </c>
      <c r="C3737" s="3" t="str">
        <f>IFERROR(__xludf.DUMMYFUNCTION("""COMPUTED_VALUE"""),"Dollars")</f>
        <v>Dollars</v>
      </c>
    </row>
    <row r="3738">
      <c r="A3738" s="3" t="str">
        <f>IFERROR(__xludf.DUMMYFUNCTION("""COMPUTED_VALUE"""),"domain-coin")</f>
        <v>domain-coin</v>
      </c>
      <c r="B3738" s="3" t="str">
        <f>IFERROR(__xludf.DUMMYFUNCTION("""COMPUTED_VALUE"""),"dmn")</f>
        <v>dmn</v>
      </c>
      <c r="C3738" s="3" t="str">
        <f>IFERROR(__xludf.DUMMYFUNCTION("""COMPUTED_VALUE"""),"Domain Coin")</f>
        <v>Domain Coin</v>
      </c>
    </row>
    <row r="3739">
      <c r="A3739" s="3" t="str">
        <f>IFERROR(__xludf.DUMMYFUNCTION("""COMPUTED_VALUE"""),"domestic-collectors")</f>
        <v>domestic-collectors</v>
      </c>
      <c r="B3739" s="3" t="str">
        <f>IFERROR(__xludf.DUMMYFUNCTION("""COMPUTED_VALUE"""),"dmc")</f>
        <v>dmc</v>
      </c>
      <c r="C3739" s="3" t="str">
        <f>IFERROR(__xludf.DUMMYFUNCTION("""COMPUTED_VALUE"""),"Domestic Collectors")</f>
        <v>Domestic Collectors</v>
      </c>
    </row>
    <row r="3740">
      <c r="A3740" s="3" t="str">
        <f>IFERROR(__xludf.DUMMYFUNCTION("""COMPUTED_VALUE"""),"domi")</f>
        <v>domi</v>
      </c>
      <c r="B3740" s="3" t="str">
        <f>IFERROR(__xludf.DUMMYFUNCTION("""COMPUTED_VALUE"""),"domi")</f>
        <v>domi</v>
      </c>
      <c r="C3740" s="3" t="str">
        <f>IFERROR(__xludf.DUMMYFUNCTION("""COMPUTED_VALUE"""),"Domi")</f>
        <v>Domi</v>
      </c>
    </row>
    <row r="3741">
      <c r="A3741" s="3" t="str">
        <f>IFERROR(__xludf.DUMMYFUNCTION("""COMPUTED_VALUE"""),"dominium-2")</f>
        <v>dominium-2</v>
      </c>
      <c r="B3741" s="3" t="str">
        <f>IFERROR(__xludf.DUMMYFUNCTION("""COMPUTED_VALUE"""),"dom")</f>
        <v>dom</v>
      </c>
      <c r="C3741" s="3" t="str">
        <f>IFERROR(__xludf.DUMMYFUNCTION("""COMPUTED_VALUE"""),"Dominium")</f>
        <v>Dominium</v>
      </c>
    </row>
    <row r="3742">
      <c r="A3742" s="3" t="str">
        <f>IFERROR(__xludf.DUMMYFUNCTION("""COMPUTED_VALUE"""),"domraider")</f>
        <v>domraider</v>
      </c>
      <c r="B3742" s="3" t="str">
        <f>IFERROR(__xludf.DUMMYFUNCTION("""COMPUTED_VALUE"""),"drt")</f>
        <v>drt</v>
      </c>
      <c r="C3742" s="3" t="str">
        <f>IFERROR(__xludf.DUMMYFUNCTION("""COMPUTED_VALUE"""),"DomRaider")</f>
        <v>DomRaider</v>
      </c>
    </row>
    <row r="3743">
      <c r="A3743" s="3" t="str">
        <f>IFERROR(__xludf.DUMMYFUNCTION("""COMPUTED_VALUE"""),"dona")</f>
        <v>dona</v>
      </c>
      <c r="B3743" s="3" t="str">
        <f>IFERROR(__xludf.DUMMYFUNCTION("""COMPUTED_VALUE"""),"dona")</f>
        <v>dona</v>
      </c>
      <c r="C3743" s="3" t="str">
        <f>IFERROR(__xludf.DUMMYFUNCTION("""COMPUTED_VALUE"""),"DONA")</f>
        <v>DONA</v>
      </c>
    </row>
    <row r="3744">
      <c r="A3744" s="3" t="str">
        <f>IFERROR(__xludf.DUMMYFUNCTION("""COMPUTED_VALUE"""),"donkey")</f>
        <v>donkey</v>
      </c>
      <c r="B3744" s="3" t="str">
        <f>IFERROR(__xludf.DUMMYFUNCTION("""COMPUTED_VALUE"""),"donk")</f>
        <v>donk</v>
      </c>
      <c r="C3744" s="3" t="str">
        <f>IFERROR(__xludf.DUMMYFUNCTION("""COMPUTED_VALUE"""),"Donkey")</f>
        <v>Donkey</v>
      </c>
    </row>
    <row r="3745">
      <c r="A3745" s="3" t="str">
        <f>IFERROR(__xludf.DUMMYFUNCTION("""COMPUTED_VALUE"""),"don-key")</f>
        <v>don-key</v>
      </c>
      <c r="B3745" s="3" t="str">
        <f>IFERROR(__xludf.DUMMYFUNCTION("""COMPUTED_VALUE"""),"don")</f>
        <v>don</v>
      </c>
      <c r="C3745" s="3" t="str">
        <f>IFERROR(__xludf.DUMMYFUNCTION("""COMPUTED_VALUE"""),"Don-key")</f>
        <v>Don-key</v>
      </c>
    </row>
    <row r="3746">
      <c r="A3746" s="3" t="str">
        <f>IFERROR(__xludf.DUMMYFUNCTION("""COMPUTED_VALUE"""),"donkey-token")</f>
        <v>donkey-token</v>
      </c>
      <c r="B3746" s="3" t="str">
        <f>IFERROR(__xludf.DUMMYFUNCTION("""COMPUTED_VALUE"""),"don")</f>
        <v>don</v>
      </c>
      <c r="C3746" s="3" t="str">
        <f>IFERROR(__xludf.DUMMYFUNCTION("""COMPUTED_VALUE"""),"Donkey DON")</f>
        <v>Donkey DON</v>
      </c>
    </row>
    <row r="3747">
      <c r="A3747" s="3" t="str">
        <f>IFERROR(__xludf.DUMMYFUNCTION("""COMPUTED_VALUE"""),"donnie-finance")</f>
        <v>donnie-finance</v>
      </c>
      <c r="B3747" s="3" t="str">
        <f>IFERROR(__xludf.DUMMYFUNCTION("""COMPUTED_VALUE"""),"don")</f>
        <v>don</v>
      </c>
      <c r="C3747" s="3" t="str">
        <f>IFERROR(__xludf.DUMMYFUNCTION("""COMPUTED_VALUE"""),"Donnie Finance")</f>
        <v>Donnie Finance</v>
      </c>
    </row>
    <row r="3748">
      <c r="A3748" s="3" t="str">
        <f>IFERROR(__xludf.DUMMYFUNCTION("""COMPUTED_VALUE"""),"don-t-buy-inu")</f>
        <v>don-t-buy-inu</v>
      </c>
      <c r="B3748" s="3" t="str">
        <f>IFERROR(__xludf.DUMMYFUNCTION("""COMPUTED_VALUE"""),"dbi")</f>
        <v>dbi</v>
      </c>
      <c r="C3748" s="3" t="str">
        <f>IFERROR(__xludf.DUMMYFUNCTION("""COMPUTED_VALUE"""),"Don't Buy Inu")</f>
        <v>Don't Buy Inu</v>
      </c>
    </row>
    <row r="3749">
      <c r="A3749" s="3" t="str">
        <f>IFERROR(__xludf.DUMMYFUNCTION("""COMPUTED_VALUE"""),"dont-play-with-kitty")</f>
        <v>dont-play-with-kitty</v>
      </c>
      <c r="B3749" s="3" t="str">
        <f>IFERROR(__xludf.DUMMYFUNCTION("""COMPUTED_VALUE"""),"dpwk")</f>
        <v>dpwk</v>
      </c>
      <c r="C3749" s="3" t="str">
        <f>IFERROR(__xludf.DUMMYFUNCTION("""COMPUTED_VALUE"""),"Dont Play With Kitty")</f>
        <v>Dont Play With Kitty</v>
      </c>
    </row>
    <row r="3750">
      <c r="A3750" s="3" t="str">
        <f>IFERROR(__xludf.DUMMYFUNCTION("""COMPUTED_VALUE"""),"donut")</f>
        <v>donut</v>
      </c>
      <c r="B3750" s="3" t="str">
        <f>IFERROR(__xludf.DUMMYFUNCTION("""COMPUTED_VALUE"""),"donut")</f>
        <v>donut</v>
      </c>
      <c r="C3750" s="3" t="str">
        <f>IFERROR(__xludf.DUMMYFUNCTION("""COMPUTED_VALUE"""),"Donut")</f>
        <v>Donut</v>
      </c>
    </row>
    <row r="3751">
      <c r="A3751" s="3" t="str">
        <f>IFERROR(__xludf.DUMMYFUNCTION("""COMPUTED_VALUE"""),"doogee")</f>
        <v>doogee</v>
      </c>
      <c r="B3751" s="3" t="str">
        <f>IFERROR(__xludf.DUMMYFUNCTION("""COMPUTED_VALUE"""),"doogee")</f>
        <v>doogee</v>
      </c>
      <c r="C3751" s="3" t="str">
        <f>IFERROR(__xludf.DUMMYFUNCTION("""COMPUTED_VALUE"""),"Doogee")</f>
        <v>Doogee</v>
      </c>
    </row>
    <row r="3752">
      <c r="A3752" s="3" t="str">
        <f>IFERROR(__xludf.DUMMYFUNCTION("""COMPUTED_VALUE"""),"doom-hero-dao")</f>
        <v>doom-hero-dao</v>
      </c>
      <c r="B3752" s="3" t="str">
        <f>IFERROR(__xludf.DUMMYFUNCTION("""COMPUTED_VALUE"""),"dhd")</f>
        <v>dhd</v>
      </c>
      <c r="C3752" s="3" t="str">
        <f>IFERROR(__xludf.DUMMYFUNCTION("""COMPUTED_VALUE"""),"Doom Hero Dao")</f>
        <v>Doom Hero Dao</v>
      </c>
    </row>
    <row r="3753">
      <c r="A3753" s="3" t="str">
        <f>IFERROR(__xludf.DUMMYFUNCTION("""COMPUTED_VALUE"""),"doom-hero-game")</f>
        <v>doom-hero-game</v>
      </c>
      <c r="B3753" s="3" t="str">
        <f>IFERROR(__xludf.DUMMYFUNCTION("""COMPUTED_VALUE"""),"dhg")</f>
        <v>dhg</v>
      </c>
      <c r="C3753" s="3" t="str">
        <f>IFERROR(__xludf.DUMMYFUNCTION("""COMPUTED_VALUE"""),"Doom Hero Game")</f>
        <v>Doom Hero Game</v>
      </c>
    </row>
    <row r="3754">
      <c r="A3754" s="3" t="str">
        <f>IFERROR(__xludf.DUMMYFUNCTION("""COMPUTED_VALUE"""),"doont-buy")</f>
        <v>doont-buy</v>
      </c>
      <c r="B3754" s="3" t="str">
        <f>IFERROR(__xludf.DUMMYFUNCTION("""COMPUTED_VALUE"""),"dbuy")</f>
        <v>dbuy</v>
      </c>
      <c r="C3754" s="3" t="str">
        <f>IFERROR(__xludf.DUMMYFUNCTION("""COMPUTED_VALUE"""),"Doont Buy")</f>
        <v>Doont Buy</v>
      </c>
    </row>
    <row r="3755">
      <c r="A3755" s="3" t="str">
        <f>IFERROR(__xludf.DUMMYFUNCTION("""COMPUTED_VALUE"""),"door")</f>
        <v>door</v>
      </c>
      <c r="B3755" s="3" t="str">
        <f>IFERROR(__xludf.DUMMYFUNCTION("""COMPUTED_VALUE"""),"door")</f>
        <v>door</v>
      </c>
      <c r="C3755" s="3" t="str">
        <f>IFERROR(__xludf.DUMMYFUNCTION("""COMPUTED_VALUE"""),"DOOR")</f>
        <v>DOOR</v>
      </c>
    </row>
    <row r="3756">
      <c r="A3756" s="3" t="str">
        <f>IFERROR(__xludf.DUMMYFUNCTION("""COMPUTED_VALUE"""),"dope")</f>
        <v>dope</v>
      </c>
      <c r="B3756" s="3" t="str">
        <f>IFERROR(__xludf.DUMMYFUNCTION("""COMPUTED_VALUE"""),"dope")</f>
        <v>dope</v>
      </c>
      <c r="C3756" s="3" t="str">
        <f>IFERROR(__xludf.DUMMYFUNCTION("""COMPUTED_VALUE"""),"DOPE")</f>
        <v>DOPE</v>
      </c>
    </row>
    <row r="3757">
      <c r="A3757" s="3" t="str">
        <f>IFERROR(__xludf.DUMMYFUNCTION("""COMPUTED_VALUE"""),"dope-wars-paper")</f>
        <v>dope-wars-paper</v>
      </c>
      <c r="B3757" s="3" t="str">
        <f>IFERROR(__xludf.DUMMYFUNCTION("""COMPUTED_VALUE"""),"paper")</f>
        <v>paper</v>
      </c>
      <c r="C3757" s="3" t="str">
        <f>IFERROR(__xludf.DUMMYFUNCTION("""COMPUTED_VALUE"""),"Dope Wars Paper")</f>
        <v>Dope Wars Paper</v>
      </c>
    </row>
    <row r="3758">
      <c r="A3758" s="3" t="str">
        <f>IFERROR(__xludf.DUMMYFUNCTION("""COMPUTED_VALUE"""),"dopewarz")</f>
        <v>dopewarz</v>
      </c>
      <c r="B3758" s="3" t="str">
        <f>IFERROR(__xludf.DUMMYFUNCTION("""COMPUTED_VALUE"""),"drug")</f>
        <v>drug</v>
      </c>
      <c r="C3758" s="3" t="str">
        <f>IFERROR(__xludf.DUMMYFUNCTION("""COMPUTED_VALUE"""),"DopeWarz")</f>
        <v>DopeWarz</v>
      </c>
    </row>
    <row r="3759">
      <c r="A3759" s="3" t="str">
        <f>IFERROR(__xludf.DUMMYFUNCTION("""COMPUTED_VALUE"""),"dopex")</f>
        <v>dopex</v>
      </c>
      <c r="B3759" s="3" t="str">
        <f>IFERROR(__xludf.DUMMYFUNCTION("""COMPUTED_VALUE"""),"dpx")</f>
        <v>dpx</v>
      </c>
      <c r="C3759" s="3" t="str">
        <f>IFERROR(__xludf.DUMMYFUNCTION("""COMPUTED_VALUE"""),"Dopex")</f>
        <v>Dopex</v>
      </c>
    </row>
    <row r="3760">
      <c r="A3760" s="3" t="str">
        <f>IFERROR(__xludf.DUMMYFUNCTION("""COMPUTED_VALUE"""),"dopex-rebate-token")</f>
        <v>dopex-rebate-token</v>
      </c>
      <c r="B3760" s="3" t="str">
        <f>IFERROR(__xludf.DUMMYFUNCTION("""COMPUTED_VALUE"""),"rdpx")</f>
        <v>rdpx</v>
      </c>
      <c r="C3760" s="3" t="str">
        <f>IFERROR(__xludf.DUMMYFUNCTION("""COMPUTED_VALUE"""),"Dopex Rebate")</f>
        <v>Dopex Rebate</v>
      </c>
    </row>
    <row r="3761">
      <c r="A3761" s="3" t="str">
        <f>IFERROR(__xludf.DUMMYFUNCTION("""COMPUTED_VALUE"""),"dopple-finance")</f>
        <v>dopple-finance</v>
      </c>
      <c r="B3761" s="3" t="str">
        <f>IFERROR(__xludf.DUMMYFUNCTION("""COMPUTED_VALUE"""),"dop")</f>
        <v>dop</v>
      </c>
      <c r="C3761" s="3" t="str">
        <f>IFERROR(__xludf.DUMMYFUNCTION("""COMPUTED_VALUE"""),"Dopple Finance")</f>
        <v>Dopple Finance</v>
      </c>
    </row>
    <row r="3762">
      <c r="A3762" s="3" t="str">
        <f>IFERROR(__xludf.DUMMYFUNCTION("""COMPUTED_VALUE"""),"doraemoninu")</f>
        <v>doraemoninu</v>
      </c>
      <c r="B3762" s="3" t="str">
        <f>IFERROR(__xludf.DUMMYFUNCTION("""COMPUTED_VALUE"""),"doraemoninu")</f>
        <v>doraemoninu</v>
      </c>
      <c r="C3762" s="3" t="str">
        <f>IFERROR(__xludf.DUMMYFUNCTION("""COMPUTED_VALUE"""),"DoraemonInu")</f>
        <v>DoraemonInu</v>
      </c>
    </row>
    <row r="3763">
      <c r="A3763" s="3" t="str">
        <f>IFERROR(__xludf.DUMMYFUNCTION("""COMPUTED_VALUE"""),"dora-factory")</f>
        <v>dora-factory</v>
      </c>
      <c r="B3763" s="3" t="str">
        <f>IFERROR(__xludf.DUMMYFUNCTION("""COMPUTED_VALUE"""),"dora")</f>
        <v>dora</v>
      </c>
      <c r="C3763" s="3" t="str">
        <f>IFERROR(__xludf.DUMMYFUNCTION("""COMPUTED_VALUE"""),"Dora Factory")</f>
        <v>Dora Factory</v>
      </c>
    </row>
    <row r="3764">
      <c r="A3764" s="3" t="str">
        <f>IFERROR(__xludf.DUMMYFUNCTION("""COMPUTED_VALUE"""),"doragonland")</f>
        <v>doragonland</v>
      </c>
      <c r="B3764" s="3" t="str">
        <f>IFERROR(__xludf.DUMMYFUNCTION("""COMPUTED_VALUE"""),"dor")</f>
        <v>dor</v>
      </c>
      <c r="C3764" s="3" t="str">
        <f>IFERROR(__xludf.DUMMYFUNCTION("""COMPUTED_VALUE"""),"DoragonLand")</f>
        <v>DoragonLand</v>
      </c>
    </row>
    <row r="3765">
      <c r="A3765" s="3" t="str">
        <f>IFERROR(__xludf.DUMMYFUNCTION("""COMPUTED_VALUE"""),"doren")</f>
        <v>doren</v>
      </c>
      <c r="B3765" s="3" t="str">
        <f>IFERROR(__xludf.DUMMYFUNCTION("""COMPUTED_VALUE"""),"dre")</f>
        <v>dre</v>
      </c>
      <c r="C3765" s="3" t="str">
        <f>IFERROR(__xludf.DUMMYFUNCTION("""COMPUTED_VALUE"""),"DoRen")</f>
        <v>DoRen</v>
      </c>
    </row>
    <row r="3766">
      <c r="A3766" s="3" t="str">
        <f>IFERROR(__xludf.DUMMYFUNCTION("""COMPUTED_VALUE"""),"dosa")</f>
        <v>dosa</v>
      </c>
      <c r="B3766" s="3" t="str">
        <f>IFERROR(__xludf.DUMMYFUNCTION("""COMPUTED_VALUE"""),"$dosa")</f>
        <v>$dosa</v>
      </c>
      <c r="C3766" s="3" t="str">
        <f>IFERROR(__xludf.DUMMYFUNCTION("""COMPUTED_VALUE"""),"Dosa")</f>
        <v>Dosa</v>
      </c>
    </row>
    <row r="3767">
      <c r="A3767" s="3" t="str">
        <f>IFERROR(__xludf.DUMMYFUNCTION("""COMPUTED_VALUE"""),"dose-token")</f>
        <v>dose-token</v>
      </c>
      <c r="B3767" s="3" t="str">
        <f>IFERROR(__xludf.DUMMYFUNCTION("""COMPUTED_VALUE"""),"dose")</f>
        <v>dose</v>
      </c>
      <c r="C3767" s="3" t="str">
        <f>IFERROR(__xludf.DUMMYFUNCTION("""COMPUTED_VALUE"""),"DOSE")</f>
        <v>DOSE</v>
      </c>
    </row>
    <row r="3768">
      <c r="A3768" s="3" t="str">
        <f>IFERROR(__xludf.DUMMYFUNCTION("""COMPUTED_VALUE"""),"dos-network")</f>
        <v>dos-network</v>
      </c>
      <c r="B3768" s="3" t="str">
        <f>IFERROR(__xludf.DUMMYFUNCTION("""COMPUTED_VALUE"""),"dos")</f>
        <v>dos</v>
      </c>
      <c r="C3768" s="3" t="str">
        <f>IFERROR(__xludf.DUMMYFUNCTION("""COMPUTED_VALUE"""),"DOS Network")</f>
        <v>DOS Network</v>
      </c>
    </row>
    <row r="3769">
      <c r="A3769" s="3" t="str">
        <f>IFERROR(__xludf.DUMMYFUNCTION("""COMPUTED_VALUE"""),"dotarcade")</f>
        <v>dotarcade</v>
      </c>
      <c r="B3769" s="3" t="str">
        <f>IFERROR(__xludf.DUMMYFUNCTION("""COMPUTED_VALUE"""),"adt")</f>
        <v>adt</v>
      </c>
      <c r="C3769" s="3" t="str">
        <f>IFERROR(__xludf.DUMMYFUNCTION("""COMPUTED_VALUE"""),"DotArcade")</f>
        <v>DotArcade</v>
      </c>
    </row>
    <row r="3770">
      <c r="A3770" s="3" t="str">
        <f>IFERROR(__xludf.DUMMYFUNCTION("""COMPUTED_VALUE"""),"dot-dot-finance")</f>
        <v>dot-dot-finance</v>
      </c>
      <c r="B3770" s="3" t="str">
        <f>IFERROR(__xludf.DUMMYFUNCTION("""COMPUTED_VALUE"""),"ddd")</f>
        <v>ddd</v>
      </c>
      <c r="C3770" s="3" t="str">
        <f>IFERROR(__xludf.DUMMYFUNCTION("""COMPUTED_VALUE"""),"Dot Dot Finance")</f>
        <v>Dot Dot Finance</v>
      </c>
    </row>
    <row r="3771">
      <c r="A3771" s="3" t="str">
        <f>IFERROR(__xludf.DUMMYFUNCTION("""COMPUTED_VALUE"""),"dot-finance")</f>
        <v>dot-finance</v>
      </c>
      <c r="B3771" s="3" t="str">
        <f>IFERROR(__xludf.DUMMYFUNCTION("""COMPUTED_VALUE"""),"pink")</f>
        <v>pink</v>
      </c>
      <c r="C3771" s="3" t="str">
        <f>IFERROR(__xludf.DUMMYFUNCTION("""COMPUTED_VALUE"""),"Dot Finance")</f>
        <v>Dot Finance</v>
      </c>
    </row>
    <row r="3772">
      <c r="A3772" s="3" t="str">
        <f>IFERROR(__xludf.DUMMYFUNCTION("""COMPUTED_VALUE"""),"dotmoovs")</f>
        <v>dotmoovs</v>
      </c>
      <c r="B3772" s="3" t="str">
        <f>IFERROR(__xludf.DUMMYFUNCTION("""COMPUTED_VALUE"""),"moov")</f>
        <v>moov</v>
      </c>
      <c r="C3772" s="3" t="str">
        <f>IFERROR(__xludf.DUMMYFUNCTION("""COMPUTED_VALUE"""),"dotmoovs")</f>
        <v>dotmoovs</v>
      </c>
    </row>
    <row r="3773">
      <c r="A3773" s="3" t="str">
        <f>IFERROR(__xludf.DUMMYFUNCTION("""COMPUTED_VALUE"""),"do-token")</f>
        <v>do-token</v>
      </c>
      <c r="B3773" s="3" t="str">
        <f>IFERROR(__xludf.DUMMYFUNCTION("""COMPUTED_VALUE"""),"do")</f>
        <v>do</v>
      </c>
      <c r="C3773" s="3" t="str">
        <f>IFERROR(__xludf.DUMMYFUNCTION("""COMPUTED_VALUE"""),"Do")</f>
        <v>Do</v>
      </c>
    </row>
    <row r="3774">
      <c r="A3774" s="3" t="str">
        <f>IFERROR(__xludf.DUMMYFUNCTION("""COMPUTED_VALUE"""),"dotoracle")</f>
        <v>dotoracle</v>
      </c>
      <c r="B3774" s="3" t="str">
        <f>IFERROR(__xludf.DUMMYFUNCTION("""COMPUTED_VALUE"""),"dto")</f>
        <v>dto</v>
      </c>
      <c r="C3774" s="3" t="str">
        <f>IFERROR(__xludf.DUMMYFUNCTION("""COMPUTED_VALUE"""),"DotOracle")</f>
        <v>DotOracle</v>
      </c>
    </row>
    <row r="3775">
      <c r="A3775" s="3" t="str">
        <f>IFERROR(__xludf.DUMMYFUNCTION("""COMPUTED_VALUE"""),"dotori")</f>
        <v>dotori</v>
      </c>
      <c r="B3775" s="3" t="str">
        <f>IFERROR(__xludf.DUMMYFUNCTION("""COMPUTED_VALUE"""),"dtr")</f>
        <v>dtr</v>
      </c>
      <c r="C3775" s="3" t="str">
        <f>IFERROR(__xludf.DUMMYFUNCTION("""COMPUTED_VALUE"""),"Dotori")</f>
        <v>Dotori</v>
      </c>
    </row>
    <row r="3776">
      <c r="A3776" s="3" t="str">
        <f>IFERROR(__xludf.DUMMYFUNCTION("""COMPUTED_VALUE"""),"doubledice-token")</f>
        <v>doubledice-token</v>
      </c>
      <c r="B3776" s="3" t="str">
        <f>IFERROR(__xludf.DUMMYFUNCTION("""COMPUTED_VALUE"""),"dodi")</f>
        <v>dodi</v>
      </c>
      <c r="C3776" s="3" t="str">
        <f>IFERROR(__xludf.DUMMYFUNCTION("""COMPUTED_VALUE"""),"DoubleDice")</f>
        <v>DoubleDice</v>
      </c>
    </row>
    <row r="3777">
      <c r="A3777" s="3" t="str">
        <f>IFERROR(__xludf.DUMMYFUNCTION("""COMPUTED_VALUE"""),"double-swap-token")</f>
        <v>double-swap-token</v>
      </c>
      <c r="B3777" s="3" t="str">
        <f>IFERROR(__xludf.DUMMYFUNCTION("""COMPUTED_VALUE"""),"dst")</f>
        <v>dst</v>
      </c>
      <c r="C3777" s="3" t="str">
        <f>IFERROR(__xludf.DUMMYFUNCTION("""COMPUTED_VALUE"""),"Double Swap Token")</f>
        <v>Double Swap Token</v>
      </c>
    </row>
    <row r="3778">
      <c r="A3778" s="3" t="str">
        <f>IFERROR(__xludf.DUMMYFUNCTION("""COMPUTED_VALUE"""),"doubloon")</f>
        <v>doubloon</v>
      </c>
      <c r="B3778" s="3" t="str">
        <f>IFERROR(__xludf.DUMMYFUNCTION("""COMPUTED_VALUE"""),"dbl")</f>
        <v>dbl</v>
      </c>
      <c r="C3778" s="3" t="str">
        <f>IFERROR(__xludf.DUMMYFUNCTION("""COMPUTED_VALUE"""),"Doubloon")</f>
        <v>Doubloon</v>
      </c>
    </row>
    <row r="3779">
      <c r="A3779" s="3" t="str">
        <f>IFERROR(__xludf.DUMMYFUNCTION("""COMPUTED_VALUE"""),"douge")</f>
        <v>douge</v>
      </c>
      <c r="B3779" s="3" t="str">
        <f>IFERROR(__xludf.DUMMYFUNCTION("""COMPUTED_VALUE"""),"douge")</f>
        <v>douge</v>
      </c>
      <c r="C3779" s="3" t="str">
        <f>IFERROR(__xludf.DUMMYFUNCTION("""COMPUTED_VALUE"""),"Douge")</f>
        <v>Douge</v>
      </c>
    </row>
    <row r="3780">
      <c r="A3780" s="3" t="str">
        <f>IFERROR(__xludf.DUMMYFUNCTION("""COMPUTED_VALUE"""),"dough")</f>
        <v>dough</v>
      </c>
      <c r="B3780" s="3" t="str">
        <f>IFERROR(__xludf.DUMMYFUNCTION("""COMPUTED_VALUE"""),"dough")</f>
        <v>dough</v>
      </c>
      <c r="C3780" s="3" t="str">
        <f>IFERROR(__xludf.DUMMYFUNCTION("""COMPUTED_VALUE"""),"Dough")</f>
        <v>Dough</v>
      </c>
    </row>
    <row r="3781">
      <c r="A3781" s="3" t="str">
        <f>IFERROR(__xludf.DUMMYFUNCTION("""COMPUTED_VALUE"""),"dovu")</f>
        <v>dovu</v>
      </c>
      <c r="B3781" s="3" t="str">
        <f>IFERROR(__xludf.DUMMYFUNCTION("""COMPUTED_VALUE"""),"dov")</f>
        <v>dov</v>
      </c>
      <c r="C3781" s="3" t="str">
        <f>IFERROR(__xludf.DUMMYFUNCTION("""COMPUTED_VALUE"""),"Dovu")</f>
        <v>Dovu</v>
      </c>
    </row>
    <row r="3782">
      <c r="A3782" s="3" t="str">
        <f>IFERROR(__xludf.DUMMYFUNCTION("""COMPUTED_VALUE"""),"doxed")</f>
        <v>doxed</v>
      </c>
      <c r="B3782" s="3" t="str">
        <f>IFERROR(__xludf.DUMMYFUNCTION("""COMPUTED_VALUE"""),"dox")</f>
        <v>dox</v>
      </c>
      <c r="C3782" s="3" t="str">
        <f>IFERROR(__xludf.DUMMYFUNCTION("""COMPUTED_VALUE"""),"Doxed")</f>
        <v>Doxed</v>
      </c>
    </row>
    <row r="3783">
      <c r="A3783" s="3" t="str">
        <f>IFERROR(__xludf.DUMMYFUNCTION("""COMPUTED_VALUE"""),"doxxed-santa")</f>
        <v>doxxed-santa</v>
      </c>
      <c r="B3783" s="3" t="str">
        <f>IFERROR(__xludf.DUMMYFUNCTION("""COMPUTED_VALUE"""),"dxsanta")</f>
        <v>dxsanta</v>
      </c>
      <c r="C3783" s="3" t="str">
        <f>IFERROR(__xludf.DUMMYFUNCTION("""COMPUTED_VALUE"""),"Doxxed Santa")</f>
        <v>Doxxed Santa</v>
      </c>
    </row>
    <row r="3784">
      <c r="A3784" s="3" t="str">
        <f>IFERROR(__xludf.DUMMYFUNCTION("""COMPUTED_VALUE"""),"dpad-finance")</f>
        <v>dpad-finance</v>
      </c>
      <c r="B3784" s="3" t="str">
        <f>IFERROR(__xludf.DUMMYFUNCTION("""COMPUTED_VALUE"""),"dpad")</f>
        <v>dpad</v>
      </c>
      <c r="C3784" s="3" t="str">
        <f>IFERROR(__xludf.DUMMYFUNCTION("""COMPUTED_VALUE"""),"Dpad Finance")</f>
        <v>Dpad Finance</v>
      </c>
    </row>
    <row r="3785">
      <c r="A3785" s="3" t="str">
        <f>IFERROR(__xludf.DUMMYFUNCTION("""COMPUTED_VALUE"""),"dpk")</f>
        <v>dpk</v>
      </c>
      <c r="B3785" s="3" t="str">
        <f>IFERROR(__xludf.DUMMYFUNCTION("""COMPUTED_VALUE"""),"dpk token")</f>
        <v>dpk token</v>
      </c>
      <c r="C3785" s="3" t="str">
        <f>IFERROR(__xludf.DUMMYFUNCTION("""COMPUTED_VALUE"""),"DPK")</f>
        <v>DPK</v>
      </c>
    </row>
    <row r="3786">
      <c r="A3786" s="3" t="str">
        <f>IFERROR(__xludf.DUMMYFUNCTION("""COMPUTED_VALUE"""),"dprating")</f>
        <v>dprating</v>
      </c>
      <c r="B3786" s="3" t="str">
        <f>IFERROR(__xludf.DUMMYFUNCTION("""COMPUTED_VALUE"""),"rating")</f>
        <v>rating</v>
      </c>
      <c r="C3786" s="3" t="str">
        <f>IFERROR(__xludf.DUMMYFUNCTION("""COMPUTED_VALUE"""),"DPRating")</f>
        <v>DPRating</v>
      </c>
    </row>
    <row r="3787">
      <c r="A3787" s="3" t="str">
        <f>IFERROR(__xludf.DUMMYFUNCTION("""COMPUTED_VALUE"""),"dps-doubloon ")</f>
        <v>dps-doubloon </v>
      </c>
      <c r="B3787" s="3" t="str">
        <f>IFERROR(__xludf.DUMMYFUNCTION("""COMPUTED_VALUE"""),"dbl")</f>
        <v>dbl</v>
      </c>
      <c r="C3787" s="3" t="str">
        <f>IFERROR(__xludf.DUMMYFUNCTION("""COMPUTED_VALUE"""),"DPS Doubloon")</f>
        <v>DPS Doubloon</v>
      </c>
    </row>
    <row r="3788">
      <c r="A3788" s="3" t="str">
        <f>IFERROR(__xludf.DUMMYFUNCTION("""COMPUTED_VALUE"""),"dps-rum")</f>
        <v>dps-rum</v>
      </c>
      <c r="B3788" s="3" t="str">
        <f>IFERROR(__xludf.DUMMYFUNCTION("""COMPUTED_VALUE"""),"rum")</f>
        <v>rum</v>
      </c>
      <c r="C3788" s="3" t="str">
        <f>IFERROR(__xludf.DUMMYFUNCTION("""COMPUTED_VALUE"""),"DPS Rum")</f>
        <v>DPS Rum</v>
      </c>
    </row>
    <row r="3789">
      <c r="A3789" s="3" t="str">
        <f>IFERROR(__xludf.DUMMYFUNCTION("""COMPUTED_VALUE"""),"dps-treasuremaps")</f>
        <v>dps-treasuremaps</v>
      </c>
      <c r="B3789" s="3" t="str">
        <f>IFERROR(__xludf.DUMMYFUNCTION("""COMPUTED_VALUE"""),"tmap")</f>
        <v>tmap</v>
      </c>
      <c r="C3789" s="3" t="str">
        <f>IFERROR(__xludf.DUMMYFUNCTION("""COMPUTED_VALUE"""),"DPS TreasureMaps")</f>
        <v>DPS TreasureMaps</v>
      </c>
    </row>
    <row r="3790">
      <c r="A3790" s="3" t="str">
        <f>IFERROR(__xludf.DUMMYFUNCTION("""COMPUTED_VALUE"""),"dr1ver")</f>
        <v>dr1ver</v>
      </c>
      <c r="B3790" s="3" t="str">
        <f>IFERROR(__xludf.DUMMYFUNCTION("""COMPUTED_VALUE"""),"dr1$")</f>
        <v>dr1$</v>
      </c>
      <c r="C3790" s="3" t="str">
        <f>IFERROR(__xludf.DUMMYFUNCTION("""COMPUTED_VALUE"""),"Dr1ver")</f>
        <v>Dr1ver</v>
      </c>
    </row>
    <row r="3791">
      <c r="A3791" s="3" t="str">
        <f>IFERROR(__xludf.DUMMYFUNCTION("""COMPUTED_VALUE"""),"drachma-exchange")</f>
        <v>drachma-exchange</v>
      </c>
      <c r="B3791" s="3" t="str">
        <f>IFERROR(__xludf.DUMMYFUNCTION("""COMPUTED_VALUE"""),"dra")</f>
        <v>dra</v>
      </c>
      <c r="C3791" s="3" t="str">
        <f>IFERROR(__xludf.DUMMYFUNCTION("""COMPUTED_VALUE"""),"Drachma Exchange")</f>
        <v>Drachma Exchange</v>
      </c>
    </row>
    <row r="3792">
      <c r="A3792" s="3" t="str">
        <f>IFERROR(__xludf.DUMMYFUNCTION("""COMPUTED_VALUE"""),"drac-network")</f>
        <v>drac-network</v>
      </c>
      <c r="B3792" s="3" t="str">
        <f>IFERROR(__xludf.DUMMYFUNCTION("""COMPUTED_VALUE"""),"drac")</f>
        <v>drac</v>
      </c>
      <c r="C3792" s="3" t="str">
        <f>IFERROR(__xludf.DUMMYFUNCTION("""COMPUTED_VALUE"""),"DRAC Network")</f>
        <v>DRAC Network</v>
      </c>
    </row>
    <row r="3793">
      <c r="A3793" s="3" t="str">
        <f>IFERROR(__xludf.DUMMYFUNCTION("""COMPUTED_VALUE"""),"dracoomaster")</f>
        <v>dracoomaster</v>
      </c>
      <c r="B3793" s="3" t="str">
        <f>IFERROR(__xludf.DUMMYFUNCTION("""COMPUTED_VALUE"""),"bas")</f>
        <v>bas</v>
      </c>
      <c r="C3793" s="3" t="str">
        <f>IFERROR(__xludf.DUMMYFUNCTION("""COMPUTED_VALUE"""),"DracooMaster")</f>
        <v>DracooMaster</v>
      </c>
    </row>
    <row r="3794">
      <c r="A3794" s="3" t="str">
        <f>IFERROR(__xludf.DUMMYFUNCTION("""COMPUTED_VALUE"""),"dracula")</f>
        <v>dracula</v>
      </c>
      <c r="B3794" s="3" t="str">
        <f>IFERROR(__xludf.DUMMYFUNCTION("""COMPUTED_VALUE"""),"drc")</f>
        <v>drc</v>
      </c>
      <c r="C3794" s="3" t="str">
        <f>IFERROR(__xludf.DUMMYFUNCTION("""COMPUTED_VALUE"""),"Dracula")</f>
        <v>Dracula</v>
      </c>
    </row>
    <row r="3795">
      <c r="A3795" s="3" t="str">
        <f>IFERROR(__xludf.DUMMYFUNCTION("""COMPUTED_VALUE"""),"dragoma")</f>
        <v>dragoma</v>
      </c>
      <c r="B3795" s="3" t="str">
        <f>IFERROR(__xludf.DUMMYFUNCTION("""COMPUTED_VALUE"""),"dma")</f>
        <v>dma</v>
      </c>
      <c r="C3795" s="3" t="str">
        <f>IFERROR(__xludf.DUMMYFUNCTION("""COMPUTED_VALUE"""),"Dragoma")</f>
        <v>Dragoma</v>
      </c>
    </row>
    <row r="3796">
      <c r="A3796" s="3" t="str">
        <f>IFERROR(__xludf.DUMMYFUNCTION("""COMPUTED_VALUE"""),"dragon")</f>
        <v>dragon</v>
      </c>
      <c r="B3796" s="3" t="str">
        <f>IFERROR(__xludf.DUMMYFUNCTION("""COMPUTED_VALUE"""),"dragon")</f>
        <v>dragon</v>
      </c>
      <c r="C3796" s="3" t="str">
        <f>IFERROR(__xludf.DUMMYFUNCTION("""COMPUTED_VALUE"""),"Dragon")</f>
        <v>Dragon</v>
      </c>
    </row>
    <row r="3797">
      <c r="A3797" s="3" t="str">
        <f>IFERROR(__xludf.DUMMYFUNCTION("""COMPUTED_VALUE"""),"dragonbit")</f>
        <v>dragonbit</v>
      </c>
      <c r="B3797" s="3" t="str">
        <f>IFERROR(__xludf.DUMMYFUNCTION("""COMPUTED_VALUE"""),"drgb")</f>
        <v>drgb</v>
      </c>
      <c r="C3797" s="3" t="str">
        <f>IFERROR(__xludf.DUMMYFUNCTION("""COMPUTED_VALUE"""),"Dragonbit")</f>
        <v>Dragonbit</v>
      </c>
    </row>
    <row r="3798">
      <c r="A3798" s="3" t="str">
        <f>IFERROR(__xludf.DUMMYFUNCTION("""COMPUTED_VALUE"""),"dragonbite")</f>
        <v>dragonbite</v>
      </c>
      <c r="B3798" s="3" t="str">
        <f>IFERROR(__xludf.DUMMYFUNCTION("""COMPUTED_VALUE"""),"bite")</f>
        <v>bite</v>
      </c>
      <c r="C3798" s="3" t="str">
        <f>IFERROR(__xludf.DUMMYFUNCTION("""COMPUTED_VALUE"""),"DragonBite")</f>
        <v>DragonBite</v>
      </c>
    </row>
    <row r="3799">
      <c r="A3799" s="3" t="str">
        <f>IFERROR(__xludf.DUMMYFUNCTION("""COMPUTED_VALUE"""),"dragonchain")</f>
        <v>dragonchain</v>
      </c>
      <c r="B3799" s="3" t="str">
        <f>IFERROR(__xludf.DUMMYFUNCTION("""COMPUTED_VALUE"""),"drgn")</f>
        <v>drgn</v>
      </c>
      <c r="C3799" s="3" t="str">
        <f>IFERROR(__xludf.DUMMYFUNCTION("""COMPUTED_VALUE"""),"Dragonchain")</f>
        <v>Dragonchain</v>
      </c>
    </row>
    <row r="3800">
      <c r="A3800" s="3" t="str">
        <f>IFERROR(__xludf.DUMMYFUNCTION("""COMPUTED_VALUE"""),"dragon-crypto-argenti")</f>
        <v>dragon-crypto-argenti</v>
      </c>
      <c r="B3800" s="3" t="str">
        <f>IFERROR(__xludf.DUMMYFUNCTION("""COMPUTED_VALUE"""),"dcar")</f>
        <v>dcar</v>
      </c>
      <c r="C3800" s="3" t="str">
        <f>IFERROR(__xludf.DUMMYFUNCTION("""COMPUTED_VALUE"""),"Dragon Crypto Argenti")</f>
        <v>Dragon Crypto Argenti</v>
      </c>
    </row>
    <row r="3801">
      <c r="A3801" s="3" t="str">
        <f>IFERROR(__xludf.DUMMYFUNCTION("""COMPUTED_VALUE"""),"dragon-crypto-aurum")</f>
        <v>dragon-crypto-aurum</v>
      </c>
      <c r="B3801" s="3" t="str">
        <f>IFERROR(__xludf.DUMMYFUNCTION("""COMPUTED_VALUE"""),"dcau")</f>
        <v>dcau</v>
      </c>
      <c r="C3801" s="3" t="str">
        <f>IFERROR(__xludf.DUMMYFUNCTION("""COMPUTED_VALUE"""),"Dragon Crypto Aurum")</f>
        <v>Dragon Crypto Aurum</v>
      </c>
    </row>
    <row r="3802">
      <c r="A3802" s="3" t="str">
        <f>IFERROR(__xludf.DUMMYFUNCTION("""COMPUTED_VALUE"""),"dragon-evolution-augmente")</f>
        <v>dragon-evolution-augmente</v>
      </c>
      <c r="B3802" s="3" t="str">
        <f>IFERROR(__xludf.DUMMYFUNCTION("""COMPUTED_VALUE"""),"dear")</f>
        <v>dear</v>
      </c>
      <c r="C3802" s="3" t="str">
        <f>IFERROR(__xludf.DUMMYFUNCTION("""COMPUTED_VALUE"""),"Dragon Evolution Augmente")</f>
        <v>Dragon Evolution Augmente</v>
      </c>
    </row>
    <row r="3803">
      <c r="A3803" s="3" t="str">
        <f>IFERROR(__xludf.DUMMYFUNCTION("""COMPUTED_VALUE"""),"dragon-kart-token")</f>
        <v>dragon-kart-token</v>
      </c>
      <c r="B3803" s="3" t="str">
        <f>IFERROR(__xludf.DUMMYFUNCTION("""COMPUTED_VALUE"""),"kart")</f>
        <v>kart</v>
      </c>
      <c r="C3803" s="3" t="str">
        <f>IFERROR(__xludf.DUMMYFUNCTION("""COMPUTED_VALUE"""),"Dragon Kart")</f>
        <v>Dragon Kart</v>
      </c>
    </row>
    <row r="3804">
      <c r="A3804" s="3" t="str">
        <f>IFERROR(__xludf.DUMMYFUNCTION("""COMPUTED_VALUE"""),"dragonknight")</f>
        <v>dragonknight</v>
      </c>
      <c r="B3804" s="3" t="str">
        <f>IFERROR(__xludf.DUMMYFUNCTION("""COMPUTED_VALUE"""),"dk")</f>
        <v>dk</v>
      </c>
      <c r="C3804" s="3" t="str">
        <f>IFERROR(__xludf.DUMMYFUNCTION("""COMPUTED_VALUE"""),"Dragon Knight")</f>
        <v>Dragon Knight</v>
      </c>
    </row>
    <row r="3805">
      <c r="A3805" s="3" t="str">
        <f>IFERROR(__xludf.DUMMYFUNCTION("""COMPUTED_VALUE"""),"dragon-mainland-shards")</f>
        <v>dragon-mainland-shards</v>
      </c>
      <c r="B3805" s="3" t="str">
        <f>IFERROR(__xludf.DUMMYFUNCTION("""COMPUTED_VALUE"""),"dms")</f>
        <v>dms</v>
      </c>
      <c r="C3805" s="3" t="str">
        <f>IFERROR(__xludf.DUMMYFUNCTION("""COMPUTED_VALUE"""),"Dragon Mainland Shards")</f>
        <v>Dragon Mainland Shards</v>
      </c>
    </row>
    <row r="3806">
      <c r="A3806" s="3" t="str">
        <f>IFERROR(__xludf.DUMMYFUNCTION("""COMPUTED_VALUE"""),"dragonmaster-token")</f>
        <v>dragonmaster-token</v>
      </c>
      <c r="B3806" s="3" t="str">
        <f>IFERROR(__xludf.DUMMYFUNCTION("""COMPUTED_VALUE"""),"dmt")</f>
        <v>dmt</v>
      </c>
      <c r="C3806" s="3" t="str">
        <f>IFERROR(__xludf.DUMMYFUNCTION("""COMPUTED_VALUE"""),"DragonMaster")</f>
        <v>DragonMaster</v>
      </c>
    </row>
    <row r="3807">
      <c r="A3807" s="3" t="str">
        <f>IFERROR(__xludf.DUMMYFUNCTION("""COMPUTED_VALUE"""),"dragonmaster-totem")</f>
        <v>dragonmaster-totem</v>
      </c>
      <c r="B3807" s="3" t="str">
        <f>IFERROR(__xludf.DUMMYFUNCTION("""COMPUTED_VALUE"""),"totem")</f>
        <v>totem</v>
      </c>
      <c r="C3807" s="3" t="str">
        <f>IFERROR(__xludf.DUMMYFUNCTION("""COMPUTED_VALUE"""),"DragonMaster Totem")</f>
        <v>DragonMaster Totem</v>
      </c>
    </row>
    <row r="3808">
      <c r="A3808" s="3" t="str">
        <f>IFERROR(__xludf.DUMMYFUNCTION("""COMPUTED_VALUE"""),"dragonmoon")</f>
        <v>dragonmoon</v>
      </c>
      <c r="B3808" s="3" t="str">
        <f>IFERROR(__xludf.DUMMYFUNCTION("""COMPUTED_VALUE"""),"dmoon")</f>
        <v>dmoon</v>
      </c>
      <c r="C3808" s="3" t="str">
        <f>IFERROR(__xludf.DUMMYFUNCTION("""COMPUTED_VALUE"""),"DragonMoon")</f>
        <v>DragonMoon</v>
      </c>
    </row>
    <row r="3809">
      <c r="A3809" s="3" t="str">
        <f>IFERROR(__xludf.DUMMYFUNCTION("""COMPUTED_VALUE"""),"dragon-pool")</f>
        <v>dragon-pool</v>
      </c>
      <c r="B3809" s="3" t="str">
        <f>IFERROR(__xludf.DUMMYFUNCTION("""COMPUTED_VALUE"""),"dp")</f>
        <v>dp</v>
      </c>
      <c r="C3809" s="3" t="str">
        <f>IFERROR(__xludf.DUMMYFUNCTION("""COMPUTED_VALUE"""),"Dragon Pool")</f>
        <v>Dragon Pool</v>
      </c>
    </row>
    <row r="3810">
      <c r="A3810" s="3" t="str">
        <f>IFERROR(__xludf.DUMMYFUNCTION("""COMPUTED_VALUE"""),"dragonrace")</f>
        <v>dragonrace</v>
      </c>
      <c r="B3810" s="3" t="str">
        <f>IFERROR(__xludf.DUMMYFUNCTION("""COMPUTED_VALUE"""),"dragace")</f>
        <v>dragace</v>
      </c>
      <c r="C3810" s="3" t="str">
        <f>IFERROR(__xludf.DUMMYFUNCTION("""COMPUTED_VALUE"""),"Dragonrace")</f>
        <v>Dragonrace</v>
      </c>
    </row>
    <row r="3811">
      <c r="A3811" s="3" t="str">
        <f>IFERROR(__xludf.DUMMYFUNCTION("""COMPUTED_VALUE"""),"dragonsb")</f>
        <v>dragonsb</v>
      </c>
      <c r="B3811" s="3" t="str">
        <f>IFERROR(__xludf.DUMMYFUNCTION("""COMPUTED_VALUE"""),"sb")</f>
        <v>sb</v>
      </c>
      <c r="C3811" s="3" t="str">
        <f>IFERROR(__xludf.DUMMYFUNCTION("""COMPUTED_VALUE"""),"DragonSB")</f>
        <v>DragonSB</v>
      </c>
    </row>
    <row r="3812">
      <c r="A3812" s="3" t="str">
        <f>IFERROR(__xludf.DUMMYFUNCTION("""COMPUTED_VALUE"""),"dragonsea")</f>
        <v>dragonsea</v>
      </c>
      <c r="B3812" s="3" t="str">
        <f>IFERROR(__xludf.DUMMYFUNCTION("""COMPUTED_VALUE"""),"dge")</f>
        <v>dge</v>
      </c>
      <c r="C3812" s="3" t="str">
        <f>IFERROR(__xludf.DUMMYFUNCTION("""COMPUTED_VALUE"""),"DragonSea")</f>
        <v>DragonSea</v>
      </c>
    </row>
    <row r="3813">
      <c r="A3813" s="3" t="str">
        <f>IFERROR(__xludf.DUMMYFUNCTION("""COMPUTED_VALUE"""),"dragons-quick")</f>
        <v>dragons-quick</v>
      </c>
      <c r="B3813" s="3" t="str">
        <f>IFERROR(__xludf.DUMMYFUNCTION("""COMPUTED_VALUE"""),"dquick")</f>
        <v>dquick</v>
      </c>
      <c r="C3813" s="3" t="str">
        <f>IFERROR(__xludf.DUMMYFUNCTION("""COMPUTED_VALUE"""),"Dragon's Quick")</f>
        <v>Dragon's Quick</v>
      </c>
    </row>
    <row r="3814">
      <c r="A3814" s="3" t="str">
        <f>IFERROR(__xludf.DUMMYFUNCTION("""COMPUTED_VALUE"""),"dragonvein")</f>
        <v>dragonvein</v>
      </c>
      <c r="B3814" s="3" t="str">
        <f>IFERROR(__xludf.DUMMYFUNCTION("""COMPUTED_VALUE"""),"dvc")</f>
        <v>dvc</v>
      </c>
      <c r="C3814" s="3" t="str">
        <f>IFERROR(__xludf.DUMMYFUNCTION("""COMPUTED_VALUE"""),"DragonVein")</f>
        <v>DragonVein</v>
      </c>
    </row>
    <row r="3815">
      <c r="A3815" s="3" t="str">
        <f>IFERROR(__xludf.DUMMYFUNCTION("""COMPUTED_VALUE"""),"dragon-verse")</f>
        <v>dragon-verse</v>
      </c>
      <c r="B3815" s="3" t="str">
        <f>IFERROR(__xludf.DUMMYFUNCTION("""COMPUTED_VALUE"""),"drv")</f>
        <v>drv</v>
      </c>
      <c r="C3815" s="3" t="str">
        <f>IFERROR(__xludf.DUMMYFUNCTION("""COMPUTED_VALUE"""),"Dragon Verse")</f>
        <v>Dragon Verse</v>
      </c>
    </row>
    <row r="3816">
      <c r="A3816" s="3" t="str">
        <f>IFERROR(__xludf.DUMMYFUNCTION("""COMPUTED_VALUE"""),"dragon-war")</f>
        <v>dragon-war</v>
      </c>
      <c r="B3816" s="3" t="str">
        <f>IFERROR(__xludf.DUMMYFUNCTION("""COMPUTED_VALUE"""),"draw")</f>
        <v>draw</v>
      </c>
      <c r="C3816" s="3" t="str">
        <f>IFERROR(__xludf.DUMMYFUNCTION("""COMPUTED_VALUE"""),"Dragon War")</f>
        <v>Dragon War</v>
      </c>
    </row>
    <row r="3817">
      <c r="A3817" s="3" t="str">
        <f>IFERROR(__xludf.DUMMYFUNCTION("""COMPUTED_VALUE"""),"draken")</f>
        <v>draken</v>
      </c>
      <c r="B3817" s="3" t="str">
        <f>IFERROR(__xludf.DUMMYFUNCTION("""COMPUTED_VALUE"""),"drk")</f>
        <v>drk</v>
      </c>
      <c r="C3817" s="3" t="str">
        <f>IFERROR(__xludf.DUMMYFUNCTION("""COMPUTED_VALUE"""),"Draken")</f>
        <v>Draken</v>
      </c>
    </row>
    <row r="3818">
      <c r="A3818" s="3" t="str">
        <f>IFERROR(__xludf.DUMMYFUNCTION("""COMPUTED_VALUE"""),"drawshop-kingdom-reverse-joystick")</f>
        <v>drawshop-kingdom-reverse-joystick</v>
      </c>
      <c r="B3818" s="3" t="str">
        <f>IFERROR(__xludf.DUMMYFUNCTION("""COMPUTED_VALUE"""),"joy")</f>
        <v>joy</v>
      </c>
      <c r="C3818" s="3" t="str">
        <f>IFERROR(__xludf.DUMMYFUNCTION("""COMPUTED_VALUE"""),"Drawshop Kingdom Reverse Joystick")</f>
        <v>Drawshop Kingdom Reverse Joystick</v>
      </c>
    </row>
    <row r="3819">
      <c r="A3819" s="3" t="str">
        <f>IFERROR(__xludf.DUMMYFUNCTION("""COMPUTED_VALUE"""),"drc-mobility")</f>
        <v>drc-mobility</v>
      </c>
      <c r="B3819" s="3" t="str">
        <f>IFERROR(__xludf.DUMMYFUNCTION("""COMPUTED_VALUE"""),"drc")</f>
        <v>drc</v>
      </c>
      <c r="C3819" s="3" t="str">
        <f>IFERROR(__xludf.DUMMYFUNCTION("""COMPUTED_VALUE"""),"DRC Mobility")</f>
        <v>DRC Mobility</v>
      </c>
    </row>
    <row r="3820">
      <c r="A3820" s="3" t="str">
        <f>IFERROR(__xludf.DUMMYFUNCTION("""COMPUTED_VALUE"""),"dreamdao")</f>
        <v>dreamdao</v>
      </c>
      <c r="B3820" s="3" t="str">
        <f>IFERROR(__xludf.DUMMYFUNCTION("""COMPUTED_VALUE"""),"dream")</f>
        <v>dream</v>
      </c>
      <c r="C3820" s="3" t="str">
        <f>IFERROR(__xludf.DUMMYFUNCTION("""COMPUTED_VALUE"""),"DreamDAO")</f>
        <v>DreamDAO</v>
      </c>
    </row>
    <row r="3821">
      <c r="A3821" s="3" t="str">
        <f>IFERROR(__xludf.DUMMYFUNCTION("""COMPUTED_VALUE"""),"dreamn")</f>
        <v>dreamn</v>
      </c>
      <c r="B3821" s="3" t="str">
        <f>IFERROR(__xludf.DUMMYFUNCTION("""COMPUTED_VALUE"""),"$dreamn")</f>
        <v>$dreamn</v>
      </c>
      <c r="C3821" s="3" t="str">
        <f>IFERROR(__xludf.DUMMYFUNCTION("""COMPUTED_VALUE"""),"DreamN")</f>
        <v>DreamN</v>
      </c>
    </row>
    <row r="3822">
      <c r="A3822" s="3" t="str">
        <f>IFERROR(__xludf.DUMMYFUNCTION("""COMPUTED_VALUE"""),"dreamr-platform-token")</f>
        <v>dreamr-platform-token</v>
      </c>
      <c r="B3822" s="3" t="str">
        <f>IFERROR(__xludf.DUMMYFUNCTION("""COMPUTED_VALUE"""),"dmr")</f>
        <v>dmr</v>
      </c>
      <c r="C3822" s="3" t="str">
        <f>IFERROR(__xludf.DUMMYFUNCTION("""COMPUTED_VALUE"""),"Dreamr Platform")</f>
        <v>Dreamr Platform</v>
      </c>
    </row>
    <row r="3823">
      <c r="A3823" s="3" t="str">
        <f>IFERROR(__xludf.DUMMYFUNCTION("""COMPUTED_VALUE"""),"dreamscoin")</f>
        <v>dreamscoin</v>
      </c>
      <c r="B3823" s="3" t="str">
        <f>IFERROR(__xludf.DUMMYFUNCTION("""COMPUTED_VALUE"""),"dream")</f>
        <v>dream</v>
      </c>
      <c r="C3823" s="3" t="str">
        <f>IFERROR(__xludf.DUMMYFUNCTION("""COMPUTED_VALUE"""),"DreamsCoin")</f>
        <v>DreamsCoin</v>
      </c>
    </row>
    <row r="3824">
      <c r="A3824" s="3" t="str">
        <f>IFERROR(__xludf.DUMMYFUNCTION("""COMPUTED_VALUE"""),"dream-soccer")</f>
        <v>dream-soccer</v>
      </c>
      <c r="B3824" s="3" t="str">
        <f>IFERROR(__xludf.DUMMYFUNCTION("""COMPUTED_VALUE"""),"dsoccer")</f>
        <v>dsoccer</v>
      </c>
      <c r="C3824" s="3" t="str">
        <f>IFERROR(__xludf.DUMMYFUNCTION("""COMPUTED_VALUE"""),"Dream Soccer")</f>
        <v>Dream Soccer</v>
      </c>
    </row>
    <row r="3825">
      <c r="A3825" s="3" t="str">
        <f>IFERROR(__xludf.DUMMYFUNCTION("""COMPUTED_VALUE"""),"dreams-quest")</f>
        <v>dreams-quest</v>
      </c>
      <c r="B3825" s="3" t="str">
        <f>IFERROR(__xludf.DUMMYFUNCTION("""COMPUTED_VALUE"""),"dreams")</f>
        <v>dreams</v>
      </c>
      <c r="C3825" s="3" t="str">
        <f>IFERROR(__xludf.DUMMYFUNCTION("""COMPUTED_VALUE"""),"Dreams Quest")</f>
        <v>Dreams Quest</v>
      </c>
    </row>
    <row r="3826">
      <c r="A3826" s="3" t="str">
        <f>IFERROR(__xludf.DUMMYFUNCTION("""COMPUTED_VALUE"""),"dream-swap")</f>
        <v>dream-swap</v>
      </c>
      <c r="B3826" s="3" t="str">
        <f>IFERROR(__xludf.DUMMYFUNCTION("""COMPUTED_VALUE"""),"dream")</f>
        <v>dream</v>
      </c>
      <c r="C3826" s="3" t="str">
        <f>IFERROR(__xludf.DUMMYFUNCTION("""COMPUTED_VALUE"""),"Dream Swap")</f>
        <v>Dream Swap</v>
      </c>
    </row>
    <row r="3827">
      <c r="A3827" s="3" t="str">
        <f>IFERROR(__xludf.DUMMYFUNCTION("""COMPUTED_VALUE"""),"dream-token")</f>
        <v>dream-token</v>
      </c>
      <c r="B3827" s="3" t="str">
        <f>IFERROR(__xludf.DUMMYFUNCTION("""COMPUTED_VALUE"""),"dream")</f>
        <v>dream</v>
      </c>
      <c r="C3827" s="3" t="str">
        <f>IFERROR(__xludf.DUMMYFUNCTION("""COMPUTED_VALUE"""),"Dream")</f>
        <v>Dream</v>
      </c>
    </row>
    <row r="3828">
      <c r="A3828" s="3" t="str">
        <f>IFERROR(__xludf.DUMMYFUNCTION("""COMPUTED_VALUE"""),"dreamverse")</f>
        <v>dreamverse</v>
      </c>
      <c r="B3828" s="3" t="str">
        <f>IFERROR(__xludf.DUMMYFUNCTION("""COMPUTED_VALUE"""),"dv")</f>
        <v>dv</v>
      </c>
      <c r="C3828" s="3" t="str">
        <f>IFERROR(__xludf.DUMMYFUNCTION("""COMPUTED_VALUE"""),"Dreamverse")</f>
        <v>Dreamverse</v>
      </c>
    </row>
    <row r="3829">
      <c r="A3829" s="3" t="str">
        <f>IFERROR(__xludf.DUMMYFUNCTION("""COMPUTED_VALUE"""),"dreamy-undersea-world")</f>
        <v>dreamy-undersea-world</v>
      </c>
      <c r="B3829" s="3" t="str">
        <f>IFERROR(__xludf.DUMMYFUNCTION("""COMPUTED_VALUE"""),"duw")</f>
        <v>duw</v>
      </c>
      <c r="C3829" s="3" t="str">
        <f>IFERROR(__xludf.DUMMYFUNCTION("""COMPUTED_VALUE"""),"Dreamy Undersea World")</f>
        <v>Dreamy Undersea World</v>
      </c>
    </row>
    <row r="3830">
      <c r="A3830" s="3" t="str">
        <f>IFERROR(__xludf.DUMMYFUNCTION("""COMPUTED_VALUE"""),"drep-new")</f>
        <v>drep-new</v>
      </c>
      <c r="B3830" s="3" t="str">
        <f>IFERROR(__xludf.DUMMYFUNCTION("""COMPUTED_VALUE"""),"drep")</f>
        <v>drep</v>
      </c>
      <c r="C3830" s="3" t="str">
        <f>IFERROR(__xludf.DUMMYFUNCTION("""COMPUTED_VALUE"""),"Drep")</f>
        <v>Drep</v>
      </c>
    </row>
    <row r="3831">
      <c r="A3831" s="3" t="str">
        <f>IFERROR(__xludf.DUMMYFUNCTION("""COMPUTED_VALUE"""),"drife")</f>
        <v>drife</v>
      </c>
      <c r="B3831" s="3" t="str">
        <f>IFERROR(__xludf.DUMMYFUNCTION("""COMPUTED_VALUE"""),"drf")</f>
        <v>drf</v>
      </c>
      <c r="C3831" s="3" t="str">
        <f>IFERROR(__xludf.DUMMYFUNCTION("""COMPUTED_VALUE"""),"Drife")</f>
        <v>Drife</v>
      </c>
    </row>
    <row r="3832">
      <c r="A3832" s="3" t="str">
        <f>IFERROR(__xludf.DUMMYFUNCTION("""COMPUTED_VALUE"""),"driftdelivery-cc")</f>
        <v>driftdelivery-cc</v>
      </c>
      <c r="B3832" s="3" t="str">
        <f>IFERROR(__xludf.DUMMYFUNCTION("""COMPUTED_VALUE"""),"drift")</f>
        <v>drift</v>
      </c>
      <c r="C3832" s="4" t="str">
        <f>IFERROR(__xludf.DUMMYFUNCTION("""COMPUTED_VALUE"""),"DriftDelivery.CC")</f>
        <v>DriftDelivery.CC</v>
      </c>
    </row>
    <row r="3833">
      <c r="A3833" s="3" t="str">
        <f>IFERROR(__xludf.DUMMYFUNCTION("""COMPUTED_VALUE"""),"drip-network")</f>
        <v>drip-network</v>
      </c>
      <c r="B3833" s="3" t="str">
        <f>IFERROR(__xludf.DUMMYFUNCTION("""COMPUTED_VALUE"""),"drip")</f>
        <v>drip</v>
      </c>
      <c r="C3833" s="3" t="str">
        <f>IFERROR(__xludf.DUMMYFUNCTION("""COMPUTED_VALUE"""),"Drip Network")</f>
        <v>Drip Network</v>
      </c>
    </row>
    <row r="3834">
      <c r="A3834" s="3" t="str">
        <f>IFERROR(__xludf.DUMMYFUNCTION("""COMPUTED_VALUE"""),"dripto")</f>
        <v>dripto</v>
      </c>
      <c r="B3834" s="3" t="str">
        <f>IFERROR(__xludf.DUMMYFUNCTION("""COMPUTED_VALUE"""),"dryp")</f>
        <v>dryp</v>
      </c>
      <c r="C3834" s="3" t="str">
        <f>IFERROR(__xludf.DUMMYFUNCTION("""COMPUTED_VALUE"""),"Dripto")</f>
        <v>Dripto</v>
      </c>
    </row>
    <row r="3835">
      <c r="A3835" s="3" t="str">
        <f>IFERROR(__xludf.DUMMYFUNCTION("""COMPUTED_VALUE"""),"drive-crypto")</f>
        <v>drive-crypto</v>
      </c>
      <c r="B3835" s="3" t="str">
        <f>IFERROR(__xludf.DUMMYFUNCTION("""COMPUTED_VALUE"""),"drivecrypt")</f>
        <v>drivecrypt</v>
      </c>
      <c r="C3835" s="3" t="str">
        <f>IFERROR(__xludf.DUMMYFUNCTION("""COMPUTED_VALUE"""),"Drive Crypto")</f>
        <v>Drive Crypto</v>
      </c>
    </row>
    <row r="3836">
      <c r="A3836" s="3" t="str">
        <f>IFERROR(__xludf.DUMMYFUNCTION("""COMPUTED_VALUE"""),"drivenx")</f>
        <v>drivenx</v>
      </c>
      <c r="B3836" s="3" t="str">
        <f>IFERROR(__xludf.DUMMYFUNCTION("""COMPUTED_VALUE"""),"dvx")</f>
        <v>dvx</v>
      </c>
      <c r="C3836" s="3" t="str">
        <f>IFERROR(__xludf.DUMMYFUNCTION("""COMPUTED_VALUE"""),"DRIVENx")</f>
        <v>DRIVENx</v>
      </c>
    </row>
    <row r="3837">
      <c r="A3837" s="3" t="str">
        <f>IFERROR(__xludf.DUMMYFUNCTION("""COMPUTED_VALUE"""),"drivez")</f>
        <v>drivez</v>
      </c>
      <c r="B3837" s="3" t="str">
        <f>IFERROR(__xludf.DUMMYFUNCTION("""COMPUTED_VALUE"""),"driv")</f>
        <v>driv</v>
      </c>
      <c r="C3837" s="3" t="str">
        <f>IFERROR(__xludf.DUMMYFUNCTION("""COMPUTED_VALUE"""),"Drivez")</f>
        <v>Drivez</v>
      </c>
    </row>
    <row r="3838">
      <c r="A3838" s="3" t="str">
        <f>IFERROR(__xludf.DUMMYFUNCTION("""COMPUTED_VALUE"""),"drivez-earn")</f>
        <v>drivez-earn</v>
      </c>
      <c r="B3838" s="3" t="str">
        <f>IFERROR(__xludf.DUMMYFUNCTION("""COMPUTED_VALUE"""),"inco")</f>
        <v>inco</v>
      </c>
      <c r="C3838" s="3" t="str">
        <f>IFERROR(__xludf.DUMMYFUNCTION("""COMPUTED_VALUE"""),"DRIVEZ Earn")</f>
        <v>DRIVEZ Earn</v>
      </c>
    </row>
    <row r="3839">
      <c r="A3839" s="3" t="str">
        <f>IFERROR(__xludf.DUMMYFUNCTION("""COMPUTED_VALUE"""),"dronefly")</f>
        <v>dronefly</v>
      </c>
      <c r="B3839" s="3" t="str">
        <f>IFERROR(__xludf.DUMMYFUNCTION("""COMPUTED_VALUE"""),"kdc")</f>
        <v>kdc</v>
      </c>
      <c r="C3839" s="3" t="str">
        <f>IFERROR(__xludf.DUMMYFUNCTION("""COMPUTED_VALUE"""),"DroneFly")</f>
        <v>DroneFly</v>
      </c>
    </row>
    <row r="3840">
      <c r="A3840" s="3" t="str">
        <f>IFERROR(__xludf.DUMMYFUNCTION("""COMPUTED_VALUE"""),"drops-ownership-power")</f>
        <v>drops-ownership-power</v>
      </c>
      <c r="B3840" s="3" t="str">
        <f>IFERROR(__xludf.DUMMYFUNCTION("""COMPUTED_VALUE"""),"dop")</f>
        <v>dop</v>
      </c>
      <c r="C3840" s="3" t="str">
        <f>IFERROR(__xludf.DUMMYFUNCTION("""COMPUTED_VALUE"""),"Drops Ownership Power")</f>
        <v>Drops Ownership Power</v>
      </c>
    </row>
    <row r="3841">
      <c r="A3841" s="3" t="str">
        <f>IFERROR(__xludf.DUMMYFUNCTION("""COMPUTED_VALUE"""),"drunk-robots")</f>
        <v>drunk-robots</v>
      </c>
      <c r="B3841" s="3" t="str">
        <f>IFERROR(__xludf.DUMMYFUNCTION("""COMPUTED_VALUE"""),"metal")</f>
        <v>metal</v>
      </c>
      <c r="C3841" s="3" t="str">
        <f>IFERROR(__xludf.DUMMYFUNCTION("""COMPUTED_VALUE"""),"Drunk Robots")</f>
        <v>Drunk Robots</v>
      </c>
    </row>
    <row r="3842">
      <c r="A3842" s="3" t="str">
        <f>IFERROR(__xludf.DUMMYFUNCTION("""COMPUTED_VALUE"""),"dsc-mix")</f>
        <v>dsc-mix</v>
      </c>
      <c r="B3842" s="3" t="str">
        <f>IFERROR(__xludf.DUMMYFUNCTION("""COMPUTED_VALUE"""),"mix")</f>
        <v>mix</v>
      </c>
      <c r="C3842" s="3" t="str">
        <f>IFERROR(__xludf.DUMMYFUNCTION("""COMPUTED_VALUE"""),"DSC Mix")</f>
        <v>DSC Mix</v>
      </c>
    </row>
    <row r="3843">
      <c r="A3843" s="3" t="str">
        <f>IFERROR(__xludf.DUMMYFUNCTION("""COMPUTED_VALUE"""),"dshares")</f>
        <v>dshares</v>
      </c>
      <c r="B3843" s="3" t="str">
        <f>IFERROR(__xludf.DUMMYFUNCTION("""COMPUTED_VALUE"""),"dshare")</f>
        <v>dshare</v>
      </c>
      <c r="C3843" s="3" t="str">
        <f>IFERROR(__xludf.DUMMYFUNCTION("""COMPUTED_VALUE"""),"DShares")</f>
        <v>DShares</v>
      </c>
    </row>
    <row r="3844">
      <c r="A3844" s="3" t="str">
        <f>IFERROR(__xludf.DUMMYFUNCTION("""COMPUTED_VALUE"""),"dt-dragon-coin")</f>
        <v>dt-dragon-coin</v>
      </c>
      <c r="B3844" s="3" t="str">
        <f>IFERROR(__xludf.DUMMYFUNCTION("""COMPUTED_VALUE"""),"dt")</f>
        <v>dt</v>
      </c>
      <c r="C3844" s="3" t="str">
        <f>IFERROR(__xludf.DUMMYFUNCTION("""COMPUTED_VALUE"""),"DT Dragon Coin")</f>
        <v>DT Dragon Coin</v>
      </c>
    </row>
    <row r="3845">
      <c r="A3845" s="3" t="str">
        <f>IFERROR(__xludf.DUMMYFUNCTION("""COMPUTED_VALUE"""),"dtng")</f>
        <v>dtng</v>
      </c>
      <c r="B3845" s="3" t="str">
        <f>IFERROR(__xludf.DUMMYFUNCTION("""COMPUTED_VALUE"""),"dtng")</f>
        <v>dtng</v>
      </c>
      <c r="C3845" s="3" t="str">
        <f>IFERROR(__xludf.DUMMYFUNCTION("""COMPUTED_VALUE"""),"DTNG")</f>
        <v>DTNG</v>
      </c>
    </row>
    <row r="3846">
      <c r="A3846" s="3" t="str">
        <f>IFERROR(__xludf.DUMMYFUNCTION("""COMPUTED_VALUE"""),"dtravel")</f>
        <v>dtravel</v>
      </c>
      <c r="B3846" s="3" t="str">
        <f>IFERROR(__xludf.DUMMYFUNCTION("""COMPUTED_VALUE"""),"trvl")</f>
        <v>trvl</v>
      </c>
      <c r="C3846" s="3" t="str">
        <f>IFERROR(__xludf.DUMMYFUNCTION("""COMPUTED_VALUE"""),"TRVL")</f>
        <v>TRVL</v>
      </c>
    </row>
    <row r="3847">
      <c r="A3847" s="3" t="str">
        <f>IFERROR(__xludf.DUMMYFUNCTION("""COMPUTED_VALUE"""),"dtsla")</f>
        <v>dtsla</v>
      </c>
      <c r="B3847" s="3" t="str">
        <f>IFERROR(__xludf.DUMMYFUNCTION("""COMPUTED_VALUE"""),"dtsla")</f>
        <v>dtsla</v>
      </c>
      <c r="C3847" s="3" t="str">
        <f>IFERROR(__xludf.DUMMYFUNCTION("""COMPUTED_VALUE"""),"Tesla Tokenized Stock Defichain")</f>
        <v>Tesla Tokenized Stock Defichain</v>
      </c>
    </row>
    <row r="3848">
      <c r="A3848" s="3" t="str">
        <f>IFERROR(__xludf.DUMMYFUNCTION("""COMPUTED_VALUE"""),"dtube-coin")</f>
        <v>dtube-coin</v>
      </c>
      <c r="B3848" s="3" t="str">
        <f>IFERROR(__xludf.DUMMYFUNCTION("""COMPUTED_VALUE"""),"dtube")</f>
        <v>dtube</v>
      </c>
      <c r="C3848" s="3" t="str">
        <f>IFERROR(__xludf.DUMMYFUNCTION("""COMPUTED_VALUE"""),"Dtube Coin")</f>
        <v>Dtube Coin</v>
      </c>
    </row>
    <row r="3849">
      <c r="A3849" s="3" t="str">
        <f>IFERROR(__xludf.DUMMYFUNCTION("""COMPUTED_VALUE"""),"dua-token")</f>
        <v>dua-token</v>
      </c>
      <c r="B3849" s="3" t="str">
        <f>IFERROR(__xludf.DUMMYFUNCTION("""COMPUTED_VALUE"""),"dua")</f>
        <v>dua</v>
      </c>
      <c r="C3849" s="3" t="str">
        <f>IFERROR(__xludf.DUMMYFUNCTION("""COMPUTED_VALUE"""),"DUA Token")</f>
        <v>DUA Token</v>
      </c>
    </row>
    <row r="3850">
      <c r="A3850" s="3" t="str">
        <f>IFERROR(__xludf.DUMMYFUNCTION("""COMPUTED_VALUE"""),"ducato-finance")</f>
        <v>ducato-finance</v>
      </c>
      <c r="B3850" s="3" t="str">
        <f>IFERROR(__xludf.DUMMYFUNCTION("""COMPUTED_VALUE"""),"ducato")</f>
        <v>ducato</v>
      </c>
      <c r="C3850" s="3" t="str">
        <f>IFERROR(__xludf.DUMMYFUNCTION("""COMPUTED_VALUE"""),"Ducato Finance")</f>
        <v>Ducato Finance</v>
      </c>
    </row>
    <row r="3851">
      <c r="A3851" s="3" t="str">
        <f>IFERROR(__xludf.DUMMYFUNCTION("""COMPUTED_VALUE"""),"duckdaodime")</f>
        <v>duckdaodime</v>
      </c>
      <c r="B3851" s="3" t="str">
        <f>IFERROR(__xludf.DUMMYFUNCTION("""COMPUTED_VALUE"""),"ddim")</f>
        <v>ddim</v>
      </c>
      <c r="C3851" s="3" t="str">
        <f>IFERROR(__xludf.DUMMYFUNCTION("""COMPUTED_VALUE"""),"DuckDaoDime")</f>
        <v>DuckDaoDime</v>
      </c>
    </row>
    <row r="3852">
      <c r="A3852" s="3" t="str">
        <f>IFERROR(__xludf.DUMMYFUNCTION("""COMPUTED_VALUE"""),"duckduck-token")</f>
        <v>duckduck-token</v>
      </c>
      <c r="B3852" s="3" t="str">
        <f>IFERROR(__xludf.DUMMYFUNCTION("""COMPUTED_VALUE"""),"duck")</f>
        <v>duck</v>
      </c>
      <c r="C3852" s="3" t="str">
        <f>IFERROR(__xludf.DUMMYFUNCTION("""COMPUTED_VALUE"""),"DuckDuck")</f>
        <v>DuckDuck</v>
      </c>
    </row>
    <row r="3853">
      <c r="A3853" s="3" t="str">
        <f>IFERROR(__xludf.DUMMYFUNCTION("""COMPUTED_VALUE"""),"duckereum")</f>
        <v>duckereum</v>
      </c>
      <c r="B3853" s="3" t="str">
        <f>IFERROR(__xludf.DUMMYFUNCTION("""COMPUTED_VALUE"""),"ducker")</f>
        <v>ducker</v>
      </c>
      <c r="C3853" s="3" t="str">
        <f>IFERROR(__xludf.DUMMYFUNCTION("""COMPUTED_VALUE"""),"Duckereum")</f>
        <v>Duckereum</v>
      </c>
    </row>
    <row r="3854">
      <c r="A3854" s="3" t="str">
        <f>IFERROR(__xludf.DUMMYFUNCTION("""COMPUTED_VALUE"""),"duckie-land-multi-metaverse")</f>
        <v>duckie-land-multi-metaverse</v>
      </c>
      <c r="B3854" s="3" t="str">
        <f>IFERROR(__xludf.DUMMYFUNCTION("""COMPUTED_VALUE"""),"mmeta")</f>
        <v>mmeta</v>
      </c>
      <c r="C3854" s="3" t="str">
        <f>IFERROR(__xludf.DUMMYFUNCTION("""COMPUTED_VALUE"""),"Duckie Land Multi Metaverse")</f>
        <v>Duckie Land Multi Metaverse</v>
      </c>
    </row>
    <row r="3855">
      <c r="A3855" s="3" t="str">
        <f>IFERROR(__xludf.DUMMYFUNCTION("""COMPUTED_VALUE"""),"duckies")</f>
        <v>duckies</v>
      </c>
      <c r="B3855" s="3" t="str">
        <f>IFERROR(__xludf.DUMMYFUNCTION("""COMPUTED_VALUE"""),"duckies")</f>
        <v>duckies</v>
      </c>
      <c r="C3855" s="3" t="str">
        <f>IFERROR(__xludf.DUMMYFUNCTION("""COMPUTED_VALUE"""),"Yellow Duckies")</f>
        <v>Yellow Duckies</v>
      </c>
    </row>
    <row r="3856">
      <c r="A3856" s="3" t="str">
        <f>IFERROR(__xludf.DUMMYFUNCTION("""COMPUTED_VALUE"""),"duck-punkz-universe-floor-index")</f>
        <v>duck-punkz-universe-floor-index</v>
      </c>
      <c r="B3856" s="3" t="str">
        <f>IFERROR(__xludf.DUMMYFUNCTION("""COMPUTED_VALUE"""),"dpunkz")</f>
        <v>dpunkz</v>
      </c>
      <c r="C3856" s="3" t="str">
        <f>IFERROR(__xludf.DUMMYFUNCTION("""COMPUTED_VALUE"""),"Duck Punkz Universe Floor Index")</f>
        <v>Duck Punkz Universe Floor Index</v>
      </c>
    </row>
    <row r="3857">
      <c r="A3857" s="3" t="str">
        <f>IFERROR(__xludf.DUMMYFUNCTION("""COMPUTED_VALUE"""),"duckrocket")</f>
        <v>duckrocket</v>
      </c>
      <c r="B3857" s="3" t="str">
        <f>IFERROR(__xludf.DUMMYFUNCTION("""COMPUTED_VALUE"""),"duck")</f>
        <v>duck</v>
      </c>
      <c r="C3857" s="3" t="str">
        <f>IFERROR(__xludf.DUMMYFUNCTION("""COMPUTED_VALUE"""),"DuckRocket")</f>
        <v>DuckRocket</v>
      </c>
    </row>
    <row r="3858">
      <c r="A3858" s="3" t="str">
        <f>IFERROR(__xludf.DUMMYFUNCTION("""COMPUTED_VALUE"""),"duck-vault-nftx")</f>
        <v>duck-vault-nftx</v>
      </c>
      <c r="B3858" s="3" t="str">
        <f>IFERROR(__xludf.DUMMYFUNCTION("""COMPUTED_VALUE"""),"duck")</f>
        <v>duck</v>
      </c>
      <c r="C3858" s="3" t="str">
        <f>IFERROR(__xludf.DUMMYFUNCTION("""COMPUTED_VALUE"""),"DUCK Vault (NFTX)")</f>
        <v>DUCK Vault (NFTX)</v>
      </c>
    </row>
    <row r="3859">
      <c r="A3859" s="3" t="str">
        <f>IFERROR(__xludf.DUMMYFUNCTION("""COMPUTED_VALUE"""),"duckydefi")</f>
        <v>duckydefi</v>
      </c>
      <c r="B3859" s="3" t="str">
        <f>IFERROR(__xludf.DUMMYFUNCTION("""COMPUTED_VALUE"""),"degg")</f>
        <v>degg</v>
      </c>
      <c r="C3859" s="3" t="str">
        <f>IFERROR(__xludf.DUMMYFUNCTION("""COMPUTED_VALUE"""),"DuckyDefi")</f>
        <v>DuckyDefi</v>
      </c>
    </row>
    <row r="3860">
      <c r="A3860" s="3" t="str">
        <f>IFERROR(__xludf.DUMMYFUNCTION("""COMPUTED_VALUE"""),"dude")</f>
        <v>dude</v>
      </c>
      <c r="B3860" s="3" t="str">
        <f>IFERROR(__xludf.DUMMYFUNCTION("""COMPUTED_VALUE"""),"dude")</f>
        <v>dude</v>
      </c>
      <c r="C3860" s="3" t="str">
        <f>IFERROR(__xludf.DUMMYFUNCTION("""COMPUTED_VALUE"""),"DuDe")</f>
        <v>DuDe</v>
      </c>
    </row>
    <row r="3861">
      <c r="A3861" s="3" t="str">
        <f>IFERROR(__xludf.DUMMYFUNCTION("""COMPUTED_VALUE"""),"duelist-king")</f>
        <v>duelist-king</v>
      </c>
      <c r="B3861" s="3" t="str">
        <f>IFERROR(__xludf.DUMMYFUNCTION("""COMPUTED_VALUE"""),"dkt")</f>
        <v>dkt</v>
      </c>
      <c r="C3861" s="3" t="str">
        <f>IFERROR(__xludf.DUMMYFUNCTION("""COMPUTED_VALUE"""),"Duelist King")</f>
        <v>Duelist King</v>
      </c>
    </row>
    <row r="3862">
      <c r="A3862" s="3" t="str">
        <f>IFERROR(__xludf.DUMMYFUNCTION("""COMPUTED_VALUE"""),"duel-network")</f>
        <v>duel-network</v>
      </c>
      <c r="B3862" s="3" t="str">
        <f>IFERROR(__xludf.DUMMYFUNCTION("""COMPUTED_VALUE"""),"duel")</f>
        <v>duel</v>
      </c>
      <c r="C3862" s="3" t="str">
        <f>IFERROR(__xludf.DUMMYFUNCTION("""COMPUTED_VALUE"""),"Duel Network")</f>
        <v>Duel Network</v>
      </c>
    </row>
    <row r="3863">
      <c r="A3863" s="3" t="str">
        <f>IFERROR(__xludf.DUMMYFUNCTION("""COMPUTED_VALUE"""),"duet-protocol")</f>
        <v>duet-protocol</v>
      </c>
      <c r="B3863" s="3" t="str">
        <f>IFERROR(__xludf.DUMMYFUNCTION("""COMPUTED_VALUE"""),"duet")</f>
        <v>duet</v>
      </c>
      <c r="C3863" s="3" t="str">
        <f>IFERROR(__xludf.DUMMYFUNCTION("""COMPUTED_VALUE"""),"Duet Protocol")</f>
        <v>Duet Protocol</v>
      </c>
    </row>
    <row r="3864">
      <c r="A3864" s="3" t="str">
        <f>IFERROR(__xludf.DUMMYFUNCTION("""COMPUTED_VALUE"""),"dukascoin")</f>
        <v>dukascoin</v>
      </c>
      <c r="B3864" s="3" t="str">
        <f>IFERROR(__xludf.DUMMYFUNCTION("""COMPUTED_VALUE"""),"duk+")</f>
        <v>duk+</v>
      </c>
      <c r="C3864" s="3" t="str">
        <f>IFERROR(__xludf.DUMMYFUNCTION("""COMPUTED_VALUE"""),"Dukascoin")</f>
        <v>Dukascoin</v>
      </c>
    </row>
    <row r="3865">
      <c r="A3865" s="3" t="str">
        <f>IFERROR(__xludf.DUMMYFUNCTION("""COMPUTED_VALUE"""),"dukecoin")</f>
        <v>dukecoin</v>
      </c>
      <c r="B3865" s="3" t="str">
        <f>IFERROR(__xludf.DUMMYFUNCTION("""COMPUTED_VALUE"""),"dkc")</f>
        <v>dkc</v>
      </c>
      <c r="C3865" s="3" t="str">
        <f>IFERROR(__xludf.DUMMYFUNCTION("""COMPUTED_VALUE"""),"Dukecoin")</f>
        <v>Dukecoin</v>
      </c>
    </row>
    <row r="3866">
      <c r="A3866" s="3" t="str">
        <f>IFERROR(__xludf.DUMMYFUNCTION("""COMPUTED_VALUE"""),"duke-inu-token")</f>
        <v>duke-inu-token</v>
      </c>
      <c r="B3866" s="3" t="str">
        <f>IFERROR(__xludf.DUMMYFUNCTION("""COMPUTED_VALUE"""),"duke")</f>
        <v>duke</v>
      </c>
      <c r="C3866" s="3" t="str">
        <f>IFERROR(__xludf.DUMMYFUNCTION("""COMPUTED_VALUE"""),"Duke Inu")</f>
        <v>Duke Inu</v>
      </c>
    </row>
    <row r="3867">
      <c r="A3867" s="3" t="str">
        <f>IFERROR(__xludf.DUMMYFUNCTION("""COMPUTED_VALUE"""),"dumpbuster")</f>
        <v>dumpbuster</v>
      </c>
      <c r="B3867" s="3" t="str">
        <f>IFERROR(__xludf.DUMMYFUNCTION("""COMPUTED_VALUE"""),"gtfo")</f>
        <v>gtfo</v>
      </c>
      <c r="C3867" s="3" t="str">
        <f>IFERROR(__xludf.DUMMYFUNCTION("""COMPUTED_VALUE"""),"DumpBuster")</f>
        <v>DumpBuster</v>
      </c>
    </row>
    <row r="3868">
      <c r="A3868" s="3" t="str">
        <f>IFERROR(__xludf.DUMMYFUNCTION("""COMPUTED_VALUE"""),"dungeon")</f>
        <v>dungeon</v>
      </c>
      <c r="B3868" s="3" t="str">
        <f>IFERROR(__xludf.DUMMYFUNCTION("""COMPUTED_VALUE"""),"dgn")</f>
        <v>dgn</v>
      </c>
      <c r="C3868" s="3" t="str">
        <f>IFERROR(__xludf.DUMMYFUNCTION("""COMPUTED_VALUE"""),"Dungeon")</f>
        <v>Dungeon</v>
      </c>
    </row>
    <row r="3869">
      <c r="A3869" s="3" t="str">
        <f>IFERROR(__xludf.DUMMYFUNCTION("""COMPUTED_VALUE"""),"dungeonswap")</f>
        <v>dungeonswap</v>
      </c>
      <c r="B3869" s="3" t="str">
        <f>IFERROR(__xludf.DUMMYFUNCTION("""COMPUTED_VALUE"""),"dnd")</f>
        <v>dnd</v>
      </c>
      <c r="C3869" s="3" t="str">
        <f>IFERROR(__xludf.DUMMYFUNCTION("""COMPUTED_VALUE"""),"DungeonSwap")</f>
        <v>DungeonSwap</v>
      </c>
    </row>
    <row r="3870">
      <c r="A3870" s="3" t="str">
        <f>IFERROR(__xludf.DUMMYFUNCTION("""COMPUTED_VALUE"""),"duo")</f>
        <v>duo</v>
      </c>
      <c r="B3870" s="3" t="str">
        <f>IFERROR(__xludf.DUMMYFUNCTION("""COMPUTED_VALUE"""),"duo")</f>
        <v>duo</v>
      </c>
      <c r="C3870" s="3" t="str">
        <f>IFERROR(__xludf.DUMMYFUNCTION("""COMPUTED_VALUE"""),"DUO Network")</f>
        <v>DUO Network</v>
      </c>
    </row>
    <row r="3871">
      <c r="A3871" s="3" t="str">
        <f>IFERROR(__xludf.DUMMYFUNCTION("""COMPUTED_VALUE"""),"durham-inu")</f>
        <v>durham-inu</v>
      </c>
      <c r="B3871" s="3" t="str">
        <f>IFERROR(__xludf.DUMMYFUNCTION("""COMPUTED_VALUE"""),"rbi")</f>
        <v>rbi</v>
      </c>
      <c r="C3871" s="3" t="str">
        <f>IFERROR(__xludf.DUMMYFUNCTION("""COMPUTED_VALUE"""),"Durham Inu")</f>
        <v>Durham Inu</v>
      </c>
    </row>
    <row r="3872">
      <c r="A3872" s="3" t="str">
        <f>IFERROR(__xludf.DUMMYFUNCTION("""COMPUTED_VALUE"""),"dusk-network")</f>
        <v>dusk-network</v>
      </c>
      <c r="B3872" s="3" t="str">
        <f>IFERROR(__xludf.DUMMYFUNCTION("""COMPUTED_VALUE"""),"dusk")</f>
        <v>dusk</v>
      </c>
      <c r="C3872" s="3" t="str">
        <f>IFERROR(__xludf.DUMMYFUNCTION("""COMPUTED_VALUE"""),"DUSK Network")</f>
        <v>DUSK Network</v>
      </c>
    </row>
    <row r="3873">
      <c r="A3873" s="3" t="str">
        <f>IFERROR(__xludf.DUMMYFUNCTION("""COMPUTED_VALUE"""),"dust")</f>
        <v>dust</v>
      </c>
      <c r="B3873" s="3" t="str">
        <f>IFERROR(__xludf.DUMMYFUNCTION("""COMPUTED_VALUE"""),"dust")</f>
        <v>dust</v>
      </c>
      <c r="C3873" s="3" t="str">
        <f>IFERROR(__xludf.DUMMYFUNCTION("""COMPUTED_VALUE"""),"Dust")</f>
        <v>Dust</v>
      </c>
    </row>
    <row r="3874">
      <c r="A3874" s="3" t="str">
        <f>IFERROR(__xludf.DUMMYFUNCTION("""COMPUTED_VALUE"""),"dust-protocol")</f>
        <v>dust-protocol</v>
      </c>
      <c r="B3874" s="3" t="str">
        <f>IFERROR(__xludf.DUMMYFUNCTION("""COMPUTED_VALUE"""),"dust")</f>
        <v>dust</v>
      </c>
      <c r="C3874" s="3" t="str">
        <f>IFERROR(__xludf.DUMMYFUNCTION("""COMPUTED_VALUE"""),"DUST Protocol")</f>
        <v>DUST Protocol</v>
      </c>
    </row>
    <row r="3875">
      <c r="A3875" s="3" t="str">
        <f>IFERROR(__xludf.DUMMYFUNCTION("""COMPUTED_VALUE"""),"duzce")</f>
        <v>duzce</v>
      </c>
      <c r="B3875" s="3" t="str">
        <f>IFERROR(__xludf.DUMMYFUNCTION("""COMPUTED_VALUE"""),"duzce")</f>
        <v>duzce</v>
      </c>
      <c r="C3875" s="3" t="str">
        <f>IFERROR(__xludf.DUMMYFUNCTION("""COMPUTED_VALUE"""),"Duzce")</f>
        <v>Duzce</v>
      </c>
    </row>
    <row r="3876">
      <c r="A3876" s="3" t="str">
        <f>IFERROR(__xludf.DUMMYFUNCTION("""COMPUTED_VALUE"""),"dvision-network")</f>
        <v>dvision-network</v>
      </c>
      <c r="B3876" s="3" t="str">
        <f>IFERROR(__xludf.DUMMYFUNCTION("""COMPUTED_VALUE"""),"dvi")</f>
        <v>dvi</v>
      </c>
      <c r="C3876" s="3" t="str">
        <f>IFERROR(__xludf.DUMMYFUNCTION("""COMPUTED_VALUE"""),"Dvision Network")</f>
        <v>Dvision Network</v>
      </c>
    </row>
    <row r="3877">
      <c r="A3877" s="3" t="str">
        <f>IFERROR(__xludf.DUMMYFUNCTION("""COMPUTED_VALUE"""),"dwagon")</f>
        <v>dwagon</v>
      </c>
      <c r="B3877" s="3" t="str">
        <f>IFERROR(__xludf.DUMMYFUNCTION("""COMPUTED_VALUE"""),"babytsuka")</f>
        <v>babytsuka</v>
      </c>
      <c r="C3877" s="3" t="str">
        <f>IFERROR(__xludf.DUMMYFUNCTION("""COMPUTED_VALUE"""),"Dwagon")</f>
        <v>Dwagon</v>
      </c>
    </row>
    <row r="3878">
      <c r="A3878" s="3" t="str">
        <f>IFERROR(__xludf.DUMMYFUNCTION("""COMPUTED_VALUE"""),"dxbpay")</f>
        <v>dxbpay</v>
      </c>
      <c r="B3878" s="3" t="str">
        <f>IFERROR(__xludf.DUMMYFUNCTION("""COMPUTED_VALUE"""),"dxb")</f>
        <v>dxb</v>
      </c>
      <c r="C3878" s="3" t="str">
        <f>IFERROR(__xludf.DUMMYFUNCTION("""COMPUTED_VALUE"""),"DXBPay")</f>
        <v>DXBPay</v>
      </c>
    </row>
    <row r="3879">
      <c r="A3879" s="3" t="str">
        <f>IFERROR(__xludf.DUMMYFUNCTION("""COMPUTED_VALUE"""),"dxcad")</f>
        <v>dxcad</v>
      </c>
      <c r="B3879" s="3" t="str">
        <f>IFERROR(__xludf.DUMMYFUNCTION("""COMPUTED_VALUE"""),"dxcad")</f>
        <v>dxcad</v>
      </c>
      <c r="C3879" s="3" t="str">
        <f>IFERROR(__xludf.DUMMYFUNCTION("""COMPUTED_VALUE"""),"dXCAD")</f>
        <v>dXCAD</v>
      </c>
    </row>
    <row r="3880">
      <c r="A3880" s="3" t="str">
        <f>IFERROR(__xludf.DUMMYFUNCTION("""COMPUTED_VALUE"""),"dxchain")</f>
        <v>dxchain</v>
      </c>
      <c r="B3880" s="3" t="str">
        <f>IFERROR(__xludf.DUMMYFUNCTION("""COMPUTED_VALUE"""),"dx")</f>
        <v>dx</v>
      </c>
      <c r="C3880" s="3" t="str">
        <f>IFERROR(__xludf.DUMMYFUNCTION("""COMPUTED_VALUE"""),"DxChain")</f>
        <v>DxChain</v>
      </c>
    </row>
    <row r="3881">
      <c r="A3881" s="3" t="str">
        <f>IFERROR(__xludf.DUMMYFUNCTION("""COMPUTED_VALUE"""),"dxdao")</f>
        <v>dxdao</v>
      </c>
      <c r="B3881" s="3" t="str">
        <f>IFERROR(__xludf.DUMMYFUNCTION("""COMPUTED_VALUE"""),"dxd")</f>
        <v>dxd</v>
      </c>
      <c r="C3881" s="3" t="str">
        <f>IFERROR(__xludf.DUMMYFUNCTION("""COMPUTED_VALUE"""),"DXdao")</f>
        <v>DXdao</v>
      </c>
    </row>
    <row r="3882">
      <c r="A3882" s="3" t="str">
        <f>IFERROR(__xludf.DUMMYFUNCTION("""COMPUTED_VALUE"""),"dxsale-network")</f>
        <v>dxsale-network</v>
      </c>
      <c r="B3882" s="3" t="str">
        <f>IFERROR(__xludf.DUMMYFUNCTION("""COMPUTED_VALUE"""),"sale")</f>
        <v>sale</v>
      </c>
      <c r="C3882" s="3" t="str">
        <f>IFERROR(__xludf.DUMMYFUNCTION("""COMPUTED_VALUE"""),"DxSale Network")</f>
        <v>DxSale Network</v>
      </c>
    </row>
    <row r="3883">
      <c r="A3883" s="3" t="str">
        <f>IFERROR(__xludf.DUMMYFUNCTION("""COMPUTED_VALUE"""),"dx-spot")</f>
        <v>dx-spot</v>
      </c>
      <c r="B3883" s="3" t="str">
        <f>IFERROR(__xludf.DUMMYFUNCTION("""COMPUTED_VALUE"""),"dxs")</f>
        <v>dxs</v>
      </c>
      <c r="C3883" s="3" t="str">
        <f>IFERROR(__xludf.DUMMYFUNCTION("""COMPUTED_VALUE"""),"Dx Spot")</f>
        <v>Dx Spot</v>
      </c>
    </row>
    <row r="3884">
      <c r="A3884" s="3" t="str">
        <f>IFERROR(__xludf.DUMMYFUNCTION("""COMPUTED_VALUE"""),"dxy-finance")</f>
        <v>dxy-finance</v>
      </c>
      <c r="B3884" s="3" t="str">
        <f>IFERROR(__xludf.DUMMYFUNCTION("""COMPUTED_VALUE"""),"dxy")</f>
        <v>dxy</v>
      </c>
      <c r="C3884" s="3" t="str">
        <f>IFERROR(__xludf.DUMMYFUNCTION("""COMPUTED_VALUE"""),"DXY Finance")</f>
        <v>DXY Finance</v>
      </c>
    </row>
    <row r="3885">
      <c r="A3885" s="3" t="str">
        <f>IFERROR(__xludf.DUMMYFUNCTION("""COMPUTED_VALUE"""),"dyakon")</f>
        <v>dyakon</v>
      </c>
      <c r="B3885" s="3" t="str">
        <f>IFERROR(__xludf.DUMMYFUNCTION("""COMPUTED_VALUE"""),"dyn")</f>
        <v>dyn</v>
      </c>
      <c r="C3885" s="3" t="str">
        <f>IFERROR(__xludf.DUMMYFUNCTION("""COMPUTED_VALUE"""),"DYAKON")</f>
        <v>DYAKON</v>
      </c>
    </row>
    <row r="3886">
      <c r="A3886" s="3" t="str">
        <f>IFERROR(__xludf.DUMMYFUNCTION("""COMPUTED_VALUE"""),"dydx")</f>
        <v>dydx</v>
      </c>
      <c r="B3886" s="3" t="str">
        <f>IFERROR(__xludf.DUMMYFUNCTION("""COMPUTED_VALUE"""),"dydx")</f>
        <v>dydx</v>
      </c>
      <c r="C3886" s="3" t="str">
        <f>IFERROR(__xludf.DUMMYFUNCTION("""COMPUTED_VALUE"""),"dYdX")</f>
        <v>dYdX</v>
      </c>
    </row>
    <row r="3887">
      <c r="A3887" s="3" t="str">
        <f>IFERROR(__xludf.DUMMYFUNCTION("""COMPUTED_VALUE"""),"dydx-wormhole")</f>
        <v>dydx-wormhole</v>
      </c>
      <c r="B3887" s="3" t="str">
        <f>IFERROR(__xludf.DUMMYFUNCTION("""COMPUTED_VALUE"""),"dydx")</f>
        <v>dydx</v>
      </c>
      <c r="C3887" s="3" t="str">
        <f>IFERROR(__xludf.DUMMYFUNCTION("""COMPUTED_VALUE"""),"dYdX (Wormhole)")</f>
        <v>dYdX (Wormhole)</v>
      </c>
    </row>
    <row r="3888">
      <c r="A3888" s="3" t="str">
        <f>IFERROR(__xludf.DUMMYFUNCTION("""COMPUTED_VALUE"""),"dymmax")</f>
        <v>dymmax</v>
      </c>
      <c r="B3888" s="3" t="str">
        <f>IFERROR(__xludf.DUMMYFUNCTION("""COMPUTED_VALUE"""),"dmx")</f>
        <v>dmx</v>
      </c>
      <c r="C3888" s="3" t="str">
        <f>IFERROR(__xludf.DUMMYFUNCTION("""COMPUTED_VALUE"""),"Dymmax")</f>
        <v>Dymmax</v>
      </c>
    </row>
    <row r="3889">
      <c r="A3889" s="3" t="str">
        <f>IFERROR(__xludf.DUMMYFUNCTION("""COMPUTED_VALUE"""),"dynamic")</f>
        <v>dynamic</v>
      </c>
      <c r="B3889" s="3" t="str">
        <f>IFERROR(__xludf.DUMMYFUNCTION("""COMPUTED_VALUE"""),"dyn")</f>
        <v>dyn</v>
      </c>
      <c r="C3889" s="3" t="str">
        <f>IFERROR(__xludf.DUMMYFUNCTION("""COMPUTED_VALUE"""),"Dynamic")</f>
        <v>Dynamic</v>
      </c>
    </row>
    <row r="3890">
      <c r="A3890" s="3" t="str">
        <f>IFERROR(__xludf.DUMMYFUNCTION("""COMPUTED_VALUE"""),"dynamic-set-dollar")</f>
        <v>dynamic-set-dollar</v>
      </c>
      <c r="B3890" s="3" t="str">
        <f>IFERROR(__xludf.DUMMYFUNCTION("""COMPUTED_VALUE"""),"dsd")</f>
        <v>dsd</v>
      </c>
      <c r="C3890" s="3" t="str">
        <f>IFERROR(__xludf.DUMMYFUNCTION("""COMPUTED_VALUE"""),"Dynamic Set Dollar")</f>
        <v>Dynamic Set Dollar</v>
      </c>
    </row>
    <row r="3891">
      <c r="A3891" s="3" t="str">
        <f>IFERROR(__xludf.DUMMYFUNCTION("""COMPUTED_VALUE"""),"dynamite")</f>
        <v>dynamite</v>
      </c>
      <c r="B3891" s="3" t="str">
        <f>IFERROR(__xludf.DUMMYFUNCTION("""COMPUTED_VALUE"""),"dyt")</f>
        <v>dyt</v>
      </c>
      <c r="C3891" s="3" t="str">
        <f>IFERROR(__xludf.DUMMYFUNCTION("""COMPUTED_VALUE"""),"DoYourTip")</f>
        <v>DoYourTip</v>
      </c>
    </row>
    <row r="3892">
      <c r="A3892" s="3" t="str">
        <f>IFERROR(__xludf.DUMMYFUNCTION("""COMPUTED_VALUE"""),"dynamite-token")</f>
        <v>dynamite-token</v>
      </c>
      <c r="B3892" s="3" t="str">
        <f>IFERROR(__xludf.DUMMYFUNCTION("""COMPUTED_VALUE"""),"dynmt")</f>
        <v>dynmt</v>
      </c>
      <c r="C3892" s="3" t="str">
        <f>IFERROR(__xludf.DUMMYFUNCTION("""COMPUTED_VALUE"""),"Dynamite")</f>
        <v>Dynamite</v>
      </c>
    </row>
    <row r="3893">
      <c r="A3893" s="3" t="str">
        <f>IFERROR(__xludf.DUMMYFUNCTION("""COMPUTED_VALUE"""),"dynamix")</f>
        <v>dynamix</v>
      </c>
      <c r="B3893" s="3" t="str">
        <f>IFERROR(__xludf.DUMMYFUNCTION("""COMPUTED_VALUE"""),"dyna")</f>
        <v>dyna</v>
      </c>
      <c r="C3893" s="3" t="str">
        <f>IFERROR(__xludf.DUMMYFUNCTION("""COMPUTED_VALUE"""),"Dynamix")</f>
        <v>Dynamix</v>
      </c>
    </row>
    <row r="3894">
      <c r="A3894" s="3" t="str">
        <f>IFERROR(__xludf.DUMMYFUNCTION("""COMPUTED_VALUE"""),"dynamo-coin")</f>
        <v>dynamo-coin</v>
      </c>
      <c r="B3894" s="3" t="str">
        <f>IFERROR(__xludf.DUMMYFUNCTION("""COMPUTED_VALUE"""),"dynamo")</f>
        <v>dynamo</v>
      </c>
      <c r="C3894" s="3" t="str">
        <f>IFERROR(__xludf.DUMMYFUNCTION("""COMPUTED_VALUE"""),"Dynamo Coin")</f>
        <v>Dynamo Coin</v>
      </c>
    </row>
    <row r="3895">
      <c r="A3895" s="3" t="str">
        <f>IFERROR(__xludf.DUMMYFUNCTION("""COMPUTED_VALUE"""),"dynasty-global-investments-ag")</f>
        <v>dynasty-global-investments-ag</v>
      </c>
      <c r="B3895" s="3" t="str">
        <f>IFERROR(__xludf.DUMMYFUNCTION("""COMPUTED_VALUE"""),"dyn")</f>
        <v>dyn</v>
      </c>
      <c r="C3895" s="3" t="str">
        <f>IFERROR(__xludf.DUMMYFUNCTION("""COMPUTED_VALUE"""),"Dynasty Global Investments AG")</f>
        <v>Dynasty Global Investments AG</v>
      </c>
    </row>
    <row r="3896">
      <c r="A3896" s="3" t="str">
        <f>IFERROR(__xludf.DUMMYFUNCTION("""COMPUTED_VALUE"""),"dynex")</f>
        <v>dynex</v>
      </c>
      <c r="B3896" s="3" t="str">
        <f>IFERROR(__xludf.DUMMYFUNCTION("""COMPUTED_VALUE"""),"dnx")</f>
        <v>dnx</v>
      </c>
      <c r="C3896" s="3" t="str">
        <f>IFERROR(__xludf.DUMMYFUNCTION("""COMPUTED_VALUE"""),"Dynex")</f>
        <v>Dynex</v>
      </c>
    </row>
    <row r="3897">
      <c r="A3897" s="3" t="str">
        <f>IFERROR(__xludf.DUMMYFUNCTION("""COMPUTED_VALUE"""),"dynochain")</f>
        <v>dynochain</v>
      </c>
      <c r="B3897" s="3" t="str">
        <f>IFERROR(__xludf.DUMMYFUNCTION("""COMPUTED_VALUE"""),"dnd")</f>
        <v>dnd</v>
      </c>
      <c r="C3897" s="3" t="str">
        <f>IFERROR(__xludf.DUMMYFUNCTION("""COMPUTED_VALUE"""),"DynoChain")</f>
        <v>DynoChain</v>
      </c>
    </row>
    <row r="3898">
      <c r="A3898" s="3" t="str">
        <f>IFERROR(__xludf.DUMMYFUNCTION("""COMPUTED_VALUE"""),"dyor")</f>
        <v>dyor</v>
      </c>
      <c r="B3898" s="3" t="str">
        <f>IFERROR(__xludf.DUMMYFUNCTION("""COMPUTED_VALUE"""),"dyor")</f>
        <v>dyor</v>
      </c>
      <c r="C3898" s="3" t="str">
        <f>IFERROR(__xludf.DUMMYFUNCTION("""COMPUTED_VALUE"""),"DYOR")</f>
        <v>DYOR</v>
      </c>
    </row>
    <row r="3899">
      <c r="A3899" s="3" t="str">
        <f>IFERROR(__xludf.DUMMYFUNCTION("""COMPUTED_VALUE"""),"dystopia")</f>
        <v>dystopia</v>
      </c>
      <c r="B3899" s="3" t="str">
        <f>IFERROR(__xludf.DUMMYFUNCTION("""COMPUTED_VALUE"""),"dyst")</f>
        <v>dyst</v>
      </c>
      <c r="C3899" s="3" t="str">
        <f>IFERROR(__xludf.DUMMYFUNCTION("""COMPUTED_VALUE"""),"Dystopia")</f>
        <v>Dystopia</v>
      </c>
    </row>
    <row r="3900">
      <c r="A3900" s="3" t="str">
        <f>IFERROR(__xludf.DUMMYFUNCTION("""COMPUTED_VALUE"""),"e1337")</f>
        <v>e1337</v>
      </c>
      <c r="B3900" s="3" t="str">
        <f>IFERROR(__xludf.DUMMYFUNCTION("""COMPUTED_VALUE"""),"1337")</f>
        <v>1337</v>
      </c>
      <c r="C3900" s="3" t="str">
        <f>IFERROR(__xludf.DUMMYFUNCTION("""COMPUTED_VALUE"""),"1337")</f>
        <v>1337</v>
      </c>
    </row>
    <row r="3901">
      <c r="A3901" s="3" t="str">
        <f>IFERROR(__xludf.DUMMYFUNCTION("""COMPUTED_VALUE"""),"eaglecoin-2")</f>
        <v>eaglecoin-2</v>
      </c>
      <c r="B3901" s="3" t="str">
        <f>IFERROR(__xludf.DUMMYFUNCTION("""COMPUTED_VALUE"""),"elc")</f>
        <v>elc</v>
      </c>
      <c r="C3901" s="3" t="str">
        <f>IFERROR(__xludf.DUMMYFUNCTION("""COMPUTED_VALUE"""),"EagleCoin")</f>
        <v>EagleCoin</v>
      </c>
    </row>
    <row r="3902">
      <c r="A3902" s="3" t="str">
        <f>IFERROR(__xludf.DUMMYFUNCTION("""COMPUTED_VALUE"""),"eagle-mining-network")</f>
        <v>eagle-mining-network</v>
      </c>
      <c r="B3902" s="3" t="str">
        <f>IFERROR(__xludf.DUMMYFUNCTION("""COMPUTED_VALUE"""),"egon")</f>
        <v>egon</v>
      </c>
      <c r="C3902" s="3" t="str">
        <f>IFERROR(__xludf.DUMMYFUNCTION("""COMPUTED_VALUE"""),"EAGLE MINING NETWORK")</f>
        <v>EAGLE MINING NETWORK</v>
      </c>
    </row>
    <row r="3903">
      <c r="A3903" s="3" t="str">
        <f>IFERROR(__xludf.DUMMYFUNCTION("""COMPUTED_VALUE"""),"eagonswap-token")</f>
        <v>eagonswap-token</v>
      </c>
      <c r="B3903" s="3" t="str">
        <f>IFERROR(__xludf.DUMMYFUNCTION("""COMPUTED_VALUE"""),"eagon")</f>
        <v>eagon</v>
      </c>
      <c r="C3903" s="3" t="str">
        <f>IFERROR(__xludf.DUMMYFUNCTION("""COMPUTED_VALUE"""),"EagonSwap")</f>
        <v>EagonSwap</v>
      </c>
    </row>
    <row r="3904">
      <c r="A3904" s="3" t="str">
        <f>IFERROR(__xludf.DUMMYFUNCTION("""COMPUTED_VALUE"""),"early-bird")</f>
        <v>early-bird</v>
      </c>
      <c r="B3904" s="3" t="str">
        <f>IFERROR(__xludf.DUMMYFUNCTION("""COMPUTED_VALUE"""),"ebird")</f>
        <v>ebird</v>
      </c>
      <c r="C3904" s="3" t="str">
        <f>IFERROR(__xludf.DUMMYFUNCTION("""COMPUTED_VALUE"""),"Early Bird")</f>
        <v>Early Bird</v>
      </c>
    </row>
    <row r="3905">
      <c r="A3905" s="3" t="str">
        <f>IFERROR(__xludf.DUMMYFUNCTION("""COMPUTED_VALUE"""),"earnbusd")</f>
        <v>earnbusd</v>
      </c>
      <c r="B3905" s="3" t="str">
        <f>IFERROR(__xludf.DUMMYFUNCTION("""COMPUTED_VALUE"""),"ebusd")</f>
        <v>ebusd</v>
      </c>
      <c r="C3905" s="3" t="str">
        <f>IFERROR(__xludf.DUMMYFUNCTION("""COMPUTED_VALUE"""),"EarnBUSD")</f>
        <v>EarnBUSD</v>
      </c>
    </row>
    <row r="3906">
      <c r="A3906" s="3" t="str">
        <f>IFERROR(__xludf.DUMMYFUNCTION("""COMPUTED_VALUE"""),"earncraft")</f>
        <v>earncraft</v>
      </c>
      <c r="B3906" s="3" t="str">
        <f>IFERROR(__xludf.DUMMYFUNCTION("""COMPUTED_VALUE"""),"plot")</f>
        <v>plot</v>
      </c>
      <c r="C3906" s="3" t="str">
        <f>IFERROR(__xludf.DUMMYFUNCTION("""COMPUTED_VALUE"""),"Earncraft")</f>
        <v>Earncraft</v>
      </c>
    </row>
    <row r="3907">
      <c r="A3907" s="3" t="str">
        <f>IFERROR(__xludf.DUMMYFUNCTION("""COMPUTED_VALUE"""),"earndefi")</f>
        <v>earndefi</v>
      </c>
      <c r="B3907" s="3" t="str">
        <f>IFERROR(__xludf.DUMMYFUNCTION("""COMPUTED_VALUE"""),"edc")</f>
        <v>edc</v>
      </c>
      <c r="C3907" s="3" t="str">
        <f>IFERROR(__xludf.DUMMYFUNCTION("""COMPUTED_VALUE"""),"EarnDeFi")</f>
        <v>EarnDeFi</v>
      </c>
    </row>
    <row r="3908">
      <c r="A3908" s="3" t="str">
        <f>IFERROR(__xludf.DUMMYFUNCTION("""COMPUTED_VALUE"""),"earnguild")</f>
        <v>earnguild</v>
      </c>
      <c r="B3908" s="3" t="str">
        <f>IFERROR(__xludf.DUMMYFUNCTION("""COMPUTED_VALUE"""),"earn")</f>
        <v>earn</v>
      </c>
      <c r="C3908" s="3" t="str">
        <f>IFERROR(__xludf.DUMMYFUNCTION("""COMPUTED_VALUE"""),"EarnGuild")</f>
        <v>EarnGuild</v>
      </c>
    </row>
    <row r="3909">
      <c r="A3909" s="3" t="str">
        <f>IFERROR(__xludf.DUMMYFUNCTION("""COMPUTED_VALUE"""),"earnx-v2")</f>
        <v>earnx-v2</v>
      </c>
      <c r="B3909" s="3" t="str">
        <f>IFERROR(__xludf.DUMMYFUNCTION("""COMPUTED_VALUE"""),"earnx")</f>
        <v>earnx</v>
      </c>
      <c r="C3909" s="3" t="str">
        <f>IFERROR(__xludf.DUMMYFUNCTION("""COMPUTED_VALUE"""),"EarnX V2")</f>
        <v>EarnX V2</v>
      </c>
    </row>
    <row r="3910">
      <c r="A3910" s="3" t="str">
        <f>IFERROR(__xludf.DUMMYFUNCTION("""COMPUTED_VALUE"""),"earnytv")</f>
        <v>earnytv</v>
      </c>
      <c r="B3910" s="3" t="str">
        <f>IFERROR(__xludf.DUMMYFUNCTION("""COMPUTED_VALUE"""),"$earny")</f>
        <v>$earny</v>
      </c>
      <c r="C3910" s="3" t="str">
        <f>IFERROR(__xludf.DUMMYFUNCTION("""COMPUTED_VALUE"""),"EarnyTV")</f>
        <v>EarnyTV</v>
      </c>
    </row>
    <row r="3911">
      <c r="A3911" s="3" t="str">
        <f>IFERROR(__xludf.DUMMYFUNCTION("""COMPUTED_VALUE"""),"earnzcoin")</f>
        <v>earnzcoin</v>
      </c>
      <c r="B3911" s="3" t="str">
        <f>IFERROR(__xludf.DUMMYFUNCTION("""COMPUTED_VALUE"""),"erz")</f>
        <v>erz</v>
      </c>
      <c r="C3911" s="3" t="str">
        <f>IFERROR(__xludf.DUMMYFUNCTION("""COMPUTED_VALUE"""),"EarnzCoin")</f>
        <v>EarnzCoin</v>
      </c>
    </row>
    <row r="3912">
      <c r="A3912" s="3" t="str">
        <f>IFERROR(__xludf.DUMMYFUNCTION("""COMPUTED_VALUE"""),"earthbyt")</f>
        <v>earthbyt</v>
      </c>
      <c r="B3912" s="3" t="str">
        <f>IFERROR(__xludf.DUMMYFUNCTION("""COMPUTED_VALUE"""),"ebyt")</f>
        <v>ebyt</v>
      </c>
      <c r="C3912" s="3" t="str">
        <f>IFERROR(__xludf.DUMMYFUNCTION("""COMPUTED_VALUE"""),"EarthByt")</f>
        <v>EarthByt</v>
      </c>
    </row>
    <row r="3913">
      <c r="A3913" s="3" t="str">
        <f>IFERROR(__xludf.DUMMYFUNCTION("""COMPUTED_VALUE"""),"earthcoin")</f>
        <v>earthcoin</v>
      </c>
      <c r="B3913" s="3" t="str">
        <f>IFERROR(__xludf.DUMMYFUNCTION("""COMPUTED_VALUE"""),"eac")</f>
        <v>eac</v>
      </c>
      <c r="C3913" s="3" t="str">
        <f>IFERROR(__xludf.DUMMYFUNCTION("""COMPUTED_VALUE"""),"Earthcoin")</f>
        <v>Earthcoin</v>
      </c>
    </row>
    <row r="3914">
      <c r="A3914" s="3" t="str">
        <f>IFERROR(__xludf.DUMMYFUNCTION("""COMPUTED_VALUE"""),"earthfund")</f>
        <v>earthfund</v>
      </c>
      <c r="B3914" s="3" t="str">
        <f>IFERROR(__xludf.DUMMYFUNCTION("""COMPUTED_VALUE"""),"1earth")</f>
        <v>1earth</v>
      </c>
      <c r="C3914" s="3" t="str">
        <f>IFERROR(__xludf.DUMMYFUNCTION("""COMPUTED_VALUE"""),"EarthFund")</f>
        <v>EarthFund</v>
      </c>
    </row>
    <row r="3915">
      <c r="A3915" s="3" t="str">
        <f>IFERROR(__xludf.DUMMYFUNCTION("""COMPUTED_VALUE"""),"ease")</f>
        <v>ease</v>
      </c>
      <c r="B3915" s="3" t="str">
        <f>IFERROR(__xludf.DUMMYFUNCTION("""COMPUTED_VALUE"""),"ease")</f>
        <v>ease</v>
      </c>
      <c r="C3915" s="3" t="str">
        <f>IFERROR(__xludf.DUMMYFUNCTION("""COMPUTED_VALUE"""),"EASE")</f>
        <v>EASE</v>
      </c>
    </row>
    <row r="3916">
      <c r="A3916" s="3" t="str">
        <f>IFERROR(__xludf.DUMMYFUNCTION("""COMPUTED_VALUE"""),"easter-floki")</f>
        <v>easter-floki</v>
      </c>
      <c r="B3916" s="3" t="str">
        <f>IFERROR(__xludf.DUMMYFUNCTION("""COMPUTED_VALUE"""),"efloki")</f>
        <v>efloki</v>
      </c>
      <c r="C3916" s="3" t="str">
        <f>IFERROR(__xludf.DUMMYFUNCTION("""COMPUTED_VALUE"""),"Easter Floki")</f>
        <v>Easter Floki</v>
      </c>
    </row>
    <row r="3917">
      <c r="A3917" s="3" t="str">
        <f>IFERROR(__xludf.DUMMYFUNCTION("""COMPUTED_VALUE"""),"easticoin")</f>
        <v>easticoin</v>
      </c>
      <c r="B3917" s="3" t="str">
        <f>IFERROR(__xludf.DUMMYFUNCTION("""COMPUTED_VALUE"""),"esti")</f>
        <v>esti</v>
      </c>
      <c r="C3917" s="3" t="str">
        <f>IFERROR(__xludf.DUMMYFUNCTION("""COMPUTED_VALUE"""),"Easticoin")</f>
        <v>Easticoin</v>
      </c>
    </row>
    <row r="3918">
      <c r="A3918" s="3" t="str">
        <f>IFERROR(__xludf.DUMMYFUNCTION("""COMPUTED_VALUE"""),"easyfi")</f>
        <v>easyfi</v>
      </c>
      <c r="B3918" s="3" t="str">
        <f>IFERROR(__xludf.DUMMYFUNCTION("""COMPUTED_VALUE"""),"ez")</f>
        <v>ez</v>
      </c>
      <c r="C3918" s="3" t="str">
        <f>IFERROR(__xludf.DUMMYFUNCTION("""COMPUTED_VALUE"""),"EasyFi V2")</f>
        <v>EasyFi V2</v>
      </c>
    </row>
    <row r="3919">
      <c r="A3919" s="3" t="str">
        <f>IFERROR(__xludf.DUMMYFUNCTION("""COMPUTED_VALUE"""),"easymine")</f>
        <v>easymine</v>
      </c>
      <c r="B3919" s="3" t="str">
        <f>IFERROR(__xludf.DUMMYFUNCTION("""COMPUTED_VALUE"""),"emt")</f>
        <v>emt</v>
      </c>
      <c r="C3919" s="3" t="str">
        <f>IFERROR(__xludf.DUMMYFUNCTION("""COMPUTED_VALUE"""),"easyMine")</f>
        <v>easyMine</v>
      </c>
    </row>
    <row r="3920">
      <c r="A3920" s="3" t="str">
        <f>IFERROR(__xludf.DUMMYFUNCTION("""COMPUTED_VALUE"""),"eat-to-earn")</f>
        <v>eat-to-earn</v>
      </c>
      <c r="B3920" s="3" t="str">
        <f>IFERROR(__xludf.DUMMYFUNCTION("""COMPUTED_VALUE"""),"eater")</f>
        <v>eater</v>
      </c>
      <c r="C3920" s="3" t="str">
        <f>IFERROR(__xludf.DUMMYFUNCTION("""COMPUTED_VALUE"""),"Eat to Earn")</f>
        <v>Eat to Earn</v>
      </c>
    </row>
    <row r="3921">
      <c r="A3921" s="3" t="str">
        <f>IFERROR(__xludf.DUMMYFUNCTION("""COMPUTED_VALUE"""),"eautocoin")</f>
        <v>eautocoin</v>
      </c>
      <c r="B3921" s="3" t="str">
        <f>IFERROR(__xludf.DUMMYFUNCTION("""COMPUTED_VALUE"""),"ato")</f>
        <v>ato</v>
      </c>
      <c r="C3921" s="3" t="str">
        <f>IFERROR(__xludf.DUMMYFUNCTION("""COMPUTED_VALUE"""),"EAutocoin")</f>
        <v>EAutocoin</v>
      </c>
    </row>
    <row r="3922">
      <c r="A3922" s="3" t="str">
        <f>IFERROR(__xludf.DUMMYFUNCTION("""COMPUTED_VALUE"""),"eblockstock")</f>
        <v>eblockstock</v>
      </c>
      <c r="B3922" s="3" t="str">
        <f>IFERROR(__xludf.DUMMYFUNCTION("""COMPUTED_VALUE"""),"ebso")</f>
        <v>ebso</v>
      </c>
      <c r="C3922" s="3" t="str">
        <f>IFERROR(__xludf.DUMMYFUNCTION("""COMPUTED_VALUE"""),"eBlockStock")</f>
        <v>eBlockStock</v>
      </c>
    </row>
    <row r="3923">
      <c r="A3923" s="3" t="str">
        <f>IFERROR(__xludf.DUMMYFUNCTION("""COMPUTED_VALUE"""),"ebox")</f>
        <v>ebox</v>
      </c>
      <c r="B3923" s="3" t="str">
        <f>IFERROR(__xludf.DUMMYFUNCTION("""COMPUTED_VALUE"""),"ebox")</f>
        <v>ebox</v>
      </c>
      <c r="C3923" s="3" t="str">
        <f>IFERROR(__xludf.DUMMYFUNCTION("""COMPUTED_VALUE"""),"Ebox")</f>
        <v>Ebox</v>
      </c>
    </row>
    <row r="3924">
      <c r="A3924" s="3" t="str">
        <f>IFERROR(__xludf.DUMMYFUNCTION("""COMPUTED_VALUE"""),"ebsp-token")</f>
        <v>ebsp-token</v>
      </c>
      <c r="B3924" s="3" t="str">
        <f>IFERROR(__xludf.DUMMYFUNCTION("""COMPUTED_VALUE"""),"ebsp")</f>
        <v>ebsp</v>
      </c>
      <c r="C3924" s="3" t="str">
        <f>IFERROR(__xludf.DUMMYFUNCTION("""COMPUTED_VALUE"""),"EBSP")</f>
        <v>EBSP</v>
      </c>
    </row>
    <row r="3925">
      <c r="A3925" s="3" t="str">
        <f>IFERROR(__xludf.DUMMYFUNCTION("""COMPUTED_VALUE"""),"ecash")</f>
        <v>ecash</v>
      </c>
      <c r="B3925" s="3" t="str">
        <f>IFERROR(__xludf.DUMMYFUNCTION("""COMPUTED_VALUE"""),"xec")</f>
        <v>xec</v>
      </c>
      <c r="C3925" s="3" t="str">
        <f>IFERROR(__xludf.DUMMYFUNCTION("""COMPUTED_VALUE"""),"eCash")</f>
        <v>eCash</v>
      </c>
    </row>
    <row r="3926">
      <c r="A3926" s="3" t="str">
        <f>IFERROR(__xludf.DUMMYFUNCTION("""COMPUTED_VALUE"""),"eceltron")</f>
        <v>eceltron</v>
      </c>
      <c r="B3926" s="3" t="str">
        <f>IFERROR(__xludf.DUMMYFUNCTION("""COMPUTED_VALUE"""),"ectr")</f>
        <v>ectr</v>
      </c>
      <c r="C3926" s="3" t="str">
        <f>IFERROR(__xludf.DUMMYFUNCTION("""COMPUTED_VALUE"""),"eCeltron")</f>
        <v>eCeltron</v>
      </c>
    </row>
    <row r="3927">
      <c r="A3927" s="3" t="str">
        <f>IFERROR(__xludf.DUMMYFUNCTION("""COMPUTED_VALUE"""),"echain-network")</f>
        <v>echain-network</v>
      </c>
      <c r="B3927" s="3" t="str">
        <f>IFERROR(__xludf.DUMMYFUNCTION("""COMPUTED_VALUE"""),"ect")</f>
        <v>ect</v>
      </c>
      <c r="C3927" s="3" t="str">
        <f>IFERROR(__xludf.DUMMYFUNCTION("""COMPUTED_VALUE"""),"Echain Network")</f>
        <v>Echain Network</v>
      </c>
    </row>
    <row r="3928">
      <c r="A3928" s="3" t="str">
        <f>IFERROR(__xludf.DUMMYFUNCTION("""COMPUTED_VALUE"""),"e-chat")</f>
        <v>e-chat</v>
      </c>
      <c r="B3928" s="3" t="str">
        <f>IFERROR(__xludf.DUMMYFUNCTION("""COMPUTED_VALUE"""),"echt")</f>
        <v>echt</v>
      </c>
      <c r="C3928" s="3" t="str">
        <f>IFERROR(__xludf.DUMMYFUNCTION("""COMPUTED_VALUE"""),"e-Chat")</f>
        <v>e-Chat</v>
      </c>
    </row>
    <row r="3929">
      <c r="A3929" s="3" t="str">
        <f>IFERROR(__xludf.DUMMYFUNCTION("""COMPUTED_VALUE"""),"echelon")</f>
        <v>echelon</v>
      </c>
      <c r="B3929" s="3" t="str">
        <f>IFERROR(__xludf.DUMMYFUNCTION("""COMPUTED_VALUE"""),"ech")</f>
        <v>ech</v>
      </c>
      <c r="C3929" s="3" t="str">
        <f>IFERROR(__xludf.DUMMYFUNCTION("""COMPUTED_VALUE"""),"Echelon")</f>
        <v>Echelon</v>
      </c>
    </row>
    <row r="3930">
      <c r="A3930" s="3" t="str">
        <f>IFERROR(__xludf.DUMMYFUNCTION("""COMPUTED_VALUE"""),"echidna")</f>
        <v>echidna</v>
      </c>
      <c r="B3930" s="3" t="str">
        <f>IFERROR(__xludf.DUMMYFUNCTION("""COMPUTED_VALUE"""),"ecd")</f>
        <v>ecd</v>
      </c>
      <c r="C3930" s="3" t="str">
        <f>IFERROR(__xludf.DUMMYFUNCTION("""COMPUTED_VALUE"""),"Echidna")</f>
        <v>Echidna</v>
      </c>
    </row>
    <row r="3931">
      <c r="A3931" s="3" t="str">
        <f>IFERROR(__xludf.DUMMYFUNCTION("""COMPUTED_VALUE"""),"echoin")</f>
        <v>echoin</v>
      </c>
      <c r="B3931" s="3" t="str">
        <f>IFERROR(__xludf.DUMMYFUNCTION("""COMPUTED_VALUE"""),"ec")</f>
        <v>ec</v>
      </c>
      <c r="C3931" s="3" t="str">
        <f>IFERROR(__xludf.DUMMYFUNCTION("""COMPUTED_VALUE"""),"Echoin")</f>
        <v>Echoin</v>
      </c>
    </row>
    <row r="3932">
      <c r="A3932" s="3" t="str">
        <f>IFERROR(__xludf.DUMMYFUNCTION("""COMPUTED_VALUE"""),"echolink")</f>
        <v>echolink</v>
      </c>
      <c r="B3932" s="3" t="str">
        <f>IFERROR(__xludf.DUMMYFUNCTION("""COMPUTED_VALUE"""),"eko")</f>
        <v>eko</v>
      </c>
      <c r="C3932" s="3" t="str">
        <f>IFERROR(__xludf.DUMMYFUNCTION("""COMPUTED_VALUE"""),"EchoLink")</f>
        <v>EchoLink</v>
      </c>
    </row>
    <row r="3933">
      <c r="A3933" s="3" t="str">
        <f>IFERROR(__xludf.DUMMYFUNCTION("""COMPUTED_VALUE"""),"echosoracoin")</f>
        <v>echosoracoin</v>
      </c>
      <c r="B3933" s="3" t="str">
        <f>IFERROR(__xludf.DUMMYFUNCTION("""COMPUTED_VALUE"""),"esrc")</f>
        <v>esrc</v>
      </c>
      <c r="C3933" s="3" t="str">
        <f>IFERROR(__xludf.DUMMYFUNCTION("""COMPUTED_VALUE"""),"EchoSoraCoin")</f>
        <v>EchoSoraCoin</v>
      </c>
    </row>
    <row r="3934">
      <c r="A3934" s="3" t="str">
        <f>IFERROR(__xludf.DUMMYFUNCTION("""COMPUTED_VALUE"""),"ecio-space")</f>
        <v>ecio-space</v>
      </c>
      <c r="B3934" s="3" t="str">
        <f>IFERROR(__xludf.DUMMYFUNCTION("""COMPUTED_VALUE"""),"ecio")</f>
        <v>ecio</v>
      </c>
      <c r="C3934" s="3" t="str">
        <f>IFERROR(__xludf.DUMMYFUNCTION("""COMPUTED_VALUE"""),"ECIO Space")</f>
        <v>ECIO Space</v>
      </c>
    </row>
    <row r="3935">
      <c r="A3935" s="3" t="str">
        <f>IFERROR(__xludf.DUMMYFUNCTION("""COMPUTED_VALUE"""),"eclat")</f>
        <v>eclat</v>
      </c>
      <c r="B3935" s="3" t="str">
        <f>IFERROR(__xludf.DUMMYFUNCTION("""COMPUTED_VALUE"""),"elt")</f>
        <v>elt</v>
      </c>
      <c r="C3935" s="3" t="str">
        <f>IFERROR(__xludf.DUMMYFUNCTION("""COMPUTED_VALUE"""),"ECLAT")</f>
        <v>ECLAT</v>
      </c>
    </row>
    <row r="3936">
      <c r="A3936" s="3" t="str">
        <f>IFERROR(__xludf.DUMMYFUNCTION("""COMPUTED_VALUE"""),"eclipse-2")</f>
        <v>eclipse-2</v>
      </c>
      <c r="B3936" s="3" t="str">
        <f>IFERROR(__xludf.DUMMYFUNCTION("""COMPUTED_VALUE"""),"ecp")</f>
        <v>ecp</v>
      </c>
      <c r="C3936" s="3" t="str">
        <f>IFERROR(__xludf.DUMMYFUNCTION("""COMPUTED_VALUE"""),"Eclipse")</f>
        <v>Eclipse</v>
      </c>
    </row>
    <row r="3937">
      <c r="A3937" s="3" t="str">
        <f>IFERROR(__xludf.DUMMYFUNCTION("""COMPUTED_VALUE"""),"eco")</f>
        <v>eco</v>
      </c>
      <c r="B3937" s="3" t="str">
        <f>IFERROR(__xludf.DUMMYFUNCTION("""COMPUTED_VALUE"""),"eco")</f>
        <v>eco</v>
      </c>
      <c r="C3937" s="3" t="str">
        <f>IFERROR(__xludf.DUMMYFUNCTION("""COMPUTED_VALUE"""),"ECO")</f>
        <v>ECO</v>
      </c>
    </row>
    <row r="3938">
      <c r="A3938" s="3" t="str">
        <f>IFERROR(__xludf.DUMMYFUNCTION("""COMPUTED_VALUE"""),"ecobit")</f>
        <v>ecobit</v>
      </c>
      <c r="B3938" s="3" t="str">
        <f>IFERROR(__xludf.DUMMYFUNCTION("""COMPUTED_VALUE"""),"ecob")</f>
        <v>ecob</v>
      </c>
      <c r="C3938" s="3" t="str">
        <f>IFERROR(__xludf.DUMMYFUNCTION("""COMPUTED_VALUE"""),"Ecobit")</f>
        <v>Ecobit</v>
      </c>
    </row>
    <row r="3939">
      <c r="A3939" s="3" t="str">
        <f>IFERROR(__xludf.DUMMYFUNCTION("""COMPUTED_VALUE"""),"ecochain")</f>
        <v>ecochain</v>
      </c>
      <c r="B3939" s="3" t="str">
        <f>IFERROR(__xludf.DUMMYFUNCTION("""COMPUTED_VALUE"""),"ecoc")</f>
        <v>ecoc</v>
      </c>
      <c r="C3939" s="3" t="str">
        <f>IFERROR(__xludf.DUMMYFUNCTION("""COMPUTED_VALUE"""),"Ecochain")</f>
        <v>Ecochain</v>
      </c>
    </row>
    <row r="3940">
      <c r="A3940" s="3" t="str">
        <f>IFERROR(__xludf.DUMMYFUNCTION("""COMPUTED_VALUE"""),"ecochain-token")</f>
        <v>ecochain-token</v>
      </c>
      <c r="B3940" s="3" t="str">
        <f>IFERROR(__xludf.DUMMYFUNCTION("""COMPUTED_VALUE"""),"ect")</f>
        <v>ect</v>
      </c>
      <c r="C3940" s="3" t="str">
        <f>IFERROR(__xludf.DUMMYFUNCTION("""COMPUTED_VALUE"""),"Ecochain Finance")</f>
        <v>Ecochain Finance</v>
      </c>
    </row>
    <row r="3941">
      <c r="A3941" s="3" t="str">
        <f>IFERROR(__xludf.DUMMYFUNCTION("""COMPUTED_VALUE"""),"ecocredit")</f>
        <v>ecocredit</v>
      </c>
      <c r="B3941" s="3" t="str">
        <f>IFERROR(__xludf.DUMMYFUNCTION("""COMPUTED_VALUE"""),"eco")</f>
        <v>eco</v>
      </c>
      <c r="C3941" s="3" t="str">
        <f>IFERROR(__xludf.DUMMYFUNCTION("""COMPUTED_VALUE"""),"EcoCREDIT")</f>
        <v>EcoCREDIT</v>
      </c>
    </row>
    <row r="3942">
      <c r="A3942" s="3" t="str">
        <f>IFERROR(__xludf.DUMMYFUNCTION("""COMPUTED_VALUE"""),"eco-defi")</f>
        <v>eco-defi</v>
      </c>
      <c r="B3942" s="3" t="str">
        <f>IFERROR(__xludf.DUMMYFUNCTION("""COMPUTED_VALUE"""),"ecop")</f>
        <v>ecop</v>
      </c>
      <c r="C3942" s="3" t="str">
        <f>IFERROR(__xludf.DUMMYFUNCTION("""COMPUTED_VALUE"""),"Eco DeFi")</f>
        <v>Eco DeFi</v>
      </c>
    </row>
    <row r="3943">
      <c r="A3943" s="3" t="str">
        <f>IFERROR(__xludf.DUMMYFUNCTION("""COMPUTED_VALUE"""),"ecofi")</f>
        <v>ecofi</v>
      </c>
      <c r="B3943" s="3" t="str">
        <f>IFERROR(__xludf.DUMMYFUNCTION("""COMPUTED_VALUE"""),"eco")</f>
        <v>eco</v>
      </c>
      <c r="C3943" s="3" t="str">
        <f>IFERROR(__xludf.DUMMYFUNCTION("""COMPUTED_VALUE"""),"EcoFi")</f>
        <v>EcoFi</v>
      </c>
    </row>
    <row r="3944">
      <c r="A3944" s="3" t="str">
        <f>IFERROR(__xludf.DUMMYFUNCTION("""COMPUTED_VALUE"""),"ecog9coin")</f>
        <v>ecog9coin</v>
      </c>
      <c r="B3944" s="3" t="str">
        <f>IFERROR(__xludf.DUMMYFUNCTION("""COMPUTED_VALUE"""),"egc")</f>
        <v>egc</v>
      </c>
      <c r="C3944" s="3" t="str">
        <f>IFERROR(__xludf.DUMMYFUNCTION("""COMPUTED_VALUE"""),"EcoG9coin")</f>
        <v>EcoG9coin</v>
      </c>
    </row>
    <row r="3945">
      <c r="A3945" s="3" t="str">
        <f>IFERROR(__xludf.DUMMYFUNCTION("""COMPUTED_VALUE"""),"ecoin-2")</f>
        <v>ecoin-2</v>
      </c>
      <c r="B3945" s="3" t="str">
        <f>IFERROR(__xludf.DUMMYFUNCTION("""COMPUTED_VALUE"""),"ecoin")</f>
        <v>ecoin</v>
      </c>
      <c r="C3945" s="3" t="str">
        <f>IFERROR(__xludf.DUMMYFUNCTION("""COMPUTED_VALUE"""),"Ecoin")</f>
        <v>Ecoin</v>
      </c>
    </row>
    <row r="3946">
      <c r="A3946" s="3" t="str">
        <f>IFERROR(__xludf.DUMMYFUNCTION("""COMPUTED_VALUE"""),"ecoin-finance")</f>
        <v>ecoin-finance</v>
      </c>
      <c r="B3946" s="3" t="str">
        <f>IFERROR(__xludf.DUMMYFUNCTION("""COMPUTED_VALUE"""),"ecoin")</f>
        <v>ecoin</v>
      </c>
      <c r="C3946" s="3" t="str">
        <f>IFERROR(__xludf.DUMMYFUNCTION("""COMPUTED_VALUE"""),"Ecoin Finance")</f>
        <v>Ecoin Finance</v>
      </c>
    </row>
    <row r="3947">
      <c r="A3947" s="3" t="str">
        <f>IFERROR(__xludf.DUMMYFUNCTION("""COMPUTED_VALUE"""),"ecomi")</f>
        <v>ecomi</v>
      </c>
      <c r="B3947" s="3" t="str">
        <f>IFERROR(__xludf.DUMMYFUNCTION("""COMPUTED_VALUE"""),"omi")</f>
        <v>omi</v>
      </c>
      <c r="C3947" s="3" t="str">
        <f>IFERROR(__xludf.DUMMYFUNCTION("""COMPUTED_VALUE"""),"ECOMI")</f>
        <v>ECOMI</v>
      </c>
    </row>
    <row r="3948">
      <c r="A3948" s="3" t="str">
        <f>IFERROR(__xludf.DUMMYFUNCTION("""COMPUTED_VALUE"""),"ecoreal-estate")</f>
        <v>ecoreal-estate</v>
      </c>
      <c r="B3948" s="3" t="str">
        <f>IFERROR(__xludf.DUMMYFUNCTION("""COMPUTED_VALUE"""),"ecoreal")</f>
        <v>ecoreal</v>
      </c>
      <c r="C3948" s="3" t="str">
        <f>IFERROR(__xludf.DUMMYFUNCTION("""COMPUTED_VALUE"""),"Ecoreal Estate")</f>
        <v>Ecoreal Estate</v>
      </c>
    </row>
    <row r="3949">
      <c r="A3949" s="3" t="str">
        <f>IFERROR(__xludf.DUMMYFUNCTION("""COMPUTED_VALUE"""),"ecoscu")</f>
        <v>ecoscu</v>
      </c>
      <c r="B3949" s="3" t="str">
        <f>IFERROR(__xludf.DUMMYFUNCTION("""COMPUTED_VALUE"""),"ecu")</f>
        <v>ecu</v>
      </c>
      <c r="C3949" s="3" t="str">
        <f>IFERROR(__xludf.DUMMYFUNCTION("""COMPUTED_VALUE"""),"ECOSC")</f>
        <v>ECOSC</v>
      </c>
    </row>
    <row r="3950">
      <c r="A3950" s="3" t="str">
        <f>IFERROR(__xludf.DUMMYFUNCTION("""COMPUTED_VALUE"""),"ecosystem-coin-network")</f>
        <v>ecosystem-coin-network</v>
      </c>
      <c r="B3950" s="3" t="str">
        <f>IFERROR(__xludf.DUMMYFUNCTION("""COMPUTED_VALUE"""),"ecn")</f>
        <v>ecn</v>
      </c>
      <c r="C3950" s="3" t="str">
        <f>IFERROR(__xludf.DUMMYFUNCTION("""COMPUTED_VALUE"""),"Ecosystem Coin Network")</f>
        <v>Ecosystem Coin Network</v>
      </c>
    </row>
    <row r="3951">
      <c r="A3951" s="3" t="str">
        <f>IFERROR(__xludf.DUMMYFUNCTION("""COMPUTED_VALUE"""),"eco-value-coin")</f>
        <v>eco-value-coin</v>
      </c>
      <c r="B3951" s="3" t="str">
        <f>IFERROR(__xludf.DUMMYFUNCTION("""COMPUTED_VALUE"""),"evc")</f>
        <v>evc</v>
      </c>
      <c r="C3951" s="3" t="str">
        <f>IFERROR(__xludf.DUMMYFUNCTION("""COMPUTED_VALUE"""),"Eco Value Coin")</f>
        <v>Eco Value Coin</v>
      </c>
    </row>
    <row r="3952">
      <c r="A3952" s="3" t="str">
        <f>IFERROR(__xludf.DUMMYFUNCTION("""COMPUTED_VALUE"""),"ecowatt")</f>
        <v>ecowatt</v>
      </c>
      <c r="B3952" s="3" t="str">
        <f>IFERROR(__xludf.DUMMYFUNCTION("""COMPUTED_VALUE"""),"ewt")</f>
        <v>ewt</v>
      </c>
      <c r="C3952" s="3" t="str">
        <f>IFERROR(__xludf.DUMMYFUNCTION("""COMPUTED_VALUE"""),"Ecowatt")</f>
        <v>Ecowatt</v>
      </c>
    </row>
    <row r="3953">
      <c r="A3953" s="3" t="str">
        <f>IFERROR(__xludf.DUMMYFUNCTION("""COMPUTED_VALUE"""),"ecoway")</f>
        <v>ecoway</v>
      </c>
      <c r="B3953" s="3" t="str">
        <f>IFERROR(__xludf.DUMMYFUNCTION("""COMPUTED_VALUE"""),"ecy")</f>
        <v>ecy</v>
      </c>
      <c r="C3953" s="3" t="str">
        <f>IFERROR(__xludf.DUMMYFUNCTION("""COMPUTED_VALUE"""),"Ecoway")</f>
        <v>Ecoway</v>
      </c>
    </row>
    <row r="3954">
      <c r="A3954" s="3" t="str">
        <f>IFERROR(__xludf.DUMMYFUNCTION("""COMPUTED_VALUE"""),"ecox")</f>
        <v>ecox</v>
      </c>
      <c r="B3954" s="3" t="str">
        <f>IFERROR(__xludf.DUMMYFUNCTION("""COMPUTED_VALUE"""),"ecox")</f>
        <v>ecox</v>
      </c>
      <c r="C3954" s="3" t="str">
        <f>IFERROR(__xludf.DUMMYFUNCTION("""COMPUTED_VALUE"""),"ECOx")</f>
        <v>ECOx</v>
      </c>
    </row>
    <row r="3955">
      <c r="A3955" s="3" t="str">
        <f>IFERROR(__xludf.DUMMYFUNCTION("""COMPUTED_VALUE"""),"ecredits")</f>
        <v>ecredits</v>
      </c>
      <c r="B3955" s="3" t="str">
        <f>IFERROR(__xludf.DUMMYFUNCTION("""COMPUTED_VALUE"""),"ecs")</f>
        <v>ecs</v>
      </c>
      <c r="C3955" s="3" t="str">
        <f>IFERROR(__xludf.DUMMYFUNCTION("""COMPUTED_VALUE"""),"eCredits")</f>
        <v>eCredits</v>
      </c>
    </row>
    <row r="3956">
      <c r="A3956" s="3" t="str">
        <f>IFERROR(__xludf.DUMMYFUNCTION("""COMPUTED_VALUE"""),"ecs-gold")</f>
        <v>ecs-gold</v>
      </c>
      <c r="B3956" s="3" t="str">
        <f>IFERROR(__xludf.DUMMYFUNCTION("""COMPUTED_VALUE"""),"ecg")</f>
        <v>ecg</v>
      </c>
      <c r="C3956" s="3" t="str">
        <f>IFERROR(__xludf.DUMMYFUNCTION("""COMPUTED_VALUE"""),"ECS Gold")</f>
        <v>ECS Gold</v>
      </c>
    </row>
    <row r="3957">
      <c r="A3957" s="3" t="str">
        <f>IFERROR(__xludf.DUMMYFUNCTION("""COMPUTED_VALUE"""),"e-c-vitoria-fan-token")</f>
        <v>e-c-vitoria-fan-token</v>
      </c>
      <c r="B3957" s="3" t="str">
        <f>IFERROR(__xludf.DUMMYFUNCTION("""COMPUTED_VALUE"""),"vtra")</f>
        <v>vtra</v>
      </c>
      <c r="C3957" s="3" t="str">
        <f>IFERROR(__xludf.DUMMYFUNCTION("""COMPUTED_VALUE"""),"E.C. Vitoria Fan Token")</f>
        <v>E.C. Vitoria Fan Token</v>
      </c>
    </row>
    <row r="3958">
      <c r="A3958" s="3" t="str">
        <f>IFERROR(__xludf.DUMMYFUNCTION("""COMPUTED_VALUE"""),"edac")</f>
        <v>edac</v>
      </c>
      <c r="B3958" s="3" t="str">
        <f>IFERROR(__xludf.DUMMYFUNCTION("""COMPUTED_VALUE"""),"edac")</f>
        <v>edac</v>
      </c>
      <c r="C3958" s="3" t="str">
        <f>IFERROR(__xludf.DUMMYFUNCTION("""COMPUTED_VALUE"""),"EDAC")</f>
        <v>EDAC</v>
      </c>
    </row>
    <row r="3959">
      <c r="A3959" s="3" t="str">
        <f>IFERROR(__xludf.DUMMYFUNCTION("""COMPUTED_VALUE"""),"edain")</f>
        <v>edain</v>
      </c>
      <c r="B3959" s="3" t="str">
        <f>IFERROR(__xludf.DUMMYFUNCTION("""COMPUTED_VALUE"""),"eai")</f>
        <v>eai</v>
      </c>
      <c r="C3959" s="3" t="str">
        <f>IFERROR(__xludf.DUMMYFUNCTION("""COMPUTED_VALUE"""),"Edain")</f>
        <v>Edain</v>
      </c>
    </row>
    <row r="3960">
      <c r="A3960" s="3" t="str">
        <f>IFERROR(__xludf.DUMMYFUNCTION("""COMPUTED_VALUE"""),"eddaswap")</f>
        <v>eddaswap</v>
      </c>
      <c r="B3960" s="3" t="str">
        <f>IFERROR(__xludf.DUMMYFUNCTION("""COMPUTED_VALUE"""),"edda")</f>
        <v>edda</v>
      </c>
      <c r="C3960" s="3" t="str">
        <f>IFERROR(__xludf.DUMMYFUNCTION("""COMPUTED_VALUE"""),"EDDASwap")</f>
        <v>EDDASwap</v>
      </c>
    </row>
    <row r="3961">
      <c r="A3961" s="3" t="str">
        <f>IFERROR(__xludf.DUMMYFUNCTION("""COMPUTED_VALUE"""),"eden")</f>
        <v>eden</v>
      </c>
      <c r="B3961" s="3" t="str">
        <f>IFERROR(__xludf.DUMMYFUNCTION("""COMPUTED_VALUE"""),"eden")</f>
        <v>eden</v>
      </c>
      <c r="C3961" s="3" t="str">
        <f>IFERROR(__xludf.DUMMYFUNCTION("""COMPUTED_VALUE"""),"EDEN")</f>
        <v>EDEN</v>
      </c>
    </row>
    <row r="3962">
      <c r="A3962" s="3" t="str">
        <f>IFERROR(__xludf.DUMMYFUNCTION("""COMPUTED_VALUE"""),"edenchain")</f>
        <v>edenchain</v>
      </c>
      <c r="B3962" s="3" t="str">
        <f>IFERROR(__xludf.DUMMYFUNCTION("""COMPUTED_VALUE"""),"edn")</f>
        <v>edn</v>
      </c>
      <c r="C3962" s="3" t="str">
        <f>IFERROR(__xludf.DUMMYFUNCTION("""COMPUTED_VALUE"""),"Edenchain")</f>
        <v>Edenchain</v>
      </c>
    </row>
    <row r="3963">
      <c r="A3963" s="3" t="str">
        <f>IFERROR(__xludf.DUMMYFUNCTION("""COMPUTED_VALUE"""),"edenloop")</f>
        <v>edenloop</v>
      </c>
      <c r="B3963" s="3" t="str">
        <f>IFERROR(__xludf.DUMMYFUNCTION("""COMPUTED_VALUE"""),"elt")</f>
        <v>elt</v>
      </c>
      <c r="C3963" s="3" t="str">
        <f>IFERROR(__xludf.DUMMYFUNCTION("""COMPUTED_VALUE"""),"EdenLoop")</f>
        <v>EdenLoop</v>
      </c>
    </row>
    <row r="3964">
      <c r="A3964" s="3" t="str">
        <f>IFERROR(__xludf.DUMMYFUNCTION("""COMPUTED_VALUE"""),"edge")</f>
        <v>edge</v>
      </c>
      <c r="B3964" s="3" t="str">
        <f>IFERROR(__xludf.DUMMYFUNCTION("""COMPUTED_VALUE"""),"edge")</f>
        <v>edge</v>
      </c>
      <c r="C3964" s="3" t="str">
        <f>IFERROR(__xludf.DUMMYFUNCTION("""COMPUTED_VALUE"""),"Edge")</f>
        <v>Edge</v>
      </c>
    </row>
    <row r="3965">
      <c r="A3965" s="3" t="str">
        <f>IFERROR(__xludf.DUMMYFUNCTION("""COMPUTED_VALUE"""),"edge-activity")</f>
        <v>edge-activity</v>
      </c>
      <c r="B3965" s="3" t="str">
        <f>IFERROR(__xludf.DUMMYFUNCTION("""COMPUTED_VALUE"""),"eat")</f>
        <v>eat</v>
      </c>
      <c r="C3965" s="3" t="str">
        <f>IFERROR(__xludf.DUMMYFUNCTION("""COMPUTED_VALUE"""),"EDGE Activity")</f>
        <v>EDGE Activity</v>
      </c>
    </row>
    <row r="3966">
      <c r="A3966" s="3" t="str">
        <f>IFERROR(__xludf.DUMMYFUNCTION("""COMPUTED_VALUE"""),"edgecoin-2")</f>
        <v>edgecoin-2</v>
      </c>
      <c r="B3966" s="3" t="str">
        <f>IFERROR(__xludf.DUMMYFUNCTION("""COMPUTED_VALUE"""),"edgt")</f>
        <v>edgt</v>
      </c>
      <c r="C3966" s="3" t="str">
        <f>IFERROR(__xludf.DUMMYFUNCTION("""COMPUTED_VALUE"""),"Edgecoin")</f>
        <v>Edgecoin</v>
      </c>
    </row>
    <row r="3967">
      <c r="A3967" s="3" t="str">
        <f>IFERROR(__xludf.DUMMYFUNCTION("""COMPUTED_VALUE"""),"edgeless")</f>
        <v>edgeless</v>
      </c>
      <c r="B3967" s="3" t="str">
        <f>IFERROR(__xludf.DUMMYFUNCTION("""COMPUTED_VALUE"""),"edg")</f>
        <v>edg</v>
      </c>
      <c r="C3967" s="3" t="str">
        <f>IFERROR(__xludf.DUMMYFUNCTION("""COMPUTED_VALUE"""),"Edgeless")</f>
        <v>Edgeless</v>
      </c>
    </row>
    <row r="3968">
      <c r="A3968" s="3" t="str">
        <f>IFERROR(__xludf.DUMMYFUNCTION("""COMPUTED_VALUE"""),"edgeswap")</f>
        <v>edgeswap</v>
      </c>
      <c r="B3968" s="3" t="str">
        <f>IFERROR(__xludf.DUMMYFUNCTION("""COMPUTED_VALUE"""),"egs")</f>
        <v>egs</v>
      </c>
      <c r="C3968" s="3" t="str">
        <f>IFERROR(__xludf.DUMMYFUNCTION("""COMPUTED_VALUE"""),"EdgeSwap")</f>
        <v>EdgeSwap</v>
      </c>
    </row>
    <row r="3969">
      <c r="A3969" s="3" t="str">
        <f>IFERROR(__xludf.DUMMYFUNCTION("""COMPUTED_VALUE"""),"edgeware")</f>
        <v>edgeware</v>
      </c>
      <c r="B3969" s="3" t="str">
        <f>IFERROR(__xludf.DUMMYFUNCTION("""COMPUTED_VALUE"""),"edg")</f>
        <v>edg</v>
      </c>
      <c r="C3969" s="3" t="str">
        <f>IFERROR(__xludf.DUMMYFUNCTION("""COMPUTED_VALUE"""),"Edgeware")</f>
        <v>Edgeware</v>
      </c>
    </row>
    <row r="3970">
      <c r="A3970" s="3" t="str">
        <f>IFERROR(__xludf.DUMMYFUNCTION("""COMPUTED_VALUE"""),"education-assessment-cult")</f>
        <v>education-assessment-cult</v>
      </c>
      <c r="B3970" s="3" t="str">
        <f>IFERROR(__xludf.DUMMYFUNCTION("""COMPUTED_VALUE"""),"eac")</f>
        <v>eac</v>
      </c>
      <c r="C3970" s="3" t="str">
        <f>IFERROR(__xludf.DUMMYFUNCTION("""COMPUTED_VALUE"""),"Education Assessment Cult")</f>
        <v>Education Assessment Cult</v>
      </c>
    </row>
    <row r="3971">
      <c r="A3971" s="3" t="str">
        <f>IFERROR(__xludf.DUMMYFUNCTION("""COMPUTED_VALUE"""),"education-ecosystem")</f>
        <v>education-ecosystem</v>
      </c>
      <c r="B3971" s="3" t="str">
        <f>IFERROR(__xludf.DUMMYFUNCTION("""COMPUTED_VALUE"""),"ledu")</f>
        <v>ledu</v>
      </c>
      <c r="C3971" s="3" t="str">
        <f>IFERROR(__xludf.DUMMYFUNCTION("""COMPUTED_VALUE"""),"Education Ecosystem")</f>
        <v>Education Ecosystem</v>
      </c>
    </row>
    <row r="3972">
      <c r="A3972" s="3" t="str">
        <f>IFERROR(__xludf.DUMMYFUNCTION("""COMPUTED_VALUE"""),"edufex")</f>
        <v>edufex</v>
      </c>
      <c r="B3972" s="3" t="str">
        <f>IFERROR(__xludf.DUMMYFUNCTION("""COMPUTED_VALUE"""),"edux")</f>
        <v>edux</v>
      </c>
      <c r="C3972" s="3" t="str">
        <f>IFERROR(__xludf.DUMMYFUNCTION("""COMPUTED_VALUE"""),"Edufex")</f>
        <v>Edufex</v>
      </c>
    </row>
    <row r="3973">
      <c r="A3973" s="3" t="str">
        <f>IFERROR(__xludf.DUMMYFUNCTION("""COMPUTED_VALUE"""),"effect-network")</f>
        <v>effect-network</v>
      </c>
      <c r="B3973" s="3" t="str">
        <f>IFERROR(__xludf.DUMMYFUNCTION("""COMPUTED_VALUE"""),"efx")</f>
        <v>efx</v>
      </c>
      <c r="C3973" s="3" t="str">
        <f>IFERROR(__xludf.DUMMYFUNCTION("""COMPUTED_VALUE"""),"Effect Network")</f>
        <v>Effect Network</v>
      </c>
    </row>
    <row r="3974">
      <c r="A3974" s="3" t="str">
        <f>IFERROR(__xludf.DUMMYFUNCTION("""COMPUTED_VALUE"""),"efficiency-dao")</f>
        <v>efficiency-dao</v>
      </c>
      <c r="B3974" s="3" t="str">
        <f>IFERROR(__xludf.DUMMYFUNCTION("""COMPUTED_VALUE"""),"eff")</f>
        <v>eff</v>
      </c>
      <c r="C3974" s="3" t="str">
        <f>IFERROR(__xludf.DUMMYFUNCTION("""COMPUTED_VALUE"""),"Efficiency DAO")</f>
        <v>Efficiency DAO</v>
      </c>
    </row>
    <row r="3975">
      <c r="A3975" s="3" t="str">
        <f>IFERROR(__xludf.DUMMYFUNCTION("""COMPUTED_VALUE"""),"efin-decentralized")</f>
        <v>efin-decentralized</v>
      </c>
      <c r="B3975" s="3" t="str">
        <f>IFERROR(__xludf.DUMMYFUNCTION("""COMPUTED_VALUE"""),"wefin")</f>
        <v>wefin</v>
      </c>
      <c r="C3975" s="3" t="str">
        <f>IFERROR(__xludf.DUMMYFUNCTION("""COMPUTED_VALUE"""),"eFin Decentralized")</f>
        <v>eFin Decentralized</v>
      </c>
    </row>
    <row r="3976">
      <c r="A3976" s="3" t="str">
        <f>IFERROR(__xludf.DUMMYFUNCTION("""COMPUTED_VALUE"""),"efinity")</f>
        <v>efinity</v>
      </c>
      <c r="B3976" s="3" t="str">
        <f>IFERROR(__xludf.DUMMYFUNCTION("""COMPUTED_VALUE"""),"efi")</f>
        <v>efi</v>
      </c>
      <c r="C3976" s="3" t="str">
        <f>IFERROR(__xludf.DUMMYFUNCTION("""COMPUTED_VALUE"""),"Efinity")</f>
        <v>Efinity</v>
      </c>
    </row>
    <row r="3977">
      <c r="A3977" s="3" t="str">
        <f>IFERROR(__xludf.DUMMYFUNCTION("""COMPUTED_VALUE"""),"efk-token")</f>
        <v>efk-token</v>
      </c>
      <c r="B3977" s="3" t="str">
        <f>IFERROR(__xludf.DUMMYFUNCTION("""COMPUTED_VALUE"""),"efk")</f>
        <v>efk</v>
      </c>
      <c r="C3977" s="3" t="str">
        <f>IFERROR(__xludf.DUMMYFUNCTION("""COMPUTED_VALUE"""),"EFK Token")</f>
        <v>EFK Token</v>
      </c>
    </row>
    <row r="3978">
      <c r="A3978" s="3" t="str">
        <f>IFERROR(__xludf.DUMMYFUNCTION("""COMPUTED_VALUE"""),"eft")</f>
        <v>eft</v>
      </c>
      <c r="B3978" s="3" t="str">
        <f>IFERROR(__xludf.DUMMYFUNCTION("""COMPUTED_VALUE"""),"eft")</f>
        <v>eft</v>
      </c>
      <c r="C3978" s="3" t="str">
        <f>IFERROR(__xludf.DUMMYFUNCTION("""COMPUTED_VALUE"""),"EFT")</f>
        <v>EFT</v>
      </c>
    </row>
    <row r="3979">
      <c r="A3979" s="3" t="str">
        <f>IFERROR(__xludf.DUMMYFUNCTION("""COMPUTED_VALUE"""),"efun")</f>
        <v>efun</v>
      </c>
      <c r="B3979" s="3" t="str">
        <f>IFERROR(__xludf.DUMMYFUNCTION("""COMPUTED_VALUE"""),"efun")</f>
        <v>efun</v>
      </c>
      <c r="C3979" s="3" t="str">
        <f>IFERROR(__xludf.DUMMYFUNCTION("""COMPUTED_VALUE"""),"EFUN")</f>
        <v>EFUN</v>
      </c>
    </row>
    <row r="3980">
      <c r="A3980" s="3" t="str">
        <f>IFERROR(__xludf.DUMMYFUNCTION("""COMPUTED_VALUE"""),"egg-n-partners")</f>
        <v>egg-n-partners</v>
      </c>
      <c r="B3980" s="3" t="str">
        <f>IFERROR(__xludf.DUMMYFUNCTION("""COMPUTED_VALUE"""),"eggt")</f>
        <v>eggt</v>
      </c>
      <c r="C3980" s="3" t="str">
        <f>IFERROR(__xludf.DUMMYFUNCTION("""COMPUTED_VALUE"""),"Egg N Partners")</f>
        <v>Egg N Partners</v>
      </c>
    </row>
    <row r="3981">
      <c r="A3981" s="3" t="str">
        <f>IFERROR(__xludf.DUMMYFUNCTION("""COMPUTED_VALUE"""),"eggplant")</f>
        <v>eggplant</v>
      </c>
      <c r="B3981" s="3" t="str">
        <f>IFERROR(__xludf.DUMMYFUNCTION("""COMPUTED_VALUE"""),"eggplant")</f>
        <v>eggplant</v>
      </c>
      <c r="C3981" s="3" t="str">
        <f>IFERROR(__xludf.DUMMYFUNCTION("""COMPUTED_VALUE"""),"Eggplant")</f>
        <v>Eggplant</v>
      </c>
    </row>
    <row r="3982">
      <c r="A3982" s="3" t="str">
        <f>IFERROR(__xludf.DUMMYFUNCTION("""COMPUTED_VALUE"""),"eggplant-finance")</f>
        <v>eggplant-finance</v>
      </c>
      <c r="B3982" s="3" t="str">
        <f>IFERROR(__xludf.DUMMYFUNCTION("""COMPUTED_VALUE"""),"eggp")</f>
        <v>eggp</v>
      </c>
      <c r="C3982" s="3" t="str">
        <f>IFERROR(__xludf.DUMMYFUNCTION("""COMPUTED_VALUE"""),"Eggplant Finance")</f>
        <v>Eggplant Finance</v>
      </c>
    </row>
    <row r="3983">
      <c r="A3983" s="3" t="str">
        <f>IFERROR(__xludf.DUMMYFUNCTION("""COMPUTED_VALUE"""),"eggplus")</f>
        <v>eggplus</v>
      </c>
      <c r="B3983" s="3" t="str">
        <f>IFERROR(__xludf.DUMMYFUNCTION("""COMPUTED_VALUE"""),"eggplus")</f>
        <v>eggplus</v>
      </c>
      <c r="C3983" s="3" t="str">
        <f>IFERROR(__xludf.DUMMYFUNCTION("""COMPUTED_VALUE"""),"EggPlus")</f>
        <v>EggPlus</v>
      </c>
    </row>
    <row r="3984">
      <c r="A3984" s="3" t="str">
        <f>IFERROR(__xludf.DUMMYFUNCTION("""COMPUTED_VALUE"""),"egg-protocol")</f>
        <v>egg-protocol</v>
      </c>
      <c r="B3984" s="3" t="str">
        <f>IFERROR(__xludf.DUMMYFUNCTION("""COMPUTED_VALUE"""),"egg")</f>
        <v>egg</v>
      </c>
      <c r="C3984" s="3" t="str">
        <f>IFERROR(__xludf.DUMMYFUNCTION("""COMPUTED_VALUE"""),"EGG Protocol")</f>
        <v>EGG Protocol</v>
      </c>
    </row>
    <row r="3985">
      <c r="A3985" s="3" t="str">
        <f>IFERROR(__xludf.DUMMYFUNCTION("""COMPUTED_VALUE"""),"egod")</f>
        <v>egod</v>
      </c>
      <c r="B3985" s="3" t="str">
        <f>IFERROR(__xludf.DUMMYFUNCTION("""COMPUTED_VALUE"""),"egod")</f>
        <v>egod</v>
      </c>
      <c r="C3985" s="3" t="str">
        <f>IFERROR(__xludf.DUMMYFUNCTION("""COMPUTED_VALUE"""),"egoD")</f>
        <v>egoD</v>
      </c>
    </row>
    <row r="3986">
      <c r="A3986" s="3" t="str">
        <f>IFERROR(__xludf.DUMMYFUNCTION("""COMPUTED_VALUE"""),"egod-the-savior")</f>
        <v>egod-the-savior</v>
      </c>
      <c r="B3986" s="3" t="str">
        <f>IFERROR(__xludf.DUMMYFUNCTION("""COMPUTED_VALUE"""),"$savior")</f>
        <v>$savior</v>
      </c>
      <c r="C3986" s="3" t="str">
        <f>IFERROR(__xludf.DUMMYFUNCTION("""COMPUTED_VALUE"""),"Egod The Savior")</f>
        <v>Egod The Savior</v>
      </c>
    </row>
    <row r="3987">
      <c r="A3987" s="3" t="str">
        <f>IFERROR(__xludf.DUMMYFUNCTION("""COMPUTED_VALUE"""),"egold")</f>
        <v>egold</v>
      </c>
      <c r="B3987" s="3" t="str">
        <f>IFERROR(__xludf.DUMMYFUNCTION("""COMPUTED_VALUE"""),"egold")</f>
        <v>egold</v>
      </c>
      <c r="C3987" s="3" t="str">
        <f>IFERROR(__xludf.DUMMYFUNCTION("""COMPUTED_VALUE"""),"eGold")</f>
        <v>eGold</v>
      </c>
    </row>
    <row r="3988">
      <c r="A3988" s="3" t="str">
        <f>IFERROR(__xludf.DUMMYFUNCTION("""COMPUTED_VALUE"""),"egoplatform")</f>
        <v>egoplatform</v>
      </c>
      <c r="B3988" s="3" t="str">
        <f>IFERROR(__xludf.DUMMYFUNCTION("""COMPUTED_VALUE"""),"ego")</f>
        <v>ego</v>
      </c>
      <c r="C3988" s="3" t="str">
        <f>IFERROR(__xludf.DUMMYFUNCTION("""COMPUTED_VALUE"""),"EGO")</f>
        <v>EGO</v>
      </c>
    </row>
    <row r="3989">
      <c r="A3989" s="3" t="str">
        <f>IFERROR(__xludf.DUMMYFUNCTION("""COMPUTED_VALUE"""),"egoras-credit")</f>
        <v>egoras-credit</v>
      </c>
      <c r="B3989" s="3" t="str">
        <f>IFERROR(__xludf.DUMMYFUNCTION("""COMPUTED_VALUE"""),"egc")</f>
        <v>egc</v>
      </c>
      <c r="C3989" s="3" t="str">
        <f>IFERROR(__xludf.DUMMYFUNCTION("""COMPUTED_VALUE"""),"Egoras Credit")</f>
        <v>Egoras Credit</v>
      </c>
    </row>
    <row r="3990">
      <c r="A3990" s="3" t="str">
        <f>IFERROR(__xludf.DUMMYFUNCTION("""COMPUTED_VALUE"""),"egretia")</f>
        <v>egretia</v>
      </c>
      <c r="B3990" s="3" t="str">
        <f>IFERROR(__xludf.DUMMYFUNCTION("""COMPUTED_VALUE"""),"egt")</f>
        <v>egt</v>
      </c>
      <c r="C3990" s="3" t="str">
        <f>IFERROR(__xludf.DUMMYFUNCTION("""COMPUTED_VALUE"""),"Egretia")</f>
        <v>Egretia</v>
      </c>
    </row>
    <row r="3991">
      <c r="A3991" s="3" t="str">
        <f>IFERROR(__xludf.DUMMYFUNCTION("""COMPUTED_VALUE"""),"ehash")</f>
        <v>ehash</v>
      </c>
      <c r="B3991" s="3" t="str">
        <f>IFERROR(__xludf.DUMMYFUNCTION("""COMPUTED_VALUE"""),"ehash")</f>
        <v>ehash</v>
      </c>
      <c r="C3991" s="3" t="str">
        <f>IFERROR(__xludf.DUMMYFUNCTION("""COMPUTED_VALUE"""),"EHash")</f>
        <v>EHash</v>
      </c>
    </row>
    <row r="3992">
      <c r="A3992" s="3" t="str">
        <f>IFERROR(__xludf.DUMMYFUNCTION("""COMPUTED_VALUE"""),"ehive")</f>
        <v>ehive</v>
      </c>
      <c r="B3992" s="3" t="str">
        <f>IFERROR(__xludf.DUMMYFUNCTION("""COMPUTED_VALUE"""),"ehive")</f>
        <v>ehive</v>
      </c>
      <c r="C3992" s="3" t="str">
        <f>IFERROR(__xludf.DUMMYFUNCTION("""COMPUTED_VALUE"""),"eHive")</f>
        <v>eHive</v>
      </c>
    </row>
    <row r="3993">
      <c r="A3993" s="3" t="str">
        <f>IFERROR(__xludf.DUMMYFUNCTION("""COMPUTED_VALUE"""),"eidos")</f>
        <v>eidos</v>
      </c>
      <c r="B3993" s="3" t="str">
        <f>IFERROR(__xludf.DUMMYFUNCTION("""COMPUTED_VALUE"""),"eidos")</f>
        <v>eidos</v>
      </c>
      <c r="C3993" s="3" t="str">
        <f>IFERROR(__xludf.DUMMYFUNCTION("""COMPUTED_VALUE"""),"EIDOS")</f>
        <v>EIDOS</v>
      </c>
    </row>
    <row r="3994">
      <c r="A3994" s="3" t="str">
        <f>IFERROR(__xludf.DUMMYFUNCTION("""COMPUTED_VALUE"""),"eifi-finance")</f>
        <v>eifi-finance</v>
      </c>
      <c r="B3994" s="3" t="str">
        <f>IFERROR(__xludf.DUMMYFUNCTION("""COMPUTED_VALUE"""),"eifi")</f>
        <v>eifi</v>
      </c>
      <c r="C3994" s="3" t="str">
        <f>IFERROR(__xludf.DUMMYFUNCTION("""COMPUTED_VALUE"""),"EIFI Finance")</f>
        <v>EIFI Finance</v>
      </c>
    </row>
    <row r="3995">
      <c r="A3995" s="3" t="str">
        <f>IFERROR(__xludf.DUMMYFUNCTION("""COMPUTED_VALUE"""),"eight-hours")</f>
        <v>eight-hours</v>
      </c>
      <c r="B3995" s="3" t="str">
        <f>IFERROR(__xludf.DUMMYFUNCTION("""COMPUTED_VALUE"""),"ehrt")</f>
        <v>ehrt</v>
      </c>
      <c r="C3995" s="3" t="str">
        <f>IFERROR(__xludf.DUMMYFUNCTION("""COMPUTED_VALUE"""),"Eight Hours")</f>
        <v>Eight Hours</v>
      </c>
    </row>
    <row r="3996">
      <c r="A3996" s="3" t="str">
        <f>IFERROR(__xludf.DUMMYFUNCTION("""COMPUTED_VALUE"""),"eiichiro-oda-inu")</f>
        <v>eiichiro-oda-inu</v>
      </c>
      <c r="B3996" s="3" t="str">
        <f>IFERROR(__xludf.DUMMYFUNCTION("""COMPUTED_VALUE"""),"oda")</f>
        <v>oda</v>
      </c>
      <c r="C3996" s="3" t="str">
        <f>IFERROR(__xludf.DUMMYFUNCTION("""COMPUTED_VALUE"""),"Eiichiro Oda Inu")</f>
        <v>Eiichiro Oda Inu</v>
      </c>
    </row>
    <row r="3997">
      <c r="A3997" s="3" t="str">
        <f>IFERROR(__xludf.DUMMYFUNCTION("""COMPUTED_VALUE"""),"einsteinium")</f>
        <v>einsteinium</v>
      </c>
      <c r="B3997" s="3" t="str">
        <f>IFERROR(__xludf.DUMMYFUNCTION("""COMPUTED_VALUE"""),"emc2")</f>
        <v>emc2</v>
      </c>
      <c r="C3997" s="3" t="str">
        <f>IFERROR(__xludf.DUMMYFUNCTION("""COMPUTED_VALUE"""),"Einsteinium")</f>
        <v>Einsteinium</v>
      </c>
    </row>
    <row r="3998">
      <c r="A3998" s="3" t="str">
        <f>IFERROR(__xludf.DUMMYFUNCTION("""COMPUTED_VALUE"""),"ekta-2")</f>
        <v>ekta-2</v>
      </c>
      <c r="B3998" s="3" t="str">
        <f>IFERROR(__xludf.DUMMYFUNCTION("""COMPUTED_VALUE"""),"ekta")</f>
        <v>ekta</v>
      </c>
      <c r="C3998" s="3" t="str">
        <f>IFERROR(__xludf.DUMMYFUNCTION("""COMPUTED_VALUE"""),"Ekta")</f>
        <v>Ekta</v>
      </c>
    </row>
    <row r="3999">
      <c r="A3999" s="3" t="str">
        <f>IFERROR(__xludf.DUMMYFUNCTION("""COMPUTED_VALUE"""),"elamachain")</f>
        <v>elamachain</v>
      </c>
      <c r="B3999" s="3" t="str">
        <f>IFERROR(__xludf.DUMMYFUNCTION("""COMPUTED_VALUE"""),"elama")</f>
        <v>elama</v>
      </c>
      <c r="C3999" s="3" t="str">
        <f>IFERROR(__xludf.DUMMYFUNCTION("""COMPUTED_VALUE"""),"Elamachain")</f>
        <v>Elamachain</v>
      </c>
    </row>
    <row r="4000">
      <c r="A4000" s="3" t="str">
        <f>IFERROR(__xludf.DUMMYFUNCTION("""COMPUTED_VALUE"""),"elan")</f>
        <v>elan</v>
      </c>
      <c r="B4000" s="3" t="str">
        <f>IFERROR(__xludf.DUMMYFUNCTION("""COMPUTED_VALUE"""),"elan")</f>
        <v>elan</v>
      </c>
      <c r="C4000" s="3" t="str">
        <f>IFERROR(__xludf.DUMMYFUNCTION("""COMPUTED_VALUE"""),"Elan")</f>
        <v>Elan</v>
      </c>
    </row>
    <row r="4001">
      <c r="A4001" s="3" t="str">
        <f>IFERROR(__xludf.DUMMYFUNCTION("""COMPUTED_VALUE"""),"elasticswap")</f>
        <v>elasticswap</v>
      </c>
      <c r="B4001" s="3" t="str">
        <f>IFERROR(__xludf.DUMMYFUNCTION("""COMPUTED_VALUE"""),"tic")</f>
        <v>tic</v>
      </c>
      <c r="C4001" s="3" t="str">
        <f>IFERROR(__xludf.DUMMYFUNCTION("""COMPUTED_VALUE"""),"ElasticSwap")</f>
        <v>ElasticSwap</v>
      </c>
    </row>
    <row r="4002">
      <c r="A4002" s="3" t="str">
        <f>IFERROR(__xludf.DUMMYFUNCTION("""COMPUTED_VALUE"""),"elastos")</f>
        <v>elastos</v>
      </c>
      <c r="B4002" s="3" t="str">
        <f>IFERROR(__xludf.DUMMYFUNCTION("""COMPUTED_VALUE"""),"ela")</f>
        <v>ela</v>
      </c>
      <c r="C4002" s="3" t="str">
        <f>IFERROR(__xludf.DUMMYFUNCTION("""COMPUTED_VALUE"""),"Elastos")</f>
        <v>Elastos</v>
      </c>
    </row>
    <row r="4003">
      <c r="A4003" s="3" t="str">
        <f>IFERROR(__xludf.DUMMYFUNCTION("""COMPUTED_VALUE"""),"elden-knights")</f>
        <v>elden-knights</v>
      </c>
      <c r="B4003" s="3" t="str">
        <f>IFERROR(__xludf.DUMMYFUNCTION("""COMPUTED_VALUE"""),"knights")</f>
        <v>knights</v>
      </c>
      <c r="C4003" s="3" t="str">
        <f>IFERROR(__xludf.DUMMYFUNCTION("""COMPUTED_VALUE"""),"Elden Knights")</f>
        <v>Elden Knights</v>
      </c>
    </row>
    <row r="4004">
      <c r="A4004" s="3" t="str">
        <f>IFERROR(__xludf.DUMMYFUNCTION("""COMPUTED_VALUE"""),"electra")</f>
        <v>electra</v>
      </c>
      <c r="B4004" s="3" t="str">
        <f>IFERROR(__xludf.DUMMYFUNCTION("""COMPUTED_VALUE"""),"eca")</f>
        <v>eca</v>
      </c>
      <c r="C4004" s="3" t="str">
        <f>IFERROR(__xludf.DUMMYFUNCTION("""COMPUTED_VALUE"""),"Electra")</f>
        <v>Electra</v>
      </c>
    </row>
    <row r="4005">
      <c r="A4005" s="3" t="str">
        <f>IFERROR(__xludf.DUMMYFUNCTION("""COMPUTED_VALUE"""),"electra-protocol")</f>
        <v>electra-protocol</v>
      </c>
      <c r="B4005" s="3" t="str">
        <f>IFERROR(__xludf.DUMMYFUNCTION("""COMPUTED_VALUE"""),"xep")</f>
        <v>xep</v>
      </c>
      <c r="C4005" s="3" t="str">
        <f>IFERROR(__xludf.DUMMYFUNCTION("""COMPUTED_VALUE"""),"Electra Protocol")</f>
        <v>Electra Protocol</v>
      </c>
    </row>
    <row r="4006">
      <c r="A4006" s="3" t="str">
        <f>IFERROR(__xludf.DUMMYFUNCTION("""COMPUTED_VALUE"""),"electric-cash")</f>
        <v>electric-cash</v>
      </c>
      <c r="B4006" s="3" t="str">
        <f>IFERROR(__xludf.DUMMYFUNCTION("""COMPUTED_VALUE"""),"elcash")</f>
        <v>elcash</v>
      </c>
      <c r="C4006" s="3" t="str">
        <f>IFERROR(__xludf.DUMMYFUNCTION("""COMPUTED_VALUE"""),"Electric Cash")</f>
        <v>Electric Cash</v>
      </c>
    </row>
    <row r="4007">
      <c r="A4007" s="3" t="str">
        <f>IFERROR(__xludf.DUMMYFUNCTION("""COMPUTED_VALUE"""),"electric-vehicle-direct-currency")</f>
        <v>electric-vehicle-direct-currency</v>
      </c>
      <c r="B4007" s="3" t="str">
        <f>IFERROR(__xludf.DUMMYFUNCTION("""COMPUTED_VALUE"""),"evdc")</f>
        <v>evdc</v>
      </c>
      <c r="C4007" s="3" t="str">
        <f>IFERROR(__xludf.DUMMYFUNCTION("""COMPUTED_VALUE"""),"Electric Vehicle Direct Currency")</f>
        <v>Electric Vehicle Direct Currency</v>
      </c>
    </row>
    <row r="4008">
      <c r="A4008" s="3" t="str">
        <f>IFERROR(__xludf.DUMMYFUNCTION("""COMPUTED_VALUE"""),"electric-vehicle-zone")</f>
        <v>electric-vehicle-zone</v>
      </c>
      <c r="B4008" s="3" t="str">
        <f>IFERROR(__xludf.DUMMYFUNCTION("""COMPUTED_VALUE"""),"evz")</f>
        <v>evz</v>
      </c>
      <c r="C4008" s="3" t="str">
        <f>IFERROR(__xludf.DUMMYFUNCTION("""COMPUTED_VALUE"""),"Electric Vehicle Zone")</f>
        <v>Electric Vehicle Zone</v>
      </c>
    </row>
    <row r="4009">
      <c r="A4009" s="3" t="str">
        <f>IFERROR(__xludf.DUMMYFUNCTION("""COMPUTED_VALUE"""),"electrify-asia")</f>
        <v>electrify-asia</v>
      </c>
      <c r="B4009" s="3" t="str">
        <f>IFERROR(__xludf.DUMMYFUNCTION("""COMPUTED_VALUE"""),"elec")</f>
        <v>elec</v>
      </c>
      <c r="C4009" s="3" t="str">
        <f>IFERROR(__xludf.DUMMYFUNCTION("""COMPUTED_VALUE"""),"Electrify.Asia")</f>
        <v>Electrify.Asia</v>
      </c>
    </row>
    <row r="4010">
      <c r="A4010" s="3" t="str">
        <f>IFERROR(__xludf.DUMMYFUNCTION("""COMPUTED_VALUE"""),"electronero")</f>
        <v>electronero</v>
      </c>
      <c r="B4010" s="3" t="str">
        <f>IFERROR(__xludf.DUMMYFUNCTION("""COMPUTED_VALUE"""),"etnx")</f>
        <v>etnx</v>
      </c>
      <c r="C4010" s="3" t="str">
        <f>IFERROR(__xludf.DUMMYFUNCTION("""COMPUTED_VALUE"""),"Electronero")</f>
        <v>Electronero</v>
      </c>
    </row>
    <row r="4011">
      <c r="A4011" s="3" t="str">
        <f>IFERROR(__xludf.DUMMYFUNCTION("""COMPUTED_VALUE"""),"electronero-pulse")</f>
        <v>electronero-pulse</v>
      </c>
      <c r="B4011" s="3" t="str">
        <f>IFERROR(__xludf.DUMMYFUNCTION("""COMPUTED_VALUE"""),"etnxp")</f>
        <v>etnxp</v>
      </c>
      <c r="C4011" s="3" t="str">
        <f>IFERROR(__xludf.DUMMYFUNCTION("""COMPUTED_VALUE"""),"Electronero Pulse")</f>
        <v>Electronero Pulse</v>
      </c>
    </row>
    <row r="4012">
      <c r="A4012" s="3" t="str">
        <f>IFERROR(__xludf.DUMMYFUNCTION("""COMPUTED_VALUE"""),"electroneum")</f>
        <v>electroneum</v>
      </c>
      <c r="B4012" s="3" t="str">
        <f>IFERROR(__xludf.DUMMYFUNCTION("""COMPUTED_VALUE"""),"etn")</f>
        <v>etn</v>
      </c>
      <c r="C4012" s="3" t="str">
        <f>IFERROR(__xludf.DUMMYFUNCTION("""COMPUTED_VALUE"""),"Electroneum")</f>
        <v>Electroneum</v>
      </c>
    </row>
    <row r="4013">
      <c r="A4013" s="3" t="str">
        <f>IFERROR(__xludf.DUMMYFUNCTION("""COMPUTED_VALUE"""),"electronicgulden")</f>
        <v>electronicgulden</v>
      </c>
      <c r="B4013" s="3" t="str">
        <f>IFERROR(__xludf.DUMMYFUNCTION("""COMPUTED_VALUE"""),"efl")</f>
        <v>efl</v>
      </c>
      <c r="C4013" s="3" t="str">
        <f>IFERROR(__xludf.DUMMYFUNCTION("""COMPUTED_VALUE"""),"Electronic Gulden")</f>
        <v>Electronic Gulden</v>
      </c>
    </row>
    <row r="4014">
      <c r="A4014" s="3" t="str">
        <f>IFERROR(__xludf.DUMMYFUNCTION("""COMPUTED_VALUE"""),"electrum-dark")</f>
        <v>electrum-dark</v>
      </c>
      <c r="B4014" s="3" t="str">
        <f>IFERROR(__xludf.DUMMYFUNCTION("""COMPUTED_VALUE"""),"eld")</f>
        <v>eld</v>
      </c>
      <c r="C4014" s="3" t="str">
        <f>IFERROR(__xludf.DUMMYFUNCTION("""COMPUTED_VALUE"""),"Electrum Dark")</f>
        <v>Electrum Dark</v>
      </c>
    </row>
    <row r="4015">
      <c r="A4015" s="3" t="str">
        <f>IFERROR(__xludf.DUMMYFUNCTION("""COMPUTED_VALUE"""),"element-black")</f>
        <v>element-black</v>
      </c>
      <c r="B4015" s="3" t="str">
        <f>IFERROR(__xludf.DUMMYFUNCTION("""COMPUTED_VALUE"""),"elt")</f>
        <v>elt</v>
      </c>
      <c r="C4015" s="3" t="str">
        <f>IFERROR(__xludf.DUMMYFUNCTION("""COMPUTED_VALUE"""),"Element Black")</f>
        <v>Element Black</v>
      </c>
    </row>
    <row r="4016">
      <c r="A4016" s="3" t="str">
        <f>IFERROR(__xludf.DUMMYFUNCTION("""COMPUTED_VALUE"""),"elementrem")</f>
        <v>elementrem</v>
      </c>
      <c r="B4016" s="3" t="str">
        <f>IFERROR(__xludf.DUMMYFUNCTION("""COMPUTED_VALUE"""),"ele")</f>
        <v>ele</v>
      </c>
      <c r="C4016" s="3" t="str">
        <f>IFERROR(__xludf.DUMMYFUNCTION("""COMPUTED_VALUE"""),"Elementrem")</f>
        <v>Elementrem</v>
      </c>
    </row>
    <row r="4017">
      <c r="A4017" s="3" t="str">
        <f>IFERROR(__xludf.DUMMYFUNCTION("""COMPUTED_VALUE"""),"elements-2")</f>
        <v>elements-2</v>
      </c>
      <c r="B4017" s="3" t="str">
        <f>IFERROR(__xludf.DUMMYFUNCTION("""COMPUTED_VALUE"""),"elm")</f>
        <v>elm</v>
      </c>
      <c r="C4017" s="3" t="str">
        <f>IFERROR(__xludf.DUMMYFUNCTION("""COMPUTED_VALUE"""),"Elements")</f>
        <v>Elements</v>
      </c>
    </row>
    <row r="4018">
      <c r="A4018" s="3" t="str">
        <f>IFERROR(__xludf.DUMMYFUNCTION("""COMPUTED_VALUE"""),"elemon")</f>
        <v>elemon</v>
      </c>
      <c r="B4018" s="3" t="str">
        <f>IFERROR(__xludf.DUMMYFUNCTION("""COMPUTED_VALUE"""),"elmon")</f>
        <v>elmon</v>
      </c>
      <c r="C4018" s="3" t="str">
        <f>IFERROR(__xludf.DUMMYFUNCTION("""COMPUTED_VALUE"""),"Elemon")</f>
        <v>Elemon</v>
      </c>
    </row>
    <row r="4019">
      <c r="A4019" s="3" t="str">
        <f>IFERROR(__xludf.DUMMYFUNCTION("""COMPUTED_VALUE"""),"elena-protocol")</f>
        <v>elena-protocol</v>
      </c>
      <c r="B4019" s="3" t="str">
        <f>IFERROR(__xludf.DUMMYFUNCTION("""COMPUTED_VALUE"""),"elena")</f>
        <v>elena</v>
      </c>
      <c r="C4019" s="3" t="str">
        <f>IFERROR(__xludf.DUMMYFUNCTION("""COMPUTED_VALUE"""),"Elena Protocol")</f>
        <v>Elena Protocol</v>
      </c>
    </row>
    <row r="4020">
      <c r="A4020" s="3" t="str">
        <f>IFERROR(__xludf.DUMMYFUNCTION("""COMPUTED_VALUE"""),"elephant-money")</f>
        <v>elephant-money</v>
      </c>
      <c r="B4020" s="3" t="str">
        <f>IFERROR(__xludf.DUMMYFUNCTION("""COMPUTED_VALUE"""),"elephant")</f>
        <v>elephant</v>
      </c>
      <c r="C4020" s="3" t="str">
        <f>IFERROR(__xludf.DUMMYFUNCTION("""COMPUTED_VALUE"""),"Elephant Money")</f>
        <v>Elephant Money</v>
      </c>
    </row>
    <row r="4021">
      <c r="A4021" s="3" t="str">
        <f>IFERROR(__xludf.DUMMYFUNCTION("""COMPUTED_VALUE"""),"elevate")</f>
        <v>elevate</v>
      </c>
      <c r="B4021" s="3" t="str">
        <f>IFERROR(__xludf.DUMMYFUNCTION("""COMPUTED_VALUE"""),"ele")</f>
        <v>ele</v>
      </c>
      <c r="C4021" s="3" t="str">
        <f>IFERROR(__xludf.DUMMYFUNCTION("""COMPUTED_VALUE"""),"Elevate")</f>
        <v>Elevate</v>
      </c>
    </row>
    <row r="4022">
      <c r="A4022" s="3" t="str">
        <f>IFERROR(__xludf.DUMMYFUNCTION("""COMPUTED_VALUE"""),"eleventoken")</f>
        <v>eleventoken</v>
      </c>
      <c r="B4022" s="3" t="str">
        <f>IFERROR(__xludf.DUMMYFUNCTION("""COMPUTED_VALUE"""),"elvn")</f>
        <v>elvn</v>
      </c>
      <c r="C4022" s="3" t="str">
        <f>IFERROR(__xludf.DUMMYFUNCTION("""COMPUTED_VALUE"""),"11Minutes")</f>
        <v>11Minutes</v>
      </c>
    </row>
    <row r="4023">
      <c r="A4023" s="3" t="str">
        <f>IFERROR(__xludf.DUMMYFUNCTION("""COMPUTED_VALUE"""),"elf-wallet")</f>
        <v>elf-wallet</v>
      </c>
      <c r="B4023" s="3" t="str">
        <f>IFERROR(__xludf.DUMMYFUNCTION("""COMPUTED_VALUE"""),"elf")</f>
        <v>elf</v>
      </c>
      <c r="C4023" s="3" t="str">
        <f>IFERROR(__xludf.DUMMYFUNCTION("""COMPUTED_VALUE"""),"ELF Wallet")</f>
        <v>ELF Wallet</v>
      </c>
    </row>
    <row r="4024">
      <c r="A4024" s="3" t="str">
        <f>IFERROR(__xludf.DUMMYFUNCTION("""COMPUTED_VALUE"""),"elfworld")</f>
        <v>elfworld</v>
      </c>
      <c r="B4024" s="3" t="str">
        <f>IFERROR(__xludf.DUMMYFUNCTION("""COMPUTED_VALUE"""),"elft")</f>
        <v>elft</v>
      </c>
      <c r="C4024" s="3" t="str">
        <f>IFERROR(__xludf.DUMMYFUNCTION("""COMPUTED_VALUE"""),"Elfworld")</f>
        <v>Elfworld</v>
      </c>
    </row>
    <row r="4025">
      <c r="A4025" s="3" t="str">
        <f>IFERROR(__xludf.DUMMYFUNCTION("""COMPUTED_VALUE"""),"eligma")</f>
        <v>eligma</v>
      </c>
      <c r="B4025" s="3" t="str">
        <f>IFERROR(__xludf.DUMMYFUNCTION("""COMPUTED_VALUE"""),"goc")</f>
        <v>goc</v>
      </c>
      <c r="C4025" s="3" t="str">
        <f>IFERROR(__xludf.DUMMYFUNCTION("""COMPUTED_VALUE"""),"GoCrypto")</f>
        <v>GoCrypto</v>
      </c>
    </row>
    <row r="4026">
      <c r="A4026" s="3" t="str">
        <f>IFERROR(__xludf.DUMMYFUNCTION("""COMPUTED_VALUE"""),"elis")</f>
        <v>elis</v>
      </c>
      <c r="B4026" s="3" t="str">
        <f>IFERROR(__xludf.DUMMYFUNCTION("""COMPUTED_VALUE"""),"xls")</f>
        <v>xls</v>
      </c>
      <c r="C4026" s="3" t="str">
        <f>IFERROR(__xludf.DUMMYFUNCTION("""COMPUTED_VALUE"""),"ELIS")</f>
        <v>ELIS</v>
      </c>
    </row>
    <row r="4027">
      <c r="A4027" s="3" t="str">
        <f>IFERROR(__xludf.DUMMYFUNCTION("""COMPUTED_VALUE"""),"elite-swap")</f>
        <v>elite-swap</v>
      </c>
      <c r="B4027" s="3" t="str">
        <f>IFERROR(__xludf.DUMMYFUNCTION("""COMPUTED_VALUE"""),"elt")</f>
        <v>elt</v>
      </c>
      <c r="C4027" s="3" t="str">
        <f>IFERROR(__xludf.DUMMYFUNCTION("""COMPUTED_VALUE"""),"Elite Swap")</f>
        <v>Elite Swap</v>
      </c>
    </row>
    <row r="4028">
      <c r="A4028" s="3" t="str">
        <f>IFERROR(__xludf.DUMMYFUNCTION("""COMPUTED_VALUE"""),"elitium")</f>
        <v>elitium</v>
      </c>
      <c r="B4028" s="3" t="str">
        <f>IFERROR(__xludf.DUMMYFUNCTION("""COMPUTED_VALUE"""),"eum")</f>
        <v>eum</v>
      </c>
      <c r="C4028" s="3" t="str">
        <f>IFERROR(__xludf.DUMMYFUNCTION("""COMPUTED_VALUE"""),"Elitium")</f>
        <v>Elitium</v>
      </c>
    </row>
    <row r="4029">
      <c r="A4029" s="3" t="str">
        <f>IFERROR(__xludf.DUMMYFUNCTION("""COMPUTED_VALUE"""),"elk-finance")</f>
        <v>elk-finance</v>
      </c>
      <c r="B4029" s="3" t="str">
        <f>IFERROR(__xludf.DUMMYFUNCTION("""COMPUTED_VALUE"""),"elk")</f>
        <v>elk</v>
      </c>
      <c r="C4029" s="3" t="str">
        <f>IFERROR(__xludf.DUMMYFUNCTION("""COMPUTED_VALUE"""),"Elk Finance")</f>
        <v>Elk Finance</v>
      </c>
    </row>
    <row r="4030">
      <c r="A4030" s="3" t="str">
        <f>IFERROR(__xludf.DUMMYFUNCTION("""COMPUTED_VALUE"""),"ellerium")</f>
        <v>ellerium</v>
      </c>
      <c r="B4030" s="3" t="str">
        <f>IFERROR(__xludf.DUMMYFUNCTION("""COMPUTED_VALUE"""),"elm")</f>
        <v>elm</v>
      </c>
      <c r="C4030" s="3" t="str">
        <f>IFERROR(__xludf.DUMMYFUNCTION("""COMPUTED_VALUE"""),"ELLERIUM")</f>
        <v>ELLERIUM</v>
      </c>
    </row>
    <row r="4031">
      <c r="A4031" s="3" t="str">
        <f>IFERROR(__xludf.DUMMYFUNCTION("""COMPUTED_VALUE"""),"ellipsis")</f>
        <v>ellipsis</v>
      </c>
      <c r="B4031" s="3" t="str">
        <f>IFERROR(__xludf.DUMMYFUNCTION("""COMPUTED_VALUE"""),"eps")</f>
        <v>eps</v>
      </c>
      <c r="C4031" s="3" t="str">
        <f>IFERROR(__xludf.DUMMYFUNCTION("""COMPUTED_VALUE"""),"Ellipsis [OLD]")</f>
        <v>Ellipsis [OLD]</v>
      </c>
    </row>
    <row r="4032">
      <c r="A4032" s="3" t="str">
        <f>IFERROR(__xludf.DUMMYFUNCTION("""COMPUTED_VALUE"""),"ellipsis-x")</f>
        <v>ellipsis-x</v>
      </c>
      <c r="B4032" s="3" t="str">
        <f>IFERROR(__xludf.DUMMYFUNCTION("""COMPUTED_VALUE"""),"epx")</f>
        <v>epx</v>
      </c>
      <c r="C4032" s="3" t="str">
        <f>IFERROR(__xludf.DUMMYFUNCTION("""COMPUTED_VALUE"""),"Ellipsis X")</f>
        <v>Ellipsis X</v>
      </c>
    </row>
    <row r="4033">
      <c r="A4033" s="3" t="str">
        <f>IFERROR(__xludf.DUMMYFUNCTION("""COMPUTED_VALUE"""),"eloin")</f>
        <v>eloin</v>
      </c>
      <c r="B4033" s="3" t="str">
        <f>IFERROR(__xludf.DUMMYFUNCTION("""COMPUTED_VALUE"""),"eloin")</f>
        <v>eloin</v>
      </c>
      <c r="C4033" s="3" t="str">
        <f>IFERROR(__xludf.DUMMYFUNCTION("""COMPUTED_VALUE"""),"Eloin")</f>
        <v>Eloin</v>
      </c>
    </row>
    <row r="4034">
      <c r="A4034" s="3" t="str">
        <f>IFERROR(__xludf.DUMMYFUNCTION("""COMPUTED_VALUE"""),"elo-inu")</f>
        <v>elo-inu</v>
      </c>
      <c r="B4034" s="3" t="str">
        <f>IFERROR(__xludf.DUMMYFUNCTION("""COMPUTED_VALUE"""),"elo inu")</f>
        <v>elo inu</v>
      </c>
      <c r="C4034" s="3" t="str">
        <f>IFERROR(__xludf.DUMMYFUNCTION("""COMPUTED_VALUE"""),"Elo Inu")</f>
        <v>Elo Inu</v>
      </c>
    </row>
    <row r="4035">
      <c r="A4035" s="3" t="str">
        <f>IFERROR(__xludf.DUMMYFUNCTION("""COMPUTED_VALUE"""),"elonbank")</f>
        <v>elonbank</v>
      </c>
      <c r="B4035" s="3" t="str">
        <f>IFERROR(__xludf.DUMMYFUNCTION("""COMPUTED_VALUE"""),"elonbank")</f>
        <v>elonbank</v>
      </c>
      <c r="C4035" s="3" t="str">
        <f>IFERROR(__xludf.DUMMYFUNCTION("""COMPUTED_VALUE"""),"ElonBank")</f>
        <v>ElonBank</v>
      </c>
    </row>
    <row r="4036">
      <c r="A4036" s="3" t="str">
        <f>IFERROR(__xludf.DUMMYFUNCTION("""COMPUTED_VALUE"""),"elondoge-dao")</f>
        <v>elondoge-dao</v>
      </c>
      <c r="B4036" s="3" t="str">
        <f>IFERROR(__xludf.DUMMYFUNCTION("""COMPUTED_VALUE"""),"edao")</f>
        <v>edao</v>
      </c>
      <c r="C4036" s="3" t="str">
        <f>IFERROR(__xludf.DUMMYFUNCTION("""COMPUTED_VALUE"""),"ElonDoge DAO")</f>
        <v>ElonDoge DAO</v>
      </c>
    </row>
    <row r="4037">
      <c r="A4037" s="3" t="str">
        <f>IFERROR(__xludf.DUMMYFUNCTION("""COMPUTED_VALUE"""),"elon-doge-token")</f>
        <v>elon-doge-token</v>
      </c>
      <c r="B4037" s="3" t="str">
        <f>IFERROR(__xludf.DUMMYFUNCTION("""COMPUTED_VALUE"""),"edoge")</f>
        <v>edoge</v>
      </c>
      <c r="C4037" s="4" t="str">
        <f>IFERROR(__xludf.DUMMYFUNCTION("""COMPUTED_VALUE"""),"ElonDoge.io")</f>
        <v>ElonDoge.io</v>
      </c>
    </row>
    <row r="4038">
      <c r="A4038" s="3" t="str">
        <f>IFERROR(__xludf.DUMMYFUNCTION("""COMPUTED_VALUE"""),"elongate")</f>
        <v>elongate</v>
      </c>
      <c r="B4038" s="3" t="str">
        <f>IFERROR(__xludf.DUMMYFUNCTION("""COMPUTED_VALUE"""),"elongate")</f>
        <v>elongate</v>
      </c>
      <c r="C4038" s="3" t="str">
        <f>IFERROR(__xludf.DUMMYFUNCTION("""COMPUTED_VALUE"""),"ElonGate")</f>
        <v>ElonGate</v>
      </c>
    </row>
    <row r="4039">
      <c r="A4039" s="3" t="str">
        <f>IFERROR(__xludf.DUMMYFUNCTION("""COMPUTED_VALUE"""),"elongate-duluxe")</f>
        <v>elongate-duluxe</v>
      </c>
      <c r="B4039" s="3" t="str">
        <f>IFERROR(__xludf.DUMMYFUNCTION("""COMPUTED_VALUE"""),"elongd")</f>
        <v>elongd</v>
      </c>
      <c r="C4039" s="3" t="str">
        <f>IFERROR(__xludf.DUMMYFUNCTION("""COMPUTED_VALUE"""),"Elongate Deluxe")</f>
        <v>Elongate Deluxe</v>
      </c>
    </row>
    <row r="4040">
      <c r="A4040" s="3" t="str">
        <f>IFERROR(__xludf.DUMMYFUNCTION("""COMPUTED_VALUE"""),"elon-goat")</f>
        <v>elon-goat</v>
      </c>
      <c r="B4040" s="3" t="str">
        <f>IFERROR(__xludf.DUMMYFUNCTION("""COMPUTED_VALUE"""),"egt")</f>
        <v>egt</v>
      </c>
      <c r="C4040" s="3" t="str">
        <f>IFERROR(__xludf.DUMMYFUNCTION("""COMPUTED_VALUE"""),"Elon GOAT")</f>
        <v>Elon GOAT</v>
      </c>
    </row>
    <row r="4041">
      <c r="A4041" s="3" t="str">
        <f>IFERROR(__xludf.DUMMYFUNCTION("""COMPUTED_VALUE"""),"elongrab")</f>
        <v>elongrab</v>
      </c>
      <c r="B4041" s="3" t="str">
        <f>IFERROR(__xludf.DUMMYFUNCTION("""COMPUTED_VALUE"""),"elongrab")</f>
        <v>elongrab</v>
      </c>
      <c r="C4041" s="3" t="str">
        <f>IFERROR(__xludf.DUMMYFUNCTION("""COMPUTED_VALUE"""),"Elongrab")</f>
        <v>Elongrab</v>
      </c>
    </row>
    <row r="4042">
      <c r="A4042" s="3" t="str">
        <f>IFERROR(__xludf.DUMMYFUNCTION("""COMPUTED_VALUE"""),"elonhype")</f>
        <v>elonhype</v>
      </c>
      <c r="B4042" s="3" t="str">
        <f>IFERROR(__xludf.DUMMYFUNCTION("""COMPUTED_VALUE"""),"elonhype")</f>
        <v>elonhype</v>
      </c>
      <c r="C4042" s="3" t="str">
        <f>IFERROR(__xludf.DUMMYFUNCTION("""COMPUTED_VALUE"""),"ElonHype")</f>
        <v>ElonHype</v>
      </c>
    </row>
    <row r="4043">
      <c r="A4043" s="3" t="str">
        <f>IFERROR(__xludf.DUMMYFUNCTION("""COMPUTED_VALUE"""),"eloniumcoin")</f>
        <v>eloniumcoin</v>
      </c>
      <c r="B4043" s="3" t="str">
        <f>IFERROR(__xludf.DUMMYFUNCTION("""COMPUTED_VALUE"""),"elnc")</f>
        <v>elnc</v>
      </c>
      <c r="C4043" s="3" t="str">
        <f>IFERROR(__xludf.DUMMYFUNCTION("""COMPUTED_VALUE"""),"EloniumCoin")</f>
        <v>EloniumCoin</v>
      </c>
    </row>
    <row r="4044">
      <c r="A4044" s="3" t="str">
        <f>IFERROR(__xludf.DUMMYFUNCTION("""COMPUTED_VALUE"""),"elonjet")</f>
        <v>elonjet</v>
      </c>
      <c r="B4044" s="3" t="str">
        <f>IFERROR(__xludf.DUMMYFUNCTION("""COMPUTED_VALUE"""),"elonjet")</f>
        <v>elonjet</v>
      </c>
      <c r="C4044" s="3" t="str">
        <f>IFERROR(__xludf.DUMMYFUNCTION("""COMPUTED_VALUE"""),"ElonJet")</f>
        <v>ElonJet</v>
      </c>
    </row>
    <row r="4045">
      <c r="A4045" s="3" t="str">
        <f>IFERROR(__xludf.DUMMYFUNCTION("""COMPUTED_VALUE"""),"elons-marvin")</f>
        <v>elons-marvin</v>
      </c>
      <c r="B4045" s="3" t="str">
        <f>IFERROR(__xludf.DUMMYFUNCTION("""COMPUTED_VALUE"""),"marvin")</f>
        <v>marvin</v>
      </c>
      <c r="C4045" s="3" t="str">
        <f>IFERROR(__xludf.DUMMYFUNCTION("""COMPUTED_VALUE"""),"Elon's Marvin")</f>
        <v>Elon's Marvin</v>
      </c>
    </row>
    <row r="4046">
      <c r="A4046" s="3" t="str">
        <f>IFERROR(__xludf.DUMMYFUNCTION("""COMPUTED_VALUE"""),"elons-rabbit")</f>
        <v>elons-rabbit</v>
      </c>
      <c r="B4046" s="3" t="str">
        <f>IFERROR(__xludf.DUMMYFUNCTION("""COMPUTED_VALUE"""),"erabbit")</f>
        <v>erabbit</v>
      </c>
      <c r="C4046" s="3" t="str">
        <f>IFERROR(__xludf.DUMMYFUNCTION("""COMPUTED_VALUE"""),"ELONs RABBIT")</f>
        <v>ELONs RABBIT</v>
      </c>
    </row>
    <row r="4047">
      <c r="A4047" s="3" t="str">
        <f>IFERROR(__xludf.DUMMYFUNCTION("""COMPUTED_VALUE"""),"elpis-battle")</f>
        <v>elpis-battle</v>
      </c>
      <c r="B4047" s="3" t="str">
        <f>IFERROR(__xludf.DUMMYFUNCTION("""COMPUTED_VALUE"""),"eba")</f>
        <v>eba</v>
      </c>
      <c r="C4047" s="3" t="str">
        <f>IFERROR(__xludf.DUMMYFUNCTION("""COMPUTED_VALUE"""),"Elpis Battle")</f>
        <v>Elpis Battle</v>
      </c>
    </row>
    <row r="4048">
      <c r="A4048" s="3" t="str">
        <f>IFERROR(__xludf.DUMMYFUNCTION("""COMPUTED_VALUE"""),"elron")</f>
        <v>elron</v>
      </c>
      <c r="B4048" s="3" t="str">
        <f>IFERROR(__xludf.DUMMYFUNCTION("""COMPUTED_VALUE"""),"elr")</f>
        <v>elr</v>
      </c>
      <c r="C4048" s="3" t="str">
        <f>IFERROR(__xludf.DUMMYFUNCTION("""COMPUTED_VALUE"""),"Elron")</f>
        <v>Elron</v>
      </c>
    </row>
    <row r="4049">
      <c r="A4049" s="3" t="str">
        <f>IFERROR(__xludf.DUMMYFUNCTION("""COMPUTED_VALUE"""),"elrond-erd-2")</f>
        <v>elrond-erd-2</v>
      </c>
      <c r="B4049" s="3" t="str">
        <f>IFERROR(__xludf.DUMMYFUNCTION("""COMPUTED_VALUE"""),"egld")</f>
        <v>egld</v>
      </c>
      <c r="C4049" s="3" t="str">
        <f>IFERROR(__xludf.DUMMYFUNCTION("""COMPUTED_VALUE"""),"MultiversX (Elrond)")</f>
        <v>MultiversX (Elrond)</v>
      </c>
    </row>
    <row r="4050">
      <c r="A4050" s="3" t="str">
        <f>IFERROR(__xludf.DUMMYFUNCTION("""COMPUTED_VALUE"""),"el-rune-rune-game")</f>
        <v>el-rune-rune-game</v>
      </c>
      <c r="B4050" s="3" t="str">
        <f>IFERROR(__xludf.DUMMYFUNCTION("""COMPUTED_VALUE"""),"el")</f>
        <v>el</v>
      </c>
      <c r="C4050" s="3" t="str">
        <f>IFERROR(__xludf.DUMMYFUNCTION("""COMPUTED_VALUE"""),"EL Rune (Rune.Game)")</f>
        <v>EL Rune (Rune.Game)</v>
      </c>
    </row>
    <row r="4051">
      <c r="A4051" s="3" t="str">
        <f>IFERROR(__xludf.DUMMYFUNCTION("""COMPUTED_VALUE"""),"eltcoin")</f>
        <v>eltcoin</v>
      </c>
      <c r="B4051" s="3" t="str">
        <f>IFERROR(__xludf.DUMMYFUNCTION("""COMPUTED_VALUE"""),"eltcoin")</f>
        <v>eltcoin</v>
      </c>
      <c r="C4051" s="3" t="str">
        <f>IFERROR(__xludf.DUMMYFUNCTION("""COMPUTED_VALUE"""),"Eltcoin")</f>
        <v>Eltcoin</v>
      </c>
    </row>
    <row r="4052">
      <c r="A4052" s="3" t="str">
        <f>IFERROR(__xludf.DUMMYFUNCTION("""COMPUTED_VALUE"""),"elumia")</f>
        <v>elumia</v>
      </c>
      <c r="B4052" s="3" t="str">
        <f>IFERROR(__xludf.DUMMYFUNCTION("""COMPUTED_VALUE"""),"elu")</f>
        <v>elu</v>
      </c>
      <c r="C4052" s="3" t="str">
        <f>IFERROR(__xludf.DUMMYFUNCTION("""COMPUTED_VALUE"""),"Elumia")</f>
        <v>Elumia</v>
      </c>
    </row>
    <row r="4053">
      <c r="A4053" s="3" t="str">
        <f>IFERROR(__xludf.DUMMYFUNCTION("""COMPUTED_VALUE"""),"elvantis")</f>
        <v>elvantis</v>
      </c>
      <c r="B4053" s="3" t="str">
        <f>IFERROR(__xludf.DUMMYFUNCTION("""COMPUTED_VALUE"""),"elv")</f>
        <v>elv</v>
      </c>
      <c r="C4053" s="3" t="str">
        <f>IFERROR(__xludf.DUMMYFUNCTION("""COMPUTED_VALUE"""),"Elvantis")</f>
        <v>Elvantis</v>
      </c>
    </row>
    <row r="4054">
      <c r="A4054" s="3" t="str">
        <f>IFERROR(__xludf.DUMMYFUNCTION("""COMPUTED_VALUE"""),"elves-century")</f>
        <v>elves-century</v>
      </c>
      <c r="B4054" s="3" t="str">
        <f>IFERROR(__xludf.DUMMYFUNCTION("""COMPUTED_VALUE"""),"elves")</f>
        <v>elves</v>
      </c>
      <c r="C4054" s="3" t="str">
        <f>IFERROR(__xludf.DUMMYFUNCTION("""COMPUTED_VALUE"""),"Elves Century")</f>
        <v>Elves Century</v>
      </c>
    </row>
    <row r="4055">
      <c r="A4055" s="3" t="str">
        <f>IFERROR(__xludf.DUMMYFUNCTION("""COMPUTED_VALUE"""),"elya")</f>
        <v>elya</v>
      </c>
      <c r="B4055" s="3" t="str">
        <f>IFERROR(__xludf.DUMMYFUNCTION("""COMPUTED_VALUE"""),"elya")</f>
        <v>elya</v>
      </c>
      <c r="C4055" s="3" t="str">
        <f>IFERROR(__xludf.DUMMYFUNCTION("""COMPUTED_VALUE"""),"Elya")</f>
        <v>Elya</v>
      </c>
    </row>
    <row r="4056">
      <c r="A4056" s="3" t="str">
        <f>IFERROR(__xludf.DUMMYFUNCTION("""COMPUTED_VALUE"""),"elyfi")</f>
        <v>elyfi</v>
      </c>
      <c r="B4056" s="3" t="str">
        <f>IFERROR(__xludf.DUMMYFUNCTION("""COMPUTED_VALUE"""),"elfi")</f>
        <v>elfi</v>
      </c>
      <c r="C4056" s="3" t="str">
        <f>IFERROR(__xludf.DUMMYFUNCTION("""COMPUTED_VALUE"""),"ELYFI")</f>
        <v>ELYFI</v>
      </c>
    </row>
    <row r="4057">
      <c r="A4057" s="3" t="str">
        <f>IFERROR(__xludf.DUMMYFUNCTION("""COMPUTED_VALUE"""),"elynet-token")</f>
        <v>elynet-token</v>
      </c>
      <c r="B4057" s="3" t="str">
        <f>IFERROR(__xludf.DUMMYFUNCTION("""COMPUTED_VALUE"""),"elyx")</f>
        <v>elyx</v>
      </c>
      <c r="C4057" s="3" t="str">
        <f>IFERROR(__xludf.DUMMYFUNCTION("""COMPUTED_VALUE"""),"Elynet")</f>
        <v>Elynet</v>
      </c>
    </row>
    <row r="4058">
      <c r="A4058" s="3" t="str">
        <f>IFERROR(__xludf.DUMMYFUNCTION("""COMPUTED_VALUE"""),"elysia")</f>
        <v>elysia</v>
      </c>
      <c r="B4058" s="3" t="str">
        <f>IFERROR(__xludf.DUMMYFUNCTION("""COMPUTED_VALUE"""),"el")</f>
        <v>el</v>
      </c>
      <c r="C4058" s="3" t="str">
        <f>IFERROR(__xludf.DUMMYFUNCTION("""COMPUTED_VALUE"""),"ELYSIA")</f>
        <v>ELYSIA</v>
      </c>
    </row>
    <row r="4059">
      <c r="A4059" s="3" t="str">
        <f>IFERROR(__xludf.DUMMYFUNCTION("""COMPUTED_VALUE"""),"elysian")</f>
        <v>elysian</v>
      </c>
      <c r="B4059" s="3" t="str">
        <f>IFERROR(__xludf.DUMMYFUNCTION("""COMPUTED_VALUE"""),"ely")</f>
        <v>ely</v>
      </c>
      <c r="C4059" s="3" t="str">
        <f>IFERROR(__xludf.DUMMYFUNCTION("""COMPUTED_VALUE"""),"Elysian")</f>
        <v>Elysian</v>
      </c>
    </row>
    <row r="4060">
      <c r="A4060" s="3" t="str">
        <f>IFERROR(__xludf.DUMMYFUNCTION("""COMPUTED_VALUE"""),"elysiant-token")</f>
        <v>elysiant-token</v>
      </c>
      <c r="B4060" s="3" t="str">
        <f>IFERROR(__xludf.DUMMYFUNCTION("""COMPUTED_VALUE"""),"els")</f>
        <v>els</v>
      </c>
      <c r="C4060" s="3" t="str">
        <f>IFERROR(__xludf.DUMMYFUNCTION("""COMPUTED_VALUE"""),"Elysian ELS")</f>
        <v>Elysian ELS</v>
      </c>
    </row>
    <row r="4061">
      <c r="A4061" s="3" t="str">
        <f>IFERROR(__xludf.DUMMYFUNCTION("""COMPUTED_VALUE"""),"elysiumg")</f>
        <v>elysiumg</v>
      </c>
      <c r="B4061" s="3" t="str">
        <f>IFERROR(__xludf.DUMMYFUNCTION("""COMPUTED_VALUE"""),"lcmg")</f>
        <v>lcmg</v>
      </c>
      <c r="C4061" s="3" t="str">
        <f>IFERROR(__xludf.DUMMYFUNCTION("""COMPUTED_VALUE"""),"ElysiumG")</f>
        <v>ElysiumG</v>
      </c>
    </row>
    <row r="4062">
      <c r="A4062" s="3" t="str">
        <f>IFERROR(__xludf.DUMMYFUNCTION("""COMPUTED_VALUE"""),"emanate")</f>
        <v>emanate</v>
      </c>
      <c r="B4062" s="3" t="str">
        <f>IFERROR(__xludf.DUMMYFUNCTION("""COMPUTED_VALUE"""),"emt")</f>
        <v>emt</v>
      </c>
      <c r="C4062" s="3" t="str">
        <f>IFERROR(__xludf.DUMMYFUNCTION("""COMPUTED_VALUE"""),"Emanate")</f>
        <v>Emanate</v>
      </c>
    </row>
    <row r="4063">
      <c r="A4063" s="3" t="str">
        <f>IFERROR(__xludf.DUMMYFUNCTION("""COMPUTED_VALUE"""),"embr")</f>
        <v>embr</v>
      </c>
      <c r="B4063" s="3" t="str">
        <f>IFERROR(__xludf.DUMMYFUNCTION("""COMPUTED_VALUE"""),"embr")</f>
        <v>embr</v>
      </c>
      <c r="C4063" s="3" t="str">
        <f>IFERROR(__xludf.DUMMYFUNCTION("""COMPUTED_VALUE"""),"Embr")</f>
        <v>Embr</v>
      </c>
    </row>
    <row r="4064">
      <c r="A4064" s="3" t="str">
        <f>IFERROR(__xludf.DUMMYFUNCTION("""COMPUTED_VALUE"""),"emcis-network")</f>
        <v>emcis-network</v>
      </c>
      <c r="B4064" s="3" t="str">
        <f>IFERROR(__xludf.DUMMYFUNCTION("""COMPUTED_VALUE"""),"emc1")</f>
        <v>emc1</v>
      </c>
      <c r="C4064" s="3" t="str">
        <f>IFERROR(__xludf.DUMMYFUNCTION("""COMPUTED_VALUE"""),"EMCIS NETWORK")</f>
        <v>EMCIS NETWORK</v>
      </c>
    </row>
    <row r="4065">
      <c r="A4065" s="3" t="str">
        <f>IFERROR(__xludf.DUMMYFUNCTION("""COMPUTED_VALUE"""),"emerald-crypto")</f>
        <v>emerald-crypto</v>
      </c>
      <c r="B4065" s="3" t="str">
        <f>IFERROR(__xludf.DUMMYFUNCTION("""COMPUTED_VALUE"""),"emd")</f>
        <v>emd</v>
      </c>
      <c r="C4065" s="3" t="str">
        <f>IFERROR(__xludf.DUMMYFUNCTION("""COMPUTED_VALUE"""),"Emerald Crypto")</f>
        <v>Emerald Crypto</v>
      </c>
    </row>
    <row r="4066">
      <c r="A4066" s="3" t="str">
        <f>IFERROR(__xludf.DUMMYFUNCTION("""COMPUTED_VALUE"""),"emercoin")</f>
        <v>emercoin</v>
      </c>
      <c r="B4066" s="3" t="str">
        <f>IFERROR(__xludf.DUMMYFUNCTION("""COMPUTED_VALUE"""),"emc")</f>
        <v>emc</v>
      </c>
      <c r="C4066" s="3" t="str">
        <f>IFERROR(__xludf.DUMMYFUNCTION("""COMPUTED_VALUE"""),"EmerCoin")</f>
        <v>EmerCoin</v>
      </c>
    </row>
    <row r="4067">
      <c r="A4067" s="3" t="str">
        <f>IFERROR(__xludf.DUMMYFUNCTION("""COMPUTED_VALUE"""),"eminer")</f>
        <v>eminer</v>
      </c>
      <c r="B4067" s="3" t="str">
        <f>IFERROR(__xludf.DUMMYFUNCTION("""COMPUTED_VALUE"""),"em")</f>
        <v>em</v>
      </c>
      <c r="C4067" s="3" t="str">
        <f>IFERROR(__xludf.DUMMYFUNCTION("""COMPUTED_VALUE"""),"Eminer")</f>
        <v>Eminer</v>
      </c>
    </row>
    <row r="4068">
      <c r="A4068" s="3" t="str">
        <f>IFERROR(__xludf.DUMMYFUNCTION("""COMPUTED_VALUE"""),"emirate-swap-token")</f>
        <v>emirate-swap-token</v>
      </c>
      <c r="B4068" s="3" t="str">
        <f>IFERROR(__xludf.DUMMYFUNCTION("""COMPUTED_VALUE"""),"emc")</f>
        <v>emc</v>
      </c>
      <c r="C4068" s="3" t="str">
        <f>IFERROR(__xludf.DUMMYFUNCTION("""COMPUTED_VALUE"""),"Emirate Swap Token")</f>
        <v>Emirate Swap Token</v>
      </c>
    </row>
    <row r="4069">
      <c r="A4069" s="3" t="str">
        <f>IFERROR(__xludf.DUMMYFUNCTION("""COMPUTED_VALUE"""),"emirex-token")</f>
        <v>emirex-token</v>
      </c>
      <c r="B4069" s="3" t="str">
        <f>IFERROR(__xludf.DUMMYFUNCTION("""COMPUTED_VALUE"""),"emrx")</f>
        <v>emrx</v>
      </c>
      <c r="C4069" s="3" t="str">
        <f>IFERROR(__xludf.DUMMYFUNCTION("""COMPUTED_VALUE"""),"Emirex")</f>
        <v>Emirex</v>
      </c>
    </row>
    <row r="4070">
      <c r="A4070" s="3" t="str">
        <f>IFERROR(__xludf.DUMMYFUNCTION("""COMPUTED_VALUE"""),"emiswap")</f>
        <v>emiswap</v>
      </c>
      <c r="B4070" s="3" t="str">
        <f>IFERROR(__xludf.DUMMYFUNCTION("""COMPUTED_VALUE"""),"esw")</f>
        <v>esw</v>
      </c>
      <c r="C4070" s="3" t="str">
        <f>IFERROR(__xludf.DUMMYFUNCTION("""COMPUTED_VALUE"""),"EmiSwap")</f>
        <v>EmiSwap</v>
      </c>
    </row>
    <row r="4071">
      <c r="A4071" s="3" t="str">
        <f>IFERROR(__xludf.DUMMYFUNCTION("""COMPUTED_VALUE"""),"emitearthelement")</f>
        <v>emitearthelement</v>
      </c>
      <c r="B4071" s="3" t="str">
        <f>IFERROR(__xludf.DUMMYFUNCTION("""COMPUTED_VALUE"""),"earth")</f>
        <v>earth</v>
      </c>
      <c r="C4071" s="3" t="str">
        <f>IFERROR(__xludf.DUMMYFUNCTION("""COMPUTED_VALUE"""),"EmitEarthElement")</f>
        <v>EmitEarthElement</v>
      </c>
    </row>
    <row r="4072">
      <c r="A4072" s="3" t="str">
        <f>IFERROR(__xludf.DUMMYFUNCTION("""COMPUTED_VALUE"""),"emocoin")</f>
        <v>emocoin</v>
      </c>
      <c r="B4072" s="3" t="str">
        <f>IFERROR(__xludf.DUMMYFUNCTION("""COMPUTED_VALUE"""),"emo")</f>
        <v>emo</v>
      </c>
      <c r="C4072" s="3" t="str">
        <f>IFERROR(__xludf.DUMMYFUNCTION("""COMPUTED_VALUE"""),"Emocoin")</f>
        <v>Emocoin</v>
      </c>
    </row>
    <row r="4073">
      <c r="A4073" s="3" t="str">
        <f>IFERROR(__xludf.DUMMYFUNCTION("""COMPUTED_VALUE"""),"e-money")</f>
        <v>e-money</v>
      </c>
      <c r="B4073" s="3" t="str">
        <f>IFERROR(__xludf.DUMMYFUNCTION("""COMPUTED_VALUE"""),"ngm")</f>
        <v>ngm</v>
      </c>
      <c r="C4073" s="3" t="str">
        <f>IFERROR(__xludf.DUMMYFUNCTION("""COMPUTED_VALUE"""),"e-Money")</f>
        <v>e-Money</v>
      </c>
    </row>
    <row r="4074">
      <c r="A4074" s="3" t="str">
        <f>IFERROR(__xludf.DUMMYFUNCTION("""COMPUTED_VALUE"""),"e-money-eur")</f>
        <v>e-money-eur</v>
      </c>
      <c r="B4074" s="3" t="str">
        <f>IFERROR(__xludf.DUMMYFUNCTION("""COMPUTED_VALUE"""),"eeur")</f>
        <v>eeur</v>
      </c>
      <c r="C4074" s="3" t="str">
        <f>IFERROR(__xludf.DUMMYFUNCTION("""COMPUTED_VALUE"""),"e-Money EUR")</f>
        <v>e-Money EUR</v>
      </c>
    </row>
    <row r="4075">
      <c r="A4075" s="3" t="str">
        <f>IFERROR(__xludf.DUMMYFUNCTION("""COMPUTED_VALUE"""),"empire-capital-token")</f>
        <v>empire-capital-token</v>
      </c>
      <c r="B4075" s="3" t="str">
        <f>IFERROR(__xludf.DUMMYFUNCTION("""COMPUTED_VALUE"""),"ecc")</f>
        <v>ecc</v>
      </c>
      <c r="C4075" s="3" t="str">
        <f>IFERROR(__xludf.DUMMYFUNCTION("""COMPUTED_VALUE"""),"Empire Capital")</f>
        <v>Empire Capital</v>
      </c>
    </row>
    <row r="4076">
      <c r="A4076" s="3" t="str">
        <f>IFERROR(__xludf.DUMMYFUNCTION("""COMPUTED_VALUE"""),"empire-token")</f>
        <v>empire-token</v>
      </c>
      <c r="B4076" s="3" t="str">
        <f>IFERROR(__xludf.DUMMYFUNCTION("""COMPUTED_VALUE"""),"empire")</f>
        <v>empire</v>
      </c>
      <c r="C4076" s="3" t="str">
        <f>IFERROR(__xludf.DUMMYFUNCTION("""COMPUTED_VALUE"""),"Empire")</f>
        <v>Empire</v>
      </c>
    </row>
    <row r="4077">
      <c r="A4077" s="3" t="str">
        <f>IFERROR(__xludf.DUMMYFUNCTION("""COMPUTED_VALUE"""),"emp-money")</f>
        <v>emp-money</v>
      </c>
      <c r="B4077" s="3" t="str">
        <f>IFERROR(__xludf.DUMMYFUNCTION("""COMPUTED_VALUE"""),"emp")</f>
        <v>emp</v>
      </c>
      <c r="C4077" s="3" t="str">
        <f>IFERROR(__xludf.DUMMYFUNCTION("""COMPUTED_VALUE"""),"Emp Money")</f>
        <v>Emp Money</v>
      </c>
    </row>
    <row r="4078">
      <c r="A4078" s="3" t="str">
        <f>IFERROR(__xludf.DUMMYFUNCTION("""COMPUTED_VALUE"""),"empowa")</f>
        <v>empowa</v>
      </c>
      <c r="B4078" s="3" t="str">
        <f>IFERROR(__xludf.DUMMYFUNCTION("""COMPUTED_VALUE"""),"emp")</f>
        <v>emp</v>
      </c>
      <c r="C4078" s="3" t="str">
        <f>IFERROR(__xludf.DUMMYFUNCTION("""COMPUTED_VALUE"""),"Empowa")</f>
        <v>Empowa</v>
      </c>
    </row>
    <row r="4079">
      <c r="A4079" s="3" t="str">
        <f>IFERROR(__xludf.DUMMYFUNCTION("""COMPUTED_VALUE"""),"emp-shares")</f>
        <v>emp-shares</v>
      </c>
      <c r="B4079" s="3" t="str">
        <f>IFERROR(__xludf.DUMMYFUNCTION("""COMPUTED_VALUE"""),"eshare")</f>
        <v>eshare</v>
      </c>
      <c r="C4079" s="3" t="str">
        <f>IFERROR(__xludf.DUMMYFUNCTION("""COMPUTED_VALUE"""),"EMP Shares")</f>
        <v>EMP Shares</v>
      </c>
    </row>
    <row r="4080">
      <c r="A4080" s="3" t="str">
        <f>IFERROR(__xludf.DUMMYFUNCTION("""COMPUTED_VALUE"""),"empty-set-crypto")</f>
        <v>empty-set-crypto</v>
      </c>
      <c r="B4080" s="3" t="str">
        <f>IFERROR(__xludf.DUMMYFUNCTION("""COMPUTED_VALUE"""),"esc")</f>
        <v>esc</v>
      </c>
      <c r="C4080" s="3" t="str">
        <f>IFERROR(__xludf.DUMMYFUNCTION("""COMPUTED_VALUE"""),"Empty Set Crypto")</f>
        <v>Empty Set Crypto</v>
      </c>
    </row>
    <row r="4081">
      <c r="A4081" s="3" t="str">
        <f>IFERROR(__xludf.DUMMYFUNCTION("""COMPUTED_VALUE"""),"empty-set-dollar")</f>
        <v>empty-set-dollar</v>
      </c>
      <c r="B4081" s="3" t="str">
        <f>IFERROR(__xludf.DUMMYFUNCTION("""COMPUTED_VALUE"""),"esd")</f>
        <v>esd</v>
      </c>
      <c r="C4081" s="3" t="str">
        <f>IFERROR(__xludf.DUMMYFUNCTION("""COMPUTED_VALUE"""),"Empty Set Dollar")</f>
        <v>Empty Set Dollar</v>
      </c>
    </row>
    <row r="4082">
      <c r="A4082" s="3" t="str">
        <f>IFERROR(__xludf.DUMMYFUNCTION("""COMPUTED_VALUE"""),"empty-set-share")</f>
        <v>empty-set-share</v>
      </c>
      <c r="B4082" s="3" t="str">
        <f>IFERROR(__xludf.DUMMYFUNCTION("""COMPUTED_VALUE"""),"ess")</f>
        <v>ess</v>
      </c>
      <c r="C4082" s="3" t="str">
        <f>IFERROR(__xludf.DUMMYFUNCTION("""COMPUTED_VALUE"""),"Empty Set Share")</f>
        <v>Empty Set Share</v>
      </c>
    </row>
    <row r="4083">
      <c r="A4083" s="3" t="str">
        <f>IFERROR(__xludf.DUMMYFUNCTION("""COMPUTED_VALUE"""),"empyrean")</f>
        <v>empyrean</v>
      </c>
      <c r="B4083" s="3" t="str">
        <f>IFERROR(__xludf.DUMMYFUNCTION("""COMPUTED_VALUE"""),"empyr")</f>
        <v>empyr</v>
      </c>
      <c r="C4083" s="3" t="str">
        <f>IFERROR(__xludf.DUMMYFUNCTION("""COMPUTED_VALUE"""),"Empyrean")</f>
        <v>Empyrean</v>
      </c>
    </row>
    <row r="4084">
      <c r="A4084" s="3" t="str">
        <f>IFERROR(__xludf.DUMMYFUNCTION("""COMPUTED_VALUE"""),"encocoinplus")</f>
        <v>encocoinplus</v>
      </c>
      <c r="B4084" s="3" t="str">
        <f>IFERROR(__xludf.DUMMYFUNCTION("""COMPUTED_VALUE"""),"epg")</f>
        <v>epg</v>
      </c>
      <c r="C4084" s="3" t="str">
        <f>IFERROR(__xludf.DUMMYFUNCTION("""COMPUTED_VALUE"""),"Encocoinplus")</f>
        <v>Encocoinplus</v>
      </c>
    </row>
    <row r="4085">
      <c r="A4085" s="3" t="str">
        <f>IFERROR(__xludf.DUMMYFUNCTION("""COMPUTED_VALUE"""),"encountr")</f>
        <v>encountr</v>
      </c>
      <c r="B4085" s="3" t="str">
        <f>IFERROR(__xludf.DUMMYFUNCTION("""COMPUTED_VALUE"""),"enctr")</f>
        <v>enctr</v>
      </c>
      <c r="C4085" s="3" t="str">
        <f>IFERROR(__xludf.DUMMYFUNCTION("""COMPUTED_VALUE"""),"Encountr")</f>
        <v>Encountr</v>
      </c>
    </row>
    <row r="4086">
      <c r="A4086" s="3" t="str">
        <f>IFERROR(__xludf.DUMMYFUNCTION("""COMPUTED_VALUE"""),"encrypgen")</f>
        <v>encrypgen</v>
      </c>
      <c r="B4086" s="3" t="str">
        <f>IFERROR(__xludf.DUMMYFUNCTION("""COMPUTED_VALUE"""),"dna")</f>
        <v>dna</v>
      </c>
      <c r="C4086" s="3" t="str">
        <f>IFERROR(__xludf.DUMMYFUNCTION("""COMPUTED_VALUE"""),"EncrypGen")</f>
        <v>EncrypGen</v>
      </c>
    </row>
    <row r="4087">
      <c r="A4087" s="3" t="str">
        <f>IFERROR(__xludf.DUMMYFUNCTION("""COMPUTED_VALUE"""),"encyclopedia-wta")</f>
        <v>encyclopedia-wta</v>
      </c>
      <c r="B4087" s="3" t="str">
        <f>IFERROR(__xludf.DUMMYFUNCTION("""COMPUTED_VALUE"""),"encwta")</f>
        <v>encwta</v>
      </c>
      <c r="C4087" s="3" t="str">
        <f>IFERROR(__xludf.DUMMYFUNCTION("""COMPUTED_VALUE"""),"Encyclopedia wTa")</f>
        <v>Encyclopedia wTa</v>
      </c>
    </row>
    <row r="4088">
      <c r="A4088" s="3" t="str">
        <f>IFERROR(__xludf.DUMMYFUNCTION("""COMPUTED_VALUE"""),"endless-battlefield")</f>
        <v>endless-battlefield</v>
      </c>
      <c r="B4088" s="3" t="str">
        <f>IFERROR(__xludf.DUMMYFUNCTION("""COMPUTED_VALUE"""),"eb")</f>
        <v>eb</v>
      </c>
      <c r="C4088" s="3" t="str">
        <f>IFERROR(__xludf.DUMMYFUNCTION("""COMPUTED_VALUE"""),"Endless Battlefield")</f>
        <v>Endless Battlefield</v>
      </c>
    </row>
    <row r="4089">
      <c r="A4089" s="3" t="str">
        <f>IFERROR(__xludf.DUMMYFUNCTION("""COMPUTED_VALUE"""),"endor")</f>
        <v>endor</v>
      </c>
      <c r="B4089" s="3" t="str">
        <f>IFERROR(__xludf.DUMMYFUNCTION("""COMPUTED_VALUE"""),"edr")</f>
        <v>edr</v>
      </c>
      <c r="C4089" s="3" t="str">
        <f>IFERROR(__xludf.DUMMYFUNCTION("""COMPUTED_VALUE"""),"Endor Protocol")</f>
        <v>Endor Protocol</v>
      </c>
    </row>
    <row r="4090">
      <c r="A4090" s="3" t="str">
        <f>IFERROR(__xludf.DUMMYFUNCTION("""COMPUTED_VALUE"""),"endpoint-cex-fan-token")</f>
        <v>endpoint-cex-fan-token</v>
      </c>
      <c r="B4090" s="3" t="str">
        <f>IFERROR(__xludf.DUMMYFUNCTION("""COMPUTED_VALUE"""),"endcex")</f>
        <v>endcex</v>
      </c>
      <c r="C4090" s="3" t="str">
        <f>IFERROR(__xludf.DUMMYFUNCTION("""COMPUTED_VALUE"""),"Endpoint Cex Fan Token")</f>
        <v>Endpoint Cex Fan Token</v>
      </c>
    </row>
    <row r="4091">
      <c r="A4091" s="3" t="str">
        <f>IFERROR(__xludf.DUMMYFUNCTION("""COMPUTED_VALUE"""),"enegra")</f>
        <v>enegra</v>
      </c>
      <c r="B4091" s="3" t="str">
        <f>IFERROR(__xludf.DUMMYFUNCTION("""COMPUTED_VALUE"""),"egx")</f>
        <v>egx</v>
      </c>
      <c r="C4091" s="3" t="str">
        <f>IFERROR(__xludf.DUMMYFUNCTION("""COMPUTED_VALUE"""),"Enegra")</f>
        <v>Enegra</v>
      </c>
    </row>
    <row r="4092">
      <c r="A4092" s="3" t="str">
        <f>IFERROR(__xludf.DUMMYFUNCTION("""COMPUTED_VALUE"""),"energi")</f>
        <v>energi</v>
      </c>
      <c r="B4092" s="3" t="str">
        <f>IFERROR(__xludf.DUMMYFUNCTION("""COMPUTED_VALUE"""),"nrg")</f>
        <v>nrg</v>
      </c>
      <c r="C4092" s="3" t="str">
        <f>IFERROR(__xludf.DUMMYFUNCTION("""COMPUTED_VALUE"""),"Energi")</f>
        <v>Energi</v>
      </c>
    </row>
    <row r="4093">
      <c r="A4093" s="3" t="str">
        <f>IFERROR(__xludf.DUMMYFUNCTION("""COMPUTED_VALUE"""),"energi-dollar")</f>
        <v>energi-dollar</v>
      </c>
      <c r="B4093" s="3" t="str">
        <f>IFERROR(__xludf.DUMMYFUNCTION("""COMPUTED_VALUE"""),"usde")</f>
        <v>usde</v>
      </c>
      <c r="C4093" s="3" t="str">
        <f>IFERROR(__xludf.DUMMYFUNCTION("""COMPUTED_VALUE"""),"Energi Dollar")</f>
        <v>Energi Dollar</v>
      </c>
    </row>
    <row r="4094">
      <c r="A4094" s="3" t="str">
        <f>IFERROR(__xludf.DUMMYFUNCTION("""COMPUTED_VALUE"""),"energo")</f>
        <v>energo</v>
      </c>
      <c r="B4094" s="3" t="str">
        <f>IFERROR(__xludf.DUMMYFUNCTION("""COMPUTED_VALUE"""),"tsl")</f>
        <v>tsl</v>
      </c>
      <c r="C4094" s="3" t="str">
        <f>IFERROR(__xludf.DUMMYFUNCTION("""COMPUTED_VALUE"""),"Tesla TSL")</f>
        <v>Tesla TSL</v>
      </c>
    </row>
    <row r="4095">
      <c r="A4095" s="3" t="str">
        <f>IFERROR(__xludf.DUMMYFUNCTION("""COMPUTED_VALUE"""),"energoncoin")</f>
        <v>energoncoin</v>
      </c>
      <c r="B4095" s="3" t="str">
        <f>IFERROR(__xludf.DUMMYFUNCTION("""COMPUTED_VALUE"""),"tfg1")</f>
        <v>tfg1</v>
      </c>
      <c r="C4095" s="3" t="str">
        <f>IFERROR(__xludf.DUMMYFUNCTION("""COMPUTED_VALUE"""),"Energoncoin")</f>
        <v>Energoncoin</v>
      </c>
    </row>
    <row r="4096">
      <c r="A4096" s="3" t="str">
        <f>IFERROR(__xludf.DUMMYFUNCTION("""COMPUTED_VALUE"""),"energy")</f>
        <v>energy</v>
      </c>
      <c r="B4096" s="3" t="str">
        <f>IFERROR(__xludf.DUMMYFUNCTION("""COMPUTED_VALUE"""),"nrgy")</f>
        <v>nrgy</v>
      </c>
      <c r="C4096" s="3" t="str">
        <f>IFERROR(__xludf.DUMMYFUNCTION("""COMPUTED_VALUE"""),"ENERGY")</f>
        <v>ENERGY</v>
      </c>
    </row>
    <row r="4097">
      <c r="A4097" s="3" t="str">
        <f>IFERROR(__xludf.DUMMYFUNCTION("""COMPUTED_VALUE"""),"energy8")</f>
        <v>energy8</v>
      </c>
      <c r="B4097" s="3" t="str">
        <f>IFERROR(__xludf.DUMMYFUNCTION("""COMPUTED_VALUE"""),"e8")</f>
        <v>e8</v>
      </c>
      <c r="C4097" s="3" t="str">
        <f>IFERROR(__xludf.DUMMYFUNCTION("""COMPUTED_VALUE"""),"Energy8")</f>
        <v>Energy8</v>
      </c>
    </row>
    <row r="4098">
      <c r="A4098" s="3" t="str">
        <f>IFERROR(__xludf.DUMMYFUNCTION("""COMPUTED_VALUE"""),"energy-efficient-mortgage-tokenized-stock-defichain")</f>
        <v>energy-efficient-mortgage-tokenized-stock-defichain</v>
      </c>
      <c r="B4098" s="3" t="str">
        <f>IFERROR(__xludf.DUMMYFUNCTION("""COMPUTED_VALUE"""),"deem")</f>
        <v>deem</v>
      </c>
      <c r="C4098" s="3" t="str">
        <f>IFERROR(__xludf.DUMMYFUNCTION("""COMPUTED_VALUE"""),"iShares MSCI Emerging Markets ETF Defichain")</f>
        <v>iShares MSCI Emerging Markets ETF Defichain</v>
      </c>
    </row>
    <row r="4099">
      <c r="A4099" s="3" t="str">
        <f>IFERROR(__xludf.DUMMYFUNCTION("""COMPUTED_VALUE"""),"energyfi")</f>
        <v>energyfi</v>
      </c>
      <c r="B4099" s="3" t="str">
        <f>IFERROR(__xludf.DUMMYFUNCTION("""COMPUTED_VALUE"""),"eft")</f>
        <v>eft</v>
      </c>
      <c r="C4099" s="3" t="str">
        <f>IFERROR(__xludf.DUMMYFUNCTION("""COMPUTED_VALUE"""),"Energyfi")</f>
        <v>Energyfi</v>
      </c>
    </row>
    <row r="4100">
      <c r="A4100" s="3" t="str">
        <f>IFERROR(__xludf.DUMMYFUNCTION("""COMPUTED_VALUE"""),"energy-web-token")</f>
        <v>energy-web-token</v>
      </c>
      <c r="B4100" s="3" t="str">
        <f>IFERROR(__xludf.DUMMYFUNCTION("""COMPUTED_VALUE"""),"ewt")</f>
        <v>ewt</v>
      </c>
      <c r="C4100" s="3" t="str">
        <f>IFERROR(__xludf.DUMMYFUNCTION("""COMPUTED_VALUE"""),"Energy Web")</f>
        <v>Energy Web</v>
      </c>
    </row>
    <row r="4101">
      <c r="A4101" s="3" t="str">
        <f>IFERROR(__xludf.DUMMYFUNCTION("""COMPUTED_VALUE"""),"enex")</f>
        <v>enex</v>
      </c>
      <c r="B4101" s="3" t="str">
        <f>IFERROR(__xludf.DUMMYFUNCTION("""COMPUTED_VALUE"""),"enx")</f>
        <v>enx</v>
      </c>
      <c r="C4101" s="3" t="str">
        <f>IFERROR(__xludf.DUMMYFUNCTION("""COMPUTED_VALUE"""),"ENEX")</f>
        <v>ENEX</v>
      </c>
    </row>
    <row r="4102">
      <c r="A4102" s="3" t="str">
        <f>IFERROR(__xludf.DUMMYFUNCTION("""COMPUTED_VALUE"""),"eng-crypto")</f>
        <v>eng-crypto</v>
      </c>
      <c r="B4102" s="3" t="str">
        <f>IFERROR(__xludf.DUMMYFUNCTION("""COMPUTED_VALUE"""),"eng")</f>
        <v>eng</v>
      </c>
      <c r="C4102" s="3" t="str">
        <f>IFERROR(__xludf.DUMMYFUNCTION("""COMPUTED_VALUE"""),"Eng Crypto")</f>
        <v>Eng Crypto</v>
      </c>
    </row>
    <row r="4103">
      <c r="A4103" s="3" t="str">
        <f>IFERROR(__xludf.DUMMYFUNCTION("""COMPUTED_VALUE"""),"engine")</f>
        <v>engine</v>
      </c>
      <c r="B4103" s="3" t="str">
        <f>IFERROR(__xludf.DUMMYFUNCTION("""COMPUTED_VALUE"""),"egcc")</f>
        <v>egcc</v>
      </c>
      <c r="C4103" s="3" t="str">
        <f>IFERROR(__xludf.DUMMYFUNCTION("""COMPUTED_VALUE"""),"Engine")</f>
        <v>Engine</v>
      </c>
    </row>
    <row r="4104">
      <c r="A4104" s="3" t="str">
        <f>IFERROR(__xludf.DUMMYFUNCTION("""COMPUTED_VALUE"""),"engine-token")</f>
        <v>engine-token</v>
      </c>
      <c r="B4104" s="3" t="str">
        <f>IFERROR(__xludf.DUMMYFUNCTION("""COMPUTED_VALUE"""),"engn")</f>
        <v>engn</v>
      </c>
      <c r="C4104" s="3" t="str">
        <f>IFERROR(__xludf.DUMMYFUNCTION("""COMPUTED_VALUE"""),"Engine Token")</f>
        <v>Engine Token</v>
      </c>
    </row>
    <row r="4105">
      <c r="A4105" s="3" t="str">
        <f>IFERROR(__xludf.DUMMYFUNCTION("""COMPUTED_VALUE"""),"enigma")</f>
        <v>enigma</v>
      </c>
      <c r="B4105" s="3" t="str">
        <f>IFERROR(__xludf.DUMMYFUNCTION("""COMPUTED_VALUE"""),"eng")</f>
        <v>eng</v>
      </c>
      <c r="C4105" s="3" t="str">
        <f>IFERROR(__xludf.DUMMYFUNCTION("""COMPUTED_VALUE"""),"Enigma")</f>
        <v>Enigma</v>
      </c>
    </row>
    <row r="4106">
      <c r="A4106" s="3" t="str">
        <f>IFERROR(__xludf.DUMMYFUNCTION("""COMPUTED_VALUE"""),"enjincoin")</f>
        <v>enjincoin</v>
      </c>
      <c r="B4106" s="3" t="str">
        <f>IFERROR(__xludf.DUMMYFUNCTION("""COMPUTED_VALUE"""),"enj")</f>
        <v>enj</v>
      </c>
      <c r="C4106" s="3" t="str">
        <f>IFERROR(__xludf.DUMMYFUNCTION("""COMPUTED_VALUE"""),"Enjin Coin")</f>
        <v>Enjin Coin</v>
      </c>
    </row>
    <row r="4107">
      <c r="A4107" s="3" t="str">
        <f>IFERROR(__xludf.DUMMYFUNCTION("""COMPUTED_VALUE"""),"enjinstarter")</f>
        <v>enjinstarter</v>
      </c>
      <c r="B4107" s="3" t="str">
        <f>IFERROR(__xludf.DUMMYFUNCTION("""COMPUTED_VALUE"""),"ejs")</f>
        <v>ejs</v>
      </c>
      <c r="C4107" s="3" t="str">
        <f>IFERROR(__xludf.DUMMYFUNCTION("""COMPUTED_VALUE"""),"Enjinstarter")</f>
        <v>Enjinstarter</v>
      </c>
    </row>
    <row r="4108">
      <c r="A4108" s="3" t="str">
        <f>IFERROR(__xludf.DUMMYFUNCTION("""COMPUTED_VALUE"""),"enjoy-network")</f>
        <v>enjoy-network</v>
      </c>
      <c r="B4108" s="3" t="str">
        <f>IFERROR(__xludf.DUMMYFUNCTION("""COMPUTED_VALUE"""),"eyn")</f>
        <v>eyn</v>
      </c>
      <c r="C4108" s="3" t="str">
        <f>IFERROR(__xludf.DUMMYFUNCTION("""COMPUTED_VALUE"""),"Enjoy Network")</f>
        <v>Enjoy Network</v>
      </c>
    </row>
    <row r="4109">
      <c r="A4109" s="3" t="str">
        <f>IFERROR(__xludf.DUMMYFUNCTION("""COMPUTED_VALUE"""),"enkix")</f>
        <v>enkix</v>
      </c>
      <c r="B4109" s="3" t="str">
        <f>IFERROR(__xludf.DUMMYFUNCTION("""COMPUTED_VALUE"""),"ekx")</f>
        <v>ekx</v>
      </c>
      <c r="C4109" s="3" t="str">
        <f>IFERROR(__xludf.DUMMYFUNCTION("""COMPUTED_VALUE"""),"EnkiX")</f>
        <v>EnkiX</v>
      </c>
    </row>
    <row r="4110">
      <c r="A4110" s="3" t="str">
        <f>IFERROR(__xludf.DUMMYFUNCTION("""COMPUTED_VALUE"""),"enno-cash")</f>
        <v>enno-cash</v>
      </c>
      <c r="B4110" s="3" t="str">
        <f>IFERROR(__xludf.DUMMYFUNCTION("""COMPUTED_VALUE"""),"enno")</f>
        <v>enno</v>
      </c>
      <c r="C4110" s="3" t="str">
        <f>IFERROR(__xludf.DUMMYFUNCTION("""COMPUTED_VALUE"""),"ENNO Cash")</f>
        <v>ENNO Cash</v>
      </c>
    </row>
    <row r="4111">
      <c r="A4111" s="3" t="str">
        <f>IFERROR(__xludf.DUMMYFUNCTION("""COMPUTED_VALUE"""),"eno")</f>
        <v>eno</v>
      </c>
      <c r="B4111" s="3" t="str">
        <f>IFERROR(__xludf.DUMMYFUNCTION("""COMPUTED_VALUE"""),"eno")</f>
        <v>eno</v>
      </c>
      <c r="C4111" s="3" t="str">
        <f>IFERROR(__xludf.DUMMYFUNCTION("""COMPUTED_VALUE"""),"ENO")</f>
        <v>ENO</v>
      </c>
    </row>
    <row r="4112">
      <c r="A4112" s="3" t="str">
        <f>IFERROR(__xludf.DUMMYFUNCTION("""COMPUTED_VALUE"""),"enq-enecuum")</f>
        <v>enq-enecuum</v>
      </c>
      <c r="B4112" s="3" t="str">
        <f>IFERROR(__xludf.DUMMYFUNCTION("""COMPUTED_VALUE"""),"enq")</f>
        <v>enq</v>
      </c>
      <c r="C4112" s="3" t="str">
        <f>IFERROR(__xludf.DUMMYFUNCTION("""COMPUTED_VALUE"""),"Enecuum")</f>
        <v>Enecuum</v>
      </c>
    </row>
    <row r="4113">
      <c r="A4113" s="3" t="str">
        <f>IFERROR(__xludf.DUMMYFUNCTION("""COMPUTED_VALUE"""),"enreachdao")</f>
        <v>enreachdao</v>
      </c>
      <c r="B4113" s="3" t="str">
        <f>IFERROR(__xludf.DUMMYFUNCTION("""COMPUTED_VALUE"""),"nrch")</f>
        <v>nrch</v>
      </c>
      <c r="C4113" s="3" t="str">
        <f>IFERROR(__xludf.DUMMYFUNCTION("""COMPUTED_VALUE"""),"EnreachDAO")</f>
        <v>EnreachDAO</v>
      </c>
    </row>
    <row r="4114">
      <c r="A4114" s="3" t="str">
        <f>IFERROR(__xludf.DUMMYFUNCTION("""COMPUTED_VALUE"""),"enrex")</f>
        <v>enrex</v>
      </c>
      <c r="B4114" s="3" t="str">
        <f>IFERROR(__xludf.DUMMYFUNCTION("""COMPUTED_VALUE"""),"enrx")</f>
        <v>enrx</v>
      </c>
      <c r="C4114" s="3" t="str">
        <f>IFERROR(__xludf.DUMMYFUNCTION("""COMPUTED_VALUE"""),"Enrex")</f>
        <v>Enrex</v>
      </c>
    </row>
    <row r="4115">
      <c r="A4115" s="3" t="str">
        <f>IFERROR(__xludf.DUMMYFUNCTION("""COMPUTED_VALUE"""),"enterbutton")</f>
        <v>enterbutton</v>
      </c>
      <c r="B4115" s="3" t="str">
        <f>IFERROR(__xludf.DUMMYFUNCTION("""COMPUTED_VALUE"""),"entc")</f>
        <v>entc</v>
      </c>
      <c r="C4115" s="3" t="str">
        <f>IFERROR(__xludf.DUMMYFUNCTION("""COMPUTED_VALUE"""),"EnterButton")</f>
        <v>EnterButton</v>
      </c>
    </row>
    <row r="4116">
      <c r="A4116" s="3" t="str">
        <f>IFERROR(__xludf.DUMMYFUNCTION("""COMPUTED_VALUE"""),"entercoin")</f>
        <v>entercoin</v>
      </c>
      <c r="B4116" s="3" t="str">
        <f>IFERROR(__xludf.DUMMYFUNCTION("""COMPUTED_VALUE"""),"entrc")</f>
        <v>entrc</v>
      </c>
      <c r="C4116" s="3" t="str">
        <f>IFERROR(__xludf.DUMMYFUNCTION("""COMPUTED_VALUE"""),"EnterCoin")</f>
        <v>EnterCoin</v>
      </c>
    </row>
    <row r="4117">
      <c r="A4117" s="3" t="str">
        <f>IFERROR(__xludf.DUMMYFUNCTION("""COMPUTED_VALUE"""),"enterdao")</f>
        <v>enterdao</v>
      </c>
      <c r="B4117" s="3" t="str">
        <f>IFERROR(__xludf.DUMMYFUNCTION("""COMPUTED_VALUE"""),"entr")</f>
        <v>entr</v>
      </c>
      <c r="C4117" s="3" t="str">
        <f>IFERROR(__xludf.DUMMYFUNCTION("""COMPUTED_VALUE"""),"EnterDAO")</f>
        <v>EnterDAO</v>
      </c>
    </row>
    <row r="4118">
      <c r="A4118" s="3" t="str">
        <f>IFERROR(__xludf.DUMMYFUNCTION("""COMPUTED_VALUE"""),"entice")</f>
        <v>entice</v>
      </c>
      <c r="B4118" s="3" t="str">
        <f>IFERROR(__xludf.DUMMYFUNCTION("""COMPUTED_VALUE"""),"ntic")</f>
        <v>ntic</v>
      </c>
      <c r="C4118" s="3" t="str">
        <f>IFERROR(__xludf.DUMMYFUNCTION("""COMPUTED_VALUE"""),"Entice")</f>
        <v>Entice</v>
      </c>
    </row>
    <row r="4119">
      <c r="A4119" s="3" t="str">
        <f>IFERROR(__xludf.DUMMYFUNCTION("""COMPUTED_VALUE"""),"entity")</f>
        <v>entity</v>
      </c>
      <c r="B4119" s="3" t="str">
        <f>IFERROR(__xludf.DUMMYFUNCTION("""COMPUTED_VALUE"""),"entity")</f>
        <v>entity</v>
      </c>
      <c r="C4119" s="3" t="str">
        <f>IFERROR(__xludf.DUMMYFUNCTION("""COMPUTED_VALUE"""),"Entity")</f>
        <v>Entity</v>
      </c>
    </row>
    <row r="4120">
      <c r="A4120" s="3" t="str">
        <f>IFERROR(__xludf.DUMMYFUNCTION("""COMPUTED_VALUE"""),"entropyfi")</f>
        <v>entropyfi</v>
      </c>
      <c r="B4120" s="3" t="str">
        <f>IFERROR(__xludf.DUMMYFUNCTION("""COMPUTED_VALUE"""),"erp")</f>
        <v>erp</v>
      </c>
      <c r="C4120" s="3" t="str">
        <f>IFERROR(__xludf.DUMMYFUNCTION("""COMPUTED_VALUE"""),"Entropyfi")</f>
        <v>Entropyfi</v>
      </c>
    </row>
    <row r="4121">
      <c r="A4121" s="3" t="str">
        <f>IFERROR(__xludf.DUMMYFUNCTION("""COMPUTED_VALUE"""),"envida")</f>
        <v>envida</v>
      </c>
      <c r="B4121" s="3" t="str">
        <f>IFERROR(__xludf.DUMMYFUNCTION("""COMPUTED_VALUE"""),"edat")</f>
        <v>edat</v>
      </c>
      <c r="C4121" s="3" t="str">
        <f>IFERROR(__xludf.DUMMYFUNCTION("""COMPUTED_VALUE"""),"EnviDa")</f>
        <v>EnviDa</v>
      </c>
    </row>
    <row r="4122">
      <c r="A4122" s="3" t="str">
        <f>IFERROR(__xludf.DUMMYFUNCTION("""COMPUTED_VALUE"""),"envion")</f>
        <v>envion</v>
      </c>
      <c r="B4122" s="3" t="str">
        <f>IFERROR(__xludf.DUMMYFUNCTION("""COMPUTED_VALUE"""),"evn")</f>
        <v>evn</v>
      </c>
      <c r="C4122" s="3" t="str">
        <f>IFERROR(__xludf.DUMMYFUNCTION("""COMPUTED_VALUE"""),"Envion")</f>
        <v>Envion</v>
      </c>
    </row>
    <row r="4123">
      <c r="A4123" s="3" t="str">
        <f>IFERROR(__xludf.DUMMYFUNCTION("""COMPUTED_VALUE"""),"enviro")</f>
        <v>enviro</v>
      </c>
      <c r="B4123" s="3" t="str">
        <f>IFERROR(__xludf.DUMMYFUNCTION("""COMPUTED_VALUE"""),"enviro")</f>
        <v>enviro</v>
      </c>
      <c r="C4123" s="3" t="str">
        <f>IFERROR(__xludf.DUMMYFUNCTION("""COMPUTED_VALUE"""),"Enviro")</f>
        <v>Enviro</v>
      </c>
    </row>
    <row r="4124">
      <c r="A4124" s="3" t="str">
        <f>IFERROR(__xludf.DUMMYFUNCTION("""COMPUTED_VALUE"""),"envision")</f>
        <v>envision</v>
      </c>
      <c r="B4124" s="3" t="str">
        <f>IFERROR(__xludf.DUMMYFUNCTION("""COMPUTED_VALUE"""),"vis")</f>
        <v>vis</v>
      </c>
      <c r="C4124" s="3" t="str">
        <f>IFERROR(__xludf.DUMMYFUNCTION("""COMPUTED_VALUE"""),"Envision")</f>
        <v>Envision</v>
      </c>
    </row>
    <row r="4125">
      <c r="A4125" s="3" t="str">
        <f>IFERROR(__xludf.DUMMYFUNCTION("""COMPUTED_VALUE"""),"envoy-defi")</f>
        <v>envoy-defi</v>
      </c>
      <c r="B4125" s="3" t="str">
        <f>IFERROR(__xludf.DUMMYFUNCTION("""COMPUTED_VALUE"""),"voy")</f>
        <v>voy</v>
      </c>
      <c r="C4125" s="3" t="str">
        <f>IFERROR(__xludf.DUMMYFUNCTION("""COMPUTED_VALUE"""),"enVoy DeFi")</f>
        <v>enVoy DeFi</v>
      </c>
    </row>
    <row r="4126">
      <c r="A4126" s="3" t="str">
        <f>IFERROR(__xludf.DUMMYFUNCTION("""COMPUTED_VALUE"""),"envoy-network")</f>
        <v>envoy-network</v>
      </c>
      <c r="B4126" s="3" t="str">
        <f>IFERROR(__xludf.DUMMYFUNCTION("""COMPUTED_VALUE"""),"env")</f>
        <v>env</v>
      </c>
      <c r="C4126" s="3" t="str">
        <f>IFERROR(__xludf.DUMMYFUNCTION("""COMPUTED_VALUE"""),"Envoy")</f>
        <v>Envoy</v>
      </c>
    </row>
    <row r="4127">
      <c r="A4127" s="3" t="str">
        <f>IFERROR(__xludf.DUMMYFUNCTION("""COMPUTED_VALUE"""),"eos")</f>
        <v>eos</v>
      </c>
      <c r="B4127" s="3" t="str">
        <f>IFERROR(__xludf.DUMMYFUNCTION("""COMPUTED_VALUE"""),"eos")</f>
        <v>eos</v>
      </c>
      <c r="C4127" s="3" t="str">
        <f>IFERROR(__xludf.DUMMYFUNCTION("""COMPUTED_VALUE"""),"EOS")</f>
        <v>EOS</v>
      </c>
    </row>
    <row r="4128">
      <c r="A4128" s="3" t="str">
        <f>IFERROR(__xludf.DUMMYFUNCTION("""COMPUTED_VALUE"""),"eosbet")</f>
        <v>eosbet</v>
      </c>
      <c r="B4128" s="3" t="str">
        <f>IFERROR(__xludf.DUMMYFUNCTION("""COMPUTED_VALUE"""),"bet")</f>
        <v>bet</v>
      </c>
      <c r="C4128" s="3" t="str">
        <f>IFERROR(__xludf.DUMMYFUNCTION("""COMPUTED_VALUE"""),"EarnBet")</f>
        <v>EarnBet</v>
      </c>
    </row>
    <row r="4129">
      <c r="A4129" s="3" t="str">
        <f>IFERROR(__xludf.DUMMYFUNCTION("""COMPUTED_VALUE"""),"eosblack")</f>
        <v>eosblack</v>
      </c>
      <c r="B4129" s="3" t="str">
        <f>IFERROR(__xludf.DUMMYFUNCTION("""COMPUTED_VALUE"""),"black")</f>
        <v>black</v>
      </c>
      <c r="C4129" s="3" t="str">
        <f>IFERROR(__xludf.DUMMYFUNCTION("""COMPUTED_VALUE"""),"eosBLACK")</f>
        <v>eosBLACK</v>
      </c>
    </row>
    <row r="4130">
      <c r="A4130" s="3" t="str">
        <f>IFERROR(__xludf.DUMMYFUNCTION("""COMPUTED_VALUE"""),"eosdac")</f>
        <v>eosdac</v>
      </c>
      <c r="B4130" s="3" t="str">
        <f>IFERROR(__xludf.DUMMYFUNCTION("""COMPUTED_VALUE"""),"eosdac")</f>
        <v>eosdac</v>
      </c>
      <c r="C4130" s="3" t="str">
        <f>IFERROR(__xludf.DUMMYFUNCTION("""COMPUTED_VALUE"""),"eosDAC")</f>
        <v>eosDAC</v>
      </c>
    </row>
    <row r="4131">
      <c r="A4131" s="3" t="str">
        <f>IFERROR(__xludf.DUMMYFUNCTION("""COMPUTED_VALUE"""),"eosforce")</f>
        <v>eosforce</v>
      </c>
      <c r="B4131" s="3" t="str">
        <f>IFERROR(__xludf.DUMMYFUNCTION("""COMPUTED_VALUE"""),"eosc")</f>
        <v>eosc</v>
      </c>
      <c r="C4131" s="3" t="str">
        <f>IFERROR(__xludf.DUMMYFUNCTION("""COMPUTED_VALUE"""),"EOSForce")</f>
        <v>EOSForce</v>
      </c>
    </row>
    <row r="4132">
      <c r="A4132" s="3" t="str">
        <f>IFERROR(__xludf.DUMMYFUNCTION("""COMPUTED_VALUE"""),"eos-pow-coin")</f>
        <v>eos-pow-coin</v>
      </c>
      <c r="B4132" s="3" t="str">
        <f>IFERROR(__xludf.DUMMYFUNCTION("""COMPUTED_VALUE"""),"pow")</f>
        <v>pow</v>
      </c>
      <c r="C4132" s="3" t="str">
        <f>IFERROR(__xludf.DUMMYFUNCTION("""COMPUTED_VALUE"""),"EOS PoW Coin")</f>
        <v>EOS PoW Coin</v>
      </c>
    </row>
    <row r="4133">
      <c r="A4133" s="3" t="str">
        <f>IFERROR(__xludf.DUMMYFUNCTION("""COMPUTED_VALUE"""),"eox")</f>
        <v>eox</v>
      </c>
      <c r="B4133" s="3" t="str">
        <f>IFERROR(__xludf.DUMMYFUNCTION("""COMPUTED_VALUE"""),"eox")</f>
        <v>eox</v>
      </c>
      <c r="C4133" s="3" t="str">
        <f>IFERROR(__xludf.DUMMYFUNCTION("""COMPUTED_VALUE"""),"EOX")</f>
        <v>EOX</v>
      </c>
    </row>
    <row r="4134">
      <c r="A4134" s="3" t="str">
        <f>IFERROR(__xludf.DUMMYFUNCTION("""COMPUTED_VALUE"""),"epanus")</f>
        <v>epanus</v>
      </c>
      <c r="B4134" s="3" t="str">
        <f>IFERROR(__xludf.DUMMYFUNCTION("""COMPUTED_VALUE"""),"eps")</f>
        <v>eps</v>
      </c>
      <c r="C4134" s="3" t="str">
        <f>IFERROR(__xludf.DUMMYFUNCTION("""COMPUTED_VALUE"""),"Epanus")</f>
        <v>Epanus</v>
      </c>
    </row>
    <row r="4135">
      <c r="A4135" s="3" t="str">
        <f>IFERROR(__xludf.DUMMYFUNCTION("""COMPUTED_VALUE"""),"epic-cash")</f>
        <v>epic-cash</v>
      </c>
      <c r="B4135" s="3" t="str">
        <f>IFERROR(__xludf.DUMMYFUNCTION("""COMPUTED_VALUE"""),"epic")</f>
        <v>epic</v>
      </c>
      <c r="C4135" s="3" t="str">
        <f>IFERROR(__xludf.DUMMYFUNCTION("""COMPUTED_VALUE"""),"Epic Cash")</f>
        <v>Epic Cash</v>
      </c>
    </row>
    <row r="4136">
      <c r="A4136" s="3" t="str">
        <f>IFERROR(__xludf.DUMMYFUNCTION("""COMPUTED_VALUE"""),"epichero")</f>
        <v>epichero</v>
      </c>
      <c r="B4136" s="3" t="str">
        <f>IFERROR(__xludf.DUMMYFUNCTION("""COMPUTED_VALUE"""),"epichero")</f>
        <v>epichero</v>
      </c>
      <c r="C4136" s="3" t="str">
        <f>IFERROR(__xludf.DUMMYFUNCTION("""COMPUTED_VALUE"""),"EpicHero")</f>
        <v>EpicHero</v>
      </c>
    </row>
    <row r="4137">
      <c r="A4137" s="3" t="str">
        <f>IFERROR(__xludf.DUMMYFUNCTION("""COMPUTED_VALUE"""),"epik-prime")</f>
        <v>epik-prime</v>
      </c>
      <c r="B4137" s="3" t="str">
        <f>IFERROR(__xludf.DUMMYFUNCTION("""COMPUTED_VALUE"""),"epik")</f>
        <v>epik</v>
      </c>
      <c r="C4137" s="3" t="str">
        <f>IFERROR(__xludf.DUMMYFUNCTION("""COMPUTED_VALUE"""),"Epik Prime")</f>
        <v>Epik Prime</v>
      </c>
    </row>
    <row r="4138">
      <c r="A4138" s="3" t="str">
        <f>IFERROR(__xludf.DUMMYFUNCTION("""COMPUTED_VALUE"""),"epik-protocol")</f>
        <v>epik-protocol</v>
      </c>
      <c r="B4138" s="3" t="str">
        <f>IFERROR(__xludf.DUMMYFUNCTION("""COMPUTED_VALUE"""),"epk")</f>
        <v>epk</v>
      </c>
      <c r="C4138" s="3" t="str">
        <f>IFERROR(__xludf.DUMMYFUNCTION("""COMPUTED_VALUE"""),"EpiK Protocol")</f>
        <v>EpiK Protocol</v>
      </c>
    </row>
    <row r="4139">
      <c r="A4139" s="3" t="str">
        <f>IFERROR(__xludf.DUMMYFUNCTION("""COMPUTED_VALUE"""),"eqifi")</f>
        <v>eqifi</v>
      </c>
      <c r="B4139" s="3" t="str">
        <f>IFERROR(__xludf.DUMMYFUNCTION("""COMPUTED_VALUE"""),"eqx")</f>
        <v>eqx</v>
      </c>
      <c r="C4139" s="3" t="str">
        <f>IFERROR(__xludf.DUMMYFUNCTION("""COMPUTED_VALUE"""),"EQIFi")</f>
        <v>EQIFi</v>
      </c>
    </row>
    <row r="4140">
      <c r="A4140" s="3" t="str">
        <f>IFERROR(__xludf.DUMMYFUNCTION("""COMPUTED_VALUE"""),"equalizer")</f>
        <v>equalizer</v>
      </c>
      <c r="B4140" s="3" t="str">
        <f>IFERROR(__xludf.DUMMYFUNCTION("""COMPUTED_VALUE"""),"eqz")</f>
        <v>eqz</v>
      </c>
      <c r="C4140" s="3" t="str">
        <f>IFERROR(__xludf.DUMMYFUNCTION("""COMPUTED_VALUE"""),"Equalizer")</f>
        <v>Equalizer</v>
      </c>
    </row>
    <row r="4141">
      <c r="A4141" s="3" t="str">
        <f>IFERROR(__xludf.DUMMYFUNCTION("""COMPUTED_VALUE"""),"equilibrium")</f>
        <v>equilibrium</v>
      </c>
      <c r="B4141" s="3" t="str">
        <f>IFERROR(__xludf.DUMMYFUNCTION("""COMPUTED_VALUE"""),"eq")</f>
        <v>eq</v>
      </c>
      <c r="C4141" s="3" t="str">
        <f>IFERROR(__xludf.DUMMYFUNCTION("""COMPUTED_VALUE"""),"Equilibrium Games")</f>
        <v>Equilibrium Games</v>
      </c>
    </row>
    <row r="4142">
      <c r="A4142" s="3" t="str">
        <f>IFERROR(__xludf.DUMMYFUNCTION("""COMPUTED_VALUE"""),"equilibrium-eosdt")</f>
        <v>equilibrium-eosdt</v>
      </c>
      <c r="B4142" s="3" t="str">
        <f>IFERROR(__xludf.DUMMYFUNCTION("""COMPUTED_VALUE"""),"eosdt")</f>
        <v>eosdt</v>
      </c>
      <c r="C4142" s="3" t="str">
        <f>IFERROR(__xludf.DUMMYFUNCTION("""COMPUTED_VALUE"""),"Equilibrium EOSDT")</f>
        <v>Equilibrium EOSDT</v>
      </c>
    </row>
    <row r="4143">
      <c r="A4143" s="3" t="str">
        <f>IFERROR(__xludf.DUMMYFUNCTION("""COMPUTED_VALUE"""),"equilibrium-token")</f>
        <v>equilibrium-token</v>
      </c>
      <c r="B4143" s="3" t="str">
        <f>IFERROR(__xludf.DUMMYFUNCTION("""COMPUTED_VALUE"""),"eq")</f>
        <v>eq</v>
      </c>
      <c r="C4143" s="3" t="str">
        <f>IFERROR(__xludf.DUMMYFUNCTION("""COMPUTED_VALUE"""),"Equilibrium")</f>
        <v>Equilibrium</v>
      </c>
    </row>
    <row r="4144">
      <c r="A4144" s="3" t="str">
        <f>IFERROR(__xludf.DUMMYFUNCTION("""COMPUTED_VALUE"""),"equinox")</f>
        <v>equinox</v>
      </c>
      <c r="B4144" s="3" t="str">
        <f>IFERROR(__xludf.DUMMYFUNCTION("""COMPUTED_VALUE"""),"enx")</f>
        <v>enx</v>
      </c>
      <c r="C4144" s="3" t="str">
        <f>IFERROR(__xludf.DUMMYFUNCTION("""COMPUTED_VALUE"""),"Equinox")</f>
        <v>Equinox</v>
      </c>
    </row>
    <row r="4145">
      <c r="A4145" s="3" t="str">
        <f>IFERROR(__xludf.DUMMYFUNCTION("""COMPUTED_VALUE"""),"equitrader")</f>
        <v>equitrader</v>
      </c>
      <c r="B4145" s="3" t="str">
        <f>IFERROR(__xludf.DUMMYFUNCTION("""COMPUTED_VALUE"""),"eqt")</f>
        <v>eqt</v>
      </c>
      <c r="C4145" s="3" t="str">
        <f>IFERROR(__xludf.DUMMYFUNCTION("""COMPUTED_VALUE"""),"EquiTrader")</f>
        <v>EquiTrader</v>
      </c>
    </row>
    <row r="4146">
      <c r="A4146" s="3" t="str">
        <f>IFERROR(__xludf.DUMMYFUNCTION("""COMPUTED_VALUE"""),"era")</f>
        <v>era</v>
      </c>
      <c r="B4146" s="3" t="str">
        <f>IFERROR(__xludf.DUMMYFUNCTION("""COMPUTED_VALUE"""),"era")</f>
        <v>era</v>
      </c>
      <c r="C4146" s="3" t="str">
        <f>IFERROR(__xludf.DUMMYFUNCTION("""COMPUTED_VALUE"""),"Era")</f>
        <v>Era</v>
      </c>
    </row>
    <row r="4147">
      <c r="A4147" s="3" t="str">
        <f>IFERROR(__xludf.DUMMYFUNCTION("""COMPUTED_VALUE"""),"era7")</f>
        <v>era7</v>
      </c>
      <c r="B4147" s="3" t="str">
        <f>IFERROR(__xludf.DUMMYFUNCTION("""COMPUTED_VALUE"""),"era")</f>
        <v>era</v>
      </c>
      <c r="C4147" s="3" t="str">
        <f>IFERROR(__xludf.DUMMYFUNCTION("""COMPUTED_VALUE"""),"Era7")</f>
        <v>Era7</v>
      </c>
    </row>
    <row r="4148">
      <c r="A4148" s="3" t="str">
        <f>IFERROR(__xludf.DUMMYFUNCTION("""COMPUTED_VALUE"""),"era7-game-of-truth")</f>
        <v>era7-game-of-truth</v>
      </c>
      <c r="B4148" s="3" t="str">
        <f>IFERROR(__xludf.DUMMYFUNCTION("""COMPUTED_VALUE"""),"got")</f>
        <v>got</v>
      </c>
      <c r="C4148" s="3" t="str">
        <f>IFERROR(__xludf.DUMMYFUNCTION("""COMPUTED_VALUE"""),"Era7: Game of Truth")</f>
        <v>Era7: Game of Truth</v>
      </c>
    </row>
    <row r="4149">
      <c r="A4149" s="3" t="str">
        <f>IFERROR(__xludf.DUMMYFUNCTION("""COMPUTED_VALUE"""),"e-radix")</f>
        <v>e-radix</v>
      </c>
      <c r="B4149" s="3" t="str">
        <f>IFERROR(__xludf.DUMMYFUNCTION("""COMPUTED_VALUE"""),"exrd")</f>
        <v>exrd</v>
      </c>
      <c r="C4149" s="3" t="str">
        <f>IFERROR(__xludf.DUMMYFUNCTION("""COMPUTED_VALUE"""),"e-Radix")</f>
        <v>e-Radix</v>
      </c>
    </row>
    <row r="4150">
      <c r="A4150" s="3" t="str">
        <f>IFERROR(__xludf.DUMMYFUNCTION("""COMPUTED_VALUE"""),"era-swap-token")</f>
        <v>era-swap-token</v>
      </c>
      <c r="B4150" s="3" t="str">
        <f>IFERROR(__xludf.DUMMYFUNCTION("""COMPUTED_VALUE"""),"es")</f>
        <v>es</v>
      </c>
      <c r="C4150" s="3" t="str">
        <f>IFERROR(__xludf.DUMMYFUNCTION("""COMPUTED_VALUE"""),"Era Swap")</f>
        <v>Era Swap</v>
      </c>
    </row>
    <row r="4151">
      <c r="A4151" s="3" t="str">
        <f>IFERROR(__xludf.DUMMYFUNCTION("""COMPUTED_VALUE"""),"erdlaunchpad")</f>
        <v>erdlaunchpad</v>
      </c>
      <c r="B4151" s="3" t="str">
        <f>IFERROR(__xludf.DUMMYFUNCTION("""COMPUTED_VALUE"""),"lpad")</f>
        <v>lpad</v>
      </c>
      <c r="C4151" s="3" t="str">
        <f>IFERROR(__xludf.DUMMYFUNCTION("""COMPUTED_VALUE"""),"ErdLaunchpad")</f>
        <v>ErdLaunchpad</v>
      </c>
    </row>
    <row r="4152">
      <c r="A4152" s="3" t="str">
        <f>IFERROR(__xludf.DUMMYFUNCTION("""COMPUTED_VALUE"""),"ergo")</f>
        <v>ergo</v>
      </c>
      <c r="B4152" s="3" t="str">
        <f>IFERROR(__xludf.DUMMYFUNCTION("""COMPUTED_VALUE"""),"erg")</f>
        <v>erg</v>
      </c>
      <c r="C4152" s="3" t="str">
        <f>IFERROR(__xludf.DUMMYFUNCTION("""COMPUTED_VALUE"""),"Ergo")</f>
        <v>Ergo</v>
      </c>
    </row>
    <row r="4153">
      <c r="A4153" s="3" t="str">
        <f>IFERROR(__xludf.DUMMYFUNCTION("""COMPUTED_VALUE"""),"erica-social-token")</f>
        <v>erica-social-token</v>
      </c>
      <c r="B4153" s="3" t="str">
        <f>IFERROR(__xludf.DUMMYFUNCTION("""COMPUTED_VALUE"""),"est")</f>
        <v>est</v>
      </c>
      <c r="C4153" s="3" t="str">
        <f>IFERROR(__xludf.DUMMYFUNCTION("""COMPUTED_VALUE"""),"Erica Social Token")</f>
        <v>Erica Social Token</v>
      </c>
    </row>
    <row r="4154">
      <c r="A4154" s="3" t="str">
        <f>IFERROR(__xludf.DUMMYFUNCTION("""COMPUTED_VALUE"""),"eristica")</f>
        <v>eristica</v>
      </c>
      <c r="B4154" s="3" t="str">
        <f>IFERROR(__xludf.DUMMYFUNCTION("""COMPUTED_VALUE"""),"ert")</f>
        <v>ert</v>
      </c>
      <c r="C4154" s="3" t="str">
        <f>IFERROR(__xludf.DUMMYFUNCTION("""COMPUTED_VALUE"""),"Eristica")</f>
        <v>Eristica</v>
      </c>
    </row>
    <row r="4155">
      <c r="A4155" s="3" t="str">
        <f>IFERROR(__xludf.DUMMYFUNCTION("""COMPUTED_VALUE"""),"eron")</f>
        <v>eron</v>
      </c>
      <c r="B4155" s="3" t="str">
        <f>IFERROR(__xludf.DUMMYFUNCTION("""COMPUTED_VALUE"""),"eron")</f>
        <v>eron</v>
      </c>
      <c r="C4155" s="3" t="str">
        <f>IFERROR(__xludf.DUMMYFUNCTION("""COMPUTED_VALUE"""),"ERON")</f>
        <v>ERON</v>
      </c>
    </row>
    <row r="4156">
      <c r="A4156" s="3" t="str">
        <f>IFERROR(__xludf.DUMMYFUNCTION("""COMPUTED_VALUE"""),"eros")</f>
        <v>eros</v>
      </c>
      <c r="B4156" s="3" t="str">
        <f>IFERROR(__xludf.DUMMYFUNCTION("""COMPUTED_VALUE"""),"ers")</f>
        <v>ers</v>
      </c>
      <c r="C4156" s="3" t="str">
        <f>IFERROR(__xludf.DUMMYFUNCTION("""COMPUTED_VALUE"""),"Eros")</f>
        <v>Eros</v>
      </c>
    </row>
    <row r="4157">
      <c r="A4157" s="3" t="str">
        <f>IFERROR(__xludf.DUMMYFUNCTION("""COMPUTED_VALUE"""),"eroverse")</f>
        <v>eroverse</v>
      </c>
      <c r="B4157" s="3" t="str">
        <f>IFERROR(__xludf.DUMMYFUNCTION("""COMPUTED_VALUE"""),"ero")</f>
        <v>ero</v>
      </c>
      <c r="C4157" s="3" t="str">
        <f>IFERROR(__xludf.DUMMYFUNCTION("""COMPUTED_VALUE"""),"Eroverse")</f>
        <v>Eroverse</v>
      </c>
    </row>
    <row r="4158">
      <c r="A4158" s="3" t="str">
        <f>IFERROR(__xludf.DUMMYFUNCTION("""COMPUTED_VALUE"""),"ertha")</f>
        <v>ertha</v>
      </c>
      <c r="B4158" s="3" t="str">
        <f>IFERROR(__xludf.DUMMYFUNCTION("""COMPUTED_VALUE"""),"ertha")</f>
        <v>ertha</v>
      </c>
      <c r="C4158" s="3" t="str">
        <f>IFERROR(__xludf.DUMMYFUNCTION("""COMPUTED_VALUE"""),"Ertha")</f>
        <v>Ertha</v>
      </c>
    </row>
    <row r="4159">
      <c r="A4159" s="3" t="str">
        <f>IFERROR(__xludf.DUMMYFUNCTION("""COMPUTED_VALUE"""),"erth-point")</f>
        <v>erth-point</v>
      </c>
      <c r="B4159" s="3" t="str">
        <f>IFERROR(__xludf.DUMMYFUNCTION("""COMPUTED_VALUE"""),"erth")</f>
        <v>erth</v>
      </c>
      <c r="C4159" s="3" t="str">
        <f>IFERROR(__xludf.DUMMYFUNCTION("""COMPUTED_VALUE"""),"Erth Point")</f>
        <v>Erth Point</v>
      </c>
    </row>
    <row r="4160">
      <c r="A4160" s="3" t="str">
        <f>IFERROR(__xludf.DUMMYFUNCTION("""COMPUTED_VALUE"""),"erugo-world-coin")</f>
        <v>erugo-world-coin</v>
      </c>
      <c r="B4160" s="3" t="str">
        <f>IFERROR(__xludf.DUMMYFUNCTION("""COMPUTED_VALUE"""),"ewc")</f>
        <v>ewc</v>
      </c>
      <c r="C4160" s="3" t="str">
        <f>IFERROR(__xludf.DUMMYFUNCTION("""COMPUTED_VALUE"""),"Erugo World Coin")</f>
        <v>Erugo World Coin</v>
      </c>
    </row>
    <row r="4161">
      <c r="A4161" s="3" t="str">
        <f>IFERROR(__xludf.DUMMYFUNCTION("""COMPUTED_VALUE"""),"erzurumspor-token")</f>
        <v>erzurumspor-token</v>
      </c>
      <c r="B4161" s="3" t="str">
        <f>IFERROR(__xludf.DUMMYFUNCTION("""COMPUTED_VALUE"""),"erz")</f>
        <v>erz</v>
      </c>
      <c r="C4161" s="3" t="str">
        <f>IFERROR(__xludf.DUMMYFUNCTION("""COMPUTED_VALUE"""),"Erzurumspor Token")</f>
        <v>Erzurumspor Token</v>
      </c>
    </row>
    <row r="4162">
      <c r="A4162" s="3" t="str">
        <f>IFERROR(__xludf.DUMMYFUNCTION("""COMPUTED_VALUE"""),"escoin-token")</f>
        <v>escoin-token</v>
      </c>
      <c r="B4162" s="3" t="str">
        <f>IFERROR(__xludf.DUMMYFUNCTION("""COMPUTED_VALUE"""),"elg")</f>
        <v>elg</v>
      </c>
      <c r="C4162" s="3" t="str">
        <f>IFERROR(__xludf.DUMMYFUNCTION("""COMPUTED_VALUE"""),"Escoin")</f>
        <v>Escoin</v>
      </c>
    </row>
    <row r="4163">
      <c r="A4163" s="3" t="str">
        <f>IFERROR(__xludf.DUMMYFUNCTION("""COMPUTED_VALUE"""),"esg")</f>
        <v>esg</v>
      </c>
      <c r="B4163" s="3" t="str">
        <f>IFERROR(__xludf.DUMMYFUNCTION("""COMPUTED_VALUE"""),"esg")</f>
        <v>esg</v>
      </c>
      <c r="C4163" s="3" t="str">
        <f>IFERROR(__xludf.DUMMYFUNCTION("""COMPUTED_VALUE"""),"ESG")</f>
        <v>ESG</v>
      </c>
    </row>
    <row r="4164">
      <c r="A4164" s="3" t="str">
        <f>IFERROR(__xludf.DUMMYFUNCTION("""COMPUTED_VALUE"""),"esg-chain")</f>
        <v>esg-chain</v>
      </c>
      <c r="B4164" s="3" t="str">
        <f>IFERROR(__xludf.DUMMYFUNCTION("""COMPUTED_VALUE"""),"esgc")</f>
        <v>esgc</v>
      </c>
      <c r="C4164" s="3" t="str">
        <f>IFERROR(__xludf.DUMMYFUNCTION("""COMPUTED_VALUE"""),"ESG Chain")</f>
        <v>ESG Chain</v>
      </c>
    </row>
    <row r="4165">
      <c r="A4165" s="3" t="str">
        <f>IFERROR(__xludf.DUMMYFUNCTION("""COMPUTED_VALUE"""),"eska")</f>
        <v>eska</v>
      </c>
      <c r="B4165" s="3" t="str">
        <f>IFERROR(__xludf.DUMMYFUNCTION("""COMPUTED_VALUE"""),"esk")</f>
        <v>esk</v>
      </c>
      <c r="C4165" s="3" t="str">
        <f>IFERROR(__xludf.DUMMYFUNCTION("""COMPUTED_VALUE"""),"Eska")</f>
        <v>Eska</v>
      </c>
    </row>
    <row r="4166">
      <c r="A4166" s="3" t="str">
        <f>IFERROR(__xludf.DUMMYFUNCTION("""COMPUTED_VALUE"""),"eskisehir-fan-token")</f>
        <v>eskisehir-fan-token</v>
      </c>
      <c r="B4166" s="3" t="str">
        <f>IFERROR(__xludf.DUMMYFUNCTION("""COMPUTED_VALUE"""),"eses")</f>
        <v>eses</v>
      </c>
      <c r="C4166" s="3" t="str">
        <f>IFERROR(__xludf.DUMMYFUNCTION("""COMPUTED_VALUE"""),"Eskişehir Fan Token")</f>
        <v>Eskişehir Fan Token</v>
      </c>
    </row>
    <row r="4167">
      <c r="A4167" s="3" t="str">
        <f>IFERROR(__xludf.DUMMYFUNCTION("""COMPUTED_VALUE"""),"espers")</f>
        <v>espers</v>
      </c>
      <c r="B4167" s="3" t="str">
        <f>IFERROR(__xludf.DUMMYFUNCTION("""COMPUTED_VALUE"""),"esp")</f>
        <v>esp</v>
      </c>
      <c r="C4167" s="3" t="str">
        <f>IFERROR(__xludf.DUMMYFUNCTION("""COMPUTED_VALUE"""),"Espers")</f>
        <v>Espers</v>
      </c>
    </row>
    <row r="4168">
      <c r="A4168" s="3" t="str">
        <f>IFERROR(__xludf.DUMMYFUNCTION("""COMPUTED_VALUE"""),"esportgame")</f>
        <v>esportgame</v>
      </c>
      <c r="B4168" s="3" t="str">
        <f>IFERROR(__xludf.DUMMYFUNCTION("""COMPUTED_VALUE"""),"esm")</f>
        <v>esm</v>
      </c>
      <c r="C4168" s="3" t="str">
        <f>IFERROR(__xludf.DUMMYFUNCTION("""COMPUTED_VALUE"""),"EsportGame")</f>
        <v>EsportGame</v>
      </c>
    </row>
    <row r="4169">
      <c r="A4169" s="3" t="str">
        <f>IFERROR(__xludf.DUMMYFUNCTION("""COMPUTED_VALUE"""),"esports")</f>
        <v>esports</v>
      </c>
      <c r="B4169" s="3" t="str">
        <f>IFERROR(__xludf.DUMMYFUNCTION("""COMPUTED_VALUE"""),"ert")</f>
        <v>ert</v>
      </c>
      <c r="C4169" s="4" t="str">
        <f>IFERROR(__xludf.DUMMYFUNCTION("""COMPUTED_VALUE"""),"Esports.com")</f>
        <v>Esports.com</v>
      </c>
    </row>
    <row r="4170">
      <c r="A4170" s="3" t="str">
        <f>IFERROR(__xludf.DUMMYFUNCTION("""COMPUTED_VALUE"""),"esportspro")</f>
        <v>esportspro</v>
      </c>
      <c r="B4170" s="3" t="str">
        <f>IFERROR(__xludf.DUMMYFUNCTION("""COMPUTED_VALUE"""),"espro")</f>
        <v>espro</v>
      </c>
      <c r="C4170" s="3" t="str">
        <f>IFERROR(__xludf.DUMMYFUNCTION("""COMPUTED_VALUE"""),"EsportsPro")</f>
        <v>EsportsPro</v>
      </c>
    </row>
    <row r="4171">
      <c r="A4171" s="3" t="str">
        <f>IFERROR(__xludf.DUMMYFUNCTION("""COMPUTED_VALUE"""),"esportsref")</f>
        <v>esportsref</v>
      </c>
      <c r="B4171" s="3" t="str">
        <f>IFERROR(__xludf.DUMMYFUNCTION("""COMPUTED_VALUE"""),"esr")</f>
        <v>esr</v>
      </c>
      <c r="C4171" s="3" t="str">
        <f>IFERROR(__xludf.DUMMYFUNCTION("""COMPUTED_VALUE"""),"EsportsRef")</f>
        <v>EsportsRef</v>
      </c>
    </row>
    <row r="4172">
      <c r="A4172" s="3" t="str">
        <f>IFERROR(__xludf.DUMMYFUNCTION("""COMPUTED_VALUE"""),"essentia")</f>
        <v>essentia</v>
      </c>
      <c r="B4172" s="3" t="str">
        <f>IFERROR(__xludf.DUMMYFUNCTION("""COMPUTED_VALUE"""),"ess")</f>
        <v>ess</v>
      </c>
      <c r="C4172" s="3" t="str">
        <f>IFERROR(__xludf.DUMMYFUNCTION("""COMPUTED_VALUE"""),"Essentia")</f>
        <v>Essentia</v>
      </c>
    </row>
    <row r="4173">
      <c r="A4173" s="3" t="str">
        <f>IFERROR(__xludf.DUMMYFUNCTION("""COMPUTED_VALUE"""),"eswapping-v2")</f>
        <v>eswapping-v2</v>
      </c>
      <c r="B4173" s="3" t="str">
        <f>IFERROR(__xludf.DUMMYFUNCTION("""COMPUTED_VALUE"""),"eswapv2")</f>
        <v>eswapv2</v>
      </c>
      <c r="C4173" s="3" t="str">
        <f>IFERROR(__xludf.DUMMYFUNCTION("""COMPUTED_VALUE"""),"eSwapping v2")</f>
        <v>eSwapping v2</v>
      </c>
    </row>
    <row r="4174">
      <c r="A4174" s="3" t="str">
        <f>IFERROR(__xludf.DUMMYFUNCTION("""COMPUTED_VALUE"""),"eterland")</f>
        <v>eterland</v>
      </c>
      <c r="B4174" s="3" t="str">
        <f>IFERROR(__xludf.DUMMYFUNCTION("""COMPUTED_VALUE"""),"eter")</f>
        <v>eter</v>
      </c>
      <c r="C4174" s="3" t="str">
        <f>IFERROR(__xludf.DUMMYFUNCTION("""COMPUTED_VALUE"""),"Eterland")</f>
        <v>Eterland</v>
      </c>
    </row>
    <row r="4175">
      <c r="A4175" s="3" t="str">
        <f>IFERROR(__xludf.DUMMYFUNCTION("""COMPUTED_VALUE"""),"etermon")</f>
        <v>etermon</v>
      </c>
      <c r="B4175" s="3" t="str">
        <f>IFERROR(__xludf.DUMMYFUNCTION("""COMPUTED_VALUE"""),"etm")</f>
        <v>etm</v>
      </c>
      <c r="C4175" s="3" t="str">
        <f>IFERROR(__xludf.DUMMYFUNCTION("""COMPUTED_VALUE"""),"Etermon")</f>
        <v>Etermon</v>
      </c>
    </row>
    <row r="4176">
      <c r="A4176" s="3" t="str">
        <f>IFERROR(__xludf.DUMMYFUNCTION("""COMPUTED_VALUE"""),"eterna-hybrid-exchange")</f>
        <v>eterna-hybrid-exchange</v>
      </c>
      <c r="B4176" s="3" t="str">
        <f>IFERROR(__xludf.DUMMYFUNCTION("""COMPUTED_VALUE"""),"ehx")</f>
        <v>ehx</v>
      </c>
      <c r="C4176" s="3" t="str">
        <f>IFERROR(__xludf.DUMMYFUNCTION("""COMPUTED_VALUE"""),"Eterna Hybrid Exchange")</f>
        <v>Eterna Hybrid Exchange</v>
      </c>
    </row>
    <row r="4177">
      <c r="A4177" s="3" t="str">
        <f>IFERROR(__xludf.DUMMYFUNCTION("""COMPUTED_VALUE"""),"eternalflow")</f>
        <v>eternalflow</v>
      </c>
      <c r="B4177" s="3" t="str">
        <f>IFERROR(__xludf.DUMMYFUNCTION("""COMPUTED_VALUE"""),"eft")</f>
        <v>eft</v>
      </c>
      <c r="C4177" s="3" t="str">
        <f>IFERROR(__xludf.DUMMYFUNCTION("""COMPUTED_VALUE"""),"EternalFlow")</f>
        <v>EternalFlow</v>
      </c>
    </row>
    <row r="4178">
      <c r="A4178" s="3" t="str">
        <f>IFERROR(__xludf.DUMMYFUNCTION("""COMPUTED_VALUE"""),"eternal-oasis")</f>
        <v>eternal-oasis</v>
      </c>
      <c r="B4178" s="3" t="str">
        <f>IFERROR(__xludf.DUMMYFUNCTION("""COMPUTED_VALUE"""),"etos")</f>
        <v>etos</v>
      </c>
      <c r="C4178" s="3" t="str">
        <f>IFERROR(__xludf.DUMMYFUNCTION("""COMPUTED_VALUE"""),"Eternal Oasis")</f>
        <v>Eternal Oasis</v>
      </c>
    </row>
    <row r="4179">
      <c r="A4179" s="3" t="str">
        <f>IFERROR(__xludf.DUMMYFUNCTION("""COMPUTED_VALUE"""),"eternal-spire-v2")</f>
        <v>eternal-spire-v2</v>
      </c>
      <c r="B4179" s="3" t="str">
        <f>IFERROR(__xludf.DUMMYFUNCTION("""COMPUTED_VALUE"""),"ensp")</f>
        <v>ensp</v>
      </c>
      <c r="C4179" s="3" t="str">
        <f>IFERROR(__xludf.DUMMYFUNCTION("""COMPUTED_VALUE"""),"Eternal Spire V2")</f>
        <v>Eternal Spire V2</v>
      </c>
    </row>
    <row r="4180">
      <c r="A4180" s="3" t="str">
        <f>IFERROR(__xludf.DUMMYFUNCTION("""COMPUTED_VALUE"""),"eternal-world")</f>
        <v>eternal-world</v>
      </c>
      <c r="B4180" s="3" t="str">
        <f>IFERROR(__xludf.DUMMYFUNCTION("""COMPUTED_VALUE"""),"etl")</f>
        <v>etl</v>
      </c>
      <c r="C4180" s="3" t="str">
        <f>IFERROR(__xludf.DUMMYFUNCTION("""COMPUTED_VALUE"""),"Eternal World")</f>
        <v>Eternal World</v>
      </c>
    </row>
    <row r="4181">
      <c r="A4181" s="3" t="str">
        <f>IFERROR(__xludf.DUMMYFUNCTION("""COMPUTED_VALUE"""),"etg-finance")</f>
        <v>etg-finance</v>
      </c>
      <c r="B4181" s="3" t="str">
        <f>IFERROR(__xludf.DUMMYFUNCTION("""COMPUTED_VALUE"""),"etgf")</f>
        <v>etgf</v>
      </c>
      <c r="C4181" s="3" t="str">
        <f>IFERROR(__xludf.DUMMYFUNCTION("""COMPUTED_VALUE"""),"ETG Finance")</f>
        <v>ETG Finance</v>
      </c>
    </row>
    <row r="4182">
      <c r="A4182" s="3" t="str">
        <f>IFERROR(__xludf.DUMMYFUNCTION("""COMPUTED_VALUE"""),"eth2-staking-by-poolx")</f>
        <v>eth2-staking-by-poolx</v>
      </c>
      <c r="B4182" s="3" t="str">
        <f>IFERROR(__xludf.DUMMYFUNCTION("""COMPUTED_VALUE"""),"eth2")</f>
        <v>eth2</v>
      </c>
      <c r="C4182" s="3" t="str">
        <f>IFERROR(__xludf.DUMMYFUNCTION("""COMPUTED_VALUE"""),"Eth 2.0 Staking by Pool-X")</f>
        <v>Eth 2.0 Staking by Pool-X</v>
      </c>
    </row>
    <row r="4183">
      <c r="A4183" s="3" t="str">
        <f>IFERROR(__xludf.DUMMYFUNCTION("""COMPUTED_VALUE"""),"eth-2x-flexible-leverage-index")</f>
        <v>eth-2x-flexible-leverage-index</v>
      </c>
      <c r="B4183" s="3" t="str">
        <f>IFERROR(__xludf.DUMMYFUNCTION("""COMPUTED_VALUE"""),"eth2x-fli")</f>
        <v>eth2x-fli</v>
      </c>
      <c r="C4183" s="3" t="str">
        <f>IFERROR(__xludf.DUMMYFUNCTION("""COMPUTED_VALUE"""),"Index Coop - ETH 2x Flexible Leverage Index")</f>
        <v>Index Coop - ETH 2x Flexible Leverage Index</v>
      </c>
    </row>
    <row r="4184">
      <c r="A4184" s="3" t="str">
        <f>IFERROR(__xludf.DUMMYFUNCTION("""COMPUTED_VALUE"""),"eth3s")</f>
        <v>eth3s</v>
      </c>
      <c r="B4184" s="3" t="str">
        <f>IFERROR(__xludf.DUMMYFUNCTION("""COMPUTED_VALUE"""),"eth3s")</f>
        <v>eth3s</v>
      </c>
      <c r="C4184" s="3" t="str">
        <f>IFERROR(__xludf.DUMMYFUNCTION("""COMPUTED_VALUE"""),"ETH3S")</f>
        <v>ETH3S</v>
      </c>
    </row>
    <row r="4185">
      <c r="A4185" s="3" t="str">
        <f>IFERROR(__xludf.DUMMYFUNCTION("""COMPUTED_VALUE"""),"etha-lend")</f>
        <v>etha-lend</v>
      </c>
      <c r="B4185" s="3" t="str">
        <f>IFERROR(__xludf.DUMMYFUNCTION("""COMPUTED_VALUE"""),"etha")</f>
        <v>etha</v>
      </c>
      <c r="C4185" s="3" t="str">
        <f>IFERROR(__xludf.DUMMYFUNCTION("""COMPUTED_VALUE"""),"ETHA Lend")</f>
        <v>ETHA Lend</v>
      </c>
    </row>
    <row r="4186">
      <c r="A4186" s="3" t="str">
        <f>IFERROR(__xludf.DUMMYFUNCTION("""COMPUTED_VALUE"""),"ethart")</f>
        <v>ethart</v>
      </c>
      <c r="B4186" s="3" t="str">
        <f>IFERROR(__xludf.DUMMYFUNCTION("""COMPUTED_VALUE"""),"arte")</f>
        <v>arte</v>
      </c>
      <c r="C4186" s="3" t="str">
        <f>IFERROR(__xludf.DUMMYFUNCTION("""COMPUTED_VALUE"""),"Items")</f>
        <v>Items</v>
      </c>
    </row>
    <row r="4187">
      <c r="A4187" s="3" t="str">
        <f>IFERROR(__xludf.DUMMYFUNCTION("""COMPUTED_VALUE"""),"ethax")</f>
        <v>ethax</v>
      </c>
      <c r="B4187" s="3" t="str">
        <f>IFERROR(__xludf.DUMMYFUNCTION("""COMPUTED_VALUE"""),"ethax")</f>
        <v>ethax</v>
      </c>
      <c r="C4187" s="3" t="str">
        <f>IFERROR(__xludf.DUMMYFUNCTION("""COMPUTED_VALUE"""),"ETHAX")</f>
        <v>ETHAX</v>
      </c>
    </row>
    <row r="4188">
      <c r="A4188" s="3" t="str">
        <f>IFERROR(__xludf.DUMMYFUNCTION("""COMPUTED_VALUE"""),"ethbnt")</f>
        <v>ethbnt</v>
      </c>
      <c r="B4188" s="3" t="str">
        <f>IFERROR(__xludf.DUMMYFUNCTION("""COMPUTED_VALUE"""),"ethbnt")</f>
        <v>ethbnt</v>
      </c>
      <c r="C4188" s="3" t="str">
        <f>IFERROR(__xludf.DUMMYFUNCTION("""COMPUTED_VALUE"""),"ETHBNT Relay")</f>
        <v>ETHBNT Relay</v>
      </c>
    </row>
    <row r="4189">
      <c r="A4189" s="3" t="str">
        <f>IFERROR(__xludf.DUMMYFUNCTION("""COMPUTED_VALUE"""),"ethbtc-2x-long-token")</f>
        <v>ethbtc-2x-long-token</v>
      </c>
      <c r="B4189" s="3" t="str">
        <f>IFERROR(__xludf.DUMMYFUNCTION("""COMPUTED_VALUE"""),"ethbtcmoon")</f>
        <v>ethbtcmoon</v>
      </c>
      <c r="C4189" s="3" t="str">
        <f>IFERROR(__xludf.DUMMYFUNCTION("""COMPUTED_VALUE"""),"ETHBTC 2x Long")</f>
        <v>ETHBTC 2x Long</v>
      </c>
    </row>
    <row r="4190">
      <c r="A4190" s="3" t="str">
        <f>IFERROR(__xludf.DUMMYFUNCTION("""COMPUTED_VALUE"""),"ethburn")</f>
        <v>ethburn</v>
      </c>
      <c r="B4190" s="3" t="str">
        <f>IFERROR(__xludf.DUMMYFUNCTION("""COMPUTED_VALUE"""),"burning")</f>
        <v>burning</v>
      </c>
      <c r="C4190" s="3" t="str">
        <f>IFERROR(__xludf.DUMMYFUNCTION("""COMPUTED_VALUE"""),"EthBurn")</f>
        <v>EthBurn</v>
      </c>
    </row>
    <row r="4191">
      <c r="A4191" s="3" t="str">
        <f>IFERROR(__xludf.DUMMYFUNCTION("""COMPUTED_VALUE"""),"ethdown")</f>
        <v>ethdown</v>
      </c>
      <c r="B4191" s="3" t="str">
        <f>IFERROR(__xludf.DUMMYFUNCTION("""COMPUTED_VALUE"""),"ethdown")</f>
        <v>ethdown</v>
      </c>
      <c r="C4191" s="3" t="str">
        <f>IFERROR(__xludf.DUMMYFUNCTION("""COMPUTED_VALUE"""),"ETHDOWN")</f>
        <v>ETHDOWN</v>
      </c>
    </row>
    <row r="4192">
      <c r="A4192" s="3" t="str">
        <f>IFERROR(__xludf.DUMMYFUNCTION("""COMPUTED_VALUE"""),"ethdox")</f>
        <v>ethdox</v>
      </c>
      <c r="B4192" s="3" t="str">
        <f>IFERROR(__xludf.DUMMYFUNCTION("""COMPUTED_VALUE"""),"ethdox")</f>
        <v>ethdox</v>
      </c>
      <c r="C4192" s="3" t="str">
        <f>IFERROR(__xludf.DUMMYFUNCTION("""COMPUTED_VALUE"""),"ETHDOX")</f>
        <v>ETHDOX</v>
      </c>
    </row>
    <row r="4193">
      <c r="A4193" s="3" t="str">
        <f>IFERROR(__xludf.DUMMYFUNCTION("""COMPUTED_VALUE"""),"etheal")</f>
        <v>etheal</v>
      </c>
      <c r="B4193" s="3" t="str">
        <f>IFERROR(__xludf.DUMMYFUNCTION("""COMPUTED_VALUE"""),"heal")</f>
        <v>heal</v>
      </c>
      <c r="C4193" s="3" t="str">
        <f>IFERROR(__xludf.DUMMYFUNCTION("""COMPUTED_VALUE"""),"Etheal")</f>
        <v>Etheal</v>
      </c>
    </row>
    <row r="4194">
      <c r="A4194" s="3" t="str">
        <f>IFERROR(__xludf.DUMMYFUNCTION("""COMPUTED_VALUE"""),"etheking")</f>
        <v>etheking</v>
      </c>
      <c r="B4194" s="3" t="str">
        <f>IFERROR(__xludf.DUMMYFUNCTION("""COMPUTED_VALUE"""),"ethe")</f>
        <v>ethe</v>
      </c>
      <c r="C4194" s="3" t="str">
        <f>IFERROR(__xludf.DUMMYFUNCTION("""COMPUTED_VALUE"""),"ETHEKing")</f>
        <v>ETHEKing</v>
      </c>
    </row>
    <row r="4195">
      <c r="A4195" s="3" t="str">
        <f>IFERROR(__xludf.DUMMYFUNCTION("""COMPUTED_VALUE"""),"ether-1")</f>
        <v>ether-1</v>
      </c>
      <c r="B4195" s="3" t="str">
        <f>IFERROR(__xludf.DUMMYFUNCTION("""COMPUTED_VALUE"""),"etho")</f>
        <v>etho</v>
      </c>
      <c r="C4195" s="3" t="str">
        <f>IFERROR(__xludf.DUMMYFUNCTION("""COMPUTED_VALUE"""),"Etho Protocol")</f>
        <v>Etho Protocol</v>
      </c>
    </row>
    <row r="4196">
      <c r="A4196" s="3" t="str">
        <f>IFERROR(__xludf.DUMMYFUNCTION("""COMPUTED_VALUE"""),"ethera-2")</f>
        <v>ethera-2</v>
      </c>
      <c r="B4196" s="3" t="str">
        <f>IFERROR(__xludf.DUMMYFUNCTION("""COMPUTED_VALUE"""),"eta")</f>
        <v>eta</v>
      </c>
      <c r="C4196" s="3" t="str">
        <f>IFERROR(__xludf.DUMMYFUNCTION("""COMPUTED_VALUE"""),"Ethera")</f>
        <v>Ethera</v>
      </c>
    </row>
    <row r="4197">
      <c r="A4197" s="3" t="str">
        <f>IFERROR(__xludf.DUMMYFUNCTION("""COMPUTED_VALUE"""),"ethera-black")</f>
        <v>ethera-black</v>
      </c>
      <c r="B4197" s="3" t="str">
        <f>IFERROR(__xludf.DUMMYFUNCTION("""COMPUTED_VALUE"""),"etb")</f>
        <v>etb</v>
      </c>
      <c r="C4197" s="3" t="str">
        <f>IFERROR(__xludf.DUMMYFUNCTION("""COMPUTED_VALUE"""),"Ethera Black")</f>
        <v>Ethera Black</v>
      </c>
    </row>
    <row r="4198">
      <c r="A4198" s="3" t="str">
        <f>IFERROR(__xludf.DUMMYFUNCTION("""COMPUTED_VALUE"""),"etherbone")</f>
        <v>etherbone</v>
      </c>
      <c r="B4198" s="3" t="str">
        <f>IFERROR(__xludf.DUMMYFUNCTION("""COMPUTED_VALUE"""),"ethbn")</f>
        <v>ethbn</v>
      </c>
      <c r="C4198" s="3" t="str">
        <f>IFERROR(__xludf.DUMMYFUNCTION("""COMPUTED_VALUE"""),"EtherBone")</f>
        <v>EtherBone</v>
      </c>
    </row>
    <row r="4199">
      <c r="A4199" s="3" t="str">
        <f>IFERROR(__xludf.DUMMYFUNCTION("""COMPUTED_VALUE"""),"etherconnect")</f>
        <v>etherconnect</v>
      </c>
      <c r="B4199" s="3" t="str">
        <f>IFERROR(__xludf.DUMMYFUNCTION("""COMPUTED_VALUE"""),"ecc")</f>
        <v>ecc</v>
      </c>
      <c r="C4199" s="3" t="str">
        <f>IFERROR(__xludf.DUMMYFUNCTION("""COMPUTED_VALUE"""),"Etherconnect")</f>
        <v>Etherconnect</v>
      </c>
    </row>
    <row r="4200">
      <c r="A4200" s="3" t="str">
        <f>IFERROR(__xludf.DUMMYFUNCTION("""COMPUTED_VALUE"""),"ethereans")</f>
        <v>ethereans</v>
      </c>
      <c r="B4200" s="3" t="str">
        <f>IFERROR(__xludf.DUMMYFUNCTION("""COMPUTED_VALUE"""),"os")</f>
        <v>os</v>
      </c>
      <c r="C4200" s="3" t="str">
        <f>IFERROR(__xludf.DUMMYFUNCTION("""COMPUTED_VALUE"""),"Ethereans")</f>
        <v>Ethereans</v>
      </c>
    </row>
    <row r="4201">
      <c r="A4201" s="3" t="str">
        <f>IFERROR(__xludf.DUMMYFUNCTION("""COMPUTED_VALUE"""),"etherean-socks")</f>
        <v>etherean-socks</v>
      </c>
      <c r="B4201" s="3" t="str">
        <f>IFERROR(__xludf.DUMMYFUNCTION("""COMPUTED_VALUE"""),"eth2socks")</f>
        <v>eth2socks</v>
      </c>
      <c r="C4201" s="3" t="str">
        <f>IFERROR(__xludf.DUMMYFUNCTION("""COMPUTED_VALUE"""),"Etherean Socks")</f>
        <v>Etherean Socks</v>
      </c>
    </row>
    <row r="4202">
      <c r="A4202" s="3" t="str">
        <f>IFERROR(__xludf.DUMMYFUNCTION("""COMPUTED_VALUE"""),"ethereum")</f>
        <v>ethereum</v>
      </c>
      <c r="B4202" s="3" t="str">
        <f>IFERROR(__xludf.DUMMYFUNCTION("""COMPUTED_VALUE"""),"eth")</f>
        <v>eth</v>
      </c>
      <c r="C4202" s="3" t="str">
        <f>IFERROR(__xludf.DUMMYFUNCTION("""COMPUTED_VALUE"""),"Ethereum")</f>
        <v>Ethereum</v>
      </c>
    </row>
    <row r="4203">
      <c r="A4203" s="3" t="str">
        <f>IFERROR(__xludf.DUMMYFUNCTION("""COMPUTED_VALUE"""),"ethereum-cash")</f>
        <v>ethereum-cash</v>
      </c>
      <c r="B4203" s="3" t="str">
        <f>IFERROR(__xludf.DUMMYFUNCTION("""COMPUTED_VALUE"""),"ecash")</f>
        <v>ecash</v>
      </c>
      <c r="C4203" s="3" t="str">
        <f>IFERROR(__xludf.DUMMYFUNCTION("""COMPUTED_VALUE"""),"Ethereum Cash")</f>
        <v>Ethereum Cash</v>
      </c>
    </row>
    <row r="4204">
      <c r="A4204" s="3" t="str">
        <f>IFERROR(__xludf.DUMMYFUNCTION("""COMPUTED_VALUE"""),"ethereum-classic")</f>
        <v>ethereum-classic</v>
      </c>
      <c r="B4204" s="3" t="str">
        <f>IFERROR(__xludf.DUMMYFUNCTION("""COMPUTED_VALUE"""),"etc")</f>
        <v>etc</v>
      </c>
      <c r="C4204" s="3" t="str">
        <f>IFERROR(__xludf.DUMMYFUNCTION("""COMPUTED_VALUE"""),"Ethereum Classic")</f>
        <v>Ethereum Classic</v>
      </c>
    </row>
    <row r="4205">
      <c r="A4205" s="3" t="str">
        <f>IFERROR(__xludf.DUMMYFUNCTION("""COMPUTED_VALUE"""),"ethereumfair")</f>
        <v>ethereumfair</v>
      </c>
      <c r="B4205" s="3" t="str">
        <f>IFERROR(__xludf.DUMMYFUNCTION("""COMPUTED_VALUE"""),"ethf")</f>
        <v>ethf</v>
      </c>
      <c r="C4205" s="3" t="str">
        <f>IFERROR(__xludf.DUMMYFUNCTION("""COMPUTED_VALUE"""),"EthereumFair")</f>
        <v>EthereumFair</v>
      </c>
    </row>
    <row r="4206">
      <c r="A4206" s="3" t="str">
        <f>IFERROR(__xludf.DUMMYFUNCTION("""COMPUTED_VALUE"""),"ethereum-gold-project")</f>
        <v>ethereum-gold-project</v>
      </c>
      <c r="B4206" s="3" t="str">
        <f>IFERROR(__xludf.DUMMYFUNCTION("""COMPUTED_VALUE"""),"etgp")</f>
        <v>etgp</v>
      </c>
      <c r="C4206" s="3" t="str">
        <f>IFERROR(__xludf.DUMMYFUNCTION("""COMPUTED_VALUE"""),"Ethereum Gold Project")</f>
        <v>Ethereum Gold Project</v>
      </c>
    </row>
    <row r="4207">
      <c r="A4207" s="3" t="str">
        <f>IFERROR(__xludf.DUMMYFUNCTION("""COMPUTED_VALUE"""),"ethereum-lite")</f>
        <v>ethereum-lite</v>
      </c>
      <c r="B4207" s="3" t="str">
        <f>IFERROR(__xludf.DUMMYFUNCTION("""COMPUTED_VALUE"""),"elite")</f>
        <v>elite</v>
      </c>
      <c r="C4207" s="3" t="str">
        <f>IFERROR(__xludf.DUMMYFUNCTION("""COMPUTED_VALUE"""),"Ethereum Lite")</f>
        <v>Ethereum Lite</v>
      </c>
    </row>
    <row r="4208">
      <c r="A4208" s="3" t="str">
        <f>IFERROR(__xludf.DUMMYFUNCTION("""COMPUTED_VALUE"""),"ethereummax")</f>
        <v>ethereummax</v>
      </c>
      <c r="B4208" s="3" t="str">
        <f>IFERROR(__xludf.DUMMYFUNCTION("""COMPUTED_VALUE"""),"emax")</f>
        <v>emax</v>
      </c>
      <c r="C4208" s="3" t="str">
        <f>IFERROR(__xludf.DUMMYFUNCTION("""COMPUTED_VALUE"""),"EthereumMax")</f>
        <v>EthereumMax</v>
      </c>
    </row>
    <row r="4209">
      <c r="A4209" s="3" t="str">
        <f>IFERROR(__xludf.DUMMYFUNCTION("""COMPUTED_VALUE"""),"ethereum-meta")</f>
        <v>ethereum-meta</v>
      </c>
      <c r="B4209" s="3" t="str">
        <f>IFERROR(__xludf.DUMMYFUNCTION("""COMPUTED_VALUE"""),"ethm")</f>
        <v>ethm</v>
      </c>
      <c r="C4209" s="3" t="str">
        <f>IFERROR(__xludf.DUMMYFUNCTION("""COMPUTED_VALUE"""),"Ethereum Meta")</f>
        <v>Ethereum Meta</v>
      </c>
    </row>
    <row r="4210">
      <c r="A4210" s="3" t="str">
        <f>IFERROR(__xludf.DUMMYFUNCTION("""COMPUTED_VALUE"""),"ethereum-name-service")</f>
        <v>ethereum-name-service</v>
      </c>
      <c r="B4210" s="3" t="str">
        <f>IFERROR(__xludf.DUMMYFUNCTION("""COMPUTED_VALUE"""),"ens")</f>
        <v>ens</v>
      </c>
      <c r="C4210" s="3" t="str">
        <f>IFERROR(__xludf.DUMMYFUNCTION("""COMPUTED_VALUE"""),"Ethereum Name Service")</f>
        <v>Ethereum Name Service</v>
      </c>
    </row>
    <row r="4211">
      <c r="A4211" s="3" t="str">
        <f>IFERROR(__xludf.DUMMYFUNCTION("""COMPUTED_VALUE"""),"ethereum-pos-iou")</f>
        <v>ethereum-pos-iou</v>
      </c>
      <c r="B4211" s="3" t="str">
        <f>IFERROR(__xludf.DUMMYFUNCTION("""COMPUTED_VALUE"""),"eths")</f>
        <v>eths</v>
      </c>
      <c r="C4211" s="3" t="str">
        <f>IFERROR(__xludf.DUMMYFUNCTION("""COMPUTED_VALUE"""),"Ethereum PoS Fork IOU")</f>
        <v>Ethereum PoS Fork IOU</v>
      </c>
    </row>
    <row r="4212">
      <c r="A4212" s="3" t="str">
        <f>IFERROR(__xludf.DUMMYFUNCTION("""COMPUTED_VALUE"""),"ethereum-pow-iou")</f>
        <v>ethereum-pow-iou</v>
      </c>
      <c r="B4212" s="3" t="str">
        <f>IFERROR(__xludf.DUMMYFUNCTION("""COMPUTED_VALUE"""),"ethw")</f>
        <v>ethw</v>
      </c>
      <c r="C4212" s="3" t="str">
        <f>IFERROR(__xludf.DUMMYFUNCTION("""COMPUTED_VALUE"""),"EthereumPoW")</f>
        <v>EthereumPoW</v>
      </c>
    </row>
    <row r="4213">
      <c r="A4213" s="3" t="str">
        <f>IFERROR(__xludf.DUMMYFUNCTION("""COMPUTED_VALUE"""),"ethereum-push-notification-service")</f>
        <v>ethereum-push-notification-service</v>
      </c>
      <c r="B4213" s="3" t="str">
        <f>IFERROR(__xludf.DUMMYFUNCTION("""COMPUTED_VALUE"""),"push")</f>
        <v>push</v>
      </c>
      <c r="C4213" s="3" t="str">
        <f>IFERROR(__xludf.DUMMYFUNCTION("""COMPUTED_VALUE"""),"Push Protocol")</f>
        <v>Push Protocol</v>
      </c>
    </row>
    <row r="4214">
      <c r="A4214" s="3" t="str">
        <f>IFERROR(__xludf.DUMMYFUNCTION("""COMPUTED_VALUE"""),"ethereum-stake")</f>
        <v>ethereum-stake</v>
      </c>
      <c r="B4214" s="3" t="str">
        <f>IFERROR(__xludf.DUMMYFUNCTION("""COMPUTED_VALUE"""),"ethys")</f>
        <v>ethys</v>
      </c>
      <c r="C4214" s="3" t="str">
        <f>IFERROR(__xludf.DUMMYFUNCTION("""COMPUTED_VALUE"""),"Ethereum Stake")</f>
        <v>Ethereum Stake</v>
      </c>
    </row>
    <row r="4215">
      <c r="A4215" s="3" t="str">
        <f>IFERROR(__xludf.DUMMYFUNCTION("""COMPUTED_VALUE"""),"ethereum-victory")</f>
        <v>ethereum-victory</v>
      </c>
      <c r="B4215" s="3" t="str">
        <f>IFERROR(__xludf.DUMMYFUNCTION("""COMPUTED_VALUE"""),"evic")</f>
        <v>evic</v>
      </c>
      <c r="C4215" s="3" t="str">
        <f>IFERROR(__xludf.DUMMYFUNCTION("""COMPUTED_VALUE"""),"Ethereum Victory")</f>
        <v>Ethereum Victory</v>
      </c>
    </row>
    <row r="4216">
      <c r="A4216" s="3" t="str">
        <f>IFERROR(__xludf.DUMMYFUNCTION("""COMPUTED_VALUE"""),"ethereum-volatility-index-token")</f>
        <v>ethereum-volatility-index-token</v>
      </c>
      <c r="B4216" s="3" t="str">
        <f>IFERROR(__xludf.DUMMYFUNCTION("""COMPUTED_VALUE"""),"ethv")</f>
        <v>ethv</v>
      </c>
      <c r="C4216" s="3" t="str">
        <f>IFERROR(__xludf.DUMMYFUNCTION("""COMPUTED_VALUE"""),"Ethereum Volatility Index Token")</f>
        <v>Ethereum Volatility Index Token</v>
      </c>
    </row>
    <row r="4217">
      <c r="A4217" s="3" t="str">
        <f>IFERROR(__xludf.DUMMYFUNCTION("""COMPUTED_VALUE"""),"ethereum-wormhole")</f>
        <v>ethereum-wormhole</v>
      </c>
      <c r="B4217" s="3" t="str">
        <f>IFERROR(__xludf.DUMMYFUNCTION("""COMPUTED_VALUE"""),"eth")</f>
        <v>eth</v>
      </c>
      <c r="C4217" s="3" t="str">
        <f>IFERROR(__xludf.DUMMYFUNCTION("""COMPUTED_VALUE"""),"Ethereum (Wormhole)")</f>
        <v>Ethereum (Wormhole)</v>
      </c>
    </row>
    <row r="4218">
      <c r="A4218" s="3" t="str">
        <f>IFERROR(__xludf.DUMMYFUNCTION("""COMPUTED_VALUE"""),"ethereum-wrapped-filecoin")</f>
        <v>ethereum-wrapped-filecoin</v>
      </c>
      <c r="B4218" s="3" t="str">
        <f>IFERROR(__xludf.DUMMYFUNCTION("""COMPUTED_VALUE"""),"efil")</f>
        <v>efil</v>
      </c>
      <c r="C4218" s="3" t="str">
        <f>IFERROR(__xludf.DUMMYFUNCTION("""COMPUTED_VALUE"""),"Ethereum Wrapped Filecoin")</f>
        <v>Ethereum Wrapped Filecoin</v>
      </c>
    </row>
    <row r="4219">
      <c r="A4219" s="3" t="str">
        <f>IFERROR(__xludf.DUMMYFUNCTION("""COMPUTED_VALUE"""),"ethereumx")</f>
        <v>ethereumx</v>
      </c>
      <c r="B4219" s="3" t="str">
        <f>IFERROR(__xludf.DUMMYFUNCTION("""COMPUTED_VALUE"""),"etx")</f>
        <v>etx</v>
      </c>
      <c r="C4219" s="3" t="str">
        <f>IFERROR(__xludf.DUMMYFUNCTION("""COMPUTED_VALUE"""),"EthereumX")</f>
        <v>EthereumX</v>
      </c>
    </row>
    <row r="4220">
      <c r="A4220" s="3" t="str">
        <f>IFERROR(__xludf.DUMMYFUNCTION("""COMPUTED_VALUE"""),"ethereum-yield")</f>
        <v>ethereum-yield</v>
      </c>
      <c r="B4220" s="3" t="str">
        <f>IFERROR(__xludf.DUMMYFUNCTION("""COMPUTED_VALUE"""),"ethy")</f>
        <v>ethy</v>
      </c>
      <c r="C4220" s="3" t="str">
        <f>IFERROR(__xludf.DUMMYFUNCTION("""COMPUTED_VALUE"""),"Ethereum Yield")</f>
        <v>Ethereum Yield</v>
      </c>
    </row>
    <row r="4221">
      <c r="A4221" s="3" t="str">
        <f>IFERROR(__xludf.DUMMYFUNCTION("""COMPUTED_VALUE"""),"ethergem")</f>
        <v>ethergem</v>
      </c>
      <c r="B4221" s="3" t="str">
        <f>IFERROR(__xludf.DUMMYFUNCTION("""COMPUTED_VALUE"""),"egem")</f>
        <v>egem</v>
      </c>
      <c r="C4221" s="3" t="str">
        <f>IFERROR(__xludf.DUMMYFUNCTION("""COMPUTED_VALUE"""),"EtherGem")</f>
        <v>EtherGem</v>
      </c>
    </row>
    <row r="4222">
      <c r="A4222" s="3" t="str">
        <f>IFERROR(__xludf.DUMMYFUNCTION("""COMPUTED_VALUE"""),"etherinc")</f>
        <v>etherinc</v>
      </c>
      <c r="B4222" s="3" t="str">
        <f>IFERROR(__xludf.DUMMYFUNCTION("""COMPUTED_VALUE"""),"eti")</f>
        <v>eti</v>
      </c>
      <c r="C4222" s="3" t="str">
        <f>IFERROR(__xludf.DUMMYFUNCTION("""COMPUTED_VALUE"""),"EtherInc")</f>
        <v>EtherInc</v>
      </c>
    </row>
    <row r="4223">
      <c r="A4223" s="3" t="str">
        <f>IFERROR(__xludf.DUMMYFUNCTION("""COMPUTED_VALUE"""),"etherisc")</f>
        <v>etherisc</v>
      </c>
      <c r="B4223" s="3" t="str">
        <f>IFERROR(__xludf.DUMMYFUNCTION("""COMPUTED_VALUE"""),"dip")</f>
        <v>dip</v>
      </c>
      <c r="C4223" s="3" t="str">
        <f>IFERROR(__xludf.DUMMYFUNCTION("""COMPUTED_VALUE"""),"Etherisc DIP")</f>
        <v>Etherisc DIP</v>
      </c>
    </row>
    <row r="4224">
      <c r="A4224" s="3" t="str">
        <f>IFERROR(__xludf.DUMMYFUNCTION("""COMPUTED_VALUE"""),"etherland")</f>
        <v>etherland</v>
      </c>
      <c r="B4224" s="3" t="str">
        <f>IFERROR(__xludf.DUMMYFUNCTION("""COMPUTED_VALUE"""),"eland")</f>
        <v>eland</v>
      </c>
      <c r="C4224" s="3" t="str">
        <f>IFERROR(__xludf.DUMMYFUNCTION("""COMPUTED_VALUE"""),"Etherland")</f>
        <v>Etherland</v>
      </c>
    </row>
    <row r="4225">
      <c r="A4225" s="3" t="str">
        <f>IFERROR(__xludf.DUMMYFUNCTION("""COMPUTED_VALUE"""),"etherlite-2")</f>
        <v>etherlite-2</v>
      </c>
      <c r="B4225" s="3" t="str">
        <f>IFERROR(__xludf.DUMMYFUNCTION("""COMPUTED_VALUE"""),"etl")</f>
        <v>etl</v>
      </c>
      <c r="C4225" s="3" t="str">
        <f>IFERROR(__xludf.DUMMYFUNCTION("""COMPUTED_VALUE"""),"EtherLite")</f>
        <v>EtherLite</v>
      </c>
    </row>
    <row r="4226">
      <c r="A4226" s="3" t="str">
        <f>IFERROR(__xludf.DUMMYFUNCTION("""COMPUTED_VALUE"""),"ethermail")</f>
        <v>ethermail</v>
      </c>
      <c r="B4226" s="3" t="str">
        <f>IFERROR(__xludf.DUMMYFUNCTION("""COMPUTED_VALUE"""),"emt")</f>
        <v>emt</v>
      </c>
      <c r="C4226" s="3" t="str">
        <f>IFERROR(__xludf.DUMMYFUNCTION("""COMPUTED_VALUE"""),"EtherMail")</f>
        <v>EtherMail</v>
      </c>
    </row>
    <row r="4227">
      <c r="A4227" s="3" t="str">
        <f>IFERROR(__xludf.DUMMYFUNCTION("""COMPUTED_VALUE"""),"ethermon")</f>
        <v>ethermon</v>
      </c>
      <c r="B4227" s="3" t="str">
        <f>IFERROR(__xludf.DUMMYFUNCTION("""COMPUTED_VALUE"""),"emon")</f>
        <v>emon</v>
      </c>
      <c r="C4227" s="3" t="str">
        <f>IFERROR(__xludf.DUMMYFUNCTION("""COMPUTED_VALUE"""),"Ethermon")</f>
        <v>Ethermon</v>
      </c>
    </row>
    <row r="4228">
      <c r="A4228" s="3" t="str">
        <f>IFERROR(__xludf.DUMMYFUNCTION("""COMPUTED_VALUE"""),"ethernaal")</f>
        <v>ethernaal</v>
      </c>
      <c r="B4228" s="3" t="str">
        <f>IFERROR(__xludf.DUMMYFUNCTION("""COMPUTED_VALUE"""),"naal")</f>
        <v>naal</v>
      </c>
      <c r="C4228" s="3" t="str">
        <f>IFERROR(__xludf.DUMMYFUNCTION("""COMPUTED_VALUE"""),"Ethernaal")</f>
        <v>Ethernaal</v>
      </c>
    </row>
    <row r="4229">
      <c r="A4229" s="3" t="str">
        <f>IFERROR(__xludf.DUMMYFUNCTION("""COMPUTED_VALUE"""),"ethernal")</f>
        <v>ethernal</v>
      </c>
      <c r="B4229" s="3" t="str">
        <f>IFERROR(__xludf.DUMMYFUNCTION("""COMPUTED_VALUE"""),"ethernal")</f>
        <v>ethernal</v>
      </c>
      <c r="C4229" s="3" t="str">
        <f>IFERROR(__xludf.DUMMYFUNCTION("""COMPUTED_VALUE"""),"Ethernal")</f>
        <v>Ethernal</v>
      </c>
    </row>
    <row r="4230">
      <c r="A4230" s="3" t="str">
        <f>IFERROR(__xludf.DUMMYFUNCTION("""COMPUTED_VALUE"""),"ethernal-finance")</f>
        <v>ethernal-finance</v>
      </c>
      <c r="B4230" s="3" t="str">
        <f>IFERROR(__xludf.DUMMYFUNCTION("""COMPUTED_VALUE"""),"ethfin")</f>
        <v>ethfin</v>
      </c>
      <c r="C4230" s="3" t="str">
        <f>IFERROR(__xludf.DUMMYFUNCTION("""COMPUTED_VALUE"""),"Ethernal Finance")</f>
        <v>Ethernal Finance</v>
      </c>
    </row>
    <row r="4231">
      <c r="A4231" s="3" t="str">
        <f>IFERROR(__xludf.DUMMYFUNCTION("""COMPUTED_VALUE"""),"ethernity-chain")</f>
        <v>ethernity-chain</v>
      </c>
      <c r="B4231" s="3" t="str">
        <f>IFERROR(__xludf.DUMMYFUNCTION("""COMPUTED_VALUE"""),"ern")</f>
        <v>ern</v>
      </c>
      <c r="C4231" s="3" t="str">
        <f>IFERROR(__xludf.DUMMYFUNCTION("""COMPUTED_VALUE"""),"Ethernity Chain")</f>
        <v>Ethernity Chain</v>
      </c>
    </row>
    <row r="4232">
      <c r="A4232" s="3" t="str">
        <f>IFERROR(__xludf.DUMMYFUNCTION("""COMPUTED_VALUE"""),"etheroll")</f>
        <v>etheroll</v>
      </c>
      <c r="B4232" s="3" t="str">
        <f>IFERROR(__xludf.DUMMYFUNCTION("""COMPUTED_VALUE"""),"dice")</f>
        <v>dice</v>
      </c>
      <c r="C4232" s="3" t="str">
        <f>IFERROR(__xludf.DUMMYFUNCTION("""COMPUTED_VALUE"""),"Etheroll")</f>
        <v>Etheroll</v>
      </c>
    </row>
    <row r="4233">
      <c r="A4233" s="3" t="str">
        <f>IFERROR(__xludf.DUMMYFUNCTION("""COMPUTED_VALUE"""),"etherparty")</f>
        <v>etherparty</v>
      </c>
      <c r="B4233" s="3" t="str">
        <f>IFERROR(__xludf.DUMMYFUNCTION("""COMPUTED_VALUE"""),"fuel")</f>
        <v>fuel</v>
      </c>
      <c r="C4233" s="3" t="str">
        <f>IFERROR(__xludf.DUMMYFUNCTION("""COMPUTED_VALUE"""),"Etherparty")</f>
        <v>Etherparty</v>
      </c>
    </row>
    <row r="4234">
      <c r="A4234" s="3" t="str">
        <f>IFERROR(__xludf.DUMMYFUNCTION("""COMPUTED_VALUE"""),"etherpay")</f>
        <v>etherpay</v>
      </c>
      <c r="B4234" s="3" t="str">
        <f>IFERROR(__xludf.DUMMYFUNCTION("""COMPUTED_VALUE"""),"ethpy")</f>
        <v>ethpy</v>
      </c>
      <c r="C4234" s="3" t="str">
        <f>IFERROR(__xludf.DUMMYFUNCTION("""COMPUTED_VALUE"""),"Etherpay")</f>
        <v>Etherpay</v>
      </c>
    </row>
    <row r="4235">
      <c r="A4235" s="3" t="str">
        <f>IFERROR(__xludf.DUMMYFUNCTION("""COMPUTED_VALUE"""),"etherrock-72")</f>
        <v>etherrock-72</v>
      </c>
      <c r="B4235" s="3" t="str">
        <f>IFERROR(__xludf.DUMMYFUNCTION("""COMPUTED_VALUE"""),"pebble")</f>
        <v>pebble</v>
      </c>
      <c r="C4235" s="3" t="str">
        <f>IFERROR(__xludf.DUMMYFUNCTION("""COMPUTED_VALUE"""),"Etherrock #72")</f>
        <v>Etherrock #72</v>
      </c>
    </row>
    <row r="4236">
      <c r="A4236" s="3" t="str">
        <f>IFERROR(__xludf.DUMMYFUNCTION("""COMPUTED_VALUE"""),"ethersmart")</f>
        <v>ethersmart</v>
      </c>
      <c r="B4236" s="3" t="str">
        <f>IFERROR(__xludf.DUMMYFUNCTION("""COMPUTED_VALUE"""),"etm")</f>
        <v>etm</v>
      </c>
      <c r="C4236" s="3" t="str">
        <f>IFERROR(__xludf.DUMMYFUNCTION("""COMPUTED_VALUE"""),"EtherSmart")</f>
        <v>EtherSmart</v>
      </c>
    </row>
    <row r="4237">
      <c r="A4237" s="3" t="str">
        <f>IFERROR(__xludf.DUMMYFUNCTION("""COMPUTED_VALUE"""),"ethersniper")</f>
        <v>ethersniper</v>
      </c>
      <c r="B4237" s="3" t="str">
        <f>IFERROR(__xludf.DUMMYFUNCTION("""COMPUTED_VALUE"""),"ets")</f>
        <v>ets</v>
      </c>
      <c r="C4237" s="3" t="str">
        <f>IFERROR(__xludf.DUMMYFUNCTION("""COMPUTED_VALUE"""),"Ethersniper")</f>
        <v>Ethersniper</v>
      </c>
    </row>
    <row r="4238">
      <c r="A4238" s="3" t="str">
        <f>IFERROR(__xludf.DUMMYFUNCTION("""COMPUTED_VALUE"""),"ethersocks")</f>
        <v>ethersocks</v>
      </c>
      <c r="B4238" s="3" t="str">
        <f>IFERROR(__xludf.DUMMYFUNCTION("""COMPUTED_VALUE"""),"sox")</f>
        <v>sox</v>
      </c>
      <c r="C4238" s="3" t="str">
        <f>IFERROR(__xludf.DUMMYFUNCTION("""COMPUTED_VALUE"""),"Ethersocks")</f>
        <v>Ethersocks</v>
      </c>
    </row>
    <row r="4239">
      <c r="A4239" s="3" t="str">
        <f>IFERROR(__xludf.DUMMYFUNCTION("""COMPUTED_VALUE"""),"etherzero")</f>
        <v>etherzero</v>
      </c>
      <c r="B4239" s="3" t="str">
        <f>IFERROR(__xludf.DUMMYFUNCTION("""COMPUTED_VALUE"""),"etz")</f>
        <v>etz</v>
      </c>
      <c r="C4239" s="3" t="str">
        <f>IFERROR(__xludf.DUMMYFUNCTION("""COMPUTED_VALUE"""),"Ether Zero")</f>
        <v>Ether Zero</v>
      </c>
    </row>
    <row r="4240">
      <c r="A4240" s="3" t="str">
        <f>IFERROR(__xludf.DUMMYFUNCTION("""COMPUTED_VALUE"""),"ethfan-burn")</f>
        <v>ethfan-burn</v>
      </c>
      <c r="B4240" s="3" t="str">
        <f>IFERROR(__xludf.DUMMYFUNCTION("""COMPUTED_VALUE"""),"$efb")</f>
        <v>$efb</v>
      </c>
      <c r="C4240" s="3" t="str">
        <f>IFERROR(__xludf.DUMMYFUNCTION("""COMPUTED_VALUE"""),"ETHFan Burn")</f>
        <v>ETHFan Burn</v>
      </c>
    </row>
    <row r="4241">
      <c r="A4241" s="3" t="str">
        <f>IFERROR(__xludf.DUMMYFUNCTION("""COMPUTED_VALUE"""),"eth-fan-token")</f>
        <v>eth-fan-token</v>
      </c>
      <c r="B4241" s="3" t="str">
        <f>IFERROR(__xludf.DUMMYFUNCTION("""COMPUTED_VALUE"""),"eft")</f>
        <v>eft</v>
      </c>
      <c r="C4241" s="3" t="str">
        <f>IFERROR(__xludf.DUMMYFUNCTION("""COMPUTED_VALUE"""),"ETH Fan Token Ecosystem")</f>
        <v>ETH Fan Token Ecosystem</v>
      </c>
    </row>
    <row r="4242">
      <c r="A4242" s="3" t="str">
        <f>IFERROR(__xludf.DUMMYFUNCTION("""COMPUTED_VALUE"""),"ethica")</f>
        <v>ethica</v>
      </c>
      <c r="B4242" s="3" t="str">
        <f>IFERROR(__xludf.DUMMYFUNCTION("""COMPUTED_VALUE"""),"ethica")</f>
        <v>ethica</v>
      </c>
      <c r="C4242" s="3" t="str">
        <f>IFERROR(__xludf.DUMMYFUNCTION("""COMPUTED_VALUE"""),"Ethica")</f>
        <v>Ethica</v>
      </c>
    </row>
    <row r="4243">
      <c r="A4243" s="3" t="str">
        <f>IFERROR(__xludf.DUMMYFUNCTION("""COMPUTED_VALUE"""),"ethichub")</f>
        <v>ethichub</v>
      </c>
      <c r="B4243" s="3" t="str">
        <f>IFERROR(__xludf.DUMMYFUNCTION("""COMPUTED_VALUE"""),"ethix")</f>
        <v>ethix</v>
      </c>
      <c r="C4243" s="3" t="str">
        <f>IFERROR(__xludf.DUMMYFUNCTION("""COMPUTED_VALUE"""),"EthicHub")</f>
        <v>EthicHub</v>
      </c>
    </row>
    <row r="4244">
      <c r="A4244" s="3" t="str">
        <f>IFERROR(__xludf.DUMMYFUNCTION("""COMPUTED_VALUE"""),"ethlend")</f>
        <v>ethlend</v>
      </c>
      <c r="B4244" s="3" t="str">
        <f>IFERROR(__xludf.DUMMYFUNCTION("""COMPUTED_VALUE"""),"lend")</f>
        <v>lend</v>
      </c>
      <c r="C4244" s="3" t="str">
        <f>IFERROR(__xludf.DUMMYFUNCTION("""COMPUTED_VALUE"""),"Aave [OLD]")</f>
        <v>Aave [OLD]</v>
      </c>
    </row>
    <row r="4245">
      <c r="A4245" s="3" t="str">
        <f>IFERROR(__xludf.DUMMYFUNCTION("""COMPUTED_VALUE"""),"eth-max-yield-index")</f>
        <v>eth-max-yield-index</v>
      </c>
      <c r="B4245" s="3" t="str">
        <f>IFERROR(__xludf.DUMMYFUNCTION("""COMPUTED_VALUE"""),"ethmaxy")</f>
        <v>ethmaxy</v>
      </c>
      <c r="C4245" s="3" t="str">
        <f>IFERROR(__xludf.DUMMYFUNCTION("""COMPUTED_VALUE"""),"ETH Max Yield Index")</f>
        <v>ETH Max Yield Index</v>
      </c>
    </row>
    <row r="4246">
      <c r="A4246" s="3" t="str">
        <f>IFERROR(__xludf.DUMMYFUNCTION("""COMPUTED_VALUE"""),"ethorse")</f>
        <v>ethorse</v>
      </c>
      <c r="B4246" s="3" t="str">
        <f>IFERROR(__xludf.DUMMYFUNCTION("""COMPUTED_VALUE"""),"horse")</f>
        <v>horse</v>
      </c>
      <c r="C4246" s="3" t="str">
        <f>IFERROR(__xludf.DUMMYFUNCTION("""COMPUTED_VALUE"""),"Ethorse")</f>
        <v>Ethorse</v>
      </c>
    </row>
    <row r="4247">
      <c r="A4247" s="3" t="str">
        <f>IFERROR(__xludf.DUMMYFUNCTION("""COMPUTED_VALUE"""),"ethos")</f>
        <v>ethos</v>
      </c>
      <c r="B4247" s="3" t="str">
        <f>IFERROR(__xludf.DUMMYFUNCTION("""COMPUTED_VALUE"""),"vgx")</f>
        <v>vgx</v>
      </c>
      <c r="C4247" s="3" t="str">
        <f>IFERROR(__xludf.DUMMYFUNCTION("""COMPUTED_VALUE"""),"Voyager VGX")</f>
        <v>Voyager VGX</v>
      </c>
    </row>
    <row r="4248">
      <c r="A4248" s="3" t="str">
        <f>IFERROR(__xludf.DUMMYFUNCTION("""COMPUTED_VALUE"""),"ethpad")</f>
        <v>ethpad</v>
      </c>
      <c r="B4248" s="3" t="str">
        <f>IFERROR(__xludf.DUMMYFUNCTION("""COMPUTED_VALUE"""),"ethpad")</f>
        <v>ethpad</v>
      </c>
      <c r="C4248" s="3" t="str">
        <f>IFERROR(__xludf.DUMMYFUNCTION("""COMPUTED_VALUE"""),"ETHPad")</f>
        <v>ETHPad</v>
      </c>
    </row>
    <row r="4249">
      <c r="A4249" s="3" t="str">
        <f>IFERROR(__xludf.DUMMYFUNCTION("""COMPUTED_VALUE"""),"ethrise")</f>
        <v>ethrise</v>
      </c>
      <c r="B4249" s="3" t="str">
        <f>IFERROR(__xludf.DUMMYFUNCTION("""COMPUTED_VALUE"""),"$ethrise")</f>
        <v>$ethrise</v>
      </c>
      <c r="C4249" s="3" t="str">
        <f>IFERROR(__xludf.DUMMYFUNCTION("""COMPUTED_VALUE"""),"ETHRISE")</f>
        <v>ETHRISE</v>
      </c>
    </row>
    <row r="4250">
      <c r="A4250" s="3" t="str">
        <f>IFERROR(__xludf.DUMMYFUNCTION("""COMPUTED_VALUE"""),"eth-shiba")</f>
        <v>eth-shiba</v>
      </c>
      <c r="B4250" s="3" t="str">
        <f>IFERROR(__xludf.DUMMYFUNCTION("""COMPUTED_VALUE"""),"ethshib")</f>
        <v>ethshib</v>
      </c>
      <c r="C4250" s="3" t="str">
        <f>IFERROR(__xludf.DUMMYFUNCTION("""COMPUTED_VALUE"""),"Eth Shiba")</f>
        <v>Eth Shiba</v>
      </c>
    </row>
    <row r="4251">
      <c r="A4251" s="3" t="str">
        <f>IFERROR(__xludf.DUMMYFUNCTION("""COMPUTED_VALUE"""),"ethst-governance-token")</f>
        <v>ethst-governance-token</v>
      </c>
      <c r="B4251" s="3" t="str">
        <f>IFERROR(__xludf.DUMMYFUNCTION("""COMPUTED_VALUE"""),"et")</f>
        <v>et</v>
      </c>
      <c r="C4251" s="3" t="str">
        <f>IFERROR(__xludf.DUMMYFUNCTION("""COMPUTED_VALUE"""),"ETHST Governance")</f>
        <v>ETHST Governance</v>
      </c>
    </row>
    <row r="4252">
      <c r="A4252" s="3" t="str">
        <f>IFERROR(__xludf.DUMMYFUNCTION("""COMPUTED_VALUE"""),"ethtez")</f>
        <v>ethtez</v>
      </c>
      <c r="B4252" s="3" t="str">
        <f>IFERROR(__xludf.DUMMYFUNCTION("""COMPUTED_VALUE"""),"ethtz")</f>
        <v>ethtz</v>
      </c>
      <c r="C4252" s="3" t="str">
        <f>IFERROR(__xludf.DUMMYFUNCTION("""COMPUTED_VALUE"""),"ETHtez")</f>
        <v>ETHtez</v>
      </c>
    </row>
    <row r="4253">
      <c r="A4253" s="3" t="str">
        <f>IFERROR(__xludf.DUMMYFUNCTION("""COMPUTED_VALUE"""),"ethup")</f>
        <v>ethup</v>
      </c>
      <c r="B4253" s="3" t="str">
        <f>IFERROR(__xludf.DUMMYFUNCTION("""COMPUTED_VALUE"""),"ethup")</f>
        <v>ethup</v>
      </c>
      <c r="C4253" s="3" t="str">
        <f>IFERROR(__xludf.DUMMYFUNCTION("""COMPUTED_VALUE"""),"ETHUP")</f>
        <v>ETHUP</v>
      </c>
    </row>
    <row r="4254">
      <c r="A4254" s="3" t="str">
        <f>IFERROR(__xludf.DUMMYFUNCTION("""COMPUTED_VALUE"""),"ethverse")</f>
        <v>ethverse</v>
      </c>
      <c r="B4254" s="3" t="str">
        <f>IFERROR(__xludf.DUMMYFUNCTION("""COMPUTED_VALUE"""),"ethv")</f>
        <v>ethv</v>
      </c>
      <c r="C4254" s="3" t="str">
        <f>IFERROR(__xludf.DUMMYFUNCTION("""COMPUTED_VALUE"""),"Ethverse")</f>
        <v>Ethverse</v>
      </c>
    </row>
    <row r="4255">
      <c r="A4255" s="3" t="str">
        <f>IFERROR(__xludf.DUMMYFUNCTION("""COMPUTED_VALUE"""),"ethw-id")</f>
        <v>ethw-id</v>
      </c>
      <c r="B4255" s="3" t="str">
        <f>IFERROR(__xludf.DUMMYFUNCTION("""COMPUTED_VALUE"""),"eid")</f>
        <v>eid</v>
      </c>
      <c r="C4255" s="3" t="str">
        <f>IFERROR(__xludf.DUMMYFUNCTION("""COMPUTED_VALUE"""),"ETHW ID")</f>
        <v>ETHW ID</v>
      </c>
    </row>
    <row r="4256">
      <c r="A4256" s="3" t="str">
        <f>IFERROR(__xludf.DUMMYFUNCTION("""COMPUTED_VALUE"""),"etitanium")</f>
        <v>etitanium</v>
      </c>
      <c r="B4256" s="3" t="str">
        <f>IFERROR(__xludf.DUMMYFUNCTION("""COMPUTED_VALUE"""),"etit")</f>
        <v>etit</v>
      </c>
      <c r="C4256" s="3" t="str">
        <f>IFERROR(__xludf.DUMMYFUNCTION("""COMPUTED_VALUE"""),"eTitanium")</f>
        <v>eTitanium</v>
      </c>
    </row>
    <row r="4257">
      <c r="A4257" s="3" t="str">
        <f>IFERROR(__xludf.DUMMYFUNCTION("""COMPUTED_VALUE"""),"etna-metabolism")</f>
        <v>etna-metabolism</v>
      </c>
      <c r="B4257" s="3" t="str">
        <f>IFERROR(__xludf.DUMMYFUNCTION("""COMPUTED_VALUE"""),"mtb")</f>
        <v>mtb</v>
      </c>
      <c r="C4257" s="3" t="str">
        <f>IFERROR(__xludf.DUMMYFUNCTION("""COMPUTED_VALUE"""),"ETNA Metabolism")</f>
        <v>ETNA Metabolism</v>
      </c>
    </row>
    <row r="4258">
      <c r="A4258" s="3" t="str">
        <f>IFERROR(__xludf.DUMMYFUNCTION("""COMPUTED_VALUE"""),"etna-network")</f>
        <v>etna-network</v>
      </c>
      <c r="B4258" s="3" t="str">
        <f>IFERROR(__xludf.DUMMYFUNCTION("""COMPUTED_VALUE"""),"etna")</f>
        <v>etna</v>
      </c>
      <c r="C4258" s="3" t="str">
        <f>IFERROR(__xludf.DUMMYFUNCTION("""COMPUTED_VALUE"""),"ETNA Network")</f>
        <v>ETNA Network</v>
      </c>
    </row>
    <row r="4259">
      <c r="A4259" s="3" t="str">
        <f>IFERROR(__xludf.DUMMYFUNCTION("""COMPUTED_VALUE"""),"etrade")</f>
        <v>etrade</v>
      </c>
      <c r="B4259" s="3" t="str">
        <f>IFERROR(__xludf.DUMMYFUNCTION("""COMPUTED_VALUE"""),"ett")</f>
        <v>ett</v>
      </c>
      <c r="C4259" s="3" t="str">
        <f>IFERROR(__xludf.DUMMYFUNCTION("""COMPUTED_VALUE"""),"Etrade")</f>
        <v>Etrade</v>
      </c>
    </row>
    <row r="4260">
      <c r="A4260" s="3" t="str">
        <f>IFERROR(__xludf.DUMMYFUNCTION("""COMPUTED_VALUE"""),"eub-chain")</f>
        <v>eub-chain</v>
      </c>
      <c r="B4260" s="3" t="str">
        <f>IFERROR(__xludf.DUMMYFUNCTION("""COMPUTED_VALUE"""),"eubc")</f>
        <v>eubc</v>
      </c>
      <c r="C4260" s="3" t="str">
        <f>IFERROR(__xludf.DUMMYFUNCTION("""COMPUTED_VALUE"""),"EUB Chain")</f>
        <v>EUB Chain</v>
      </c>
    </row>
    <row r="4261">
      <c r="A4261" s="3" t="str">
        <f>IFERROR(__xludf.DUMMYFUNCTION("""COMPUTED_VALUE"""),"euler")</f>
        <v>euler</v>
      </c>
      <c r="B4261" s="3" t="str">
        <f>IFERROR(__xludf.DUMMYFUNCTION("""COMPUTED_VALUE"""),"eul")</f>
        <v>eul</v>
      </c>
      <c r="C4261" s="3" t="str">
        <f>IFERROR(__xludf.DUMMYFUNCTION("""COMPUTED_VALUE"""),"Euler")</f>
        <v>Euler</v>
      </c>
    </row>
    <row r="4262">
      <c r="A4262" s="3" t="str">
        <f>IFERROR(__xludf.DUMMYFUNCTION("""COMPUTED_VALUE"""),"euler-tools")</f>
        <v>euler-tools</v>
      </c>
      <c r="B4262" s="3" t="str">
        <f>IFERROR(__xludf.DUMMYFUNCTION("""COMPUTED_VALUE"""),"euler")</f>
        <v>euler</v>
      </c>
      <c r="C4262" s="3" t="str">
        <f>IFERROR(__xludf.DUMMYFUNCTION("""COMPUTED_VALUE"""),"Euler Tools")</f>
        <v>Euler Tools</v>
      </c>
    </row>
    <row r="4263">
      <c r="A4263" s="3" t="str">
        <f>IFERROR(__xludf.DUMMYFUNCTION("""COMPUTED_VALUE"""),"euno")</f>
        <v>euno</v>
      </c>
      <c r="B4263" s="3" t="str">
        <f>IFERROR(__xludf.DUMMYFUNCTION("""COMPUTED_VALUE"""),"euno")</f>
        <v>euno</v>
      </c>
      <c r="C4263" s="3" t="str">
        <f>IFERROR(__xludf.DUMMYFUNCTION("""COMPUTED_VALUE"""),"EUNO")</f>
        <v>EUNO</v>
      </c>
    </row>
    <row r="4264">
      <c r="A4264" s="3" t="str">
        <f>IFERROR(__xludf.DUMMYFUNCTION("""COMPUTED_VALUE"""),"eunomia")</f>
        <v>eunomia</v>
      </c>
      <c r="B4264" s="3" t="str">
        <f>IFERROR(__xludf.DUMMYFUNCTION("""COMPUTED_VALUE"""),"ents")</f>
        <v>ents</v>
      </c>
      <c r="C4264" s="3" t="str">
        <f>IFERROR(__xludf.DUMMYFUNCTION("""COMPUTED_VALUE"""),"EUNOMIA")</f>
        <v>EUNOMIA</v>
      </c>
    </row>
    <row r="4265">
      <c r="A4265" s="3" t="str">
        <f>IFERROR(__xludf.DUMMYFUNCTION("""COMPUTED_VALUE"""),"euphoria-2")</f>
        <v>euphoria-2</v>
      </c>
      <c r="B4265" s="3" t="str">
        <f>IFERROR(__xludf.DUMMYFUNCTION("""COMPUTED_VALUE"""),"wagmi")</f>
        <v>wagmi</v>
      </c>
      <c r="C4265" s="3" t="str">
        <f>IFERROR(__xludf.DUMMYFUNCTION("""COMPUTED_VALUE"""),"Euphoria")</f>
        <v>Euphoria</v>
      </c>
    </row>
    <row r="4266">
      <c r="A4266" s="3" t="str">
        <f>IFERROR(__xludf.DUMMYFUNCTION("""COMPUTED_VALUE"""),"euro-coin")</f>
        <v>euro-coin</v>
      </c>
      <c r="B4266" s="3" t="str">
        <f>IFERROR(__xludf.DUMMYFUNCTION("""COMPUTED_VALUE"""),"euroc")</f>
        <v>euroc</v>
      </c>
      <c r="C4266" s="3" t="str">
        <f>IFERROR(__xludf.DUMMYFUNCTION("""COMPUTED_VALUE"""),"Euro Coin")</f>
        <v>Euro Coin</v>
      </c>
    </row>
    <row r="4267">
      <c r="A4267" s="3" t="str">
        <f>IFERROR(__xludf.DUMMYFUNCTION("""COMPUTED_VALUE"""),"eurocoinpay")</f>
        <v>eurocoinpay</v>
      </c>
      <c r="B4267" s="3" t="str">
        <f>IFERROR(__xludf.DUMMYFUNCTION("""COMPUTED_VALUE"""),"ecte")</f>
        <v>ecte</v>
      </c>
      <c r="C4267" s="3" t="str">
        <f>IFERROR(__xludf.DUMMYFUNCTION("""COMPUTED_VALUE"""),"Eurocoin ECTE")</f>
        <v>Eurocoin ECTE</v>
      </c>
    </row>
    <row r="4268">
      <c r="A4268" s="3" t="str">
        <f>IFERROR(__xludf.DUMMYFUNCTION("""COMPUTED_VALUE"""),"euronin")</f>
        <v>euronin</v>
      </c>
      <c r="B4268" s="3" t="str">
        <f>IFERROR(__xludf.DUMMYFUNCTION("""COMPUTED_VALUE"""),"euronin")</f>
        <v>euronin</v>
      </c>
      <c r="C4268" s="3" t="str">
        <f>IFERROR(__xludf.DUMMYFUNCTION("""COMPUTED_VALUE"""),"Euronin")</f>
        <v>Euronin</v>
      </c>
    </row>
    <row r="4269">
      <c r="A4269" s="3" t="str">
        <f>IFERROR(__xludf.DUMMYFUNCTION("""COMPUTED_VALUE"""),"europa")</f>
        <v>europa</v>
      </c>
      <c r="B4269" s="3" t="str">
        <f>IFERROR(__xludf.DUMMYFUNCTION("""COMPUTED_VALUE"""),"orbit")</f>
        <v>orbit</v>
      </c>
      <c r="C4269" s="3" t="str">
        <f>IFERROR(__xludf.DUMMYFUNCTION("""COMPUTED_VALUE"""),"Europa")</f>
        <v>Europa</v>
      </c>
    </row>
    <row r="4270">
      <c r="A4270" s="3" t="str">
        <f>IFERROR(__xludf.DUMMYFUNCTION("""COMPUTED_VALUE"""),"euro-shiba-inu")</f>
        <v>euro-shiba-inu</v>
      </c>
      <c r="B4270" s="3" t="str">
        <f>IFERROR(__xludf.DUMMYFUNCTION("""COMPUTED_VALUE"""),"eshib")</f>
        <v>eshib</v>
      </c>
      <c r="C4270" s="3" t="str">
        <f>IFERROR(__xludf.DUMMYFUNCTION("""COMPUTED_VALUE"""),"Euro Shiba Inu")</f>
        <v>Euro Shiba Inu</v>
      </c>
    </row>
    <row r="4271">
      <c r="A4271" s="3" t="str">
        <f>IFERROR(__xludf.DUMMYFUNCTION("""COMPUTED_VALUE"""),"euro-stable-token")</f>
        <v>euro-stable-token</v>
      </c>
      <c r="B4271" s="3" t="str">
        <f>IFERROR(__xludf.DUMMYFUNCTION("""COMPUTED_VALUE"""),"eurst")</f>
        <v>eurst</v>
      </c>
      <c r="C4271" s="3" t="str">
        <f>IFERROR(__xludf.DUMMYFUNCTION("""COMPUTED_VALUE"""),"Euro Stable Token")</f>
        <v>Euro Stable Token</v>
      </c>
    </row>
    <row r="4272">
      <c r="A4272" s="3" t="str">
        <f>IFERROR(__xludf.DUMMYFUNCTION("""COMPUTED_VALUE"""),"evai-2")</f>
        <v>evai-2</v>
      </c>
      <c r="B4272" s="3" t="str">
        <f>IFERROR(__xludf.DUMMYFUNCTION("""COMPUTED_VALUE"""),"ev")</f>
        <v>ev</v>
      </c>
      <c r="C4272" s="3" t="str">
        <f>IFERROR(__xludf.DUMMYFUNCTION("""COMPUTED_VALUE"""),"Evai")</f>
        <v>Evai</v>
      </c>
    </row>
    <row r="4273">
      <c r="A4273" s="3" t="str">
        <f>IFERROR(__xludf.DUMMYFUNCTION("""COMPUTED_VALUE"""),"evanesco-network")</f>
        <v>evanesco-network</v>
      </c>
      <c r="B4273" s="3" t="str">
        <f>IFERROR(__xludf.DUMMYFUNCTION("""COMPUTED_VALUE"""),"eva")</f>
        <v>eva</v>
      </c>
      <c r="C4273" s="3" t="str">
        <f>IFERROR(__xludf.DUMMYFUNCTION("""COMPUTED_VALUE"""),"Evanesco Network")</f>
        <v>Evanesco Network</v>
      </c>
    </row>
    <row r="4274">
      <c r="A4274" s="3" t="str">
        <f>IFERROR(__xludf.DUMMYFUNCTION("""COMPUTED_VALUE"""),"evedo")</f>
        <v>evedo</v>
      </c>
      <c r="B4274" s="3" t="str">
        <f>IFERROR(__xludf.DUMMYFUNCTION("""COMPUTED_VALUE"""),"eved")</f>
        <v>eved</v>
      </c>
      <c r="C4274" s="3" t="str">
        <f>IFERROR(__xludf.DUMMYFUNCTION("""COMPUTED_VALUE"""),"Evedo")</f>
        <v>Evedo</v>
      </c>
    </row>
    <row r="4275">
      <c r="A4275" s="3" t="str">
        <f>IFERROR(__xludf.DUMMYFUNCTION("""COMPUTED_VALUE"""),"eve-exchange")</f>
        <v>eve-exchange</v>
      </c>
      <c r="B4275" s="3" t="str">
        <f>IFERROR(__xludf.DUMMYFUNCTION("""COMPUTED_VALUE"""),"eve")</f>
        <v>eve</v>
      </c>
      <c r="C4275" s="3" t="str">
        <f>IFERROR(__xludf.DUMMYFUNCTION("""COMPUTED_VALUE"""),"EVE")</f>
        <v>EVE</v>
      </c>
    </row>
    <row r="4276">
      <c r="A4276" s="3" t="str">
        <f>IFERROR(__xludf.DUMMYFUNCTION("""COMPUTED_VALUE"""),"evencoin")</f>
        <v>evencoin</v>
      </c>
      <c r="B4276" s="3" t="str">
        <f>IFERROR(__xludf.DUMMYFUNCTION("""COMPUTED_VALUE"""),"evn")</f>
        <v>evn</v>
      </c>
      <c r="C4276" s="3" t="str">
        <f>IFERROR(__xludf.DUMMYFUNCTION("""COMPUTED_VALUE"""),"EvenCoin")</f>
        <v>EvenCoin</v>
      </c>
    </row>
    <row r="4277">
      <c r="A4277" s="3" t="str">
        <f>IFERROR(__xludf.DUMMYFUNCTION("""COMPUTED_VALUE"""),"everbnb")</f>
        <v>everbnb</v>
      </c>
      <c r="B4277" s="3" t="str">
        <f>IFERROR(__xludf.DUMMYFUNCTION("""COMPUTED_VALUE"""),"everbnb")</f>
        <v>everbnb</v>
      </c>
      <c r="C4277" s="3" t="str">
        <f>IFERROR(__xludf.DUMMYFUNCTION("""COMPUTED_VALUE"""),"EverBNB")</f>
        <v>EverBNB</v>
      </c>
    </row>
    <row r="4278">
      <c r="A4278" s="3" t="str">
        <f>IFERROR(__xludf.DUMMYFUNCTION("""COMPUTED_VALUE"""),"everchain")</f>
        <v>everchain</v>
      </c>
      <c r="B4278" s="3" t="str">
        <f>IFERROR(__xludf.DUMMYFUNCTION("""COMPUTED_VALUE"""),"ec")</f>
        <v>ec</v>
      </c>
      <c r="C4278" s="3" t="str">
        <f>IFERROR(__xludf.DUMMYFUNCTION("""COMPUTED_VALUE"""),"EverChain")</f>
        <v>EverChain</v>
      </c>
    </row>
    <row r="4279">
      <c r="A4279" s="3" t="str">
        <f>IFERROR(__xludf.DUMMYFUNCTION("""COMPUTED_VALUE"""),"everdome")</f>
        <v>everdome</v>
      </c>
      <c r="B4279" s="3" t="str">
        <f>IFERROR(__xludf.DUMMYFUNCTION("""COMPUTED_VALUE"""),"dome")</f>
        <v>dome</v>
      </c>
      <c r="C4279" s="3" t="str">
        <f>IFERROR(__xludf.DUMMYFUNCTION("""COMPUTED_VALUE"""),"Everdome")</f>
        <v>Everdome</v>
      </c>
    </row>
    <row r="4280">
      <c r="A4280" s="3" t="str">
        <f>IFERROR(__xludf.DUMMYFUNCTION("""COMPUTED_VALUE"""),"everdot")</f>
        <v>everdot</v>
      </c>
      <c r="B4280" s="3" t="str">
        <f>IFERROR(__xludf.DUMMYFUNCTION("""COMPUTED_VALUE"""),"everdot")</f>
        <v>everdot</v>
      </c>
      <c r="C4280" s="3" t="str">
        <f>IFERROR(__xludf.DUMMYFUNCTION("""COMPUTED_VALUE"""),"EverDot")</f>
        <v>EverDot</v>
      </c>
    </row>
    <row r="4281">
      <c r="A4281" s="3" t="str">
        <f>IFERROR(__xludf.DUMMYFUNCTION("""COMPUTED_VALUE"""),"everearn")</f>
        <v>everearn</v>
      </c>
      <c r="B4281" s="3" t="str">
        <f>IFERROR(__xludf.DUMMYFUNCTION("""COMPUTED_VALUE"""),"earn")</f>
        <v>earn</v>
      </c>
      <c r="C4281" s="3" t="str">
        <f>IFERROR(__xludf.DUMMYFUNCTION("""COMPUTED_VALUE"""),"EverEarn")</f>
        <v>EverEarn</v>
      </c>
    </row>
    <row r="4282">
      <c r="A4282" s="3" t="str">
        <f>IFERROR(__xludf.DUMMYFUNCTION("""COMPUTED_VALUE"""),"everestcoin")</f>
        <v>everestcoin</v>
      </c>
      <c r="B4282" s="3" t="str">
        <f>IFERROR(__xludf.DUMMYFUNCTION("""COMPUTED_VALUE"""),"evcoin")</f>
        <v>evcoin</v>
      </c>
      <c r="C4282" s="3" t="str">
        <f>IFERROR(__xludf.DUMMYFUNCTION("""COMPUTED_VALUE"""),"EverestCoin")</f>
        <v>EverestCoin</v>
      </c>
    </row>
    <row r="4283">
      <c r="A4283" s="3" t="str">
        <f>IFERROR(__xludf.DUMMYFUNCTION("""COMPUTED_VALUE"""),"evereth")</f>
        <v>evereth</v>
      </c>
      <c r="B4283" s="3" t="str">
        <f>IFERROR(__xludf.DUMMYFUNCTION("""COMPUTED_VALUE"""),"evereth")</f>
        <v>evereth</v>
      </c>
      <c r="C4283" s="3" t="str">
        <f>IFERROR(__xludf.DUMMYFUNCTION("""COMPUTED_VALUE"""),"EverETH")</f>
        <v>EverETH</v>
      </c>
    </row>
    <row r="4284">
      <c r="A4284" s="3" t="str">
        <f>IFERROR(__xludf.DUMMYFUNCTION("""COMPUTED_VALUE"""),"everex")</f>
        <v>everex</v>
      </c>
      <c r="B4284" s="3" t="str">
        <f>IFERROR(__xludf.DUMMYFUNCTION("""COMPUTED_VALUE"""),"evx")</f>
        <v>evx</v>
      </c>
      <c r="C4284" s="3" t="str">
        <f>IFERROR(__xludf.DUMMYFUNCTION("""COMPUTED_VALUE"""),"Everex")</f>
        <v>Everex</v>
      </c>
    </row>
    <row r="4285">
      <c r="A4285" s="3" t="str">
        <f>IFERROR(__xludf.DUMMYFUNCTION("""COMPUTED_VALUE"""),"evergreen-token")</f>
        <v>evergreen-token</v>
      </c>
      <c r="B4285" s="3" t="str">
        <f>IFERROR(__xludf.DUMMYFUNCTION("""COMPUTED_VALUE"""),"egt")</f>
        <v>egt</v>
      </c>
      <c r="C4285" s="3" t="str">
        <f>IFERROR(__xludf.DUMMYFUNCTION("""COMPUTED_VALUE"""),"Evergreen")</f>
        <v>Evergreen</v>
      </c>
    </row>
    <row r="4286">
      <c r="A4286" s="3" t="str">
        <f>IFERROR(__xludf.DUMMYFUNCTION("""COMPUTED_VALUE"""),"evergrowcoin")</f>
        <v>evergrowcoin</v>
      </c>
      <c r="B4286" s="3" t="str">
        <f>IFERROR(__xludf.DUMMYFUNCTION("""COMPUTED_VALUE"""),"egc")</f>
        <v>egc</v>
      </c>
      <c r="C4286" s="3" t="str">
        <f>IFERROR(__xludf.DUMMYFUNCTION("""COMPUTED_VALUE"""),"EverGrow Coin")</f>
        <v>EverGrow Coin</v>
      </c>
    </row>
    <row r="4287">
      <c r="A4287" s="3" t="str">
        <f>IFERROR(__xludf.DUMMYFUNCTION("""COMPUTED_VALUE"""),"everid")</f>
        <v>everid</v>
      </c>
      <c r="B4287" s="3" t="str">
        <f>IFERROR(__xludf.DUMMYFUNCTION("""COMPUTED_VALUE"""),"id")</f>
        <v>id</v>
      </c>
      <c r="C4287" s="3" t="str">
        <f>IFERROR(__xludf.DUMMYFUNCTION("""COMPUTED_VALUE"""),"Everest")</f>
        <v>Everest</v>
      </c>
    </row>
    <row r="4288">
      <c r="A4288" s="3" t="str">
        <f>IFERROR(__xludf.DUMMYFUNCTION("""COMPUTED_VALUE"""),"everipedia")</f>
        <v>everipedia</v>
      </c>
      <c r="B4288" s="3" t="str">
        <f>IFERROR(__xludf.DUMMYFUNCTION("""COMPUTED_VALUE"""),"iq")</f>
        <v>iq</v>
      </c>
      <c r="C4288" s="3" t="str">
        <f>IFERROR(__xludf.DUMMYFUNCTION("""COMPUTED_VALUE"""),"IQ")</f>
        <v>IQ</v>
      </c>
    </row>
    <row r="4289">
      <c r="A4289" s="3" t="str">
        <f>IFERROR(__xludf.DUMMYFUNCTION("""COMPUTED_VALUE"""),"everlens")</f>
        <v>everlens</v>
      </c>
      <c r="B4289" s="3" t="str">
        <f>IFERROR(__xludf.DUMMYFUNCTION("""COMPUTED_VALUE"""),"elen")</f>
        <v>elen</v>
      </c>
      <c r="C4289" s="3" t="str">
        <f>IFERROR(__xludf.DUMMYFUNCTION("""COMPUTED_VALUE"""),"Everlens")</f>
        <v>Everlens</v>
      </c>
    </row>
    <row r="4290">
      <c r="A4290" s="3" t="str">
        <f>IFERROR(__xludf.DUMMYFUNCTION("""COMPUTED_VALUE"""),"evermars")</f>
        <v>evermars</v>
      </c>
      <c r="B4290" s="3" t="str">
        <f>IFERROR(__xludf.DUMMYFUNCTION("""COMPUTED_VALUE"""),"evm")</f>
        <v>evm</v>
      </c>
      <c r="C4290" s="3" t="str">
        <f>IFERROR(__xludf.DUMMYFUNCTION("""COMPUTED_VALUE"""),"EverMars")</f>
        <v>EverMars</v>
      </c>
    </row>
    <row r="4291">
      <c r="A4291" s="3" t="str">
        <f>IFERROR(__xludf.DUMMYFUNCTION("""COMPUTED_VALUE"""),"everreflect")</f>
        <v>everreflect</v>
      </c>
      <c r="B4291" s="3" t="str">
        <f>IFERROR(__xludf.DUMMYFUNCTION("""COMPUTED_VALUE"""),"evrf")</f>
        <v>evrf</v>
      </c>
      <c r="C4291" s="3" t="str">
        <f>IFERROR(__xludf.DUMMYFUNCTION("""COMPUTED_VALUE"""),"EverReflect")</f>
        <v>EverReflect</v>
      </c>
    </row>
    <row r="4292">
      <c r="A4292" s="3" t="str">
        <f>IFERROR(__xludf.DUMMYFUNCTION("""COMPUTED_VALUE"""),"everrise")</f>
        <v>everrise</v>
      </c>
      <c r="B4292" s="3" t="str">
        <f>IFERROR(__xludf.DUMMYFUNCTION("""COMPUTED_VALUE"""),"rise")</f>
        <v>rise</v>
      </c>
      <c r="C4292" s="3" t="str">
        <f>IFERROR(__xludf.DUMMYFUNCTION("""COMPUTED_VALUE"""),"EverRise")</f>
        <v>EverRise</v>
      </c>
    </row>
    <row r="4293">
      <c r="A4293" s="3" t="str">
        <f>IFERROR(__xludf.DUMMYFUNCTION("""COMPUTED_VALUE"""),"eversafu")</f>
        <v>eversafu</v>
      </c>
      <c r="B4293" s="3" t="str">
        <f>IFERROR(__xludf.DUMMYFUNCTION("""COMPUTED_VALUE"""),"eversafu")</f>
        <v>eversafu</v>
      </c>
      <c r="C4293" s="3" t="str">
        <f>IFERROR(__xludf.DUMMYFUNCTION("""COMPUTED_VALUE"""),"EverSAFU")</f>
        <v>EverSAFU</v>
      </c>
    </row>
    <row r="4294">
      <c r="A4294" s="3" t="str">
        <f>IFERROR(__xludf.DUMMYFUNCTION("""COMPUTED_VALUE"""),"eversafuv2")</f>
        <v>eversafuv2</v>
      </c>
      <c r="B4294" s="3" t="str">
        <f>IFERROR(__xludf.DUMMYFUNCTION("""COMPUTED_VALUE"""),"es2")</f>
        <v>es2</v>
      </c>
      <c r="C4294" s="3" t="str">
        <f>IFERROR(__xludf.DUMMYFUNCTION("""COMPUTED_VALUE"""),"EverSAFUv2")</f>
        <v>EverSAFUv2</v>
      </c>
    </row>
    <row r="4295">
      <c r="A4295" s="3" t="str">
        <f>IFERROR(__xludf.DUMMYFUNCTION("""COMPUTED_VALUE"""),"everscale")</f>
        <v>everscale</v>
      </c>
      <c r="B4295" s="3" t="str">
        <f>IFERROR(__xludf.DUMMYFUNCTION("""COMPUTED_VALUE"""),"ever")</f>
        <v>ever</v>
      </c>
      <c r="C4295" s="3" t="str">
        <f>IFERROR(__xludf.DUMMYFUNCTION("""COMPUTED_VALUE"""),"Everscale")</f>
        <v>Everscale</v>
      </c>
    </row>
    <row r="4296">
      <c r="A4296" s="3" t="str">
        <f>IFERROR(__xludf.DUMMYFUNCTION("""COMPUTED_VALUE"""),"eversol")</f>
        <v>eversol</v>
      </c>
      <c r="B4296" s="3" t="str">
        <f>IFERROR(__xludf.DUMMYFUNCTION("""COMPUTED_VALUE"""),"esol")</f>
        <v>esol</v>
      </c>
      <c r="C4296" s="3" t="str">
        <f>IFERROR(__xludf.DUMMYFUNCTION("""COMPUTED_VALUE"""),"EVERSOL")</f>
        <v>EVERSOL</v>
      </c>
    </row>
    <row r="4297">
      <c r="A4297" s="3" t="str">
        <f>IFERROR(__xludf.DUMMYFUNCTION("""COMPUTED_VALUE"""),"eversol-staked-sol")</f>
        <v>eversol-staked-sol</v>
      </c>
      <c r="B4297" s="3" t="str">
        <f>IFERROR(__xludf.DUMMYFUNCTION("""COMPUTED_VALUE"""),"esol")</f>
        <v>esol</v>
      </c>
      <c r="C4297" s="3" t="str">
        <f>IFERROR(__xludf.DUMMYFUNCTION("""COMPUTED_VALUE"""),"Eversol Staked SOL")</f>
        <v>Eversol Staked SOL</v>
      </c>
    </row>
    <row r="4298">
      <c r="A4298" s="3" t="str">
        <f>IFERROR(__xludf.DUMMYFUNCTION("""COMPUTED_VALUE"""),"everstart")</f>
        <v>everstart</v>
      </c>
      <c r="B4298" s="3" t="str">
        <f>IFERROR(__xludf.DUMMYFUNCTION("""COMPUTED_VALUE"""),"start")</f>
        <v>start</v>
      </c>
      <c r="C4298" s="3" t="str">
        <f>IFERROR(__xludf.DUMMYFUNCTION("""COMPUTED_VALUE"""),"EverStart")</f>
        <v>EverStart</v>
      </c>
    </row>
    <row r="4299">
      <c r="A4299" s="3" t="str">
        <f>IFERROR(__xludf.DUMMYFUNCTION("""COMPUTED_VALUE"""),"everswap")</f>
        <v>everswap</v>
      </c>
      <c r="B4299" s="3" t="str">
        <f>IFERROR(__xludf.DUMMYFUNCTION("""COMPUTED_VALUE"""),"ever")</f>
        <v>ever</v>
      </c>
      <c r="C4299" s="3" t="str">
        <f>IFERROR(__xludf.DUMMYFUNCTION("""COMPUTED_VALUE"""),"EverSwap")</f>
        <v>EverSwap</v>
      </c>
    </row>
    <row r="4300">
      <c r="A4300" s="3" t="str">
        <f>IFERROR(__xludf.DUMMYFUNCTION("""COMPUTED_VALUE"""),"everton-fan-token")</f>
        <v>everton-fan-token</v>
      </c>
      <c r="B4300" s="3" t="str">
        <f>IFERROR(__xludf.DUMMYFUNCTION("""COMPUTED_VALUE"""),"efc")</f>
        <v>efc</v>
      </c>
      <c r="C4300" s="3" t="str">
        <f>IFERROR(__xludf.DUMMYFUNCTION("""COMPUTED_VALUE"""),"Everton Fan Token")</f>
        <v>Everton Fan Token</v>
      </c>
    </row>
    <row r="4301">
      <c r="A4301" s="3" t="str">
        <f>IFERROR(__xludf.DUMMYFUNCTION("""COMPUTED_VALUE"""),"everus")</f>
        <v>everus</v>
      </c>
      <c r="B4301" s="3" t="str">
        <f>IFERROR(__xludf.DUMMYFUNCTION("""COMPUTED_VALUE"""),"evr")</f>
        <v>evr</v>
      </c>
      <c r="C4301" s="3" t="str">
        <f>IFERROR(__xludf.DUMMYFUNCTION("""COMPUTED_VALUE"""),"Everus")</f>
        <v>Everus</v>
      </c>
    </row>
    <row r="4302">
      <c r="A4302" s="3" t="str">
        <f>IFERROR(__xludf.DUMMYFUNCTION("""COMPUTED_VALUE"""),"everyape-bsc")</f>
        <v>everyape-bsc</v>
      </c>
      <c r="B4302" s="3" t="str">
        <f>IFERROR(__xludf.DUMMYFUNCTION("""COMPUTED_VALUE"""),"evape")</f>
        <v>evape</v>
      </c>
      <c r="C4302" s="3" t="str">
        <f>IFERROR(__xludf.DUMMYFUNCTION("""COMPUTED_VALUE"""),"EveryApe BSC")</f>
        <v>EveryApe BSC</v>
      </c>
    </row>
    <row r="4303">
      <c r="A4303" s="3" t="str">
        <f>IFERROR(__xludf.DUMMYFUNCTION("""COMPUTED_VALUE"""),"everycoin")</f>
        <v>everycoin</v>
      </c>
      <c r="B4303" s="3" t="str">
        <f>IFERROR(__xludf.DUMMYFUNCTION("""COMPUTED_VALUE"""),"evy")</f>
        <v>evy</v>
      </c>
      <c r="C4303" s="3" t="str">
        <f>IFERROR(__xludf.DUMMYFUNCTION("""COMPUTED_VALUE"""),"EveryCoin")</f>
        <v>EveryCoin</v>
      </c>
    </row>
    <row r="4304">
      <c r="A4304" s="3" t="str">
        <f>IFERROR(__xludf.DUMMYFUNCTION("""COMPUTED_VALUE"""),"every-game")</f>
        <v>every-game</v>
      </c>
      <c r="B4304" s="3" t="str">
        <f>IFERROR(__xludf.DUMMYFUNCTION("""COMPUTED_VALUE"""),"egame")</f>
        <v>egame</v>
      </c>
      <c r="C4304" s="3" t="str">
        <f>IFERROR(__xludf.DUMMYFUNCTION("""COMPUTED_VALUE"""),"Every Game")</f>
        <v>Every Game</v>
      </c>
    </row>
    <row r="4305">
      <c r="A4305" s="3" t="str">
        <f>IFERROR(__xludf.DUMMYFUNCTION("""COMPUTED_VALUE"""),"everyonescrypto")</f>
        <v>everyonescrypto</v>
      </c>
      <c r="B4305" s="3" t="str">
        <f>IFERROR(__xludf.DUMMYFUNCTION("""COMPUTED_VALUE"""),"eoc")</f>
        <v>eoc</v>
      </c>
      <c r="C4305" s="3" t="str">
        <f>IFERROR(__xludf.DUMMYFUNCTION("""COMPUTED_VALUE"""),"EveryonesCrypto")</f>
        <v>EveryonesCrypto</v>
      </c>
    </row>
    <row r="4306">
      <c r="A4306" s="3" t="str">
        <f>IFERROR(__xludf.DUMMYFUNCTION("""COMPUTED_VALUE"""),"evident-proof-transaction-token")</f>
        <v>evident-proof-transaction-token</v>
      </c>
      <c r="B4306" s="3" t="str">
        <f>IFERROR(__xludf.DUMMYFUNCTION("""COMPUTED_VALUE"""),"eptt")</f>
        <v>eptt</v>
      </c>
      <c r="C4306" s="3" t="str">
        <f>IFERROR(__xludf.DUMMYFUNCTION("""COMPUTED_VALUE"""),"Evident Proof Transaction")</f>
        <v>Evident Proof Transaction</v>
      </c>
    </row>
    <row r="4307">
      <c r="A4307" s="3" t="str">
        <f>IFERROR(__xludf.DUMMYFUNCTION("""COMPUTED_VALUE"""),"evil-coin")</f>
        <v>evil-coin</v>
      </c>
      <c r="B4307" s="3" t="str">
        <f>IFERROR(__xludf.DUMMYFUNCTION("""COMPUTED_VALUE"""),"evil")</f>
        <v>evil</v>
      </c>
      <c r="C4307" s="3" t="str">
        <f>IFERROR(__xludf.DUMMYFUNCTION("""COMPUTED_VALUE"""),"Evil Coin")</f>
        <v>Evil Coin</v>
      </c>
    </row>
    <row r="4308">
      <c r="A4308" s="3" t="str">
        <f>IFERROR(__xludf.DUMMYFUNCTION("""COMPUTED_VALUE"""),"evil-shiba-inu")</f>
        <v>evil-shiba-inu</v>
      </c>
      <c r="B4308" s="3" t="str">
        <f>IFERROR(__xludf.DUMMYFUNCTION("""COMPUTED_VALUE"""),"esi")</f>
        <v>esi</v>
      </c>
      <c r="C4308" s="3" t="str">
        <f>IFERROR(__xludf.DUMMYFUNCTION("""COMPUTED_VALUE"""),"Evil Shiba Inu")</f>
        <v>Evil Shiba Inu</v>
      </c>
    </row>
    <row r="4309">
      <c r="A4309" s="3" t="str">
        <f>IFERROR(__xludf.DUMMYFUNCTION("""COMPUTED_VALUE"""),"evilsquidgame")</f>
        <v>evilsquidgame</v>
      </c>
      <c r="B4309" s="3" t="str">
        <f>IFERROR(__xludf.DUMMYFUNCTION("""COMPUTED_VALUE"""),"evilsquid")</f>
        <v>evilsquid</v>
      </c>
      <c r="C4309" s="3" t="str">
        <f>IFERROR(__xludf.DUMMYFUNCTION("""COMPUTED_VALUE"""),"EvilSquidGame")</f>
        <v>EvilSquidGame</v>
      </c>
    </row>
    <row r="4310">
      <c r="A4310" s="3" t="str">
        <f>IFERROR(__xludf.DUMMYFUNCTION("""COMPUTED_VALUE"""),"evmos")</f>
        <v>evmos</v>
      </c>
      <c r="B4310" s="3" t="str">
        <f>IFERROR(__xludf.DUMMYFUNCTION("""COMPUTED_VALUE"""),"evmos")</f>
        <v>evmos</v>
      </c>
      <c r="C4310" s="3" t="str">
        <f>IFERROR(__xludf.DUMMYFUNCTION("""COMPUTED_VALUE"""),"Evmos")</f>
        <v>Evmos</v>
      </c>
    </row>
    <row r="4311">
      <c r="A4311" s="3" t="str">
        <f>IFERROR(__xludf.DUMMYFUNCTION("""COMPUTED_VALUE"""),"evmos-domains")</f>
        <v>evmos-domains</v>
      </c>
      <c r="B4311" s="3" t="str">
        <f>IFERROR(__xludf.DUMMYFUNCTION("""COMPUTED_VALUE"""),"evd")</f>
        <v>evd</v>
      </c>
      <c r="C4311" s="3" t="str">
        <f>IFERROR(__xludf.DUMMYFUNCTION("""COMPUTED_VALUE"""),"Evmos Domains")</f>
        <v>Evmos Domains</v>
      </c>
    </row>
    <row r="4312">
      <c r="A4312" s="3" t="str">
        <f>IFERROR(__xludf.DUMMYFUNCTION("""COMPUTED_VALUE"""),"evmoswap")</f>
        <v>evmoswap</v>
      </c>
      <c r="B4312" s="3" t="str">
        <f>IFERROR(__xludf.DUMMYFUNCTION("""COMPUTED_VALUE"""),"emo")</f>
        <v>emo</v>
      </c>
      <c r="C4312" s="3" t="str">
        <f>IFERROR(__xludf.DUMMYFUNCTION("""COMPUTED_VALUE"""),"EvmoSwap")</f>
        <v>EvmoSwap</v>
      </c>
    </row>
    <row r="4313">
      <c r="A4313" s="3" t="str">
        <f>IFERROR(__xludf.DUMMYFUNCTION("""COMPUTED_VALUE"""),"evny-token")</f>
        <v>evny-token</v>
      </c>
      <c r="B4313" s="3" t="str">
        <f>IFERROR(__xludf.DUMMYFUNCTION("""COMPUTED_VALUE"""),"evny")</f>
        <v>evny</v>
      </c>
      <c r="C4313" s="3" t="str">
        <f>IFERROR(__xludf.DUMMYFUNCTION("""COMPUTED_VALUE"""),"EVNY")</f>
        <v>EVNY</v>
      </c>
    </row>
    <row r="4314">
      <c r="A4314" s="3" t="str">
        <f>IFERROR(__xludf.DUMMYFUNCTION("""COMPUTED_VALUE"""),"evocardano")</f>
        <v>evocardano</v>
      </c>
      <c r="B4314" s="3" t="str">
        <f>IFERROR(__xludf.DUMMYFUNCTION("""COMPUTED_VALUE"""),"evoc")</f>
        <v>evoc</v>
      </c>
      <c r="C4314" s="3" t="str">
        <f>IFERROR(__xludf.DUMMYFUNCTION("""COMPUTED_VALUE"""),"EvoCardano")</f>
        <v>EvoCardano</v>
      </c>
    </row>
    <row r="4315">
      <c r="A4315" s="3" t="str">
        <f>IFERROR(__xludf.DUMMYFUNCTION("""COMPUTED_VALUE"""),"evo-finance")</f>
        <v>evo-finance</v>
      </c>
      <c r="B4315" s="3" t="str">
        <f>IFERROR(__xludf.DUMMYFUNCTION("""COMPUTED_VALUE"""),"evo")</f>
        <v>evo</v>
      </c>
      <c r="C4315" s="3" t="str">
        <f>IFERROR(__xludf.DUMMYFUNCTION("""COMPUTED_VALUE"""),"Evo Finance")</f>
        <v>Evo Finance</v>
      </c>
    </row>
    <row r="4316">
      <c r="A4316" s="3" t="str">
        <f>IFERROR(__xludf.DUMMYFUNCTION("""COMPUTED_VALUE"""),"evoload")</f>
        <v>evoload</v>
      </c>
      <c r="B4316" s="3" t="str">
        <f>IFERROR(__xludf.DUMMYFUNCTION("""COMPUTED_VALUE"""),"evld")</f>
        <v>evld</v>
      </c>
      <c r="C4316" s="3" t="str">
        <f>IFERROR(__xludf.DUMMYFUNCTION("""COMPUTED_VALUE"""),"Evoload")</f>
        <v>Evoload</v>
      </c>
    </row>
    <row r="4317">
      <c r="A4317" s="3" t="str">
        <f>IFERROR(__xludf.DUMMYFUNCTION("""COMPUTED_VALUE"""),"evolution-finance")</f>
        <v>evolution-finance</v>
      </c>
      <c r="B4317" s="3" t="str">
        <f>IFERROR(__xludf.DUMMYFUNCTION("""COMPUTED_VALUE"""),"evn")</f>
        <v>evn</v>
      </c>
      <c r="C4317" s="3" t="str">
        <f>IFERROR(__xludf.DUMMYFUNCTION("""COMPUTED_VALUE"""),"Evolution Finance")</f>
        <v>Evolution Finance</v>
      </c>
    </row>
    <row r="4318">
      <c r="A4318" s="3" t="str">
        <f>IFERROR(__xludf.DUMMYFUNCTION("""COMPUTED_VALUE"""),"evoverse-power")</f>
        <v>evoverse-power</v>
      </c>
      <c r="B4318" s="3" t="str">
        <f>IFERROR(__xludf.DUMMYFUNCTION("""COMPUTED_VALUE"""),"epw")</f>
        <v>epw</v>
      </c>
      <c r="C4318" s="3" t="str">
        <f>IFERROR(__xludf.DUMMYFUNCTION("""COMPUTED_VALUE"""),"Evoverse Power")</f>
        <v>Evoverse Power</v>
      </c>
    </row>
    <row r="4319">
      <c r="A4319" s="3" t="str">
        <f>IFERROR(__xludf.DUMMYFUNCTION("""COMPUTED_VALUE"""),"evoverses")</f>
        <v>evoverses</v>
      </c>
      <c r="B4319" s="3" t="str">
        <f>IFERROR(__xludf.DUMMYFUNCTION("""COMPUTED_VALUE"""),"evo")</f>
        <v>evo</v>
      </c>
      <c r="C4319" s="3" t="str">
        <f>IFERROR(__xludf.DUMMYFUNCTION("""COMPUTED_VALUE"""),"EvoVerses")</f>
        <v>EvoVerses</v>
      </c>
    </row>
    <row r="4320">
      <c r="A4320" s="3" t="str">
        <f>IFERROR(__xludf.DUMMYFUNCTION("""COMPUTED_VALUE"""),"evoverse-shard")</f>
        <v>evoverse-shard</v>
      </c>
      <c r="B4320" s="3" t="str">
        <f>IFERROR(__xludf.DUMMYFUNCTION("""COMPUTED_VALUE"""),"evs")</f>
        <v>evs</v>
      </c>
      <c r="C4320" s="3" t="str">
        <f>IFERROR(__xludf.DUMMYFUNCTION("""COMPUTED_VALUE"""),"Evoverse Shard")</f>
        <v>Evoverse Shard</v>
      </c>
    </row>
    <row r="4321">
      <c r="A4321" s="3" t="str">
        <f>IFERROR(__xludf.DUMMYFUNCTION("""COMPUTED_VALUE"""),"evrice")</f>
        <v>evrice</v>
      </c>
      <c r="B4321" s="3" t="str">
        <f>IFERROR(__xludf.DUMMYFUNCTION("""COMPUTED_VALUE"""),"evc")</f>
        <v>evc</v>
      </c>
      <c r="C4321" s="3" t="str">
        <f>IFERROR(__xludf.DUMMYFUNCTION("""COMPUTED_VALUE"""),"Evrice")</f>
        <v>Evrice</v>
      </c>
    </row>
    <row r="4322">
      <c r="A4322" s="3" t="str">
        <f>IFERROR(__xludf.DUMMYFUNCTION("""COMPUTED_VALUE"""),"evrynet")</f>
        <v>evrynet</v>
      </c>
      <c r="B4322" s="3" t="str">
        <f>IFERROR(__xludf.DUMMYFUNCTION("""COMPUTED_VALUE"""),"evry")</f>
        <v>evry</v>
      </c>
      <c r="C4322" s="3" t="str">
        <f>IFERROR(__xludf.DUMMYFUNCTION("""COMPUTED_VALUE"""),"Evrynet")</f>
        <v>Evrynet</v>
      </c>
    </row>
    <row r="4323">
      <c r="A4323" s="3" t="str">
        <f>IFERROR(__xludf.DUMMYFUNCTION("""COMPUTED_VALUE"""),"evulus")</f>
        <v>evulus</v>
      </c>
      <c r="B4323" s="3" t="str">
        <f>IFERROR(__xludf.DUMMYFUNCTION("""COMPUTED_VALUE"""),"evu")</f>
        <v>evu</v>
      </c>
      <c r="C4323" s="3" t="str">
        <f>IFERROR(__xludf.DUMMYFUNCTION("""COMPUTED_VALUE"""),"Evulus")</f>
        <v>Evulus</v>
      </c>
    </row>
    <row r="4324">
      <c r="A4324" s="3" t="str">
        <f>IFERROR(__xludf.DUMMYFUNCTION("""COMPUTED_VALUE"""),"exalt")</f>
        <v>exalt</v>
      </c>
      <c r="B4324" s="3" t="str">
        <f>IFERROR(__xludf.DUMMYFUNCTION("""COMPUTED_VALUE"""),"exalt")</f>
        <v>exalt</v>
      </c>
      <c r="C4324" s="3" t="str">
        <f>IFERROR(__xludf.DUMMYFUNCTION("""COMPUTED_VALUE"""),"Exalt")</f>
        <v>Exalt</v>
      </c>
    </row>
    <row r="4325">
      <c r="A4325" s="3" t="str">
        <f>IFERROR(__xludf.DUMMYFUNCTION("""COMPUTED_VALUE"""),"excalibur")</f>
        <v>excalibur</v>
      </c>
      <c r="B4325" s="3" t="str">
        <f>IFERROR(__xludf.DUMMYFUNCTION("""COMPUTED_VALUE"""),"exc")</f>
        <v>exc</v>
      </c>
      <c r="C4325" s="3" t="str">
        <f>IFERROR(__xludf.DUMMYFUNCTION("""COMPUTED_VALUE"""),"Excalibur")</f>
        <v>Excalibur</v>
      </c>
    </row>
    <row r="4326">
      <c r="A4326" s="3" t="str">
        <f>IFERROR(__xludf.DUMMYFUNCTION("""COMPUTED_VALUE"""),"excelon")</f>
        <v>excelon</v>
      </c>
      <c r="B4326" s="3" t="str">
        <f>IFERROR(__xludf.DUMMYFUNCTION("""COMPUTED_VALUE"""),"xlon")</f>
        <v>xlon</v>
      </c>
      <c r="C4326" s="3" t="str">
        <f>IFERROR(__xludf.DUMMYFUNCTION("""COMPUTED_VALUE"""),"Excelon")</f>
        <v>Excelon</v>
      </c>
    </row>
    <row r="4327">
      <c r="A4327" s="3" t="str">
        <f>IFERROR(__xludf.DUMMYFUNCTION("""COMPUTED_VALUE"""),"exchangecoin")</f>
        <v>exchangecoin</v>
      </c>
      <c r="B4327" s="3" t="str">
        <f>IFERROR(__xludf.DUMMYFUNCTION("""COMPUTED_VALUE"""),"excc")</f>
        <v>excc</v>
      </c>
      <c r="C4327" s="3" t="str">
        <f>IFERROR(__xludf.DUMMYFUNCTION("""COMPUTED_VALUE"""),"ExchangeCoin")</f>
        <v>ExchangeCoin</v>
      </c>
    </row>
    <row r="4328">
      <c r="A4328" s="3" t="str">
        <f>IFERROR(__xludf.DUMMYFUNCTION("""COMPUTED_VALUE"""),"exchange-genesis-ethlas-medium")</f>
        <v>exchange-genesis-ethlas-medium</v>
      </c>
      <c r="B4328" s="3" t="str">
        <f>IFERROR(__xludf.DUMMYFUNCTION("""COMPUTED_VALUE"""),"xgem")</f>
        <v>xgem</v>
      </c>
      <c r="C4328" s="3" t="str">
        <f>IFERROR(__xludf.DUMMYFUNCTION("""COMPUTED_VALUE"""),"Exchange Genesis Ethlas Medium")</f>
        <v>Exchange Genesis Ethlas Medium</v>
      </c>
    </row>
    <row r="4329">
      <c r="A4329" s="3" t="str">
        <f>IFERROR(__xludf.DUMMYFUNCTION("""COMPUTED_VALUE"""),"exchange-union")</f>
        <v>exchange-union</v>
      </c>
      <c r="B4329" s="3" t="str">
        <f>IFERROR(__xludf.DUMMYFUNCTION("""COMPUTED_VALUE"""),"xuc")</f>
        <v>xuc</v>
      </c>
      <c r="C4329" s="3" t="str">
        <f>IFERROR(__xludf.DUMMYFUNCTION("""COMPUTED_VALUE"""),"Exchange Union")</f>
        <v>Exchange Union</v>
      </c>
    </row>
    <row r="4330">
      <c r="A4330" s="3" t="str">
        <f>IFERROR(__xludf.DUMMYFUNCTION("""COMPUTED_VALUE"""),"exciting-japan-coin")</f>
        <v>exciting-japan-coin</v>
      </c>
      <c r="B4330" s="3" t="str">
        <f>IFERROR(__xludf.DUMMYFUNCTION("""COMPUTED_VALUE"""),"xjp")</f>
        <v>xjp</v>
      </c>
      <c r="C4330" s="3" t="str">
        <f>IFERROR(__xludf.DUMMYFUNCTION("""COMPUTED_VALUE"""),"eXciting Japan Coin")</f>
        <v>eXciting Japan Coin</v>
      </c>
    </row>
    <row r="4331">
      <c r="A4331" s="3" t="str">
        <f>IFERROR(__xludf.DUMMYFUNCTION("""COMPUTED_VALUE"""),"exclusivecoin")</f>
        <v>exclusivecoin</v>
      </c>
      <c r="B4331" s="3" t="str">
        <f>IFERROR(__xludf.DUMMYFUNCTION("""COMPUTED_VALUE"""),"excl")</f>
        <v>excl</v>
      </c>
      <c r="C4331" s="3" t="str">
        <f>IFERROR(__xludf.DUMMYFUNCTION("""COMPUTED_VALUE"""),"ExclusiveCoin")</f>
        <v>ExclusiveCoin</v>
      </c>
    </row>
    <row r="4332">
      <c r="A4332" s="3" t="str">
        <f>IFERROR(__xludf.DUMMYFUNCTION("""COMPUTED_VALUE"""),"excursion-token")</f>
        <v>excursion-token</v>
      </c>
      <c r="B4332" s="3" t="str">
        <f>IFERROR(__xludf.DUMMYFUNCTION("""COMPUTED_VALUE"""),"exc")</f>
        <v>exc</v>
      </c>
      <c r="C4332" s="3" t="str">
        <f>IFERROR(__xludf.DUMMYFUNCTION("""COMPUTED_VALUE"""),"Excursion Token")</f>
        <v>Excursion Token</v>
      </c>
    </row>
    <row r="4333">
      <c r="A4333" s="3" t="str">
        <f>IFERROR(__xludf.DUMMYFUNCTION("""COMPUTED_VALUE"""),"exeedme")</f>
        <v>exeedme</v>
      </c>
      <c r="B4333" s="3" t="str">
        <f>IFERROR(__xludf.DUMMYFUNCTION("""COMPUTED_VALUE"""),"xed")</f>
        <v>xed</v>
      </c>
      <c r="C4333" s="3" t="str">
        <f>IFERROR(__xludf.DUMMYFUNCTION("""COMPUTED_VALUE"""),"Exeedme")</f>
        <v>Exeedme</v>
      </c>
    </row>
    <row r="4334">
      <c r="A4334" s="3" t="str">
        <f>IFERROR(__xludf.DUMMYFUNCTION("""COMPUTED_VALUE"""),"exeno")</f>
        <v>exeno</v>
      </c>
      <c r="B4334" s="3" t="str">
        <f>IFERROR(__xludf.DUMMYFUNCTION("""COMPUTED_VALUE"""),"exn")</f>
        <v>exn</v>
      </c>
      <c r="C4334" s="3" t="str">
        <f>IFERROR(__xludf.DUMMYFUNCTION("""COMPUTED_VALUE"""),"Exeno Coin")</f>
        <v>Exeno Coin</v>
      </c>
    </row>
    <row r="4335">
      <c r="A4335" s="3" t="str">
        <f>IFERROR(__xludf.DUMMYFUNCTION("""COMPUTED_VALUE"""),"exenpay-token")</f>
        <v>exenpay-token</v>
      </c>
      <c r="B4335" s="3" t="str">
        <f>IFERROR(__xludf.DUMMYFUNCTION("""COMPUTED_VALUE"""),"exenp")</f>
        <v>exenp</v>
      </c>
      <c r="C4335" s="3" t="str">
        <f>IFERROR(__xludf.DUMMYFUNCTION("""COMPUTED_VALUE"""),"ExenPay")</f>
        <v>ExenPay</v>
      </c>
    </row>
    <row r="4336">
      <c r="A4336" s="3" t="str">
        <f>IFERROR(__xludf.DUMMYFUNCTION("""COMPUTED_VALUE"""),"exentoken")</f>
        <v>exentoken</v>
      </c>
      <c r="B4336" s="3" t="str">
        <f>IFERROR(__xludf.DUMMYFUNCTION("""COMPUTED_VALUE"""),"exen")</f>
        <v>exen</v>
      </c>
      <c r="C4336" s="3" t="str">
        <f>IFERROR(__xludf.DUMMYFUNCTION("""COMPUTED_VALUE"""),"Exen")</f>
        <v>Exen</v>
      </c>
    </row>
    <row r="4337">
      <c r="A4337" s="3" t="str">
        <f>IFERROR(__xludf.DUMMYFUNCTION("""COMPUTED_VALUE"""),"exgold")</f>
        <v>exgold</v>
      </c>
      <c r="B4337" s="3" t="str">
        <f>IFERROR(__xludf.DUMMYFUNCTION("""COMPUTED_VALUE"""),"exg")</f>
        <v>exg</v>
      </c>
      <c r="C4337" s="3" t="str">
        <f>IFERROR(__xludf.DUMMYFUNCTION("""COMPUTED_VALUE"""),"Exgold")</f>
        <v>Exgold</v>
      </c>
    </row>
    <row r="4338">
      <c r="A4338" s="3" t="str">
        <f>IFERROR(__xludf.DUMMYFUNCTION("""COMPUTED_VALUE"""),"exist")</f>
        <v>exist</v>
      </c>
      <c r="B4338" s="3" t="str">
        <f>IFERROR(__xludf.DUMMYFUNCTION("""COMPUTED_VALUE"""),"exist")</f>
        <v>exist</v>
      </c>
      <c r="C4338" s="3" t="str">
        <f>IFERROR(__xludf.DUMMYFUNCTION("""COMPUTED_VALUE"""),"Exist")</f>
        <v>Exist</v>
      </c>
    </row>
    <row r="4339">
      <c r="A4339" s="3" t="str">
        <f>IFERROR(__xludf.DUMMYFUNCTION("""COMPUTED_VALUE"""),"exmoc")</f>
        <v>exmoc</v>
      </c>
      <c r="B4339" s="3" t="str">
        <f>IFERROR(__xludf.DUMMYFUNCTION("""COMPUTED_VALUE"""),"exmoc")</f>
        <v>exmoc</v>
      </c>
      <c r="C4339" s="3" t="str">
        <f>IFERROR(__xludf.DUMMYFUNCTION("""COMPUTED_VALUE"""),"EXMOC")</f>
        <v>EXMOC</v>
      </c>
    </row>
    <row r="4340">
      <c r="A4340" s="3" t="str">
        <f>IFERROR(__xludf.DUMMYFUNCTION("""COMPUTED_VALUE"""),"exmo-coin")</f>
        <v>exmo-coin</v>
      </c>
      <c r="B4340" s="3" t="str">
        <f>IFERROR(__xludf.DUMMYFUNCTION("""COMPUTED_VALUE"""),"exm")</f>
        <v>exm</v>
      </c>
      <c r="C4340" s="3" t="str">
        <f>IFERROR(__xludf.DUMMYFUNCTION("""COMPUTED_VALUE"""),"EXMO Coin")</f>
        <v>EXMO Coin</v>
      </c>
    </row>
    <row r="4341">
      <c r="A4341" s="3" t="str">
        <f>IFERROR(__xludf.DUMMYFUNCTION("""COMPUTED_VALUE"""),"exmr-monero")</f>
        <v>exmr-monero</v>
      </c>
      <c r="B4341" s="3" t="str">
        <f>IFERROR(__xludf.DUMMYFUNCTION("""COMPUTED_VALUE"""),"exmr")</f>
        <v>exmr</v>
      </c>
      <c r="C4341" s="3" t="str">
        <f>IFERROR(__xludf.DUMMYFUNCTION("""COMPUTED_VALUE"""),"EXMR FDN")</f>
        <v>EXMR FDN</v>
      </c>
    </row>
    <row r="4342">
      <c r="A4342" s="3" t="str">
        <f>IFERROR(__xludf.DUMMYFUNCTION("""COMPUTED_VALUE"""),"exnetwork-token")</f>
        <v>exnetwork-token</v>
      </c>
      <c r="B4342" s="3" t="str">
        <f>IFERROR(__xludf.DUMMYFUNCTION("""COMPUTED_VALUE"""),"exnt")</f>
        <v>exnt</v>
      </c>
      <c r="C4342" s="3" t="str">
        <f>IFERROR(__xludf.DUMMYFUNCTION("""COMPUTED_VALUE"""),"ExNetwork")</f>
        <v>ExNetwork</v>
      </c>
    </row>
    <row r="4343">
      <c r="A4343" s="3" t="str">
        <f>IFERROR(__xludf.DUMMYFUNCTION("""COMPUTED_VALUE"""),"exobots")</f>
        <v>exobots</v>
      </c>
      <c r="B4343" s="3" t="str">
        <f>IFERROR(__xludf.DUMMYFUNCTION("""COMPUTED_VALUE"""),"exos")</f>
        <v>exos</v>
      </c>
      <c r="C4343" s="3" t="str">
        <f>IFERROR(__xludf.DUMMYFUNCTION("""COMPUTED_VALUE"""),"Exobots")</f>
        <v>Exobots</v>
      </c>
    </row>
    <row r="4344">
      <c r="A4344" s="3" t="str">
        <f>IFERROR(__xludf.DUMMYFUNCTION("""COMPUTED_VALUE"""),"exodia")</f>
        <v>exodia</v>
      </c>
      <c r="B4344" s="3" t="str">
        <f>IFERROR(__xludf.DUMMYFUNCTION("""COMPUTED_VALUE"""),"exod")</f>
        <v>exod</v>
      </c>
      <c r="C4344" s="3" t="str">
        <f>IFERROR(__xludf.DUMMYFUNCTION("""COMPUTED_VALUE"""),"Exodia")</f>
        <v>Exodia</v>
      </c>
    </row>
    <row r="4345">
      <c r="A4345" s="3" t="str">
        <f>IFERROR(__xludf.DUMMYFUNCTION("""COMPUTED_VALUE"""),"exohood")</f>
        <v>exohood</v>
      </c>
      <c r="B4345" s="3" t="str">
        <f>IFERROR(__xludf.DUMMYFUNCTION("""COMPUTED_VALUE"""),"exo")</f>
        <v>exo</v>
      </c>
      <c r="C4345" s="3" t="str">
        <f>IFERROR(__xludf.DUMMYFUNCTION("""COMPUTED_VALUE"""),"Exohood")</f>
        <v>Exohood</v>
      </c>
    </row>
    <row r="4346">
      <c r="A4346" s="3" t="str">
        <f>IFERROR(__xludf.DUMMYFUNCTION("""COMPUTED_VALUE"""),"exp")</f>
        <v>exp</v>
      </c>
      <c r="B4346" s="3" t="str">
        <f>IFERROR(__xludf.DUMMYFUNCTION("""COMPUTED_VALUE"""),"exp")</f>
        <v>exp</v>
      </c>
      <c r="C4346" s="3" t="str">
        <f>IFERROR(__xludf.DUMMYFUNCTION("""COMPUTED_VALUE"""),"Exp")</f>
        <v>Exp</v>
      </c>
    </row>
    <row r="4347">
      <c r="A4347" s="3" t="str">
        <f>IFERROR(__xludf.DUMMYFUNCTION("""COMPUTED_VALUE"""),"expanse")</f>
        <v>expanse</v>
      </c>
      <c r="B4347" s="3" t="str">
        <f>IFERROR(__xludf.DUMMYFUNCTION("""COMPUTED_VALUE"""),"exp")</f>
        <v>exp</v>
      </c>
      <c r="C4347" s="3" t="str">
        <f>IFERROR(__xludf.DUMMYFUNCTION("""COMPUTED_VALUE"""),"Expanse")</f>
        <v>Expanse</v>
      </c>
    </row>
    <row r="4348">
      <c r="A4348" s="3" t="str">
        <f>IFERROR(__xludf.DUMMYFUNCTION("""COMPUTED_VALUE"""),"expanz")</f>
        <v>expanz</v>
      </c>
      <c r="B4348" s="3" t="str">
        <f>IFERROR(__xludf.DUMMYFUNCTION("""COMPUTED_VALUE"""),"xpanz")</f>
        <v>xpanz</v>
      </c>
      <c r="C4348" s="3" t="str">
        <f>IFERROR(__xludf.DUMMYFUNCTION("""COMPUTED_VALUE"""),"Expanz")</f>
        <v>Expanz</v>
      </c>
    </row>
    <row r="4349">
      <c r="A4349" s="3" t="str">
        <f>IFERROR(__xludf.DUMMYFUNCTION("""COMPUTED_VALUE"""),"experience-chain")</f>
        <v>experience-chain</v>
      </c>
      <c r="B4349" s="3" t="str">
        <f>IFERROR(__xludf.DUMMYFUNCTION("""COMPUTED_VALUE"""),"xpc")</f>
        <v>xpc</v>
      </c>
      <c r="C4349" s="3" t="str">
        <f>IFERROR(__xludf.DUMMYFUNCTION("""COMPUTED_VALUE"""),"eXPerience Chain")</f>
        <v>eXPerience Chain</v>
      </c>
    </row>
    <row r="4350">
      <c r="A4350" s="3" t="str">
        <f>IFERROR(__xludf.DUMMYFUNCTION("""COMPUTED_VALUE"""),"experiencecoin")</f>
        <v>experiencecoin</v>
      </c>
      <c r="B4350" s="3" t="str">
        <f>IFERROR(__xludf.DUMMYFUNCTION("""COMPUTED_VALUE"""),"epc")</f>
        <v>epc</v>
      </c>
      <c r="C4350" s="3" t="str">
        <f>IFERROR(__xludf.DUMMYFUNCTION("""COMPUTED_VALUE"""),"ExperienceCoin")</f>
        <v>ExperienceCoin</v>
      </c>
    </row>
    <row r="4351">
      <c r="A4351" s="3" t="str">
        <f>IFERROR(__xludf.DUMMYFUNCTION("""COMPUTED_VALUE"""),"experty-wisdom-token")</f>
        <v>experty-wisdom-token</v>
      </c>
      <c r="B4351" s="3" t="str">
        <f>IFERROR(__xludf.DUMMYFUNCTION("""COMPUTED_VALUE"""),"wis")</f>
        <v>wis</v>
      </c>
      <c r="C4351" s="3" t="str">
        <f>IFERROR(__xludf.DUMMYFUNCTION("""COMPUTED_VALUE"""),"Experty Wisdom")</f>
        <v>Experty Wisdom</v>
      </c>
    </row>
    <row r="4352">
      <c r="A4352" s="3" t="str">
        <f>IFERROR(__xludf.DUMMYFUNCTION("""COMPUTED_VALUE"""),"exponential-capital")</f>
        <v>exponential-capital</v>
      </c>
      <c r="B4352" s="3" t="str">
        <f>IFERROR(__xludf.DUMMYFUNCTION("""COMPUTED_VALUE"""),"expo")</f>
        <v>expo</v>
      </c>
      <c r="C4352" s="3" t="str">
        <f>IFERROR(__xludf.DUMMYFUNCTION("""COMPUTED_VALUE"""),"Exponential Capital")</f>
        <v>Exponential Capital</v>
      </c>
    </row>
    <row r="4353">
      <c r="A4353" s="3" t="str">
        <f>IFERROR(__xludf.DUMMYFUNCTION("""COMPUTED_VALUE"""),"export-mortos-platform")</f>
        <v>export-mortos-platform</v>
      </c>
      <c r="B4353" s="3" t="str">
        <f>IFERROR(__xludf.DUMMYFUNCTION("""COMPUTED_VALUE"""),"emp")</f>
        <v>emp</v>
      </c>
      <c r="C4353" s="3" t="str">
        <f>IFERROR(__xludf.DUMMYFUNCTION("""COMPUTED_VALUE"""),"Export Motors Platform")</f>
        <v>Export Motors Platform</v>
      </c>
    </row>
    <row r="4354">
      <c r="A4354" s="3" t="str">
        <f>IFERROR(__xludf.DUMMYFUNCTION("""COMPUTED_VALUE"""),"exrnchain")</f>
        <v>exrnchain</v>
      </c>
      <c r="B4354" s="3" t="str">
        <f>IFERROR(__xludf.DUMMYFUNCTION("""COMPUTED_VALUE"""),"exrn")</f>
        <v>exrn</v>
      </c>
      <c r="C4354" s="3" t="str">
        <f>IFERROR(__xludf.DUMMYFUNCTION("""COMPUTED_VALUE"""),"EXRNchain")</f>
        <v>EXRNchain</v>
      </c>
    </row>
    <row r="4355">
      <c r="A4355" s="3" t="str">
        <f>IFERROR(__xludf.DUMMYFUNCTION("""COMPUTED_VALUE"""),"exrt-network")</f>
        <v>exrt-network</v>
      </c>
      <c r="B4355" s="3" t="str">
        <f>IFERROR(__xludf.DUMMYFUNCTION("""COMPUTED_VALUE"""),"exrt")</f>
        <v>exrt</v>
      </c>
      <c r="C4355" s="3" t="str">
        <f>IFERROR(__xludf.DUMMYFUNCTION("""COMPUTED_VALUE"""),"EXRT Network")</f>
        <v>EXRT Network</v>
      </c>
    </row>
    <row r="4356">
      <c r="A4356" s="3" t="str">
        <f>IFERROR(__xludf.DUMMYFUNCTION("""COMPUTED_VALUE"""),"extradna")</f>
        <v>extradna</v>
      </c>
      <c r="B4356" s="3" t="str">
        <f>IFERROR(__xludf.DUMMYFUNCTION("""COMPUTED_VALUE"""),"xdna")</f>
        <v>xdna</v>
      </c>
      <c r="C4356" s="3" t="str">
        <f>IFERROR(__xludf.DUMMYFUNCTION("""COMPUTED_VALUE"""),"extraDNA")</f>
        <v>extraDNA</v>
      </c>
    </row>
    <row r="4357">
      <c r="A4357" s="3" t="str">
        <f>IFERROR(__xludf.DUMMYFUNCTION("""COMPUTED_VALUE"""),"extraterrestrial-token")</f>
        <v>extraterrestrial-token</v>
      </c>
      <c r="B4357" s="3" t="str">
        <f>IFERROR(__xludf.DUMMYFUNCTION("""COMPUTED_VALUE"""),"et")</f>
        <v>et</v>
      </c>
      <c r="C4357" s="3" t="str">
        <f>IFERROR(__xludf.DUMMYFUNCTION("""COMPUTED_VALUE"""),"Extraterrestrial Token")</f>
        <v>Extraterrestrial Token</v>
      </c>
    </row>
    <row r="4358">
      <c r="A4358" s="3" t="str">
        <f>IFERROR(__xludf.DUMMYFUNCTION("""COMPUTED_VALUE"""),"exzo")</f>
        <v>exzo</v>
      </c>
      <c r="B4358" s="3" t="str">
        <f>IFERROR(__xludf.DUMMYFUNCTION("""COMPUTED_VALUE"""),"xzo")</f>
        <v>xzo</v>
      </c>
      <c r="C4358" s="3" t="str">
        <f>IFERROR(__xludf.DUMMYFUNCTION("""COMPUTED_VALUE"""),"Exzo")</f>
        <v>Exzo</v>
      </c>
    </row>
    <row r="4359">
      <c r="A4359" s="3" t="str">
        <f>IFERROR(__xludf.DUMMYFUNCTION("""COMPUTED_VALUE"""),"exzocoin")</f>
        <v>exzocoin</v>
      </c>
      <c r="B4359" s="3" t="str">
        <f>IFERROR(__xludf.DUMMYFUNCTION("""COMPUTED_VALUE"""),"exzo")</f>
        <v>exzo</v>
      </c>
      <c r="C4359" s="3" t="str">
        <f>IFERROR(__xludf.DUMMYFUNCTION("""COMPUTED_VALUE"""),"ExzoCoin 2.0")</f>
        <v>ExzoCoin 2.0</v>
      </c>
    </row>
    <row r="4360">
      <c r="A4360" s="3" t="str">
        <f>IFERROR(__xludf.DUMMYFUNCTION("""COMPUTED_VALUE"""),"eyes-protocol")</f>
        <v>eyes-protocol</v>
      </c>
      <c r="B4360" s="3" t="str">
        <f>IFERROR(__xludf.DUMMYFUNCTION("""COMPUTED_VALUE"""),"eyes")</f>
        <v>eyes</v>
      </c>
      <c r="C4360" s="3" t="str">
        <f>IFERROR(__xludf.DUMMYFUNCTION("""COMPUTED_VALUE"""),"EYES Protocol")</f>
        <v>EYES Protocol</v>
      </c>
    </row>
    <row r="4361">
      <c r="A4361" s="3" t="str">
        <f>IFERROR(__xludf.DUMMYFUNCTION("""COMPUTED_VALUE"""),"ezchain")</f>
        <v>ezchain</v>
      </c>
      <c r="B4361" s="3" t="str">
        <f>IFERROR(__xludf.DUMMYFUNCTION("""COMPUTED_VALUE"""),"ezc")</f>
        <v>ezc</v>
      </c>
      <c r="C4361" s="3" t="str">
        <f>IFERROR(__xludf.DUMMYFUNCTION("""COMPUTED_VALUE"""),"EZChain")</f>
        <v>EZChain</v>
      </c>
    </row>
    <row r="4362">
      <c r="A4362" s="3" t="str">
        <f>IFERROR(__xludf.DUMMYFUNCTION("""COMPUTED_VALUE"""),"ezcoinmarket")</f>
        <v>ezcoinmarket</v>
      </c>
      <c r="B4362" s="3" t="str">
        <f>IFERROR(__xludf.DUMMYFUNCTION("""COMPUTED_VALUE"""),"ecm")</f>
        <v>ecm</v>
      </c>
      <c r="C4362" s="3" t="str">
        <f>IFERROR(__xludf.DUMMYFUNCTION("""COMPUTED_VALUE"""),"Ezcoinmarket")</f>
        <v>Ezcoinmarket</v>
      </c>
    </row>
    <row r="4363">
      <c r="A4363" s="3" t="str">
        <f>IFERROR(__xludf.DUMMYFUNCTION("""COMPUTED_VALUE"""),"ezdex")</f>
        <v>ezdex</v>
      </c>
      <c r="B4363" s="3" t="str">
        <f>IFERROR(__xludf.DUMMYFUNCTION("""COMPUTED_VALUE"""),"ezx")</f>
        <v>ezx</v>
      </c>
      <c r="C4363" s="3" t="str">
        <f>IFERROR(__xludf.DUMMYFUNCTION("""COMPUTED_VALUE"""),"EZDex")</f>
        <v>EZDex</v>
      </c>
    </row>
    <row r="4364">
      <c r="A4364" s="3" t="str">
        <f>IFERROR(__xludf.DUMMYFUNCTION("""COMPUTED_VALUE"""),"ezillion")</f>
        <v>ezillion</v>
      </c>
      <c r="B4364" s="3" t="str">
        <f>IFERROR(__xludf.DUMMYFUNCTION("""COMPUTED_VALUE"""),"ezi")</f>
        <v>ezi</v>
      </c>
      <c r="C4364" s="3" t="str">
        <f>IFERROR(__xludf.DUMMYFUNCTION("""COMPUTED_VALUE"""),"Ezillion")</f>
        <v>Ezillion</v>
      </c>
    </row>
    <row r="4365">
      <c r="A4365" s="3" t="str">
        <f>IFERROR(__xludf.DUMMYFUNCTION("""COMPUTED_VALUE"""),"ezystayz")</f>
        <v>ezystayz</v>
      </c>
      <c r="B4365" s="3" t="str">
        <f>IFERROR(__xludf.DUMMYFUNCTION("""COMPUTED_VALUE"""),"ezy")</f>
        <v>ezy</v>
      </c>
      <c r="C4365" s="3" t="str">
        <f>IFERROR(__xludf.DUMMYFUNCTION("""COMPUTED_VALUE"""),"Ezystayz")</f>
        <v>Ezystayz</v>
      </c>
    </row>
    <row r="4366">
      <c r="A4366" s="3" t="str">
        <f>IFERROR(__xludf.DUMMYFUNCTION("""COMPUTED_VALUE"""),"f1d-token")</f>
        <v>f1d-token</v>
      </c>
      <c r="B4366" s="3" t="str">
        <f>IFERROR(__xludf.DUMMYFUNCTION("""COMPUTED_VALUE"""),"f1d")</f>
        <v>f1d</v>
      </c>
      <c r="C4366" s="3" t="str">
        <f>IFERROR(__xludf.DUMMYFUNCTION("""COMPUTED_VALUE"""),"F1D Token")</f>
        <v>F1D Token</v>
      </c>
    </row>
    <row r="4367">
      <c r="A4367" s="3" t="str">
        <f>IFERROR(__xludf.DUMMYFUNCTION("""COMPUTED_VALUE"""),"f5-sleep")</f>
        <v>f5-sleep</v>
      </c>
      <c r="B4367" s="3" t="str">
        <f>IFERROR(__xludf.DUMMYFUNCTION("""COMPUTED_VALUE"""),"f5s")</f>
        <v>f5s</v>
      </c>
      <c r="C4367" s="3" t="str">
        <f>IFERROR(__xludf.DUMMYFUNCTION("""COMPUTED_VALUE"""),"F5 Sleep")</f>
        <v>F5 Sleep</v>
      </c>
    </row>
    <row r="4368">
      <c r="A4368" s="3" t="str">
        <f>IFERROR(__xludf.DUMMYFUNCTION("""COMPUTED_VALUE"""),"fable-of-the-dragon")</f>
        <v>fable-of-the-dragon</v>
      </c>
      <c r="B4368" s="3" t="str">
        <f>IFERROR(__xludf.DUMMYFUNCTION("""COMPUTED_VALUE"""),"tyrant")</f>
        <v>tyrant</v>
      </c>
      <c r="C4368" s="3" t="str">
        <f>IFERROR(__xludf.DUMMYFUNCTION("""COMPUTED_VALUE"""),"Fable Of The Dragon")</f>
        <v>Fable Of The Dragon</v>
      </c>
    </row>
    <row r="4369">
      <c r="A4369" s="3" t="str">
        <f>IFERROR(__xludf.DUMMYFUNCTION("""COMPUTED_VALUE"""),"fabric")</f>
        <v>fabric</v>
      </c>
      <c r="B4369" s="3" t="str">
        <f>IFERROR(__xludf.DUMMYFUNCTION("""COMPUTED_VALUE"""),"fab")</f>
        <v>fab</v>
      </c>
      <c r="C4369" s="3" t="str">
        <f>IFERROR(__xludf.DUMMYFUNCTION("""COMPUTED_VALUE"""),"Fabric")</f>
        <v>Fabric</v>
      </c>
    </row>
    <row r="4370">
      <c r="A4370" s="3" t="str">
        <f>IFERROR(__xludf.DUMMYFUNCTION("""COMPUTED_VALUE"""),"fabwelt")</f>
        <v>fabwelt</v>
      </c>
      <c r="B4370" s="3" t="str">
        <f>IFERROR(__xludf.DUMMYFUNCTION("""COMPUTED_VALUE"""),"welt")</f>
        <v>welt</v>
      </c>
      <c r="C4370" s="3" t="str">
        <f>IFERROR(__xludf.DUMMYFUNCTION("""COMPUTED_VALUE"""),"Fabwelt")</f>
        <v>Fabwelt</v>
      </c>
    </row>
    <row r="4371">
      <c r="A4371" s="3" t="str">
        <f>IFERROR(__xludf.DUMMYFUNCTION("""COMPUTED_VALUE"""),"face")</f>
        <v>face</v>
      </c>
      <c r="B4371" s="3" t="str">
        <f>IFERROR(__xludf.DUMMYFUNCTION("""COMPUTED_VALUE"""),"face")</f>
        <v>face</v>
      </c>
      <c r="C4371" s="3" t="str">
        <f>IFERROR(__xludf.DUMMYFUNCTION("""COMPUTED_VALUE"""),"Faceter")</f>
        <v>Faceter</v>
      </c>
    </row>
    <row r="4372">
      <c r="A4372" s="3" t="str">
        <f>IFERROR(__xludf.DUMMYFUNCTION("""COMPUTED_VALUE"""),"facebook-tokenized-stock-defichain")</f>
        <v>facebook-tokenized-stock-defichain</v>
      </c>
      <c r="B4372" s="3" t="str">
        <f>IFERROR(__xludf.DUMMYFUNCTION("""COMPUTED_VALUE"""),"dfb")</f>
        <v>dfb</v>
      </c>
      <c r="C4372" s="3" t="str">
        <f>IFERROR(__xludf.DUMMYFUNCTION("""COMPUTED_VALUE"""),"Facebook Tokenized Stock Defichain")</f>
        <v>Facebook Tokenized Stock Defichain</v>
      </c>
    </row>
    <row r="4373">
      <c r="A4373" s="3" t="str">
        <f>IFERROR(__xludf.DUMMYFUNCTION("""COMPUTED_VALUE"""),"facedao")</f>
        <v>facedao</v>
      </c>
      <c r="B4373" s="3" t="str">
        <f>IFERROR(__xludf.DUMMYFUNCTION("""COMPUTED_VALUE"""),"face")</f>
        <v>face</v>
      </c>
      <c r="C4373" s="3" t="str">
        <f>IFERROR(__xludf.DUMMYFUNCTION("""COMPUTED_VALUE"""),"FaceDAO")</f>
        <v>FaceDAO</v>
      </c>
    </row>
    <row r="4374">
      <c r="A4374" s="3" t="str">
        <f>IFERROR(__xludf.DUMMYFUNCTION("""COMPUTED_VALUE"""),"face-meta-2-0")</f>
        <v>face-meta-2-0</v>
      </c>
      <c r="B4374" s="3" t="str">
        <f>IFERROR(__xludf.DUMMYFUNCTION("""COMPUTED_VALUE"""),"facemeta")</f>
        <v>facemeta</v>
      </c>
      <c r="C4374" s="3" t="str">
        <f>IFERROR(__xludf.DUMMYFUNCTION("""COMPUTED_VALUE"""),"Face Meta 2.0")</f>
        <v>Face Meta 2.0</v>
      </c>
    </row>
    <row r="4375">
      <c r="A4375" s="3" t="str">
        <f>IFERROR(__xludf.DUMMYFUNCTION("""COMPUTED_VALUE"""),"face-vault-nftx")</f>
        <v>face-vault-nftx</v>
      </c>
      <c r="B4375" s="3" t="str">
        <f>IFERROR(__xludf.DUMMYFUNCTION("""COMPUTED_VALUE"""),"face")</f>
        <v>face</v>
      </c>
      <c r="C4375" s="3" t="str">
        <f>IFERROR(__xludf.DUMMYFUNCTION("""COMPUTED_VALUE"""),"FACE Vault (NFTX)")</f>
        <v>FACE Vault (NFTX)</v>
      </c>
    </row>
    <row r="4376">
      <c r="A4376" s="3" t="str">
        <f>IFERROR(__xludf.DUMMYFUNCTION("""COMPUTED_VALUE"""),"factom")</f>
        <v>factom</v>
      </c>
      <c r="B4376" s="3" t="str">
        <f>IFERROR(__xludf.DUMMYFUNCTION("""COMPUTED_VALUE"""),"fct")</f>
        <v>fct</v>
      </c>
      <c r="C4376" s="3" t="str">
        <f>IFERROR(__xludf.DUMMYFUNCTION("""COMPUTED_VALUE"""),"Factom")</f>
        <v>Factom</v>
      </c>
    </row>
    <row r="4377">
      <c r="A4377" s="3" t="str">
        <f>IFERROR(__xludf.DUMMYFUNCTION("""COMPUTED_VALUE"""),"facts")</f>
        <v>facts</v>
      </c>
      <c r="B4377" s="3" t="str">
        <f>IFERROR(__xludf.DUMMYFUNCTION("""COMPUTED_VALUE"""),"bkc")</f>
        <v>bkc</v>
      </c>
      <c r="C4377" s="3" t="str">
        <f>IFERROR(__xludf.DUMMYFUNCTION("""COMPUTED_VALUE"""),"FACTS")</f>
        <v>FACTS</v>
      </c>
    </row>
    <row r="4378">
      <c r="A4378" s="3" t="str">
        <f>IFERROR(__xludf.DUMMYFUNCTION("""COMPUTED_VALUE"""),"fado-go")</f>
        <v>fado-go</v>
      </c>
      <c r="B4378" s="3" t="str">
        <f>IFERROR(__xludf.DUMMYFUNCTION("""COMPUTED_VALUE"""),"fado")</f>
        <v>fado</v>
      </c>
      <c r="C4378" s="3" t="str">
        <f>IFERROR(__xludf.DUMMYFUNCTION("""COMPUTED_VALUE"""),"FADO Go")</f>
        <v>FADO Go</v>
      </c>
    </row>
    <row r="4379">
      <c r="A4379" s="3" t="str">
        <f>IFERROR(__xludf.DUMMYFUNCTION("""COMPUTED_VALUE"""),"fahrenheit-chain")</f>
        <v>fahrenheit-chain</v>
      </c>
      <c r="B4379" s="3" t="str">
        <f>IFERROR(__xludf.DUMMYFUNCTION("""COMPUTED_VALUE"""),"wfac")</f>
        <v>wfac</v>
      </c>
      <c r="C4379" s="3" t="str">
        <f>IFERROR(__xludf.DUMMYFUNCTION("""COMPUTED_VALUE"""),"Fahrenheit Chain")</f>
        <v>Fahrenheit Chain</v>
      </c>
    </row>
    <row r="4380">
      <c r="A4380" s="3" t="str">
        <f>IFERROR(__xludf.DUMMYFUNCTION("""COMPUTED_VALUE"""),"fairgame")</f>
        <v>fairgame</v>
      </c>
      <c r="B4380" s="3" t="str">
        <f>IFERROR(__xludf.DUMMYFUNCTION("""COMPUTED_VALUE"""),"fair")</f>
        <v>fair</v>
      </c>
      <c r="C4380" s="3" t="str">
        <f>IFERROR(__xludf.DUMMYFUNCTION("""COMPUTED_VALUE"""),"FairGame")</f>
        <v>FairGame</v>
      </c>
    </row>
    <row r="4381">
      <c r="A4381" s="3" t="str">
        <f>IFERROR(__xludf.DUMMYFUNCTION("""COMPUTED_VALUE"""),"fairmint")</f>
        <v>fairmint</v>
      </c>
      <c r="B4381" s="3" t="str">
        <f>IFERROR(__xludf.DUMMYFUNCTION("""COMPUTED_VALUE"""),"fair")</f>
        <v>fair</v>
      </c>
      <c r="C4381" s="3" t="str">
        <f>IFERROR(__xludf.DUMMYFUNCTION("""COMPUTED_VALUE"""),"Fairmint")</f>
        <v>Fairmint</v>
      </c>
    </row>
    <row r="4382">
      <c r="A4382" s="3" t="str">
        <f>IFERROR(__xludf.DUMMYFUNCTION("""COMPUTED_VALUE"""),"fairswap")</f>
        <v>fairswap</v>
      </c>
      <c r="B4382" s="3" t="str">
        <f>IFERROR(__xludf.DUMMYFUNCTION("""COMPUTED_VALUE"""),"fair")</f>
        <v>fair</v>
      </c>
      <c r="C4382" s="3" t="str">
        <f>IFERROR(__xludf.DUMMYFUNCTION("""COMPUTED_VALUE"""),"FairSwap")</f>
        <v>FairSwap</v>
      </c>
    </row>
    <row r="4383">
      <c r="A4383" s="3" t="str">
        <f>IFERROR(__xludf.DUMMYFUNCTION("""COMPUTED_VALUE"""),"fairum")</f>
        <v>fairum</v>
      </c>
      <c r="B4383" s="3" t="str">
        <f>IFERROR(__xludf.DUMMYFUNCTION("""COMPUTED_VALUE"""),"fai")</f>
        <v>fai</v>
      </c>
      <c r="C4383" s="3" t="str">
        <f>IFERROR(__xludf.DUMMYFUNCTION("""COMPUTED_VALUE"""),"Fairum")</f>
        <v>Fairum</v>
      </c>
    </row>
    <row r="4384">
      <c r="A4384" s="3" t="str">
        <f>IFERROR(__xludf.DUMMYFUNCTION("""COMPUTED_VALUE"""),"fairy")</f>
        <v>fairy</v>
      </c>
      <c r="B4384" s="3" t="str">
        <f>IFERROR(__xludf.DUMMYFUNCTION("""COMPUTED_VALUE"""),"fairy")</f>
        <v>fairy</v>
      </c>
      <c r="C4384" s="3" t="str">
        <f>IFERROR(__xludf.DUMMYFUNCTION("""COMPUTED_VALUE"""),"Fairy")</f>
        <v>Fairy</v>
      </c>
    </row>
    <row r="4385">
      <c r="A4385" s="3" t="str">
        <f>IFERROR(__xludf.DUMMYFUNCTION("""COMPUTED_VALUE"""),"fairy-finance-unicorn")</f>
        <v>fairy-finance-unicorn</v>
      </c>
      <c r="B4385" s="3" t="str">
        <f>IFERROR(__xludf.DUMMYFUNCTION("""COMPUTED_VALUE"""),"unicorn")</f>
        <v>unicorn</v>
      </c>
      <c r="C4385" s="3" t="str">
        <f>IFERROR(__xludf.DUMMYFUNCTION("""COMPUTED_VALUE"""),"Fairy Finance UNICORN")</f>
        <v>Fairy Finance UNICORN</v>
      </c>
    </row>
    <row r="4386">
      <c r="A4386" s="3" t="str">
        <f>IFERROR(__xludf.DUMMYFUNCTION("""COMPUTED_VALUE"""),"fairy-forest")</f>
        <v>fairy-forest</v>
      </c>
      <c r="B4386" s="3" t="str">
        <f>IFERROR(__xludf.DUMMYFUNCTION("""COMPUTED_VALUE"""),"ffn")</f>
        <v>ffn</v>
      </c>
      <c r="C4386" s="3" t="str">
        <f>IFERROR(__xludf.DUMMYFUNCTION("""COMPUTED_VALUE"""),"Fairy Forest")</f>
        <v>Fairy Forest</v>
      </c>
    </row>
    <row r="4387">
      <c r="A4387" s="3" t="str">
        <f>IFERROR(__xludf.DUMMYFUNCTION("""COMPUTED_VALUE"""),"faithcoin")</f>
        <v>faithcoin</v>
      </c>
      <c r="B4387" s="3" t="str">
        <f>IFERROR(__xludf.DUMMYFUNCTION("""COMPUTED_VALUE"""),"faith")</f>
        <v>faith</v>
      </c>
      <c r="C4387" s="3" t="str">
        <f>IFERROR(__xludf.DUMMYFUNCTION("""COMPUTED_VALUE"""),"FaithCoin")</f>
        <v>FaithCoin</v>
      </c>
    </row>
    <row r="4388">
      <c r="A4388" s="3" t="str">
        <f>IFERROR(__xludf.DUMMYFUNCTION("""COMPUTED_VALUE"""),"faith-tribe")</f>
        <v>faith-tribe</v>
      </c>
      <c r="B4388" s="3" t="str">
        <f>IFERROR(__xludf.DUMMYFUNCTION("""COMPUTED_VALUE"""),"ftrb")</f>
        <v>ftrb</v>
      </c>
      <c r="C4388" s="3" t="str">
        <f>IFERROR(__xludf.DUMMYFUNCTION("""COMPUTED_VALUE"""),"Faith Tribe")</f>
        <v>Faith Tribe</v>
      </c>
    </row>
    <row r="4389">
      <c r="A4389" s="3" t="str">
        <f>IFERROR(__xludf.DUMMYFUNCTION("""COMPUTED_VALUE"""),"falafel")</f>
        <v>falafel</v>
      </c>
      <c r="B4389" s="3" t="str">
        <f>IFERROR(__xludf.DUMMYFUNCTION("""COMPUTED_VALUE"""),"falafel")</f>
        <v>falafel</v>
      </c>
      <c r="C4389" s="3" t="str">
        <f>IFERROR(__xludf.DUMMYFUNCTION("""COMPUTED_VALUE"""),"Falafel")</f>
        <v>Falafel</v>
      </c>
    </row>
    <row r="4390">
      <c r="A4390" s="3" t="str">
        <f>IFERROR(__xludf.DUMMYFUNCTION("""COMPUTED_VALUE"""),"falcon-nine")</f>
        <v>falcon-nine</v>
      </c>
      <c r="B4390" s="3" t="str">
        <f>IFERROR(__xludf.DUMMYFUNCTION("""COMPUTED_VALUE"""),"f9")</f>
        <v>f9</v>
      </c>
      <c r="C4390" s="3" t="str">
        <f>IFERROR(__xludf.DUMMYFUNCTION("""COMPUTED_VALUE"""),"Falcon Nine")</f>
        <v>Falcon Nine</v>
      </c>
    </row>
    <row r="4391">
      <c r="A4391" s="3" t="str">
        <f>IFERROR(__xludf.DUMMYFUNCTION("""COMPUTED_VALUE"""),"falcon-swaps")</f>
        <v>falcon-swaps</v>
      </c>
      <c r="B4391" s="3" t="str">
        <f>IFERROR(__xludf.DUMMYFUNCTION("""COMPUTED_VALUE"""),"falcons")</f>
        <v>falcons</v>
      </c>
      <c r="C4391" s="3" t="str">
        <f>IFERROR(__xludf.DUMMYFUNCTION("""COMPUTED_VALUE"""),"Falcon Swaps")</f>
        <v>Falcon Swaps</v>
      </c>
    </row>
    <row r="4392">
      <c r="A4392" s="3" t="str">
        <f>IFERROR(__xludf.DUMMYFUNCTION("""COMPUTED_VALUE"""),"falcon-token")</f>
        <v>falcon-token</v>
      </c>
      <c r="B4392" s="3" t="str">
        <f>IFERROR(__xludf.DUMMYFUNCTION("""COMPUTED_VALUE"""),"fnt")</f>
        <v>fnt</v>
      </c>
      <c r="C4392" s="3" t="str">
        <f>IFERROR(__xludf.DUMMYFUNCTION("""COMPUTED_VALUE"""),"Falcon Project")</f>
        <v>Falcon Project</v>
      </c>
    </row>
    <row r="4393">
      <c r="A4393" s="3" t="str">
        <f>IFERROR(__xludf.DUMMYFUNCTION("""COMPUTED_VALUE"""),"falconx")</f>
        <v>falconx</v>
      </c>
      <c r="B4393" s="3" t="str">
        <f>IFERROR(__xludf.DUMMYFUNCTION("""COMPUTED_VALUE"""),"falcx")</f>
        <v>falcx</v>
      </c>
      <c r="C4393" s="3" t="str">
        <f>IFERROR(__xludf.DUMMYFUNCTION("""COMPUTED_VALUE"""),"FalconX")</f>
        <v>FalconX</v>
      </c>
    </row>
    <row r="4394">
      <c r="A4394" s="3" t="str">
        <f>IFERROR(__xludf.DUMMYFUNCTION("""COMPUTED_VALUE"""),"fame-mma")</f>
        <v>fame-mma</v>
      </c>
      <c r="B4394" s="3" t="str">
        <f>IFERROR(__xludf.DUMMYFUNCTION("""COMPUTED_VALUE"""),"fame")</f>
        <v>fame</v>
      </c>
      <c r="C4394" s="3" t="str">
        <f>IFERROR(__xludf.DUMMYFUNCTION("""COMPUTED_VALUE"""),"Fame MMA")</f>
        <v>Fame MMA</v>
      </c>
    </row>
    <row r="4395">
      <c r="A4395" s="3" t="str">
        <f>IFERROR(__xludf.DUMMYFUNCTION("""COMPUTED_VALUE"""),"fame-reward-plus")</f>
        <v>fame-reward-plus</v>
      </c>
      <c r="B4395" s="3" t="str">
        <f>IFERROR(__xludf.DUMMYFUNCTION("""COMPUTED_VALUE"""),"frp")</f>
        <v>frp</v>
      </c>
      <c r="C4395" s="3" t="str">
        <f>IFERROR(__xludf.DUMMYFUNCTION("""COMPUTED_VALUE"""),"Fame Reward Plus")</f>
        <v>Fame Reward Plus</v>
      </c>
    </row>
    <row r="4396">
      <c r="A4396" s="3" t="str">
        <f>IFERROR(__xludf.DUMMYFUNCTION("""COMPUTED_VALUE"""),"familyparty")</f>
        <v>familyparty</v>
      </c>
      <c r="B4396" s="3" t="str">
        <f>IFERROR(__xludf.DUMMYFUNCTION("""COMPUTED_VALUE"""),"fpc")</f>
        <v>fpc</v>
      </c>
      <c r="C4396" s="3" t="str">
        <f>IFERROR(__xludf.DUMMYFUNCTION("""COMPUTED_VALUE"""),"FamilyParty")</f>
        <v>FamilyParty</v>
      </c>
    </row>
    <row r="4397">
      <c r="A4397" s="3" t="str">
        <f>IFERROR(__xludf.DUMMYFUNCTION("""COMPUTED_VALUE"""),"famous-coin")</f>
        <v>famous-coin</v>
      </c>
      <c r="B4397" s="3" t="str">
        <f>IFERROR(__xludf.DUMMYFUNCTION("""COMPUTED_VALUE"""),"famous")</f>
        <v>famous</v>
      </c>
      <c r="C4397" s="3" t="str">
        <f>IFERROR(__xludf.DUMMYFUNCTION("""COMPUTED_VALUE"""),"Famous Coin")</f>
        <v>Famous Coin</v>
      </c>
    </row>
    <row r="4398">
      <c r="A4398" s="3" t="str">
        <f>IFERROR(__xludf.DUMMYFUNCTION("""COMPUTED_VALUE"""),"famous-five")</f>
        <v>famous-five</v>
      </c>
      <c r="B4398" s="3" t="str">
        <f>IFERROR(__xludf.DUMMYFUNCTION("""COMPUTED_VALUE"""),"fafi")</f>
        <v>fafi</v>
      </c>
      <c r="C4398" s="3" t="str">
        <f>IFERROR(__xludf.DUMMYFUNCTION("""COMPUTED_VALUE"""),"Famous Five")</f>
        <v>Famous Five</v>
      </c>
    </row>
    <row r="4399">
      <c r="A4399" s="3" t="str">
        <f>IFERROR(__xludf.DUMMYFUNCTION("""COMPUTED_VALUE"""),"famous-fox-federation")</f>
        <v>famous-fox-federation</v>
      </c>
      <c r="B4399" s="3" t="str">
        <f>IFERROR(__xludf.DUMMYFUNCTION("""COMPUTED_VALUE"""),"foxy")</f>
        <v>foxy</v>
      </c>
      <c r="C4399" s="3" t="str">
        <f>IFERROR(__xludf.DUMMYFUNCTION("""COMPUTED_VALUE"""),"Famous Fox Federation")</f>
        <v>Famous Fox Federation</v>
      </c>
    </row>
    <row r="4400">
      <c r="A4400" s="3" t="str">
        <f>IFERROR(__xludf.DUMMYFUNCTION("""COMPUTED_VALUE"""),"fam-token")</f>
        <v>fam-token</v>
      </c>
      <c r="B4400" s="3" t="str">
        <f>IFERROR(__xludf.DUMMYFUNCTION("""COMPUTED_VALUE"""),"fam")</f>
        <v>fam</v>
      </c>
      <c r="C4400" s="3" t="str">
        <f>IFERROR(__xludf.DUMMYFUNCTION("""COMPUTED_VALUE"""),"FAM")</f>
        <v>FAM</v>
      </c>
    </row>
    <row r="4401">
      <c r="A4401" s="3" t="str">
        <f>IFERROR(__xludf.DUMMYFUNCTION("""COMPUTED_VALUE"""),"fan2go")</f>
        <v>fan2go</v>
      </c>
      <c r="B4401" s="3" t="str">
        <f>IFERROR(__xludf.DUMMYFUNCTION("""COMPUTED_VALUE"""),"fntg")</f>
        <v>fntg</v>
      </c>
      <c r="C4401" s="3" t="str">
        <f>IFERROR(__xludf.DUMMYFUNCTION("""COMPUTED_VALUE"""),"Fan2Go")</f>
        <v>Fan2Go</v>
      </c>
    </row>
    <row r="4402">
      <c r="A4402" s="3" t="str">
        <f>IFERROR(__xludf.DUMMYFUNCTION("""COMPUTED_VALUE"""),"fanadise")</f>
        <v>fanadise</v>
      </c>
      <c r="B4402" s="3" t="str">
        <f>IFERROR(__xludf.DUMMYFUNCTION("""COMPUTED_VALUE"""),"fan")</f>
        <v>fan</v>
      </c>
      <c r="C4402" s="3" t="str">
        <f>IFERROR(__xludf.DUMMYFUNCTION("""COMPUTED_VALUE"""),"Fanadise")</f>
        <v>Fanadise</v>
      </c>
    </row>
    <row r="4403">
      <c r="A4403" s="3" t="str">
        <f>IFERROR(__xludf.DUMMYFUNCTION("""COMPUTED_VALUE"""),"fanbi-token")</f>
        <v>fanbi-token</v>
      </c>
      <c r="B4403" s="3" t="str">
        <f>IFERROR(__xludf.DUMMYFUNCTION("""COMPUTED_VALUE"""),"fbt")</f>
        <v>fbt</v>
      </c>
      <c r="C4403" s="3" t="str">
        <f>IFERROR(__xludf.DUMMYFUNCTION("""COMPUTED_VALUE"""),"FANBI TOKEN")</f>
        <v>FANBI TOKEN</v>
      </c>
    </row>
    <row r="4404">
      <c r="A4404" s="3" t="str">
        <f>IFERROR(__xludf.DUMMYFUNCTION("""COMPUTED_VALUE"""),"fanc")</f>
        <v>fanc</v>
      </c>
      <c r="B4404" s="3" t="str">
        <f>IFERROR(__xludf.DUMMYFUNCTION("""COMPUTED_VALUE"""),"fanc")</f>
        <v>fanc</v>
      </c>
      <c r="C4404" s="3" t="str">
        <f>IFERROR(__xludf.DUMMYFUNCTION("""COMPUTED_VALUE"""),"fanC")</f>
        <v>fanC</v>
      </c>
    </row>
    <row r="4405">
      <c r="A4405" s="3" t="str">
        <f>IFERROR(__xludf.DUMMYFUNCTION("""COMPUTED_VALUE"""),"fancy-games")</f>
        <v>fancy-games</v>
      </c>
      <c r="B4405" s="3" t="str">
        <f>IFERROR(__xludf.DUMMYFUNCTION("""COMPUTED_VALUE"""),"fnc")</f>
        <v>fnc</v>
      </c>
      <c r="C4405" s="3" t="str">
        <f>IFERROR(__xludf.DUMMYFUNCTION("""COMPUTED_VALUE"""),"Fancy Games")</f>
        <v>Fancy Games</v>
      </c>
    </row>
    <row r="4406">
      <c r="A4406" s="3" t="str">
        <f>IFERROR(__xludf.DUMMYFUNCTION("""COMPUTED_VALUE"""),"fandom")</f>
        <v>fandom</v>
      </c>
      <c r="B4406" s="3" t="str">
        <f>IFERROR(__xludf.DUMMYFUNCTION("""COMPUTED_VALUE"""),"fdm")</f>
        <v>fdm</v>
      </c>
      <c r="C4406" s="3" t="str">
        <f>IFERROR(__xludf.DUMMYFUNCTION("""COMPUTED_VALUE"""),"Fandom")</f>
        <v>Fandom</v>
      </c>
    </row>
    <row r="4407">
      <c r="A4407" s="3" t="str">
        <f>IFERROR(__xludf.DUMMYFUNCTION("""COMPUTED_VALUE"""),"fandom-chain")</f>
        <v>fandom-chain</v>
      </c>
      <c r="B4407" s="3" t="str">
        <f>IFERROR(__xludf.DUMMYFUNCTION("""COMPUTED_VALUE"""),"kdc")</f>
        <v>kdc</v>
      </c>
      <c r="C4407" s="3" t="str">
        <f>IFERROR(__xludf.DUMMYFUNCTION("""COMPUTED_VALUE"""),"Fandom Chain")</f>
        <v>Fandom Chain</v>
      </c>
    </row>
    <row r="4408">
      <c r="A4408" s="3" t="str">
        <f>IFERROR(__xludf.DUMMYFUNCTION("""COMPUTED_VALUE"""),"fandora-network")</f>
        <v>fandora-network</v>
      </c>
      <c r="B4408" s="3" t="str">
        <f>IFERROR(__xludf.DUMMYFUNCTION("""COMPUTED_VALUE"""),"fan")</f>
        <v>fan</v>
      </c>
      <c r="C4408" s="3" t="str">
        <f>IFERROR(__xludf.DUMMYFUNCTION("""COMPUTED_VALUE"""),"Fandora Network")</f>
        <v>Fandora Network</v>
      </c>
    </row>
    <row r="4409">
      <c r="A4409" s="3" t="str">
        <f>IFERROR(__xludf.DUMMYFUNCTION("""COMPUTED_VALUE"""),"fanfury")</f>
        <v>fanfury</v>
      </c>
      <c r="B4409" s="3" t="str">
        <f>IFERROR(__xludf.DUMMYFUNCTION("""COMPUTED_VALUE"""),"fury")</f>
        <v>fury</v>
      </c>
      <c r="C4409" s="3" t="str">
        <f>IFERROR(__xludf.DUMMYFUNCTION("""COMPUTED_VALUE"""),"Fanfury")</f>
        <v>Fanfury</v>
      </c>
    </row>
    <row r="4410">
      <c r="A4410" s="3" t="str">
        <f>IFERROR(__xludf.DUMMYFUNCTION("""COMPUTED_VALUE"""),"fango")</f>
        <v>fango</v>
      </c>
      <c r="B4410" s="3" t="str">
        <f>IFERROR(__xludf.DUMMYFUNCTION("""COMPUTED_VALUE"""),"xfg")</f>
        <v>xfg</v>
      </c>
      <c r="C4410" s="3" t="str">
        <f>IFERROR(__xludf.DUMMYFUNCTION("""COMPUTED_VALUE"""),"Fango")</f>
        <v>Fango</v>
      </c>
    </row>
    <row r="4411">
      <c r="A4411" s="3" t="str">
        <f>IFERROR(__xludf.DUMMYFUNCTION("""COMPUTED_VALUE"""),"fang-token")</f>
        <v>fang-token</v>
      </c>
      <c r="B4411" s="3" t="str">
        <f>IFERROR(__xludf.DUMMYFUNCTION("""COMPUTED_VALUE"""),"fang")</f>
        <v>fang</v>
      </c>
      <c r="C4411" s="3" t="str">
        <f>IFERROR(__xludf.DUMMYFUNCTION("""COMPUTED_VALUE"""),"FANG")</f>
        <v>FANG</v>
      </c>
    </row>
    <row r="4412">
      <c r="A4412" s="3" t="str">
        <f>IFERROR(__xludf.DUMMYFUNCTION("""COMPUTED_VALUE"""),"fanitrade")</f>
        <v>fanitrade</v>
      </c>
      <c r="B4412" s="3" t="str">
        <f>IFERROR(__xludf.DUMMYFUNCTION("""COMPUTED_VALUE"""),"fani")</f>
        <v>fani</v>
      </c>
      <c r="C4412" s="3" t="str">
        <f>IFERROR(__xludf.DUMMYFUNCTION("""COMPUTED_VALUE"""),"FaniTrade")</f>
        <v>FaniTrade</v>
      </c>
    </row>
    <row r="4413">
      <c r="A4413" s="3" t="str">
        <f>IFERROR(__xludf.DUMMYFUNCTION("""COMPUTED_VALUE"""),"fanspel")</f>
        <v>fanspel</v>
      </c>
      <c r="B4413" s="3" t="str">
        <f>IFERROR(__xludf.DUMMYFUNCTION("""COMPUTED_VALUE"""),"fan")</f>
        <v>fan</v>
      </c>
      <c r="C4413" s="3" t="str">
        <f>IFERROR(__xludf.DUMMYFUNCTION("""COMPUTED_VALUE"""),"Fanspel")</f>
        <v>Fanspel</v>
      </c>
    </row>
    <row r="4414">
      <c r="A4414" s="3" t="str">
        <f>IFERROR(__xludf.DUMMYFUNCTION("""COMPUTED_VALUE"""),"fans-squid")</f>
        <v>fans-squid</v>
      </c>
      <c r="B4414" s="3" t="str">
        <f>IFERROR(__xludf.DUMMYFUNCTION("""COMPUTED_VALUE"""),"fst")</f>
        <v>fst</v>
      </c>
      <c r="C4414" s="3" t="str">
        <f>IFERROR(__xludf.DUMMYFUNCTION("""COMPUTED_VALUE"""),"Fans Squid")</f>
        <v>Fans Squid</v>
      </c>
    </row>
    <row r="4415">
      <c r="A4415" s="3" t="str">
        <f>IFERROR(__xludf.DUMMYFUNCTION("""COMPUTED_VALUE"""),"fanstime")</f>
        <v>fanstime</v>
      </c>
      <c r="B4415" s="3" t="str">
        <f>IFERROR(__xludf.DUMMYFUNCTION("""COMPUTED_VALUE"""),"fti")</f>
        <v>fti</v>
      </c>
      <c r="C4415" s="3" t="str">
        <f>IFERROR(__xludf.DUMMYFUNCTION("""COMPUTED_VALUE"""),"FansTime")</f>
        <v>FansTime</v>
      </c>
    </row>
    <row r="4416">
      <c r="A4416" s="3" t="str">
        <f>IFERROR(__xludf.DUMMYFUNCTION("""COMPUTED_VALUE"""),"fantastic-protocol-fxm-token")</f>
        <v>fantastic-protocol-fxm-token</v>
      </c>
      <c r="B4416" s="3" t="str">
        <f>IFERROR(__xludf.DUMMYFUNCTION("""COMPUTED_VALUE"""),"fxm")</f>
        <v>fxm</v>
      </c>
      <c r="C4416" s="3" t="str">
        <f>IFERROR(__xludf.DUMMYFUNCTION("""COMPUTED_VALUE"""),"Fantastic Protocol FXM")</f>
        <v>Fantastic Protocol FXM</v>
      </c>
    </row>
    <row r="4417">
      <c r="A4417" s="3" t="str">
        <f>IFERROR(__xludf.DUMMYFUNCTION("""COMPUTED_VALUE"""),"fantastic-protocol-peg-ftm")</f>
        <v>fantastic-protocol-peg-ftm</v>
      </c>
      <c r="B4417" s="3" t="str">
        <f>IFERROR(__xludf.DUMMYFUNCTION("""COMPUTED_VALUE"""),"ftmx")</f>
        <v>ftmx</v>
      </c>
      <c r="C4417" s="3" t="str">
        <f>IFERROR(__xludf.DUMMYFUNCTION("""COMPUTED_VALUE"""),"Fantastic Protocol Peg-FTM")</f>
        <v>Fantastic Protocol Peg-FTM</v>
      </c>
    </row>
    <row r="4418">
      <c r="A4418" s="3" t="str">
        <f>IFERROR(__xludf.DUMMYFUNCTION("""COMPUTED_VALUE"""),"fantasy")</f>
        <v>fantasy</v>
      </c>
      <c r="B4418" s="3" t="str">
        <f>IFERROR(__xludf.DUMMYFUNCTION("""COMPUTED_VALUE"""),"ftsy")</f>
        <v>ftsy</v>
      </c>
      <c r="C4418" s="3" t="str">
        <f>IFERROR(__xludf.DUMMYFUNCTION("""COMPUTED_VALUE"""),"Fantasy")</f>
        <v>Fantasy</v>
      </c>
    </row>
    <row r="4419">
      <c r="A4419" s="3" t="str">
        <f>IFERROR(__xludf.DUMMYFUNCTION("""COMPUTED_VALUE"""),"fantasy-gold")</f>
        <v>fantasy-gold</v>
      </c>
      <c r="B4419" s="3" t="str">
        <f>IFERROR(__xludf.DUMMYFUNCTION("""COMPUTED_VALUE"""),"fgc")</f>
        <v>fgc</v>
      </c>
      <c r="C4419" s="3" t="str">
        <f>IFERROR(__xludf.DUMMYFUNCTION("""COMPUTED_VALUE"""),"Fantasy Gold")</f>
        <v>Fantasy Gold</v>
      </c>
    </row>
    <row r="4420">
      <c r="A4420" s="3" t="str">
        <f>IFERROR(__xludf.DUMMYFUNCTION("""COMPUTED_VALUE"""),"fantasy-monster")</f>
        <v>fantasy-monster</v>
      </c>
      <c r="B4420" s="3" t="str">
        <f>IFERROR(__xludf.DUMMYFUNCTION("""COMPUTED_VALUE"""),"fts")</f>
        <v>fts</v>
      </c>
      <c r="C4420" s="3" t="str">
        <f>IFERROR(__xludf.DUMMYFUNCTION("""COMPUTED_VALUE"""),"Fantasy Monster")</f>
        <v>Fantasy Monster</v>
      </c>
    </row>
    <row r="4421">
      <c r="A4421" s="3" t="str">
        <f>IFERROR(__xludf.DUMMYFUNCTION("""COMPUTED_VALUE"""),"fantasy-war")</f>
        <v>fantasy-war</v>
      </c>
      <c r="B4421" s="3" t="str">
        <f>IFERROR(__xludf.DUMMYFUNCTION("""COMPUTED_VALUE"""),"fawa")</f>
        <v>fawa</v>
      </c>
      <c r="C4421" s="3" t="str">
        <f>IFERROR(__xludf.DUMMYFUNCTION("""COMPUTED_VALUE"""),"Fantasy War")</f>
        <v>Fantasy War</v>
      </c>
    </row>
    <row r="4422">
      <c r="A4422" s="3" t="str">
        <f>IFERROR(__xludf.DUMMYFUNCTION("""COMPUTED_VALUE"""),"fantohm")</f>
        <v>fantohm</v>
      </c>
      <c r="B4422" s="3" t="str">
        <f>IFERROR(__xludf.DUMMYFUNCTION("""COMPUTED_VALUE"""),"fhm")</f>
        <v>fhm</v>
      </c>
      <c r="C4422" s="3" t="str">
        <f>IFERROR(__xludf.DUMMYFUNCTION("""COMPUTED_VALUE"""),"Fantohm")</f>
        <v>Fantohm</v>
      </c>
    </row>
    <row r="4423">
      <c r="A4423" s="3" t="str">
        <f>IFERROR(__xludf.DUMMYFUNCTION("""COMPUTED_VALUE"""),"fan-tokens-football")</f>
        <v>fan-tokens-football</v>
      </c>
      <c r="B4423" s="3" t="str">
        <f>IFERROR(__xludf.DUMMYFUNCTION("""COMPUTED_VALUE"""),"ftf")</f>
        <v>ftf</v>
      </c>
      <c r="C4423" s="3" t="str">
        <f>IFERROR(__xludf.DUMMYFUNCTION("""COMPUTED_VALUE"""),"Fan Tokens Football")</f>
        <v>Fan Tokens Football</v>
      </c>
    </row>
    <row r="4424">
      <c r="A4424" s="3" t="str">
        <f>IFERROR(__xludf.DUMMYFUNCTION("""COMPUTED_VALUE"""),"fantom")</f>
        <v>fantom</v>
      </c>
      <c r="B4424" s="3" t="str">
        <f>IFERROR(__xludf.DUMMYFUNCTION("""COMPUTED_VALUE"""),"ftm")</f>
        <v>ftm</v>
      </c>
      <c r="C4424" s="3" t="str">
        <f>IFERROR(__xludf.DUMMYFUNCTION("""COMPUTED_VALUE"""),"Fantom")</f>
        <v>Fantom</v>
      </c>
    </row>
    <row r="4425">
      <c r="A4425" s="3" t="str">
        <f>IFERROR(__xludf.DUMMYFUNCTION("""COMPUTED_VALUE"""),"fantom-doge")</f>
        <v>fantom-doge</v>
      </c>
      <c r="B4425" s="3" t="str">
        <f>IFERROR(__xludf.DUMMYFUNCTION("""COMPUTED_VALUE"""),"rip")</f>
        <v>rip</v>
      </c>
      <c r="C4425" s="3" t="str">
        <f>IFERROR(__xludf.DUMMYFUNCTION("""COMPUTED_VALUE"""),"Fantom Doge")</f>
        <v>Fantom Doge</v>
      </c>
    </row>
    <row r="4426">
      <c r="A4426" s="3" t="str">
        <f>IFERROR(__xludf.DUMMYFUNCTION("""COMPUTED_VALUE"""),"fantomgo")</f>
        <v>fantomgo</v>
      </c>
      <c r="B4426" s="3" t="str">
        <f>IFERROR(__xludf.DUMMYFUNCTION("""COMPUTED_VALUE"""),"ftg")</f>
        <v>ftg</v>
      </c>
      <c r="C4426" s="3" t="str">
        <f>IFERROR(__xludf.DUMMYFUNCTION("""COMPUTED_VALUE"""),"fantomGO")</f>
        <v>fantomGO</v>
      </c>
    </row>
    <row r="4427">
      <c r="A4427" s="3" t="str">
        <f>IFERROR(__xludf.DUMMYFUNCTION("""COMPUTED_VALUE"""),"fantom-libero-financial")</f>
        <v>fantom-libero-financial</v>
      </c>
      <c r="B4427" s="3" t="str">
        <f>IFERROR(__xludf.DUMMYFUNCTION("""COMPUTED_VALUE"""),"flibero")</f>
        <v>flibero</v>
      </c>
      <c r="C4427" s="3" t="str">
        <f>IFERROR(__xludf.DUMMYFUNCTION("""COMPUTED_VALUE"""),"Fantom Libero Financial")</f>
        <v>Fantom Libero Financial</v>
      </c>
    </row>
    <row r="4428">
      <c r="A4428" s="3" t="str">
        <f>IFERROR(__xludf.DUMMYFUNCTION("""COMPUTED_VALUE"""),"fantom-maker")</f>
        <v>fantom-maker</v>
      </c>
      <c r="B4428" s="3" t="str">
        <f>IFERROR(__xludf.DUMMYFUNCTION("""COMPUTED_VALUE"""),"fame")</f>
        <v>fame</v>
      </c>
      <c r="C4428" s="3" t="str">
        <f>IFERROR(__xludf.DUMMYFUNCTION("""COMPUTED_VALUE"""),"Fantom Maker")</f>
        <v>Fantom Maker</v>
      </c>
    </row>
    <row r="4429">
      <c r="A4429" s="3" t="str">
        <f>IFERROR(__xludf.DUMMYFUNCTION("""COMPUTED_VALUE"""),"fantom-oasis")</f>
        <v>fantom-oasis</v>
      </c>
      <c r="B4429" s="3" t="str">
        <f>IFERROR(__xludf.DUMMYFUNCTION("""COMPUTED_VALUE"""),"ftmo")</f>
        <v>ftmo</v>
      </c>
      <c r="C4429" s="3" t="str">
        <f>IFERROR(__xludf.DUMMYFUNCTION("""COMPUTED_VALUE"""),"Fantom Oasis")</f>
        <v>Fantom Oasis</v>
      </c>
    </row>
    <row r="4430">
      <c r="A4430" s="3" t="str">
        <f>IFERROR(__xludf.DUMMYFUNCTION("""COMPUTED_VALUE"""),"fantom-of-the-opera-apes")</f>
        <v>fantom-of-the-opera-apes</v>
      </c>
      <c r="B4430" s="3" t="str">
        <f>IFERROR(__xludf.DUMMYFUNCTION("""COMPUTED_VALUE"""),"fantomapes")</f>
        <v>fantomapes</v>
      </c>
      <c r="C4430" s="3" t="str">
        <f>IFERROR(__xludf.DUMMYFUNCTION("""COMPUTED_VALUE"""),"Fantom of the Opera Apes")</f>
        <v>Fantom of the Opera Apes</v>
      </c>
    </row>
    <row r="4431">
      <c r="A4431" s="3" t="str">
        <f>IFERROR(__xludf.DUMMYFUNCTION("""COMPUTED_VALUE"""),"fantomstarter")</f>
        <v>fantomstarter</v>
      </c>
      <c r="B4431" s="3" t="str">
        <f>IFERROR(__xludf.DUMMYFUNCTION("""COMPUTED_VALUE"""),"fs")</f>
        <v>fs</v>
      </c>
      <c r="C4431" s="3" t="str">
        <f>IFERROR(__xludf.DUMMYFUNCTION("""COMPUTED_VALUE"""),"FantomStarter")</f>
        <v>FantomStarter</v>
      </c>
    </row>
    <row r="4432">
      <c r="A4432" s="3" t="str">
        <f>IFERROR(__xludf.DUMMYFUNCTION("""COMPUTED_VALUE"""),"fantom-usd")</f>
        <v>fantom-usd</v>
      </c>
      <c r="B4432" s="3" t="str">
        <f>IFERROR(__xludf.DUMMYFUNCTION("""COMPUTED_VALUE"""),"fusd")</f>
        <v>fusd</v>
      </c>
      <c r="C4432" s="3" t="str">
        <f>IFERROR(__xludf.DUMMYFUNCTION("""COMPUTED_VALUE"""),"Fantom USD")</f>
        <v>Fantom USD</v>
      </c>
    </row>
    <row r="4433">
      <c r="A4433" s="3" t="str">
        <f>IFERROR(__xludf.DUMMYFUNCTION("""COMPUTED_VALUE"""),"fantums-of-opera-token")</f>
        <v>fantums-of-opera-token</v>
      </c>
      <c r="B4433" s="3" t="str">
        <f>IFERROR(__xludf.DUMMYFUNCTION("""COMPUTED_VALUE"""),"foo")</f>
        <v>foo</v>
      </c>
      <c r="C4433" s="3" t="str">
        <f>IFERROR(__xludf.DUMMYFUNCTION("""COMPUTED_VALUE"""),"Fantums of Opera")</f>
        <v>Fantums of Opera</v>
      </c>
    </row>
    <row r="4434">
      <c r="A4434" s="3" t="str">
        <f>IFERROR(__xludf.DUMMYFUNCTION("""COMPUTED_VALUE"""),"fanverse")</f>
        <v>fanverse</v>
      </c>
      <c r="B4434" s="3" t="str">
        <f>IFERROR(__xludf.DUMMYFUNCTION("""COMPUTED_VALUE"""),"fanv")</f>
        <v>fanv</v>
      </c>
      <c r="C4434" s="3" t="str">
        <f>IFERROR(__xludf.DUMMYFUNCTION("""COMPUTED_VALUE"""),"FanVerse")</f>
        <v>FanVerse</v>
      </c>
    </row>
    <row r="4435">
      <c r="A4435" s="3" t="str">
        <f>IFERROR(__xludf.DUMMYFUNCTION("""COMPUTED_VALUE"""),"fanverse-token")</f>
        <v>fanverse-token</v>
      </c>
      <c r="B4435" s="3" t="str">
        <f>IFERROR(__xludf.DUMMYFUNCTION("""COMPUTED_VALUE"""),"ft")</f>
        <v>ft</v>
      </c>
      <c r="C4435" s="3" t="str">
        <f>IFERROR(__xludf.DUMMYFUNCTION("""COMPUTED_VALUE"""),"Fanverse Token")</f>
        <v>Fanverse Token</v>
      </c>
    </row>
    <row r="4436">
      <c r="A4436" s="3" t="str">
        <f>IFERROR(__xludf.DUMMYFUNCTION("""COMPUTED_VALUE"""),"fanzy")</f>
        <v>fanzy</v>
      </c>
      <c r="B4436" s="3" t="str">
        <f>IFERROR(__xludf.DUMMYFUNCTION("""COMPUTED_VALUE"""),"fx1")</f>
        <v>fx1</v>
      </c>
      <c r="C4436" s="3" t="str">
        <f>IFERROR(__xludf.DUMMYFUNCTION("""COMPUTED_VALUE"""),"FANZY")</f>
        <v>FANZY</v>
      </c>
    </row>
    <row r="4437">
      <c r="A4437" s="3" t="str">
        <f>IFERROR(__xludf.DUMMYFUNCTION("""COMPUTED_VALUE"""),"faraland")</f>
        <v>faraland</v>
      </c>
      <c r="B4437" s="3" t="str">
        <f>IFERROR(__xludf.DUMMYFUNCTION("""COMPUTED_VALUE"""),"fara")</f>
        <v>fara</v>
      </c>
      <c r="C4437" s="3" t="str">
        <f>IFERROR(__xludf.DUMMYFUNCTION("""COMPUTED_VALUE"""),"FaraLand")</f>
        <v>FaraLand</v>
      </c>
    </row>
    <row r="4438">
      <c r="A4438" s="3" t="str">
        <f>IFERROR(__xludf.DUMMYFUNCTION("""COMPUTED_VALUE"""),"farmercryptocoin")</f>
        <v>farmercryptocoin</v>
      </c>
      <c r="B4438" s="3" t="str">
        <f>IFERROR(__xludf.DUMMYFUNCTION("""COMPUTED_VALUE"""),"fcc")</f>
        <v>fcc</v>
      </c>
      <c r="C4438" s="3" t="str">
        <f>IFERROR(__xludf.DUMMYFUNCTION("""COMPUTED_VALUE"""),"FarmerCryptoCoin")</f>
        <v>FarmerCryptoCoin</v>
      </c>
    </row>
    <row r="4439">
      <c r="A4439" s="3" t="str">
        <f>IFERROR(__xludf.DUMMYFUNCTION("""COMPUTED_VALUE"""),"farmerdoge")</f>
        <v>farmerdoge</v>
      </c>
      <c r="B4439" s="3" t="str">
        <f>IFERROR(__xludf.DUMMYFUNCTION("""COMPUTED_VALUE"""),"crop")</f>
        <v>crop</v>
      </c>
      <c r="C4439" s="3" t="str">
        <f>IFERROR(__xludf.DUMMYFUNCTION("""COMPUTED_VALUE"""),"FarmerDoge")</f>
        <v>FarmerDoge</v>
      </c>
    </row>
    <row r="4440">
      <c r="A4440" s="3" t="str">
        <f>IFERROR(__xludf.DUMMYFUNCTION("""COMPUTED_VALUE"""),"farmers-only")</f>
        <v>farmers-only</v>
      </c>
      <c r="B4440" s="3" t="str">
        <f>IFERROR(__xludf.DUMMYFUNCTION("""COMPUTED_VALUE"""),"fox")</f>
        <v>fox</v>
      </c>
      <c r="C4440" s="3" t="str">
        <f>IFERROR(__xludf.DUMMYFUNCTION("""COMPUTED_VALUE"""),"FoxSwap")</f>
        <v>FoxSwap</v>
      </c>
    </row>
    <row r="4441">
      <c r="A4441" s="3" t="str">
        <f>IFERROR(__xludf.DUMMYFUNCTION("""COMPUTED_VALUE"""),"farmers-world-wood")</f>
        <v>farmers-world-wood</v>
      </c>
      <c r="B4441" s="3" t="str">
        <f>IFERROR(__xludf.DUMMYFUNCTION("""COMPUTED_VALUE"""),"fww")</f>
        <v>fww</v>
      </c>
      <c r="C4441" s="3" t="str">
        <f>IFERROR(__xludf.DUMMYFUNCTION("""COMPUTED_VALUE"""),"Farmers World Wood")</f>
        <v>Farmers World Wood</v>
      </c>
    </row>
    <row r="4442">
      <c r="A4442" s="3" t="str">
        <f>IFERROR(__xludf.DUMMYFUNCTION("""COMPUTED_VALUE"""),"farming-paradise")</f>
        <v>farming-paradise</v>
      </c>
      <c r="B4442" s="3" t="str">
        <f>IFERROR(__xludf.DUMMYFUNCTION("""COMPUTED_VALUE"""),"fpg")</f>
        <v>fpg</v>
      </c>
      <c r="C4442" s="3" t="str">
        <f>IFERROR(__xludf.DUMMYFUNCTION("""COMPUTED_VALUE"""),"Farming Paradise")</f>
        <v>Farming Paradise</v>
      </c>
    </row>
    <row r="4443">
      <c r="A4443" s="3" t="str">
        <f>IFERROR(__xludf.DUMMYFUNCTION("""COMPUTED_VALUE"""),"farmland-protocol")</f>
        <v>farmland-protocol</v>
      </c>
      <c r="B4443" s="3" t="str">
        <f>IFERROR(__xludf.DUMMYFUNCTION("""COMPUTED_VALUE"""),"far")</f>
        <v>far</v>
      </c>
      <c r="C4443" s="3" t="str">
        <f>IFERROR(__xludf.DUMMYFUNCTION("""COMPUTED_VALUE"""),"Farmland Protocol")</f>
        <v>Farmland Protocol</v>
      </c>
    </row>
    <row r="4444">
      <c r="A4444" s="3" t="str">
        <f>IFERROR(__xludf.DUMMYFUNCTION("""COMPUTED_VALUE"""),"farm-planet")</f>
        <v>farm-planet</v>
      </c>
      <c r="B4444" s="3" t="str">
        <f>IFERROR(__xludf.DUMMYFUNCTION("""COMPUTED_VALUE"""),"fpl")</f>
        <v>fpl</v>
      </c>
      <c r="C4444" s="3" t="str">
        <f>IFERROR(__xludf.DUMMYFUNCTION("""COMPUTED_VALUE"""),"Farm Planet")</f>
        <v>Farm Planet</v>
      </c>
    </row>
    <row r="4445">
      <c r="A4445" s="3" t="str">
        <f>IFERROR(__xludf.DUMMYFUNCTION("""COMPUTED_VALUE"""),"farmpoly")</f>
        <v>farmpoly</v>
      </c>
      <c r="B4445" s="3" t="str">
        <f>IFERROR(__xludf.DUMMYFUNCTION("""COMPUTED_VALUE"""),"poly")</f>
        <v>poly</v>
      </c>
      <c r="C4445" s="3" t="str">
        <f>IFERROR(__xludf.DUMMYFUNCTION("""COMPUTED_VALUE"""),"FarmPoly")</f>
        <v>FarmPoly</v>
      </c>
    </row>
    <row r="4446">
      <c r="A4446" s="3" t="str">
        <f>IFERROR(__xludf.DUMMYFUNCTION("""COMPUTED_VALUE"""),"farm-skylines")</f>
        <v>farm-skylines</v>
      </c>
      <c r="B4446" s="3" t="str">
        <f>IFERROR(__xludf.DUMMYFUNCTION("""COMPUTED_VALUE"""),"fsk")</f>
        <v>fsk</v>
      </c>
      <c r="C4446" s="3" t="str">
        <f>IFERROR(__xludf.DUMMYFUNCTION("""COMPUTED_VALUE"""),"Farm Skylines")</f>
        <v>Farm Skylines</v>
      </c>
    </row>
    <row r="4447">
      <c r="A4447" s="3" t="str">
        <f>IFERROR(__xludf.DUMMYFUNCTION("""COMPUTED_VALUE"""),"farms-of-ryoshi")</f>
        <v>farms-of-ryoshi</v>
      </c>
      <c r="B4447" s="3" t="str">
        <f>IFERROR(__xludf.DUMMYFUNCTION("""COMPUTED_VALUE"""),"noni")</f>
        <v>noni</v>
      </c>
      <c r="C4447" s="3" t="str">
        <f>IFERROR(__xludf.DUMMYFUNCTION("""COMPUTED_VALUE"""),"Farms of Ryoshi")</f>
        <v>Farms of Ryoshi</v>
      </c>
    </row>
    <row r="4448">
      <c r="A4448" s="3" t="str">
        <f>IFERROR(__xludf.DUMMYFUNCTION("""COMPUTED_VALUE"""),"fashion-coin")</f>
        <v>fashion-coin</v>
      </c>
      <c r="B4448" s="3" t="str">
        <f>IFERROR(__xludf.DUMMYFUNCTION("""COMPUTED_VALUE"""),"fshn")</f>
        <v>fshn</v>
      </c>
      <c r="C4448" s="3" t="str">
        <f>IFERROR(__xludf.DUMMYFUNCTION("""COMPUTED_VALUE"""),"Fashion Coin")</f>
        <v>Fashion Coin</v>
      </c>
    </row>
    <row r="4449">
      <c r="A4449" s="3" t="str">
        <f>IFERROR(__xludf.DUMMYFUNCTION("""COMPUTED_VALUE"""),"fasst")</f>
        <v>fasst</v>
      </c>
      <c r="B4449" s="3" t="str">
        <f>IFERROR(__xludf.DUMMYFUNCTION("""COMPUTED_VALUE"""),"fas")</f>
        <v>fas</v>
      </c>
      <c r="C4449" s="3" t="str">
        <f>IFERROR(__xludf.DUMMYFUNCTION("""COMPUTED_VALUE"""),"Fasst")</f>
        <v>Fasst</v>
      </c>
    </row>
    <row r="4450">
      <c r="A4450" s="3" t="str">
        <f>IFERROR(__xludf.DUMMYFUNCTION("""COMPUTED_VALUE"""),"fast-finance")</f>
        <v>fast-finance</v>
      </c>
      <c r="B4450" s="3" t="str">
        <f>IFERROR(__xludf.DUMMYFUNCTION("""COMPUTED_VALUE"""),"fast")</f>
        <v>fast</v>
      </c>
      <c r="C4450" s="3" t="str">
        <f>IFERROR(__xludf.DUMMYFUNCTION("""COMPUTED_VALUE"""),"Fast Finance")</f>
        <v>Fast Finance</v>
      </c>
    </row>
    <row r="4451">
      <c r="A4451" s="3" t="str">
        <f>IFERROR(__xludf.DUMMYFUNCTION("""COMPUTED_VALUE"""),"fast-food-wolf-game")</f>
        <v>fast-food-wolf-game</v>
      </c>
      <c r="B4451" s="3" t="str">
        <f>IFERROR(__xludf.DUMMYFUNCTION("""COMPUTED_VALUE"""),"ffwool")</f>
        <v>ffwool</v>
      </c>
      <c r="C4451" s="3" t="str">
        <f>IFERROR(__xludf.DUMMYFUNCTION("""COMPUTED_VALUE"""),"Fast Food Wolf Game")</f>
        <v>Fast Food Wolf Game</v>
      </c>
    </row>
    <row r="4452">
      <c r="A4452" s="3" t="str">
        <f>IFERROR(__xludf.DUMMYFUNCTION("""COMPUTED_VALUE"""),"fastmoon")</f>
        <v>fastmoon</v>
      </c>
      <c r="B4452" s="3" t="str">
        <f>IFERROR(__xludf.DUMMYFUNCTION("""COMPUTED_VALUE"""),"fastmoon")</f>
        <v>fastmoon</v>
      </c>
      <c r="C4452" s="3" t="str">
        <f>IFERROR(__xludf.DUMMYFUNCTION("""COMPUTED_VALUE"""),"FastMoon")</f>
        <v>FastMoon</v>
      </c>
    </row>
    <row r="4453">
      <c r="A4453" s="3" t="str">
        <f>IFERROR(__xludf.DUMMYFUNCTION("""COMPUTED_VALUE"""),"fastswap")</f>
        <v>fastswap</v>
      </c>
      <c r="B4453" s="3" t="str">
        <f>IFERROR(__xludf.DUMMYFUNCTION("""COMPUTED_VALUE"""),"fast")</f>
        <v>fast</v>
      </c>
      <c r="C4453" s="3" t="str">
        <f>IFERROR(__xludf.DUMMYFUNCTION("""COMPUTED_VALUE"""),"FastSwap")</f>
        <v>FastSwap</v>
      </c>
    </row>
    <row r="4454">
      <c r="A4454" s="3" t="str">
        <f>IFERROR(__xludf.DUMMYFUNCTION("""COMPUTED_VALUE"""),"fastswap-bsc")</f>
        <v>fastswap-bsc</v>
      </c>
      <c r="B4454" s="3" t="str">
        <f>IFERROR(__xludf.DUMMYFUNCTION("""COMPUTED_VALUE"""),"fast")</f>
        <v>fast</v>
      </c>
      <c r="C4454" s="3" t="str">
        <f>IFERROR(__xludf.DUMMYFUNCTION("""COMPUTED_VALUE"""),"Fastswap (BSC)")</f>
        <v>Fastswap (BSC)</v>
      </c>
    </row>
    <row r="4455">
      <c r="A4455" s="3" t="str">
        <f>IFERROR(__xludf.DUMMYFUNCTION("""COMPUTED_VALUE"""),"fatcake")</f>
        <v>fatcake</v>
      </c>
      <c r="B4455" s="3" t="str">
        <f>IFERROR(__xludf.DUMMYFUNCTION("""COMPUTED_VALUE"""),"fatcake")</f>
        <v>fatcake</v>
      </c>
      <c r="C4455" s="3" t="str">
        <f>IFERROR(__xludf.DUMMYFUNCTION("""COMPUTED_VALUE"""),"FatCake")</f>
        <v>FatCake</v>
      </c>
    </row>
    <row r="4456">
      <c r="A4456" s="3" t="str">
        <f>IFERROR(__xludf.DUMMYFUNCTION("""COMPUTED_VALUE"""),"fat-cat-killer")</f>
        <v>fat-cat-killer</v>
      </c>
      <c r="B4456" s="3" t="str">
        <f>IFERROR(__xludf.DUMMYFUNCTION("""COMPUTED_VALUE"""),"killer")</f>
        <v>killer</v>
      </c>
      <c r="C4456" s="3" t="str">
        <f>IFERROR(__xludf.DUMMYFUNCTION("""COMPUTED_VALUE"""),"Fat Cat Killer")</f>
        <v>Fat Cat Killer</v>
      </c>
    </row>
    <row r="4457">
      <c r="A4457" s="3" t="str">
        <f>IFERROR(__xludf.DUMMYFUNCTION("""COMPUTED_VALUE"""),"fat-doge")</f>
        <v>fat-doge</v>
      </c>
      <c r="B4457" s="3" t="str">
        <f>IFERROR(__xludf.DUMMYFUNCTION("""COMPUTED_VALUE"""),"foge")</f>
        <v>foge</v>
      </c>
      <c r="C4457" s="3" t="str">
        <f>IFERROR(__xludf.DUMMYFUNCTION("""COMPUTED_VALUE"""),"Fat Doge")</f>
        <v>Fat Doge</v>
      </c>
    </row>
    <row r="4458">
      <c r="A4458" s="3" t="str">
        <f>IFERROR(__xludf.DUMMYFUNCTION("""COMPUTED_VALUE"""),"fate-token")</f>
        <v>fate-token</v>
      </c>
      <c r="B4458" s="3" t="str">
        <f>IFERROR(__xludf.DUMMYFUNCTION("""COMPUTED_VALUE"""),"fate")</f>
        <v>fate</v>
      </c>
      <c r="C4458" s="3" t="str">
        <f>IFERROR(__xludf.DUMMYFUNCTION("""COMPUTED_VALUE"""),"Fate")</f>
        <v>Fate</v>
      </c>
    </row>
    <row r="4459">
      <c r="A4459" s="3" t="str">
        <f>IFERROR(__xludf.DUMMYFUNCTION("""COMPUTED_VALUE"""),"fatih-karagumruk-sk-fan-token")</f>
        <v>fatih-karagumruk-sk-fan-token</v>
      </c>
      <c r="B4459" s="3" t="str">
        <f>IFERROR(__xludf.DUMMYFUNCTION("""COMPUTED_VALUE"""),"fksk")</f>
        <v>fksk</v>
      </c>
      <c r="C4459" s="3" t="str">
        <f>IFERROR(__xludf.DUMMYFUNCTION("""COMPUTED_VALUE"""),"Fatih Karagümrük SK Fan Token")</f>
        <v>Fatih Karagümrük SK Fan Token</v>
      </c>
    </row>
    <row r="4460">
      <c r="A4460" s="3" t="str">
        <f>IFERROR(__xludf.DUMMYFUNCTION("""COMPUTED_VALUE"""),"fat-satoshi")</f>
        <v>fat-satoshi</v>
      </c>
      <c r="B4460" s="3" t="str">
        <f>IFERROR(__xludf.DUMMYFUNCTION("""COMPUTED_VALUE"""),"fatoshi")</f>
        <v>fatoshi</v>
      </c>
      <c r="C4460" s="3" t="str">
        <f>IFERROR(__xludf.DUMMYFUNCTION("""COMPUTED_VALUE"""),"Fat Satoshi")</f>
        <v>Fat Satoshi</v>
      </c>
    </row>
    <row r="4461">
      <c r="A4461" s="3" t="str">
        <f>IFERROR(__xludf.DUMMYFUNCTION("""COMPUTED_VALUE"""),"favecoin")</f>
        <v>favecoin</v>
      </c>
      <c r="B4461" s="3" t="str">
        <f>IFERROR(__xludf.DUMMYFUNCTION("""COMPUTED_VALUE"""),"fave")</f>
        <v>fave</v>
      </c>
      <c r="C4461" s="3" t="str">
        <f>IFERROR(__xludf.DUMMYFUNCTION("""COMPUTED_VALUE"""),"Favecoin")</f>
        <v>Favecoin</v>
      </c>
    </row>
    <row r="4462">
      <c r="A4462" s="3" t="str">
        <f>IFERROR(__xludf.DUMMYFUNCTION("""COMPUTED_VALUE"""),"favor")</f>
        <v>favor</v>
      </c>
      <c r="B4462" s="3" t="str">
        <f>IFERROR(__xludf.DUMMYFUNCTION("""COMPUTED_VALUE"""),"favor")</f>
        <v>favor</v>
      </c>
      <c r="C4462" s="3" t="str">
        <f>IFERROR(__xludf.DUMMYFUNCTION("""COMPUTED_VALUE"""),"Favor")</f>
        <v>Favor</v>
      </c>
    </row>
    <row r="4463">
      <c r="A4463" s="3" t="str">
        <f>IFERROR(__xludf.DUMMYFUNCTION("""COMPUTED_VALUE"""),"fayre")</f>
        <v>fayre</v>
      </c>
      <c r="B4463" s="3" t="str">
        <f>IFERROR(__xludf.DUMMYFUNCTION("""COMPUTED_VALUE"""),"fayre")</f>
        <v>fayre</v>
      </c>
      <c r="C4463" s="3" t="str">
        <f>IFERROR(__xludf.DUMMYFUNCTION("""COMPUTED_VALUE"""),"Fayre")</f>
        <v>Fayre</v>
      </c>
    </row>
    <row r="4464">
      <c r="A4464" s="3" t="str">
        <f>IFERROR(__xludf.DUMMYFUNCTION("""COMPUTED_VALUE"""),"fbomb")</f>
        <v>fbomb</v>
      </c>
      <c r="B4464" s="3" t="str">
        <f>IFERROR(__xludf.DUMMYFUNCTION("""COMPUTED_VALUE"""),"bomb")</f>
        <v>bomb</v>
      </c>
      <c r="C4464" s="3" t="str">
        <f>IFERROR(__xludf.DUMMYFUNCTION("""COMPUTED_VALUE"""),"fBOMB")</f>
        <v>fBOMB</v>
      </c>
    </row>
    <row r="4465">
      <c r="A4465" s="3" t="str">
        <f>IFERROR(__xludf.DUMMYFUNCTION("""COMPUTED_VALUE"""),"fc-barcelona-fan-token")</f>
        <v>fc-barcelona-fan-token</v>
      </c>
      <c r="B4465" s="3" t="str">
        <f>IFERROR(__xludf.DUMMYFUNCTION("""COMPUTED_VALUE"""),"bar")</f>
        <v>bar</v>
      </c>
      <c r="C4465" s="3" t="str">
        <f>IFERROR(__xludf.DUMMYFUNCTION("""COMPUTED_VALUE"""),"FC Barcelona Fan Token")</f>
        <v>FC Barcelona Fan Token</v>
      </c>
    </row>
    <row r="4466">
      <c r="A4466" s="3" t="str">
        <f>IFERROR(__xludf.DUMMYFUNCTION("""COMPUTED_VALUE"""),"fc-porto")</f>
        <v>fc-porto</v>
      </c>
      <c r="B4466" s="3" t="str">
        <f>IFERROR(__xludf.DUMMYFUNCTION("""COMPUTED_VALUE"""),"porto")</f>
        <v>porto</v>
      </c>
      <c r="C4466" s="3" t="str">
        <f>IFERROR(__xludf.DUMMYFUNCTION("""COMPUTED_VALUE"""),"FC Porto")</f>
        <v>FC Porto</v>
      </c>
    </row>
    <row r="4467">
      <c r="A4467" s="3" t="str">
        <f>IFERROR(__xludf.DUMMYFUNCTION("""COMPUTED_VALUE"""),"fc-sion-fan-token")</f>
        <v>fc-sion-fan-token</v>
      </c>
      <c r="B4467" s="3" t="str">
        <f>IFERROR(__xludf.DUMMYFUNCTION("""COMPUTED_VALUE"""),"sion")</f>
        <v>sion</v>
      </c>
      <c r="C4467" s="3" t="str">
        <f>IFERROR(__xludf.DUMMYFUNCTION("""COMPUTED_VALUE"""),"FC Sion Fan Token")</f>
        <v>FC Sion Fan Token</v>
      </c>
    </row>
    <row r="4468">
      <c r="A4468" s="3" t="str">
        <f>IFERROR(__xludf.DUMMYFUNCTION("""COMPUTED_VALUE"""),"fds")</f>
        <v>fds</v>
      </c>
      <c r="B4468" s="3" t="str">
        <f>IFERROR(__xludf.DUMMYFUNCTION("""COMPUTED_VALUE"""),"fds")</f>
        <v>fds</v>
      </c>
      <c r="C4468" s="3" t="str">
        <f>IFERROR(__xludf.DUMMYFUNCTION("""COMPUTED_VALUE"""),"Fair Dollars")</f>
        <v>Fair Dollars</v>
      </c>
    </row>
    <row r="4469">
      <c r="A4469" s="3" t="str">
        <f>IFERROR(__xludf.DUMMYFUNCTION("""COMPUTED_VALUE"""),"fear")</f>
        <v>fear</v>
      </c>
      <c r="B4469" s="3" t="str">
        <f>IFERROR(__xludf.DUMMYFUNCTION("""COMPUTED_VALUE"""),"fear")</f>
        <v>fear</v>
      </c>
      <c r="C4469" s="3" t="str">
        <f>IFERROR(__xludf.DUMMYFUNCTION("""COMPUTED_VALUE"""),"Fear")</f>
        <v>Fear</v>
      </c>
    </row>
    <row r="4470">
      <c r="A4470" s="3" t="str">
        <f>IFERROR(__xludf.DUMMYFUNCTION("""COMPUTED_VALUE"""),"feathercoin")</f>
        <v>feathercoin</v>
      </c>
      <c r="B4470" s="3" t="str">
        <f>IFERROR(__xludf.DUMMYFUNCTION("""COMPUTED_VALUE"""),"ftc")</f>
        <v>ftc</v>
      </c>
      <c r="C4470" s="3" t="str">
        <f>IFERROR(__xludf.DUMMYFUNCTION("""COMPUTED_VALUE"""),"Feathercoin")</f>
        <v>Feathercoin</v>
      </c>
    </row>
    <row r="4471">
      <c r="A4471" s="3" t="str">
        <f>IFERROR(__xludf.DUMMYFUNCTION("""COMPUTED_VALUE"""),"fedoracoin")</f>
        <v>fedoracoin</v>
      </c>
      <c r="B4471" s="3" t="str">
        <f>IFERROR(__xludf.DUMMYFUNCTION("""COMPUTED_VALUE"""),"tips")</f>
        <v>tips</v>
      </c>
      <c r="C4471" s="3" t="str">
        <f>IFERROR(__xludf.DUMMYFUNCTION("""COMPUTED_VALUE"""),"Fedoracoin")</f>
        <v>Fedoracoin</v>
      </c>
    </row>
    <row r="4472">
      <c r="A4472" s="3" t="str">
        <f>IFERROR(__xludf.DUMMYFUNCTION("""COMPUTED_VALUE"""),"fedora-gold")</f>
        <v>fedora-gold</v>
      </c>
      <c r="B4472" s="3" t="str">
        <f>IFERROR(__xludf.DUMMYFUNCTION("""COMPUTED_VALUE"""),"fed")</f>
        <v>fed</v>
      </c>
      <c r="C4472" s="3" t="str">
        <f>IFERROR(__xludf.DUMMYFUNCTION("""COMPUTED_VALUE"""),"Fedora Gold")</f>
        <v>Fedora Gold</v>
      </c>
    </row>
    <row r="4473">
      <c r="A4473" s="3" t="str">
        <f>IFERROR(__xludf.DUMMYFUNCTION("""COMPUTED_VALUE"""),"feeder-finance")</f>
        <v>feeder-finance</v>
      </c>
      <c r="B4473" s="3" t="str">
        <f>IFERROR(__xludf.DUMMYFUNCTION("""COMPUTED_VALUE"""),"feed")</f>
        <v>feed</v>
      </c>
      <c r="C4473" s="3" t="str">
        <f>IFERROR(__xludf.DUMMYFUNCTION("""COMPUTED_VALUE"""),"Feeder Finance")</f>
        <v>Feeder Finance</v>
      </c>
    </row>
    <row r="4474">
      <c r="A4474" s="3" t="str">
        <f>IFERROR(__xludf.DUMMYFUNCTION("""COMPUTED_VALUE"""),"feg-token")</f>
        <v>feg-token</v>
      </c>
      <c r="B4474" s="3" t="str">
        <f>IFERROR(__xludf.DUMMYFUNCTION("""COMPUTED_VALUE"""),"feg")</f>
        <v>feg</v>
      </c>
      <c r="C4474" s="3" t="str">
        <f>IFERROR(__xludf.DUMMYFUNCTION("""COMPUTED_VALUE"""),"FEG")</f>
        <v>FEG</v>
      </c>
    </row>
    <row r="4475">
      <c r="A4475" s="3" t="str">
        <f>IFERROR(__xludf.DUMMYFUNCTION("""COMPUTED_VALUE"""),"feg-token-bsc")</f>
        <v>feg-token-bsc</v>
      </c>
      <c r="B4475" s="3" t="str">
        <f>IFERROR(__xludf.DUMMYFUNCTION("""COMPUTED_VALUE"""),"feg")</f>
        <v>feg</v>
      </c>
      <c r="C4475" s="3" t="str">
        <f>IFERROR(__xludf.DUMMYFUNCTION("""COMPUTED_VALUE"""),"FEG BSC")</f>
        <v>FEG BSC</v>
      </c>
    </row>
    <row r="4476">
      <c r="A4476" s="3" t="str">
        <f>IFERROR(__xludf.DUMMYFUNCTION("""COMPUTED_VALUE"""),"feichang-niu")</f>
        <v>feichang-niu</v>
      </c>
      <c r="B4476" s="3" t="str">
        <f>IFERROR(__xludf.DUMMYFUNCTION("""COMPUTED_VALUE"""),"fcn")</f>
        <v>fcn</v>
      </c>
      <c r="C4476" s="3" t="str">
        <f>IFERROR(__xludf.DUMMYFUNCTION("""COMPUTED_VALUE"""),"Feichang Niu")</f>
        <v>Feichang Niu</v>
      </c>
    </row>
    <row r="4477">
      <c r="A4477" s="3" t="str">
        <f>IFERROR(__xludf.DUMMYFUNCTION("""COMPUTED_VALUE"""),"feisty-doge-nft")</f>
        <v>feisty-doge-nft</v>
      </c>
      <c r="B4477" s="3" t="str">
        <f>IFERROR(__xludf.DUMMYFUNCTION("""COMPUTED_VALUE"""),"nfd")</f>
        <v>nfd</v>
      </c>
      <c r="C4477" s="3" t="str">
        <f>IFERROR(__xludf.DUMMYFUNCTION("""COMPUTED_VALUE"""),"Feisty Doge NFT")</f>
        <v>Feisty Doge NFT</v>
      </c>
    </row>
    <row r="4478">
      <c r="A4478" s="3" t="str">
        <f>IFERROR(__xludf.DUMMYFUNCTION("""COMPUTED_VALUE"""),"fei-usd")</f>
        <v>fei-usd</v>
      </c>
      <c r="B4478" s="3" t="str">
        <f>IFERROR(__xludf.DUMMYFUNCTION("""COMPUTED_VALUE"""),"fei")</f>
        <v>fei</v>
      </c>
      <c r="C4478" s="3" t="str">
        <f>IFERROR(__xludf.DUMMYFUNCTION("""COMPUTED_VALUE"""),"Fei USD")</f>
        <v>Fei USD</v>
      </c>
    </row>
    <row r="4479">
      <c r="A4479" s="3" t="str">
        <f>IFERROR(__xludf.DUMMYFUNCTION("""COMPUTED_VALUE"""),"felix")</f>
        <v>felix</v>
      </c>
      <c r="B4479" s="3" t="str">
        <f>IFERROR(__xludf.DUMMYFUNCTION("""COMPUTED_VALUE"""),"flx")</f>
        <v>flx</v>
      </c>
      <c r="C4479" s="3" t="str">
        <f>IFERROR(__xludf.DUMMYFUNCTION("""COMPUTED_VALUE"""),"Felix")</f>
        <v>Felix</v>
      </c>
    </row>
    <row r="4480">
      <c r="A4480" s="3" t="str">
        <f>IFERROR(__xludf.DUMMYFUNCTION("""COMPUTED_VALUE"""),"fellaz")</f>
        <v>fellaz</v>
      </c>
      <c r="B4480" s="3" t="str">
        <f>IFERROR(__xludf.DUMMYFUNCTION("""COMPUTED_VALUE"""),"flz")</f>
        <v>flz</v>
      </c>
      <c r="C4480" s="3" t="str">
        <f>IFERROR(__xludf.DUMMYFUNCTION("""COMPUTED_VALUE"""),"Fellaz")</f>
        <v>Fellaz</v>
      </c>
    </row>
    <row r="4481">
      <c r="A4481" s="3" t="str">
        <f>IFERROR(__xludf.DUMMYFUNCTION("""COMPUTED_VALUE"""),"fenerbahce-token")</f>
        <v>fenerbahce-token</v>
      </c>
      <c r="B4481" s="3" t="str">
        <f>IFERROR(__xludf.DUMMYFUNCTION("""COMPUTED_VALUE"""),"fb")</f>
        <v>fb</v>
      </c>
      <c r="C4481" s="3" t="str">
        <f>IFERROR(__xludf.DUMMYFUNCTION("""COMPUTED_VALUE"""),"Fenerbahçe")</f>
        <v>Fenerbahçe</v>
      </c>
    </row>
    <row r="4482">
      <c r="A4482" s="3" t="str">
        <f>IFERROR(__xludf.DUMMYFUNCTION("""COMPUTED_VALUE"""),"fenix-danjon")</f>
        <v>fenix-danjon</v>
      </c>
      <c r="B4482" s="3" t="str">
        <f>IFERROR(__xludf.DUMMYFUNCTION("""COMPUTED_VALUE"""),"djn")</f>
        <v>djn</v>
      </c>
      <c r="C4482" s="3" t="str">
        <f>IFERROR(__xludf.DUMMYFUNCTION("""COMPUTED_VALUE"""),"Fenix Danjon")</f>
        <v>Fenix Danjon</v>
      </c>
    </row>
    <row r="4483">
      <c r="A4483" s="3" t="str">
        <f>IFERROR(__xludf.DUMMYFUNCTION("""COMPUTED_VALUE"""),"fenix-inu")</f>
        <v>fenix-inu</v>
      </c>
      <c r="B4483" s="3" t="str">
        <f>IFERROR(__xludf.DUMMYFUNCTION("""COMPUTED_VALUE"""),"fnix")</f>
        <v>fnix</v>
      </c>
      <c r="C4483" s="3" t="str">
        <f>IFERROR(__xludf.DUMMYFUNCTION("""COMPUTED_VALUE"""),"Fenix Inu")</f>
        <v>Fenix Inu</v>
      </c>
    </row>
    <row r="4484">
      <c r="A4484" s="3" t="str">
        <f>IFERROR(__xludf.DUMMYFUNCTION("""COMPUTED_VALUE"""),"fenomy")</f>
        <v>fenomy</v>
      </c>
      <c r="B4484" s="3" t="str">
        <f>IFERROR(__xludf.DUMMYFUNCTION("""COMPUTED_VALUE"""),"fenomy")</f>
        <v>fenomy</v>
      </c>
      <c r="C4484" s="3" t="str">
        <f>IFERROR(__xludf.DUMMYFUNCTION("""COMPUTED_VALUE"""),"Fenomy")</f>
        <v>Fenomy</v>
      </c>
    </row>
    <row r="4485">
      <c r="A4485" s="3" t="str">
        <f>IFERROR(__xludf.DUMMYFUNCTION("""COMPUTED_VALUE"""),"fera")</f>
        <v>fera</v>
      </c>
      <c r="B4485" s="3" t="str">
        <f>IFERROR(__xludf.DUMMYFUNCTION("""COMPUTED_VALUE"""),"fera")</f>
        <v>fera</v>
      </c>
      <c r="C4485" s="3" t="str">
        <f>IFERROR(__xludf.DUMMYFUNCTION("""COMPUTED_VALUE"""),"Fera")</f>
        <v>Fera</v>
      </c>
    </row>
    <row r="4486">
      <c r="A4486" s="3" t="str">
        <f>IFERROR(__xludf.DUMMYFUNCTION("""COMPUTED_VALUE"""),"ferma")</f>
        <v>ferma</v>
      </c>
      <c r="B4486" s="3" t="str">
        <f>IFERROR(__xludf.DUMMYFUNCTION("""COMPUTED_VALUE"""),"ferma")</f>
        <v>ferma</v>
      </c>
      <c r="C4486" s="3" t="str">
        <f>IFERROR(__xludf.DUMMYFUNCTION("""COMPUTED_VALUE"""),"Ferma")</f>
        <v>Ferma</v>
      </c>
    </row>
    <row r="4487">
      <c r="A4487" s="3" t="str">
        <f>IFERROR(__xludf.DUMMYFUNCTION("""COMPUTED_VALUE"""),"ferro")</f>
        <v>ferro</v>
      </c>
      <c r="B4487" s="3" t="str">
        <f>IFERROR(__xludf.DUMMYFUNCTION("""COMPUTED_VALUE"""),"fer")</f>
        <v>fer</v>
      </c>
      <c r="C4487" s="3" t="str">
        <f>IFERROR(__xludf.DUMMYFUNCTION("""COMPUTED_VALUE"""),"Ferro")</f>
        <v>Ferro</v>
      </c>
    </row>
    <row r="4488">
      <c r="A4488" s="3" t="str">
        <f>IFERROR(__xludf.DUMMYFUNCTION("""COMPUTED_VALUE"""),"ferrum-network")</f>
        <v>ferrum-network</v>
      </c>
      <c r="B4488" s="3" t="str">
        <f>IFERROR(__xludf.DUMMYFUNCTION("""COMPUTED_VALUE"""),"frm")</f>
        <v>frm</v>
      </c>
      <c r="C4488" s="3" t="str">
        <f>IFERROR(__xludf.DUMMYFUNCTION("""COMPUTED_VALUE"""),"Ferrum Network")</f>
        <v>Ferrum Network</v>
      </c>
    </row>
    <row r="4489">
      <c r="A4489" s="3" t="str">
        <f>IFERROR(__xludf.DUMMYFUNCTION("""COMPUTED_VALUE"""),"fertilizer")</f>
        <v>fertilizer</v>
      </c>
      <c r="B4489" s="3" t="str">
        <f>IFERROR(__xludf.DUMMYFUNCTION("""COMPUTED_VALUE"""),"frt")</f>
        <v>frt</v>
      </c>
      <c r="C4489" s="3" t="str">
        <f>IFERROR(__xludf.DUMMYFUNCTION("""COMPUTED_VALUE"""),"Fertilizer")</f>
        <v>Fertilizer</v>
      </c>
    </row>
    <row r="4490">
      <c r="A4490" s="3" t="str">
        <f>IFERROR(__xludf.DUMMYFUNCTION("""COMPUTED_VALUE"""),"fess-chain")</f>
        <v>fess-chain</v>
      </c>
      <c r="B4490" s="3" t="str">
        <f>IFERROR(__xludf.DUMMYFUNCTION("""COMPUTED_VALUE"""),"fess")</f>
        <v>fess</v>
      </c>
      <c r="C4490" s="3" t="str">
        <f>IFERROR(__xludf.DUMMYFUNCTION("""COMPUTED_VALUE"""),"Fesschain")</f>
        <v>Fesschain</v>
      </c>
    </row>
    <row r="4491">
      <c r="A4491" s="3" t="str">
        <f>IFERROR(__xludf.DUMMYFUNCTION("""COMPUTED_VALUE"""),"festa-finance")</f>
        <v>festa-finance</v>
      </c>
      <c r="B4491" s="3" t="str">
        <f>IFERROR(__xludf.DUMMYFUNCTION("""COMPUTED_VALUE"""),"ffa")</f>
        <v>ffa</v>
      </c>
      <c r="C4491" s="3" t="str">
        <f>IFERROR(__xludf.DUMMYFUNCTION("""COMPUTED_VALUE"""),"Festa Finance")</f>
        <v>Festa Finance</v>
      </c>
    </row>
    <row r="4492">
      <c r="A4492" s="3" t="str">
        <f>IFERROR(__xludf.DUMMYFUNCTION("""COMPUTED_VALUE"""),"fetch-ai")</f>
        <v>fetch-ai</v>
      </c>
      <c r="B4492" s="3" t="str">
        <f>IFERROR(__xludf.DUMMYFUNCTION("""COMPUTED_VALUE"""),"fet")</f>
        <v>fet</v>
      </c>
      <c r="C4492" s="4" t="str">
        <f>IFERROR(__xludf.DUMMYFUNCTION("""COMPUTED_VALUE"""),"Fetch.ai")</f>
        <v>Fetch.ai</v>
      </c>
    </row>
    <row r="4493">
      <c r="A4493" s="3" t="str">
        <f>IFERROR(__xludf.DUMMYFUNCTION("""COMPUTED_VALUE"""),"feyorra")</f>
        <v>feyorra</v>
      </c>
      <c r="B4493" s="3" t="str">
        <f>IFERROR(__xludf.DUMMYFUNCTION("""COMPUTED_VALUE"""),"fey")</f>
        <v>fey</v>
      </c>
      <c r="C4493" s="3" t="str">
        <f>IFERROR(__xludf.DUMMYFUNCTION("""COMPUTED_VALUE"""),"Feyorra")</f>
        <v>Feyorra</v>
      </c>
    </row>
    <row r="4494">
      <c r="A4494" s="3" t="str">
        <f>IFERROR(__xludf.DUMMYFUNCTION("""COMPUTED_VALUE"""),"fia-protocol")</f>
        <v>fia-protocol</v>
      </c>
      <c r="B4494" s="3" t="str">
        <f>IFERROR(__xludf.DUMMYFUNCTION("""COMPUTED_VALUE"""),"fia")</f>
        <v>fia</v>
      </c>
      <c r="C4494" s="3" t="str">
        <f>IFERROR(__xludf.DUMMYFUNCTION("""COMPUTED_VALUE"""),"FIA Protocol")</f>
        <v>FIA Protocol</v>
      </c>
    </row>
    <row r="4495">
      <c r="A4495" s="3" t="str">
        <f>IFERROR(__xludf.DUMMYFUNCTION("""COMPUTED_VALUE"""),"fiat24-usd")</f>
        <v>fiat24-usd</v>
      </c>
      <c r="B4495" s="3" t="str">
        <f>IFERROR(__xludf.DUMMYFUNCTION("""COMPUTED_VALUE"""),"usd24")</f>
        <v>usd24</v>
      </c>
      <c r="C4495" s="3" t="str">
        <f>IFERROR(__xludf.DUMMYFUNCTION("""COMPUTED_VALUE"""),"Fiat24 USD")</f>
        <v>Fiat24 USD</v>
      </c>
    </row>
    <row r="4496">
      <c r="A4496" s="3" t="str">
        <f>IFERROR(__xludf.DUMMYFUNCTION("""COMPUTED_VALUE"""),"fiat-dao-token")</f>
        <v>fiat-dao-token</v>
      </c>
      <c r="B4496" s="3" t="str">
        <f>IFERROR(__xludf.DUMMYFUNCTION("""COMPUTED_VALUE"""),"fdt")</f>
        <v>fdt</v>
      </c>
      <c r="C4496" s="3" t="str">
        <f>IFERROR(__xludf.DUMMYFUNCTION("""COMPUTED_VALUE"""),"Fiat DAO")</f>
        <v>Fiat DAO</v>
      </c>
    </row>
    <row r="4497">
      <c r="A4497" s="3" t="str">
        <f>IFERROR(__xludf.DUMMYFUNCTION("""COMPUTED_VALUE"""),"fibitpro-exchange")</f>
        <v>fibitpro-exchange</v>
      </c>
      <c r="B4497" s="3" t="str">
        <f>IFERROR(__xludf.DUMMYFUNCTION("""COMPUTED_VALUE"""),"fbt")</f>
        <v>fbt</v>
      </c>
      <c r="C4497" s="3" t="str">
        <f>IFERROR(__xludf.DUMMYFUNCTION("""COMPUTED_VALUE"""),"Fibitpro Exchange")</f>
        <v>Fibitpro Exchange</v>
      </c>
    </row>
    <row r="4498">
      <c r="A4498" s="3" t="str">
        <f>IFERROR(__xludf.DUMMYFUNCTION("""COMPUTED_VALUE"""),"fibodex")</f>
        <v>fibodex</v>
      </c>
      <c r="B4498" s="3" t="str">
        <f>IFERROR(__xludf.DUMMYFUNCTION("""COMPUTED_VALUE"""),"fibo")</f>
        <v>fibo</v>
      </c>
      <c r="C4498" s="3" t="str">
        <f>IFERROR(__xludf.DUMMYFUNCTION("""COMPUTED_VALUE"""),"FiboDex")</f>
        <v>FiboDex</v>
      </c>
    </row>
    <row r="4499">
      <c r="A4499" s="3" t="str">
        <f>IFERROR(__xludf.DUMMYFUNCTION("""COMPUTED_VALUE"""),"fibos")</f>
        <v>fibos</v>
      </c>
      <c r="B4499" s="3" t="str">
        <f>IFERROR(__xludf.DUMMYFUNCTION("""COMPUTED_VALUE"""),"fo")</f>
        <v>fo</v>
      </c>
      <c r="C4499" s="3" t="str">
        <f>IFERROR(__xludf.DUMMYFUNCTION("""COMPUTED_VALUE"""),"FIBOS")</f>
        <v>FIBOS</v>
      </c>
    </row>
    <row r="4500">
      <c r="A4500" s="3" t="str">
        <f>IFERROR(__xludf.DUMMYFUNCTION("""COMPUTED_VALUE"""),"fibo-token")</f>
        <v>fibo-token</v>
      </c>
      <c r="B4500" s="3" t="str">
        <f>IFERROR(__xludf.DUMMYFUNCTION("""COMPUTED_VALUE"""),"fibo")</f>
        <v>fibo</v>
      </c>
      <c r="C4500" s="3" t="str">
        <f>IFERROR(__xludf.DUMMYFUNCTION("""COMPUTED_VALUE"""),"FibSwap DEX")</f>
        <v>FibSwap DEX</v>
      </c>
    </row>
    <row r="4501">
      <c r="A4501" s="3" t="str">
        <f>IFERROR(__xludf.DUMMYFUNCTION("""COMPUTED_VALUE"""),"fida")</f>
        <v>fida</v>
      </c>
      <c r="B4501" s="3" t="str">
        <f>IFERROR(__xludf.DUMMYFUNCTION("""COMPUTED_VALUE"""),"fid")</f>
        <v>fid</v>
      </c>
      <c r="C4501" s="3" t="str">
        <f>IFERROR(__xludf.DUMMYFUNCTION("""COMPUTED_VALUE"""),"Fida")</f>
        <v>Fida</v>
      </c>
    </row>
    <row r="4502">
      <c r="A4502" s="3" t="str">
        <f>IFERROR(__xludf.DUMMYFUNCTION("""COMPUTED_VALUE"""),"fidance")</f>
        <v>fidance</v>
      </c>
      <c r="B4502" s="3" t="str">
        <f>IFERROR(__xludf.DUMMYFUNCTION("""COMPUTED_VALUE"""),"fdc")</f>
        <v>fdc</v>
      </c>
      <c r="C4502" s="3" t="str">
        <f>IFERROR(__xludf.DUMMYFUNCTION("""COMPUTED_VALUE"""),"Fidance")</f>
        <v>Fidance</v>
      </c>
    </row>
    <row r="4503">
      <c r="A4503" s="3" t="str">
        <f>IFERROR(__xludf.DUMMYFUNCTION("""COMPUTED_VALUE"""),"fidelis")</f>
        <v>fidelis</v>
      </c>
      <c r="B4503" s="3" t="str">
        <f>IFERROR(__xludf.DUMMYFUNCTION("""COMPUTED_VALUE"""),"fdls")</f>
        <v>fdls</v>
      </c>
      <c r="C4503" s="3" t="str">
        <f>IFERROR(__xludf.DUMMYFUNCTION("""COMPUTED_VALUE"""),"FIDELIS")</f>
        <v>FIDELIS</v>
      </c>
    </row>
    <row r="4504">
      <c r="A4504" s="3" t="str">
        <f>IFERROR(__xludf.DUMMYFUNCTION("""COMPUTED_VALUE"""),"fidex-exchange")</f>
        <v>fidex-exchange</v>
      </c>
      <c r="B4504" s="3" t="str">
        <f>IFERROR(__xludf.DUMMYFUNCTION("""COMPUTED_VALUE"""),"fex")</f>
        <v>fex</v>
      </c>
      <c r="C4504" s="3" t="str">
        <f>IFERROR(__xludf.DUMMYFUNCTION("""COMPUTED_VALUE"""),"FIDEX Exchange")</f>
        <v>FIDEX Exchange</v>
      </c>
    </row>
    <row r="4505">
      <c r="A4505" s="3" t="str">
        <f>IFERROR(__xludf.DUMMYFUNCTION("""COMPUTED_VALUE"""),"fidira")</f>
        <v>fidira</v>
      </c>
      <c r="B4505" s="3" t="str">
        <f>IFERROR(__xludf.DUMMYFUNCTION("""COMPUTED_VALUE"""),"fid")</f>
        <v>fid</v>
      </c>
      <c r="C4505" s="3" t="str">
        <f>IFERROR(__xludf.DUMMYFUNCTION("""COMPUTED_VALUE"""),"Fidira")</f>
        <v>Fidira</v>
      </c>
    </row>
    <row r="4506">
      <c r="A4506" s="3" t="str">
        <f>IFERROR(__xludf.DUMMYFUNCTION("""COMPUTED_VALUE"""),"fidlecoin")</f>
        <v>fidlecoin</v>
      </c>
      <c r="B4506" s="3" t="str">
        <f>IFERROR(__xludf.DUMMYFUNCTION("""COMPUTED_VALUE"""),"fidle")</f>
        <v>fidle</v>
      </c>
      <c r="C4506" s="3" t="str">
        <f>IFERROR(__xludf.DUMMYFUNCTION("""COMPUTED_VALUE"""),"Fidlecoin")</f>
        <v>Fidlecoin</v>
      </c>
    </row>
    <row r="4507">
      <c r="A4507" s="3" t="str">
        <f>IFERROR(__xludf.DUMMYFUNCTION("""COMPUTED_VALUE"""),"fidometa")</f>
        <v>fidometa</v>
      </c>
      <c r="B4507" s="3" t="str">
        <f>IFERROR(__xludf.DUMMYFUNCTION("""COMPUTED_VALUE"""),"fmc")</f>
        <v>fmc</v>
      </c>
      <c r="C4507" s="3" t="str">
        <f>IFERROR(__xludf.DUMMYFUNCTION("""COMPUTED_VALUE"""),"FidoMeta")</f>
        <v>FidoMeta</v>
      </c>
    </row>
    <row r="4508">
      <c r="A4508" s="3" t="str">
        <f>IFERROR(__xludf.DUMMYFUNCTION("""COMPUTED_VALUE"""),"fidu")</f>
        <v>fidu</v>
      </c>
      <c r="B4508" s="3" t="str">
        <f>IFERROR(__xludf.DUMMYFUNCTION("""COMPUTED_VALUE"""),"fidu")</f>
        <v>fidu</v>
      </c>
      <c r="C4508" s="3" t="str">
        <f>IFERROR(__xludf.DUMMYFUNCTION("""COMPUTED_VALUE"""),"Fidu")</f>
        <v>Fidu</v>
      </c>
    </row>
    <row r="4509">
      <c r="A4509" s="3" t="str">
        <f>IFERROR(__xludf.DUMMYFUNCTION("""COMPUTED_VALUE"""),"fief")</f>
        <v>fief</v>
      </c>
      <c r="B4509" s="3" t="str">
        <f>IFERROR(__xludf.DUMMYFUNCTION("""COMPUTED_VALUE"""),"fief")</f>
        <v>fief</v>
      </c>
      <c r="C4509" s="3" t="str">
        <f>IFERROR(__xludf.DUMMYFUNCTION("""COMPUTED_VALUE"""),"Fief")</f>
        <v>Fief</v>
      </c>
    </row>
    <row r="4510">
      <c r="A4510" s="3" t="str">
        <f>IFERROR(__xludf.DUMMYFUNCTION("""COMPUTED_VALUE"""),"fifa-inu")</f>
        <v>fifa-inu</v>
      </c>
      <c r="B4510" s="3" t="str">
        <f>IFERROR(__xludf.DUMMYFUNCTION("""COMPUTED_VALUE"""),"finu")</f>
        <v>finu</v>
      </c>
      <c r="C4510" s="3" t="str">
        <f>IFERROR(__xludf.DUMMYFUNCTION("""COMPUTED_VALUE"""),"Fifa Inu")</f>
        <v>Fifa Inu</v>
      </c>
    </row>
    <row r="4511">
      <c r="A4511" s="3" t="str">
        <f>IFERROR(__xludf.DUMMYFUNCTION("""COMPUTED_VALUE"""),"fifa-laeeb")</f>
        <v>fifa-laeeb</v>
      </c>
      <c r="B4511" s="3" t="str">
        <f>IFERROR(__xludf.DUMMYFUNCTION("""COMPUTED_VALUE"""),"laeeb")</f>
        <v>laeeb</v>
      </c>
      <c r="C4511" s="3" t="str">
        <f>IFERROR(__xludf.DUMMYFUNCTION("""COMPUTED_VALUE"""),"FIFA Laeeb")</f>
        <v>FIFA Laeeb</v>
      </c>
    </row>
    <row r="4512">
      <c r="A4512" s="3" t="str">
        <f>IFERROR(__xludf.DUMMYFUNCTION("""COMPUTED_VALUE"""),"fifasport")</f>
        <v>fifasport</v>
      </c>
      <c r="B4512" s="3" t="str">
        <f>IFERROR(__xludf.DUMMYFUNCTION("""COMPUTED_VALUE"""),"ffs")</f>
        <v>ffs</v>
      </c>
      <c r="C4512" s="3" t="str">
        <f>IFERROR(__xludf.DUMMYFUNCTION("""COMPUTED_VALUE"""),"FiFaSport")</f>
        <v>FiFaSport</v>
      </c>
    </row>
    <row r="4513">
      <c r="A4513" s="3" t="str">
        <f>IFERROR(__xludf.DUMMYFUNCTION("""COMPUTED_VALUE"""),"fiftyonefifty")</f>
        <v>fiftyonefifty</v>
      </c>
      <c r="B4513" s="3" t="str">
        <f>IFERROR(__xludf.DUMMYFUNCTION("""COMPUTED_VALUE"""),"fifty")</f>
        <v>fifty</v>
      </c>
      <c r="C4513" s="3" t="str">
        <f>IFERROR(__xludf.DUMMYFUNCTION("""COMPUTED_VALUE"""),"FIFTYONEFIFTY")</f>
        <v>FIFTYONEFIFTY</v>
      </c>
    </row>
    <row r="4514">
      <c r="A4514" s="3" t="str">
        <f>IFERROR(__xludf.DUMMYFUNCTION("""COMPUTED_VALUE"""),"fight-4-hope")</f>
        <v>fight-4-hope</v>
      </c>
      <c r="B4514" s="3" t="str">
        <f>IFERROR(__xludf.DUMMYFUNCTION("""COMPUTED_VALUE"""),"f4h")</f>
        <v>f4h</v>
      </c>
      <c r="C4514" s="3" t="str">
        <f>IFERROR(__xludf.DUMMYFUNCTION("""COMPUTED_VALUE"""),"Fight 4 Hope")</f>
        <v>Fight 4 Hope</v>
      </c>
    </row>
    <row r="4515">
      <c r="A4515" s="3" t="str">
        <f>IFERROR(__xludf.DUMMYFUNCTION("""COMPUTED_VALUE"""),"fight-of-the-ages")</f>
        <v>fight-of-the-ages</v>
      </c>
      <c r="B4515" s="3" t="str">
        <f>IFERROR(__xludf.DUMMYFUNCTION("""COMPUTED_VALUE"""),"fota")</f>
        <v>fota</v>
      </c>
      <c r="C4515" s="3" t="str">
        <f>IFERROR(__xludf.DUMMYFUNCTION("""COMPUTED_VALUE"""),"Fight Of The Ages")</f>
        <v>Fight Of The Ages</v>
      </c>
    </row>
    <row r="4516">
      <c r="A4516" s="3" t="str">
        <f>IFERROR(__xludf.DUMMYFUNCTION("""COMPUTED_VALUE"""),"filda")</f>
        <v>filda</v>
      </c>
      <c r="B4516" s="3" t="str">
        <f>IFERROR(__xludf.DUMMYFUNCTION("""COMPUTED_VALUE"""),"filda")</f>
        <v>filda</v>
      </c>
      <c r="C4516" s="3" t="str">
        <f>IFERROR(__xludf.DUMMYFUNCTION("""COMPUTED_VALUE"""),"Filda")</f>
        <v>Filda</v>
      </c>
    </row>
    <row r="4517">
      <c r="A4517" s="3" t="str">
        <f>IFERROR(__xludf.DUMMYFUNCTION("""COMPUTED_VALUE"""),"filecash")</f>
        <v>filecash</v>
      </c>
      <c r="B4517" s="3" t="str">
        <f>IFERROR(__xludf.DUMMYFUNCTION("""COMPUTED_VALUE"""),"fic")</f>
        <v>fic</v>
      </c>
      <c r="C4517" s="3" t="str">
        <f>IFERROR(__xludf.DUMMYFUNCTION("""COMPUTED_VALUE"""),"Filecash")</f>
        <v>Filecash</v>
      </c>
    </row>
    <row r="4518">
      <c r="A4518" s="3" t="str">
        <f>IFERROR(__xludf.DUMMYFUNCTION("""COMPUTED_VALUE"""),"filecoin")</f>
        <v>filecoin</v>
      </c>
      <c r="B4518" s="3" t="str">
        <f>IFERROR(__xludf.DUMMYFUNCTION("""COMPUTED_VALUE"""),"fil")</f>
        <v>fil</v>
      </c>
      <c r="C4518" s="3" t="str">
        <f>IFERROR(__xludf.DUMMYFUNCTION("""COMPUTED_VALUE"""),"Filecoin")</f>
        <v>Filecoin</v>
      </c>
    </row>
    <row r="4519">
      <c r="A4519" s="3" t="str">
        <f>IFERROR(__xludf.DUMMYFUNCTION("""COMPUTED_VALUE"""),"filecoin-standard-full-hashrate")</f>
        <v>filecoin-standard-full-hashrate</v>
      </c>
      <c r="B4519" s="3" t="str">
        <f>IFERROR(__xludf.DUMMYFUNCTION("""COMPUTED_VALUE"""),"sfil")</f>
        <v>sfil</v>
      </c>
      <c r="C4519" s="3" t="str">
        <f>IFERROR(__xludf.DUMMYFUNCTION("""COMPUTED_VALUE"""),"Filecoin Standard Full Hashrate")</f>
        <v>Filecoin Standard Full Hashrate</v>
      </c>
    </row>
    <row r="4520">
      <c r="A4520" s="3" t="str">
        <f>IFERROR(__xludf.DUMMYFUNCTION("""COMPUTED_VALUE"""),"fileshare-platform")</f>
        <v>fileshare-platform</v>
      </c>
      <c r="B4520" s="3" t="str">
        <f>IFERROR(__xludf.DUMMYFUNCTION("""COMPUTED_VALUE"""),"fsc")</f>
        <v>fsc</v>
      </c>
      <c r="C4520" s="3" t="str">
        <f>IFERROR(__xludf.DUMMYFUNCTION("""COMPUTED_VALUE"""),"Fileshare Platform")</f>
        <v>Fileshare Platform</v>
      </c>
    </row>
    <row r="4521">
      <c r="A4521" s="3" t="str">
        <f>IFERROR(__xludf.DUMMYFUNCTION("""COMPUTED_VALUE"""),"filestar")</f>
        <v>filestar</v>
      </c>
      <c r="B4521" s="3" t="str">
        <f>IFERROR(__xludf.DUMMYFUNCTION("""COMPUTED_VALUE"""),"star")</f>
        <v>star</v>
      </c>
      <c r="C4521" s="3" t="str">
        <f>IFERROR(__xludf.DUMMYFUNCTION("""COMPUTED_VALUE"""),"FileStar")</f>
        <v>FileStar</v>
      </c>
    </row>
    <row r="4522">
      <c r="A4522" s="3" t="str">
        <f>IFERROR(__xludf.DUMMYFUNCTION("""COMPUTED_VALUE"""),"filipcoin")</f>
        <v>filipcoin</v>
      </c>
      <c r="B4522" s="3" t="str">
        <f>IFERROR(__xludf.DUMMYFUNCTION("""COMPUTED_VALUE"""),"fcp")</f>
        <v>fcp</v>
      </c>
      <c r="C4522" s="3" t="str">
        <f>IFERROR(__xludf.DUMMYFUNCTION("""COMPUTED_VALUE"""),"Filipcoin")</f>
        <v>Filipcoin</v>
      </c>
    </row>
    <row r="4523">
      <c r="A4523" s="3" t="str">
        <f>IFERROR(__xludf.DUMMYFUNCTION("""COMPUTED_VALUE"""),"film-coin")</f>
        <v>film-coin</v>
      </c>
      <c r="B4523" s="3" t="str">
        <f>IFERROR(__xludf.DUMMYFUNCTION("""COMPUTED_VALUE"""),"fliks")</f>
        <v>fliks</v>
      </c>
      <c r="C4523" s="3" t="str">
        <f>IFERROR(__xludf.DUMMYFUNCTION("""COMPUTED_VALUE"""),"Film Coin")</f>
        <v>Film Coin</v>
      </c>
    </row>
    <row r="4524">
      <c r="A4524" s="3" t="str">
        <f>IFERROR(__xludf.DUMMYFUNCTION("""COMPUTED_VALUE"""),"filmcredits")</f>
        <v>filmcredits</v>
      </c>
      <c r="B4524" s="3" t="str">
        <f>IFERROR(__xludf.DUMMYFUNCTION("""COMPUTED_VALUE"""),"film")</f>
        <v>film</v>
      </c>
      <c r="C4524" s="3" t="str">
        <f>IFERROR(__xludf.DUMMYFUNCTION("""COMPUTED_VALUE"""),"FILMCredits")</f>
        <v>FILMCredits</v>
      </c>
    </row>
    <row r="4525">
      <c r="A4525" s="3" t="str">
        <f>IFERROR(__xludf.DUMMYFUNCTION("""COMPUTED_VALUE"""),"fimi-market-inc")</f>
        <v>fimi-market-inc</v>
      </c>
      <c r="B4525" s="3" t="str">
        <f>IFERROR(__xludf.DUMMYFUNCTION("""COMPUTED_VALUE"""),"fimi")</f>
        <v>fimi</v>
      </c>
      <c r="C4525" s="3" t="str">
        <f>IFERROR(__xludf.DUMMYFUNCTION("""COMPUTED_VALUE"""),"Fimi Market Inc.")</f>
        <v>Fimi Market Inc.</v>
      </c>
    </row>
    <row r="4526">
      <c r="A4526" s="3" t="str">
        <f>IFERROR(__xludf.DUMMYFUNCTION("""COMPUTED_VALUE"""),"final-frontier")</f>
        <v>final-frontier</v>
      </c>
      <c r="B4526" s="3" t="str">
        <f>IFERROR(__xludf.DUMMYFUNCTION("""COMPUTED_VALUE"""),"frnt")</f>
        <v>frnt</v>
      </c>
      <c r="C4526" s="3" t="str">
        <f>IFERROR(__xludf.DUMMYFUNCTION("""COMPUTED_VALUE"""),"Final Frontier")</f>
        <v>Final Frontier</v>
      </c>
    </row>
    <row r="4527">
      <c r="A4527" s="3" t="str">
        <f>IFERROR(__xludf.DUMMYFUNCTION("""COMPUTED_VALUE"""),"finance-blocks")</f>
        <v>finance-blocks</v>
      </c>
      <c r="B4527" s="3" t="str">
        <f>IFERROR(__xludf.DUMMYFUNCTION("""COMPUTED_VALUE"""),"fbx")</f>
        <v>fbx</v>
      </c>
      <c r="C4527" s="3" t="str">
        <f>IFERROR(__xludf.DUMMYFUNCTION("""COMPUTED_VALUE"""),"Finance Blocks")</f>
        <v>Finance Blocks</v>
      </c>
    </row>
    <row r="4528">
      <c r="A4528" s="3" t="str">
        <f>IFERROR(__xludf.DUMMYFUNCTION("""COMPUTED_VALUE"""),"finance-sports")</f>
        <v>finance-sports</v>
      </c>
      <c r="B4528" s="3" t="str">
        <f>IFERROR(__xludf.DUMMYFUNCTION("""COMPUTED_VALUE"""),"fsd")</f>
        <v>fsd</v>
      </c>
      <c r="C4528" s="3" t="str">
        <f>IFERROR(__xludf.DUMMYFUNCTION("""COMPUTED_VALUE"""),"Finance Sports")</f>
        <v>Finance Sports</v>
      </c>
    </row>
    <row r="4529">
      <c r="A4529" s="3" t="str">
        <f>IFERROR(__xludf.DUMMYFUNCTION("""COMPUTED_VALUE"""),"finance-vote")</f>
        <v>finance-vote</v>
      </c>
      <c r="B4529" s="3" t="str">
        <f>IFERROR(__xludf.DUMMYFUNCTION("""COMPUTED_VALUE"""),"fvt")</f>
        <v>fvt</v>
      </c>
      <c r="C4529" s="3" t="str">
        <f>IFERROR(__xludf.DUMMYFUNCTION("""COMPUTED_VALUE"""),"Finance Vote")</f>
        <v>Finance Vote</v>
      </c>
    </row>
    <row r="4530">
      <c r="A4530" s="3" t="str">
        <f>IFERROR(__xludf.DUMMYFUNCTION("""COMPUTED_VALUE"""),"financial-intelligence-group-token")</f>
        <v>financial-intelligence-group-token</v>
      </c>
      <c r="B4530" s="3" t="str">
        <f>IFERROR(__xludf.DUMMYFUNCTION("""COMPUTED_VALUE"""),"atbfig")</f>
        <v>atbfig</v>
      </c>
      <c r="C4530" s="3" t="str">
        <f>IFERROR(__xludf.DUMMYFUNCTION("""COMPUTED_VALUE"""),"Financial Intelligence Group")</f>
        <v>Financial Intelligence Group</v>
      </c>
    </row>
    <row r="4531">
      <c r="A4531" s="3" t="str">
        <f>IFERROR(__xludf.DUMMYFUNCTION("""COMPUTED_VALUE"""),"finblox")</f>
        <v>finblox</v>
      </c>
      <c r="B4531" s="3" t="str">
        <f>IFERROR(__xludf.DUMMYFUNCTION("""COMPUTED_VALUE"""),"fbx")</f>
        <v>fbx</v>
      </c>
      <c r="C4531" s="3" t="str">
        <f>IFERROR(__xludf.DUMMYFUNCTION("""COMPUTED_VALUE"""),"Finblox")</f>
        <v>Finblox</v>
      </c>
    </row>
    <row r="4532">
      <c r="A4532" s="3" t="str">
        <f>IFERROR(__xludf.DUMMYFUNCTION("""COMPUTED_VALUE"""),"findora")</f>
        <v>findora</v>
      </c>
      <c r="B4532" s="3" t="str">
        <f>IFERROR(__xludf.DUMMYFUNCTION("""COMPUTED_VALUE"""),"fra")</f>
        <v>fra</v>
      </c>
      <c r="C4532" s="3" t="str">
        <f>IFERROR(__xludf.DUMMYFUNCTION("""COMPUTED_VALUE"""),"Findora")</f>
        <v>Findora</v>
      </c>
    </row>
    <row r="4533">
      <c r="A4533" s="3" t="str">
        <f>IFERROR(__xludf.DUMMYFUNCTION("""COMPUTED_VALUE"""),"finexbox-token")</f>
        <v>finexbox-token</v>
      </c>
      <c r="B4533" s="3" t="str">
        <f>IFERROR(__xludf.DUMMYFUNCTION("""COMPUTED_VALUE"""),"fnb")</f>
        <v>fnb</v>
      </c>
      <c r="C4533" s="3" t="str">
        <f>IFERROR(__xludf.DUMMYFUNCTION("""COMPUTED_VALUE"""),"Finexbox")</f>
        <v>Finexbox</v>
      </c>
    </row>
    <row r="4534">
      <c r="A4534" s="3" t="str">
        <f>IFERROR(__xludf.DUMMYFUNCTION("""COMPUTED_VALUE"""),"fingerprints")</f>
        <v>fingerprints</v>
      </c>
      <c r="B4534" s="3" t="str">
        <f>IFERROR(__xludf.DUMMYFUNCTION("""COMPUTED_VALUE"""),"prints")</f>
        <v>prints</v>
      </c>
      <c r="C4534" s="3" t="str">
        <f>IFERROR(__xludf.DUMMYFUNCTION("""COMPUTED_VALUE"""),"FingerprintsDAO")</f>
        <v>FingerprintsDAO</v>
      </c>
    </row>
    <row r="4535">
      <c r="A4535" s="3" t="str">
        <f>IFERROR(__xludf.DUMMYFUNCTION("""COMPUTED_VALUE"""),"finminity")</f>
        <v>finminity</v>
      </c>
      <c r="B4535" s="3" t="str">
        <f>IFERROR(__xludf.DUMMYFUNCTION("""COMPUTED_VALUE"""),"fmt")</f>
        <v>fmt</v>
      </c>
      <c r="C4535" s="3" t="str">
        <f>IFERROR(__xludf.DUMMYFUNCTION("""COMPUTED_VALUE"""),"Finminity")</f>
        <v>Finminity</v>
      </c>
    </row>
    <row r="4536">
      <c r="A4536" s="3" t="str">
        <f>IFERROR(__xludf.DUMMYFUNCTION("""COMPUTED_VALUE"""),"fino-dao")</f>
        <v>fino-dao</v>
      </c>
      <c r="B4536" s="3" t="str">
        <f>IFERROR(__xludf.DUMMYFUNCTION("""COMPUTED_VALUE"""),"fino")</f>
        <v>fino</v>
      </c>
      <c r="C4536" s="3" t="str">
        <f>IFERROR(__xludf.DUMMYFUNCTION("""COMPUTED_VALUE"""),"FINO DAO")</f>
        <v>FINO DAO</v>
      </c>
    </row>
    <row r="4537">
      <c r="A4537" s="3" t="str">
        <f>IFERROR(__xludf.DUMMYFUNCTION("""COMPUTED_VALUE"""),"fins-token")</f>
        <v>fins-token</v>
      </c>
      <c r="B4537" s="3" t="str">
        <f>IFERROR(__xludf.DUMMYFUNCTION("""COMPUTED_VALUE"""),"fins")</f>
        <v>fins</v>
      </c>
      <c r="C4537" s="3" t="str">
        <f>IFERROR(__xludf.DUMMYFUNCTION("""COMPUTED_VALUE"""),"Fins")</f>
        <v>Fins</v>
      </c>
    </row>
    <row r="4538">
      <c r="A4538" s="3" t="str">
        <f>IFERROR(__xludf.DUMMYFUNCTION("""COMPUTED_VALUE"""),"fintab")</f>
        <v>fintab</v>
      </c>
      <c r="B4538" s="3" t="str">
        <f>IFERROR(__xludf.DUMMYFUNCTION("""COMPUTED_VALUE"""),"fntb")</f>
        <v>fntb</v>
      </c>
      <c r="C4538" s="3" t="str">
        <f>IFERROR(__xludf.DUMMYFUNCTION("""COMPUTED_VALUE"""),"FinTab")</f>
        <v>FinTab</v>
      </c>
    </row>
    <row r="4539">
      <c r="A4539" s="3" t="str">
        <f>IFERROR(__xludf.DUMMYFUNCTION("""COMPUTED_VALUE"""),"fintropy")</f>
        <v>fintropy</v>
      </c>
      <c r="B4539" s="3" t="str">
        <f>IFERROR(__xludf.DUMMYFUNCTION("""COMPUTED_VALUE"""),"fint")</f>
        <v>fint</v>
      </c>
      <c r="C4539" s="3" t="str">
        <f>IFERROR(__xludf.DUMMYFUNCTION("""COMPUTED_VALUE"""),"Fintropy")</f>
        <v>Fintropy</v>
      </c>
    </row>
    <row r="4540">
      <c r="A4540" s="3" t="str">
        <f>IFERROR(__xludf.DUMMYFUNCTION("""COMPUTED_VALUE"""),"fintrux")</f>
        <v>fintrux</v>
      </c>
      <c r="B4540" s="3" t="str">
        <f>IFERROR(__xludf.DUMMYFUNCTION("""COMPUTED_VALUE"""),"ftx")</f>
        <v>ftx</v>
      </c>
      <c r="C4540" s="3" t="str">
        <f>IFERROR(__xludf.DUMMYFUNCTION("""COMPUTED_VALUE"""),"FintruX")</f>
        <v>FintruX</v>
      </c>
    </row>
    <row r="4541">
      <c r="A4541" s="3" t="str">
        <f>IFERROR(__xludf.DUMMYFUNCTION("""COMPUTED_VALUE"""),"finxflo")</f>
        <v>finxflo</v>
      </c>
      <c r="B4541" s="3" t="str">
        <f>IFERROR(__xludf.DUMMYFUNCTION("""COMPUTED_VALUE"""),"fxf")</f>
        <v>fxf</v>
      </c>
      <c r="C4541" s="3" t="str">
        <f>IFERROR(__xludf.DUMMYFUNCTION("""COMPUTED_VALUE"""),"FINXFLO")</f>
        <v>FINXFLO</v>
      </c>
    </row>
    <row r="4542">
      <c r="A4542" s="3" t="str">
        <f>IFERROR(__xludf.DUMMYFUNCTION("""COMPUTED_VALUE"""),"fio-protocol")</f>
        <v>fio-protocol</v>
      </c>
      <c r="B4542" s="3" t="str">
        <f>IFERROR(__xludf.DUMMYFUNCTION("""COMPUTED_VALUE"""),"fio")</f>
        <v>fio</v>
      </c>
      <c r="C4542" s="3" t="str">
        <f>IFERROR(__xludf.DUMMYFUNCTION("""COMPUTED_VALUE"""),"FIO Protocol")</f>
        <v>FIO Protocol</v>
      </c>
    </row>
    <row r="4543">
      <c r="A4543" s="3" t="str">
        <f>IFERROR(__xludf.DUMMYFUNCTION("""COMPUTED_VALUE"""),"fira")</f>
        <v>fira</v>
      </c>
      <c r="B4543" s="3" t="str">
        <f>IFERROR(__xludf.DUMMYFUNCTION("""COMPUTED_VALUE"""),"fira")</f>
        <v>fira</v>
      </c>
      <c r="C4543" s="3" t="str">
        <f>IFERROR(__xludf.DUMMYFUNCTION("""COMPUTED_VALUE"""),"FIRA")</f>
        <v>FIRA</v>
      </c>
    </row>
    <row r="4544">
      <c r="A4544" s="3" t="str">
        <f>IFERROR(__xludf.DUMMYFUNCTION("""COMPUTED_VALUE"""),"fira-cronos")</f>
        <v>fira-cronos</v>
      </c>
      <c r="B4544" s="3" t="str">
        <f>IFERROR(__xludf.DUMMYFUNCTION("""COMPUTED_VALUE"""),"fira")</f>
        <v>fira</v>
      </c>
      <c r="C4544" s="3" t="str">
        <f>IFERROR(__xludf.DUMMYFUNCTION("""COMPUTED_VALUE"""),"Defira (Cronos)")</f>
        <v>Defira (Cronos)</v>
      </c>
    </row>
    <row r="4545">
      <c r="A4545" s="3" t="str">
        <f>IFERROR(__xludf.DUMMYFUNCTION("""COMPUTED_VALUE"""),"fireants")</f>
        <v>fireants</v>
      </c>
      <c r="B4545" s="3" t="str">
        <f>IFERROR(__xludf.DUMMYFUNCTION("""COMPUTED_VALUE"""),"ants")</f>
        <v>ants</v>
      </c>
      <c r="C4545" s="3" t="str">
        <f>IFERROR(__xludf.DUMMYFUNCTION("""COMPUTED_VALUE"""),"FireAnts")</f>
        <v>FireAnts</v>
      </c>
    </row>
    <row r="4546">
      <c r="A4546" s="3" t="str">
        <f>IFERROR(__xludf.DUMMYFUNCTION("""COMPUTED_VALUE"""),"fireball-2")</f>
        <v>fireball-2</v>
      </c>
      <c r="B4546" s="3" t="str">
        <f>IFERROR(__xludf.DUMMYFUNCTION("""COMPUTED_VALUE"""),"fire")</f>
        <v>fire</v>
      </c>
      <c r="C4546" s="3" t="str">
        <f>IFERROR(__xludf.DUMMYFUNCTION("""COMPUTED_VALUE"""),"FireBall")</f>
        <v>FireBall</v>
      </c>
    </row>
    <row r="4547">
      <c r="A4547" s="3" t="str">
        <f>IFERROR(__xludf.DUMMYFUNCTION("""COMPUTED_VALUE"""),"firebird-aggregator")</f>
        <v>firebird-aggregator</v>
      </c>
      <c r="B4547" s="3" t="str">
        <f>IFERROR(__xludf.DUMMYFUNCTION("""COMPUTED_VALUE"""),"fba")</f>
        <v>fba</v>
      </c>
      <c r="C4547" s="3" t="str">
        <f>IFERROR(__xludf.DUMMYFUNCTION("""COMPUTED_VALUE"""),"Firebird Aggregator")</f>
        <v>Firebird Aggregator</v>
      </c>
    </row>
    <row r="4548">
      <c r="A4548" s="3" t="str">
        <f>IFERROR(__xludf.DUMMYFUNCTION("""COMPUTED_VALUE"""),"firebot")</f>
        <v>firebot</v>
      </c>
      <c r="B4548" s="3" t="str">
        <f>IFERROR(__xludf.DUMMYFUNCTION("""COMPUTED_VALUE"""),"fbx")</f>
        <v>fbx</v>
      </c>
      <c r="C4548" s="3" t="str">
        <f>IFERROR(__xludf.DUMMYFUNCTION("""COMPUTED_VALUE"""),"FireBot")</f>
        <v>FireBot</v>
      </c>
    </row>
    <row r="4549">
      <c r="A4549" s="3" t="str">
        <f>IFERROR(__xludf.DUMMYFUNCTION("""COMPUTED_VALUE"""),"fireflame-inu")</f>
        <v>fireflame-inu</v>
      </c>
      <c r="B4549" s="3" t="str">
        <f>IFERROR(__xludf.DUMMYFUNCTION("""COMPUTED_VALUE"""),"fire")</f>
        <v>fire</v>
      </c>
      <c r="C4549" s="3" t="str">
        <f>IFERROR(__xludf.DUMMYFUNCTION("""COMPUTED_VALUE"""),"FireFlame Inu")</f>
        <v>FireFlame Inu</v>
      </c>
    </row>
    <row r="4550">
      <c r="A4550" s="3" t="str">
        <f>IFERROR(__xludf.DUMMYFUNCTION("""COMPUTED_VALUE"""),"fire-lotto")</f>
        <v>fire-lotto</v>
      </c>
      <c r="B4550" s="3" t="str">
        <f>IFERROR(__xludf.DUMMYFUNCTION("""COMPUTED_VALUE"""),"flot")</f>
        <v>flot</v>
      </c>
      <c r="C4550" s="3" t="str">
        <f>IFERROR(__xludf.DUMMYFUNCTION("""COMPUTED_VALUE"""),"Fire Lotto")</f>
        <v>Fire Lotto</v>
      </c>
    </row>
    <row r="4551">
      <c r="A4551" s="3" t="str">
        <f>IFERROR(__xludf.DUMMYFUNCTION("""COMPUTED_VALUE"""),"fire-protocol")</f>
        <v>fire-protocol</v>
      </c>
      <c r="B4551" s="3" t="str">
        <f>IFERROR(__xludf.DUMMYFUNCTION("""COMPUTED_VALUE"""),"fire")</f>
        <v>fire</v>
      </c>
      <c r="C4551" s="3" t="str">
        <f>IFERROR(__xludf.DUMMYFUNCTION("""COMPUTED_VALUE"""),"Fire Protocol")</f>
        <v>Fire Protocol</v>
      </c>
    </row>
    <row r="4552">
      <c r="A4552" s="3" t="str">
        <f>IFERROR(__xludf.DUMMYFUNCTION("""COMPUTED_VALUE"""),"firerocket")</f>
        <v>firerocket</v>
      </c>
      <c r="B4552" s="3" t="str">
        <f>IFERROR(__xludf.DUMMYFUNCTION("""COMPUTED_VALUE"""),"firerocket")</f>
        <v>firerocket</v>
      </c>
      <c r="C4552" s="3" t="str">
        <f>IFERROR(__xludf.DUMMYFUNCTION("""COMPUTED_VALUE"""),"FireRocket")</f>
        <v>FireRocket</v>
      </c>
    </row>
    <row r="4553">
      <c r="A4553" s="3" t="str">
        <f>IFERROR(__xludf.DUMMYFUNCTION("""COMPUTED_VALUE"""),"firestarter")</f>
        <v>firestarter</v>
      </c>
      <c r="B4553" s="3" t="str">
        <f>IFERROR(__xludf.DUMMYFUNCTION("""COMPUTED_VALUE"""),"flame")</f>
        <v>flame</v>
      </c>
      <c r="C4553" s="3" t="str">
        <f>IFERROR(__xludf.DUMMYFUNCTION("""COMPUTED_VALUE"""),"FireStarter")</f>
        <v>FireStarter</v>
      </c>
    </row>
    <row r="4554">
      <c r="A4554" s="3" t="str">
        <f>IFERROR(__xludf.DUMMYFUNCTION("""COMPUTED_VALUE"""),"firetoken")</f>
        <v>firetoken</v>
      </c>
      <c r="B4554" s="3" t="str">
        <f>IFERROR(__xludf.DUMMYFUNCTION("""COMPUTED_VALUE"""),"fire")</f>
        <v>fire</v>
      </c>
      <c r="C4554" s="3" t="str">
        <f>IFERROR(__xludf.DUMMYFUNCTION("""COMPUTED_VALUE"""),"Firework Games")</f>
        <v>Firework Games</v>
      </c>
    </row>
    <row r="4555">
      <c r="A4555" s="3" t="str">
        <f>IFERROR(__xludf.DUMMYFUNCTION("""COMPUTED_VALUE"""),"fire-token-2")</f>
        <v>fire-token-2</v>
      </c>
      <c r="B4555" s="3" t="str">
        <f>IFERROR(__xludf.DUMMYFUNCTION("""COMPUTED_VALUE"""),"fire")</f>
        <v>fire</v>
      </c>
      <c r="C4555" s="3" t="str">
        <f>IFERROR(__xludf.DUMMYFUNCTION("""COMPUTED_VALUE"""),"Fire")</f>
        <v>Fire</v>
      </c>
    </row>
    <row r="4556">
      <c r="A4556" s="3" t="str">
        <f>IFERROR(__xludf.DUMMYFUNCTION("""COMPUTED_VALUE"""),"firezard")</f>
        <v>firezard</v>
      </c>
      <c r="B4556" s="3" t="str">
        <f>IFERROR(__xludf.DUMMYFUNCTION("""COMPUTED_VALUE"""),"zard")</f>
        <v>zard</v>
      </c>
      <c r="C4556" s="3" t="str">
        <f>IFERROR(__xludf.DUMMYFUNCTION("""COMPUTED_VALUE"""),"FireZard")</f>
        <v>FireZard</v>
      </c>
    </row>
    <row r="4557">
      <c r="A4557" s="3" t="str">
        <f>IFERROR(__xludf.DUMMYFUNCTION("""COMPUTED_VALUE"""),"firmachain")</f>
        <v>firmachain</v>
      </c>
      <c r="B4557" s="3" t="str">
        <f>IFERROR(__xludf.DUMMYFUNCTION("""COMPUTED_VALUE"""),"fct")</f>
        <v>fct</v>
      </c>
      <c r="C4557" s="3" t="str">
        <f>IFERROR(__xludf.DUMMYFUNCTION("""COMPUTED_VALUE"""),"Firmachain")</f>
        <v>Firmachain</v>
      </c>
    </row>
    <row r="4558">
      <c r="A4558" s="3" t="str">
        <f>IFERROR(__xludf.DUMMYFUNCTION("""COMPUTED_VALUE"""),"first-eleven")</f>
        <v>first-eleven</v>
      </c>
      <c r="B4558" s="3" t="str">
        <f>IFERROR(__xludf.DUMMYFUNCTION("""COMPUTED_VALUE"""),"f11")</f>
        <v>f11</v>
      </c>
      <c r="C4558" s="3" t="str">
        <f>IFERROR(__xludf.DUMMYFUNCTION("""COMPUTED_VALUE"""),"First Eleven")</f>
        <v>First Eleven</v>
      </c>
    </row>
    <row r="4559">
      <c r="A4559" s="3" t="str">
        <f>IFERROR(__xludf.DUMMYFUNCTION("""COMPUTED_VALUE"""),"first-ever-nft")</f>
        <v>first-ever-nft</v>
      </c>
      <c r="B4559" s="3" t="str">
        <f>IFERROR(__xludf.DUMMYFUNCTION("""COMPUTED_VALUE"""),"fen")</f>
        <v>fen</v>
      </c>
      <c r="C4559" s="3" t="str">
        <f>IFERROR(__xludf.DUMMYFUNCTION("""COMPUTED_VALUE"""),"First Ever NFT")</f>
        <v>First Ever NFT</v>
      </c>
    </row>
    <row r="4560">
      <c r="A4560" s="3" t="str">
        <f>IFERROR(__xludf.DUMMYFUNCTION("""COMPUTED_VALUE"""),"firsthare")</f>
        <v>firsthare</v>
      </c>
      <c r="B4560" s="3" t="str">
        <f>IFERROR(__xludf.DUMMYFUNCTION("""COMPUTED_VALUE"""),"firsthare")</f>
        <v>firsthare</v>
      </c>
      <c r="C4560" s="3" t="str">
        <f>IFERROR(__xludf.DUMMYFUNCTION("""COMPUTED_VALUE"""),"FirstHare")</f>
        <v>FirstHare</v>
      </c>
    </row>
    <row r="4561">
      <c r="A4561" s="3" t="str">
        <f>IFERROR(__xludf.DUMMYFUNCTION("""COMPUTED_VALUE"""),"first-inu")</f>
        <v>first-inu</v>
      </c>
      <c r="B4561" s="3" t="str">
        <f>IFERROR(__xludf.DUMMYFUNCTION("""COMPUTED_VALUE"""),"finu")</f>
        <v>finu</v>
      </c>
      <c r="C4561" s="3" t="str">
        <f>IFERROR(__xludf.DUMMYFUNCTION("""COMPUTED_VALUE"""),"First Inu")</f>
        <v>First Inu</v>
      </c>
    </row>
    <row r="4562">
      <c r="A4562" s="3" t="str">
        <f>IFERROR(__xludf.DUMMYFUNCTION("""COMPUTED_VALUE"""),"firulais")</f>
        <v>firulais</v>
      </c>
      <c r="B4562" s="3" t="str">
        <f>IFERROR(__xludf.DUMMYFUNCTION("""COMPUTED_VALUE"""),"firu")</f>
        <v>firu</v>
      </c>
      <c r="C4562" s="3" t="str">
        <f>IFERROR(__xludf.DUMMYFUNCTION("""COMPUTED_VALUE"""),"Firulais")</f>
        <v>Firulais</v>
      </c>
    </row>
    <row r="4563">
      <c r="A4563" s="3" t="str">
        <f>IFERROR(__xludf.DUMMYFUNCTION("""COMPUTED_VALUE"""),"firulais-wallet-token")</f>
        <v>firulais-wallet-token</v>
      </c>
      <c r="B4563" s="3" t="str">
        <f>IFERROR(__xludf.DUMMYFUNCTION("""COMPUTED_VALUE"""),"fiwt")</f>
        <v>fiwt</v>
      </c>
      <c r="C4563" s="3" t="str">
        <f>IFERROR(__xludf.DUMMYFUNCTION("""COMPUTED_VALUE"""),"Firulais Wallet")</f>
        <v>Firulais Wallet</v>
      </c>
    </row>
    <row r="4564">
      <c r="A4564" s="3" t="str">
        <f>IFERROR(__xludf.DUMMYFUNCTION("""COMPUTED_VALUE"""),"fisco")</f>
        <v>fisco</v>
      </c>
      <c r="B4564" s="3" t="str">
        <f>IFERROR(__xludf.DUMMYFUNCTION("""COMPUTED_VALUE"""),"fscc")</f>
        <v>fscc</v>
      </c>
      <c r="C4564" s="3" t="str">
        <f>IFERROR(__xludf.DUMMYFUNCTION("""COMPUTED_VALUE"""),"FISCO Coin")</f>
        <v>FISCO Coin</v>
      </c>
    </row>
    <row r="4565">
      <c r="A4565" s="3" t="str">
        <f>IFERROR(__xludf.DUMMYFUNCTION("""COMPUTED_VALUE"""),"fish-crypto")</f>
        <v>fish-crypto</v>
      </c>
      <c r="B4565" s="3" t="str">
        <f>IFERROR(__xludf.DUMMYFUNCTION("""COMPUTED_VALUE"""),"fico")</f>
        <v>fico</v>
      </c>
      <c r="C4565" s="3" t="str">
        <f>IFERROR(__xludf.DUMMYFUNCTION("""COMPUTED_VALUE"""),"Fish Crypto")</f>
        <v>Fish Crypto</v>
      </c>
    </row>
    <row r="4566">
      <c r="A4566" s="3" t="str">
        <f>IFERROR(__xludf.DUMMYFUNCTION("""COMPUTED_VALUE"""),"fishera")</f>
        <v>fishera</v>
      </c>
      <c r="B4566" s="3" t="str">
        <f>IFERROR(__xludf.DUMMYFUNCTION("""COMPUTED_VALUE"""),"fshr")</f>
        <v>fshr</v>
      </c>
      <c r="C4566" s="3" t="str">
        <f>IFERROR(__xludf.DUMMYFUNCTION("""COMPUTED_VALUE"""),"Fishera")</f>
        <v>Fishera</v>
      </c>
    </row>
    <row r="4567">
      <c r="A4567" s="3" t="str">
        <f>IFERROR(__xludf.DUMMYFUNCTION("""COMPUTED_VALUE"""),"fishervspirate")</f>
        <v>fishervspirate</v>
      </c>
      <c r="B4567" s="3" t="str">
        <f>IFERROR(__xludf.DUMMYFUNCTION("""COMPUTED_VALUE"""),"fvp")</f>
        <v>fvp</v>
      </c>
      <c r="C4567" s="3" t="str">
        <f>IFERROR(__xludf.DUMMYFUNCTION("""COMPUTED_VALUE"""),"FisherVsPirate")</f>
        <v>FisherVsPirate</v>
      </c>
    </row>
    <row r="4568">
      <c r="A4568" s="3" t="str">
        <f>IFERROR(__xludf.DUMMYFUNCTION("""COMPUTED_VALUE"""),"fishing-town")</f>
        <v>fishing-town</v>
      </c>
      <c r="B4568" s="3" t="str">
        <f>IFERROR(__xludf.DUMMYFUNCTION("""COMPUTED_VALUE"""),"fhtn")</f>
        <v>fhtn</v>
      </c>
      <c r="C4568" s="3" t="str">
        <f>IFERROR(__xludf.DUMMYFUNCTION("""COMPUTED_VALUE"""),"Fishing Town")</f>
        <v>Fishing Town</v>
      </c>
    </row>
    <row r="4569">
      <c r="A4569" s="3" t="str">
        <f>IFERROR(__xludf.DUMMYFUNCTION("""COMPUTED_VALUE"""),"fishingtowngiltoken")</f>
        <v>fishingtowngiltoken</v>
      </c>
      <c r="B4569" s="3" t="str">
        <f>IFERROR(__xludf.DUMMYFUNCTION("""COMPUTED_VALUE"""),"gil")</f>
        <v>gil</v>
      </c>
      <c r="C4569" s="3" t="str">
        <f>IFERROR(__xludf.DUMMYFUNCTION("""COMPUTED_VALUE"""),"FishingTownGil")</f>
        <v>FishingTownGil</v>
      </c>
    </row>
    <row r="4570">
      <c r="A4570" s="3" t="str">
        <f>IFERROR(__xludf.DUMMYFUNCTION("""COMPUTED_VALUE"""),"fishy-tank-token")</f>
        <v>fishy-tank-token</v>
      </c>
      <c r="B4570" s="3" t="str">
        <f>IFERROR(__xludf.DUMMYFUNCTION("""COMPUTED_VALUE"""),"fte")</f>
        <v>fte</v>
      </c>
      <c r="C4570" s="3" t="str">
        <f>IFERROR(__xludf.DUMMYFUNCTION("""COMPUTED_VALUE"""),"Fishy Tank")</f>
        <v>Fishy Tank</v>
      </c>
    </row>
    <row r="4571">
      <c r="A4571" s="3" t="str">
        <f>IFERROR(__xludf.DUMMYFUNCTION("""COMPUTED_VALUE"""),"fistbump")</f>
        <v>fistbump</v>
      </c>
      <c r="B4571" s="3" t="str">
        <f>IFERROR(__xludf.DUMMYFUNCTION("""COMPUTED_VALUE"""),"fist")</f>
        <v>fist</v>
      </c>
      <c r="C4571" s="3" t="str">
        <f>IFERROR(__xludf.DUMMYFUNCTION("""COMPUTED_VALUE"""),"Fistbump")</f>
        <v>Fistbump</v>
      </c>
    </row>
    <row r="4572">
      <c r="A4572" s="3" t="str">
        <f>IFERROR(__xludf.DUMMYFUNCTION("""COMPUTED_VALUE"""),"fistiana-circulates")</f>
        <v>fistiana-circulates</v>
      </c>
      <c r="B4572" s="3" t="str">
        <f>IFERROR(__xludf.DUMMYFUNCTION("""COMPUTED_VALUE"""),"fct")</f>
        <v>fct</v>
      </c>
      <c r="C4572" s="3" t="str">
        <f>IFERROR(__xludf.DUMMYFUNCTION("""COMPUTED_VALUE"""),"Fistiana")</f>
        <v>Fistiana</v>
      </c>
    </row>
    <row r="4573">
      <c r="A4573" s="3" t="str">
        <f>IFERROR(__xludf.DUMMYFUNCTION("""COMPUTED_VALUE"""),"fit-beat")</f>
        <v>fit-beat</v>
      </c>
      <c r="B4573" s="3" t="str">
        <f>IFERROR(__xludf.DUMMYFUNCTION("""COMPUTED_VALUE"""),"ftb")</f>
        <v>ftb</v>
      </c>
      <c r="C4573" s="3" t="str">
        <f>IFERROR(__xludf.DUMMYFUNCTION("""COMPUTED_VALUE"""),"Fit&amp;Beat")</f>
        <v>Fit&amp;Beat</v>
      </c>
    </row>
    <row r="4574">
      <c r="A4574" s="3" t="str">
        <f>IFERROR(__xludf.DUMMYFUNCTION("""COMPUTED_VALUE"""),"fitevo")</f>
        <v>fitevo</v>
      </c>
      <c r="B4574" s="3" t="str">
        <f>IFERROR(__xludf.DUMMYFUNCTION("""COMPUTED_VALUE"""),"fivo")</f>
        <v>fivo</v>
      </c>
      <c r="C4574" s="3" t="str">
        <f>IFERROR(__xludf.DUMMYFUNCTION("""COMPUTED_VALUE"""),"FitEvo")</f>
        <v>FitEvo</v>
      </c>
    </row>
    <row r="4575">
      <c r="A4575" s="3" t="str">
        <f>IFERROR(__xludf.DUMMYFUNCTION("""COMPUTED_VALUE"""),"fitmin")</f>
        <v>fitmin</v>
      </c>
      <c r="B4575" s="3" t="str">
        <f>IFERROR(__xludf.DUMMYFUNCTION("""COMPUTED_VALUE"""),"ftm")</f>
        <v>ftm</v>
      </c>
      <c r="C4575" s="3" t="str">
        <f>IFERROR(__xludf.DUMMYFUNCTION("""COMPUTED_VALUE"""),"Fitmin")</f>
        <v>Fitmin</v>
      </c>
    </row>
    <row r="4576">
      <c r="A4576" s="3" t="str">
        <f>IFERROR(__xludf.DUMMYFUNCTION("""COMPUTED_VALUE"""),"fitmint")</f>
        <v>fitmint</v>
      </c>
      <c r="B4576" s="3" t="str">
        <f>IFERROR(__xludf.DUMMYFUNCTION("""COMPUTED_VALUE"""),"fitt")</f>
        <v>fitt</v>
      </c>
      <c r="C4576" s="3" t="str">
        <f>IFERROR(__xludf.DUMMYFUNCTION("""COMPUTED_VALUE"""),"Fitmint")</f>
        <v>Fitmint</v>
      </c>
    </row>
    <row r="4577">
      <c r="A4577" s="3" t="str">
        <f>IFERROR(__xludf.DUMMYFUNCTION("""COMPUTED_VALUE"""),"fitn")</f>
        <v>fitn</v>
      </c>
      <c r="B4577" s="3" t="str">
        <f>IFERROR(__xludf.DUMMYFUNCTION("""COMPUTED_VALUE"""),"fitn")</f>
        <v>fitn</v>
      </c>
      <c r="C4577" s="3" t="str">
        <f>IFERROR(__xludf.DUMMYFUNCTION("""COMPUTED_VALUE"""),"FITN")</f>
        <v>FITN</v>
      </c>
    </row>
    <row r="4578">
      <c r="A4578" s="3" t="str">
        <f>IFERROR(__xludf.DUMMYFUNCTION("""COMPUTED_VALUE"""),"fitr-metaverse-token")</f>
        <v>fitr-metaverse-token</v>
      </c>
      <c r="B4578" s="3" t="str">
        <f>IFERROR(__xludf.DUMMYFUNCTION("""COMPUTED_VALUE"""),"fmt")</f>
        <v>fmt</v>
      </c>
      <c r="C4578" s="3" t="str">
        <f>IFERROR(__xludf.DUMMYFUNCTION("""COMPUTED_VALUE"""),"FitR Metaverse Token")</f>
        <v>FitR Metaverse Token</v>
      </c>
    </row>
    <row r="4579">
      <c r="A4579" s="3" t="str">
        <f>IFERROR(__xludf.DUMMYFUNCTION("""COMPUTED_VALUE"""),"fitr-social-token")</f>
        <v>fitr-social-token</v>
      </c>
      <c r="B4579" s="3" t="str">
        <f>IFERROR(__xludf.DUMMYFUNCTION("""COMPUTED_VALUE"""),"fst")</f>
        <v>fst</v>
      </c>
      <c r="C4579" s="3" t="str">
        <f>IFERROR(__xludf.DUMMYFUNCTION("""COMPUTED_VALUE"""),"FitR Social Token")</f>
        <v>FitR Social Token</v>
      </c>
    </row>
    <row r="4580">
      <c r="A4580" s="3" t="str">
        <f>IFERROR(__xludf.DUMMYFUNCTION("""COMPUTED_VALUE"""),"fitscrypt")</f>
        <v>fitscrypt</v>
      </c>
      <c r="B4580" s="3" t="str">
        <f>IFERROR(__xludf.DUMMYFUNCTION("""COMPUTED_VALUE"""),"$fit")</f>
        <v>$fit</v>
      </c>
      <c r="C4580" s="3" t="str">
        <f>IFERROR(__xludf.DUMMYFUNCTION("""COMPUTED_VALUE"""),"FitScrypt")</f>
        <v>FitScrypt</v>
      </c>
    </row>
    <row r="4581">
      <c r="A4581" s="3" t="str">
        <f>IFERROR(__xludf.DUMMYFUNCTION("""COMPUTED_VALUE"""),"fit-token")</f>
        <v>fit-token</v>
      </c>
      <c r="B4581" s="3" t="str">
        <f>IFERROR(__xludf.DUMMYFUNCTION("""COMPUTED_VALUE"""),"fit")</f>
        <v>fit</v>
      </c>
      <c r="C4581" s="3" t="str">
        <f>IFERROR(__xludf.DUMMYFUNCTION("""COMPUTED_VALUE"""),"FIT")</f>
        <v>FIT</v>
      </c>
    </row>
    <row r="4582">
      <c r="A4582" s="3" t="str">
        <f>IFERROR(__xludf.DUMMYFUNCTION("""COMPUTED_VALUE"""),"fity")</f>
        <v>fity</v>
      </c>
      <c r="B4582" s="3" t="str">
        <f>IFERROR(__xludf.DUMMYFUNCTION("""COMPUTED_VALUE"""),"fity")</f>
        <v>fity</v>
      </c>
      <c r="C4582" s="3" t="str">
        <f>IFERROR(__xludf.DUMMYFUNCTION("""COMPUTED_VALUE"""),"Fity")</f>
        <v>Fity</v>
      </c>
    </row>
    <row r="4583">
      <c r="A4583" s="3" t="str">
        <f>IFERROR(__xludf.DUMMYFUNCTION("""COMPUTED_VALUE"""),"five-balance")</f>
        <v>five-balance</v>
      </c>
      <c r="B4583" s="3" t="str">
        <f>IFERROR(__xludf.DUMMYFUNCTION("""COMPUTED_VALUE"""),"fbn")</f>
        <v>fbn</v>
      </c>
      <c r="C4583" s="3" t="str">
        <f>IFERROR(__xludf.DUMMYFUNCTION("""COMPUTED_VALUE"""),"Fivebalance Coin")</f>
        <v>Fivebalance Coin</v>
      </c>
    </row>
    <row r="4584">
      <c r="A4584" s="3" t="str">
        <f>IFERROR(__xludf.DUMMYFUNCTION("""COMPUTED_VALUE"""),"fivekm-kmt")</f>
        <v>fivekm-kmt</v>
      </c>
      <c r="B4584" s="3" t="str">
        <f>IFERROR(__xludf.DUMMYFUNCTION("""COMPUTED_VALUE"""),"kmt")</f>
        <v>kmt</v>
      </c>
      <c r="C4584" s="3" t="str">
        <f>IFERROR(__xludf.DUMMYFUNCTION("""COMPUTED_VALUE"""),"FiveKM KMT")</f>
        <v>FiveKM KMT</v>
      </c>
    </row>
    <row r="4585">
      <c r="A4585" s="3" t="str">
        <f>IFERROR(__xludf.DUMMYFUNCTION("""COMPUTED_VALUE"""),"fixed-income-asset-token")</f>
        <v>fixed-income-asset-token</v>
      </c>
      <c r="B4585" s="3" t="str">
        <f>IFERROR(__xludf.DUMMYFUNCTION("""COMPUTED_VALUE"""),"fiat")</f>
        <v>fiat</v>
      </c>
      <c r="C4585" s="3" t="str">
        <f>IFERROR(__xludf.DUMMYFUNCTION("""COMPUTED_VALUE"""),"Fixed Income Asset")</f>
        <v>Fixed Income Asset</v>
      </c>
    </row>
    <row r="4586">
      <c r="A4586" s="3" t="str">
        <f>IFERROR(__xludf.DUMMYFUNCTION("""COMPUTED_VALUE"""),"fixed-trade-coin")</f>
        <v>fixed-trade-coin</v>
      </c>
      <c r="B4586" s="3" t="str">
        <f>IFERROR(__xludf.DUMMYFUNCTION("""COMPUTED_VALUE"""),"fxtc")</f>
        <v>fxtc</v>
      </c>
      <c r="C4586" s="3" t="str">
        <f>IFERROR(__xludf.DUMMYFUNCTION("""COMPUTED_VALUE"""),"Fixed Trade Coin")</f>
        <v>Fixed Trade Coin</v>
      </c>
    </row>
    <row r="4587">
      <c r="A4587" s="3" t="str">
        <f>IFERROR(__xludf.DUMMYFUNCTION("""COMPUTED_VALUE"""),"flag-media")</f>
        <v>flag-media</v>
      </c>
      <c r="B4587" s="3" t="str">
        <f>IFERROR(__xludf.DUMMYFUNCTION("""COMPUTED_VALUE"""),"flag")</f>
        <v>flag</v>
      </c>
      <c r="C4587" s="3" t="str">
        <f>IFERROR(__xludf.DUMMYFUNCTION("""COMPUTED_VALUE"""),"Flag Media")</f>
        <v>Flag Media</v>
      </c>
    </row>
    <row r="4588">
      <c r="A4588" s="3" t="str">
        <f>IFERROR(__xludf.DUMMYFUNCTION("""COMPUTED_VALUE"""),"flag-network")</f>
        <v>flag-network</v>
      </c>
      <c r="B4588" s="3" t="str">
        <f>IFERROR(__xludf.DUMMYFUNCTION("""COMPUTED_VALUE"""),"flag")</f>
        <v>flag</v>
      </c>
      <c r="C4588" s="3" t="str">
        <f>IFERROR(__xludf.DUMMYFUNCTION("""COMPUTED_VALUE"""),"Flag Network")</f>
        <v>Flag Network</v>
      </c>
    </row>
    <row r="4589">
      <c r="A4589" s="3" t="str">
        <f>IFERROR(__xludf.DUMMYFUNCTION("""COMPUTED_VALUE"""),"flamengo-fan-token")</f>
        <v>flamengo-fan-token</v>
      </c>
      <c r="B4589" s="3" t="str">
        <f>IFERROR(__xludf.DUMMYFUNCTION("""COMPUTED_VALUE"""),"mengo")</f>
        <v>mengo</v>
      </c>
      <c r="C4589" s="3" t="str">
        <f>IFERROR(__xludf.DUMMYFUNCTION("""COMPUTED_VALUE"""),"Flamengo Fan Token")</f>
        <v>Flamengo Fan Token</v>
      </c>
    </row>
    <row r="4590">
      <c r="A4590" s="3" t="str">
        <f>IFERROR(__xludf.DUMMYFUNCTION("""COMPUTED_VALUE"""),"flamingo-finance")</f>
        <v>flamingo-finance</v>
      </c>
      <c r="B4590" s="3" t="str">
        <f>IFERROR(__xludf.DUMMYFUNCTION("""COMPUTED_VALUE"""),"flm")</f>
        <v>flm</v>
      </c>
      <c r="C4590" s="3" t="str">
        <f>IFERROR(__xludf.DUMMYFUNCTION("""COMPUTED_VALUE"""),"Flamingo Finance")</f>
        <v>Flamingo Finance</v>
      </c>
    </row>
    <row r="4591">
      <c r="A4591" s="3" t="str">
        <f>IFERROR(__xludf.DUMMYFUNCTION("""COMPUTED_VALUE"""),"flappy-floki")</f>
        <v>flappy-floki</v>
      </c>
      <c r="B4591" s="3" t="str">
        <f>IFERROR(__xludf.DUMMYFUNCTION("""COMPUTED_VALUE"""),"flaflo")</f>
        <v>flaflo</v>
      </c>
      <c r="C4591" s="3" t="str">
        <f>IFERROR(__xludf.DUMMYFUNCTION("""COMPUTED_VALUE"""),"Flappy Floki")</f>
        <v>Flappy Floki</v>
      </c>
    </row>
    <row r="4592">
      <c r="A4592" s="3" t="str">
        <f>IFERROR(__xludf.DUMMYFUNCTION("""COMPUTED_VALUE"""),"flappyrats")</f>
        <v>flappyrats</v>
      </c>
      <c r="B4592" s="3" t="str">
        <f>IFERROR(__xludf.DUMMYFUNCTION("""COMPUTED_VALUE"""),"frats")</f>
        <v>frats</v>
      </c>
      <c r="C4592" s="3" t="str">
        <f>IFERROR(__xludf.DUMMYFUNCTION("""COMPUTED_VALUE"""),"FlappyRats")</f>
        <v>FlappyRats</v>
      </c>
    </row>
    <row r="4593">
      <c r="A4593" s="3" t="str">
        <f>IFERROR(__xludf.DUMMYFUNCTION("""COMPUTED_VALUE"""),"flare-finance")</f>
        <v>flare-finance</v>
      </c>
      <c r="B4593" s="3" t="str">
        <f>IFERROR(__xludf.DUMMYFUNCTION("""COMPUTED_VALUE"""),"exfi")</f>
        <v>exfi</v>
      </c>
      <c r="C4593" s="3" t="str">
        <f>IFERROR(__xludf.DUMMYFUNCTION("""COMPUTED_VALUE"""),"Flare Finance")</f>
        <v>Flare Finance</v>
      </c>
    </row>
    <row r="4594">
      <c r="A4594" s="3" t="str">
        <f>IFERROR(__xludf.DUMMYFUNCTION("""COMPUTED_VALUE"""),"flare-token")</f>
        <v>flare-token</v>
      </c>
      <c r="B4594" s="3" t="str">
        <f>IFERROR(__xludf.DUMMYFUNCTION("""COMPUTED_VALUE"""),"1flr")</f>
        <v>1flr</v>
      </c>
      <c r="C4594" s="3" t="str">
        <f>IFERROR(__xludf.DUMMYFUNCTION("""COMPUTED_VALUE"""),"Flare")</f>
        <v>Flare</v>
      </c>
    </row>
    <row r="4595">
      <c r="A4595" s="3" t="str">
        <f>IFERROR(__xludf.DUMMYFUNCTION("""COMPUTED_VALUE"""),"flash-inu")</f>
        <v>flash-inu</v>
      </c>
      <c r="B4595" s="3" t="str">
        <f>IFERROR(__xludf.DUMMYFUNCTION("""COMPUTED_VALUE"""),"flash")</f>
        <v>flash</v>
      </c>
      <c r="C4595" s="3" t="str">
        <f>IFERROR(__xludf.DUMMYFUNCTION("""COMPUTED_VALUE"""),"Flash Inu")</f>
        <v>Flash Inu</v>
      </c>
    </row>
    <row r="4596">
      <c r="A4596" s="3" t="str">
        <f>IFERROR(__xludf.DUMMYFUNCTION("""COMPUTED_VALUE"""),"flash-stake")</f>
        <v>flash-stake</v>
      </c>
      <c r="B4596" s="3" t="str">
        <f>IFERROR(__xludf.DUMMYFUNCTION("""COMPUTED_VALUE"""),"flash")</f>
        <v>flash</v>
      </c>
      <c r="C4596" s="3" t="str">
        <f>IFERROR(__xludf.DUMMYFUNCTION("""COMPUTED_VALUE"""),"Flashstake")</f>
        <v>Flashstake</v>
      </c>
    </row>
    <row r="4597">
      <c r="A4597" s="3" t="str">
        <f>IFERROR(__xludf.DUMMYFUNCTION("""COMPUTED_VALUE"""),"flash-token")</f>
        <v>flash-token</v>
      </c>
      <c r="B4597" s="3" t="str">
        <f>IFERROR(__xludf.DUMMYFUNCTION("""COMPUTED_VALUE"""),"flash")</f>
        <v>flash</v>
      </c>
      <c r="C4597" s="3" t="str">
        <f>IFERROR(__xludf.DUMMYFUNCTION("""COMPUTED_VALUE"""),"Flash Loans")</f>
        <v>Flash Loans</v>
      </c>
    </row>
    <row r="4598">
      <c r="A4598" s="3" t="str">
        <f>IFERROR(__xludf.DUMMYFUNCTION("""COMPUTED_VALUE"""),"flash-token-2")</f>
        <v>flash-token-2</v>
      </c>
      <c r="B4598" s="3" t="str">
        <f>IFERROR(__xludf.DUMMYFUNCTION("""COMPUTED_VALUE"""),"flash")</f>
        <v>flash</v>
      </c>
      <c r="C4598" s="3" t="str">
        <f>IFERROR(__xludf.DUMMYFUNCTION("""COMPUTED_VALUE"""),"Flash")</f>
        <v>Flash</v>
      </c>
    </row>
    <row r="4599">
      <c r="A4599" s="3" t="str">
        <f>IFERROR(__xludf.DUMMYFUNCTION("""COMPUTED_VALUE"""),"flashx-ultra")</f>
        <v>flashx-ultra</v>
      </c>
      <c r="B4599" s="3" t="str">
        <f>IFERROR(__xludf.DUMMYFUNCTION("""COMPUTED_VALUE"""),"fsxu")</f>
        <v>fsxu</v>
      </c>
      <c r="C4599" s="3" t="str">
        <f>IFERROR(__xludf.DUMMYFUNCTION("""COMPUTED_VALUE"""),"FlashX Ultra")</f>
        <v>FlashX Ultra</v>
      </c>
    </row>
    <row r="4600">
      <c r="A4600" s="3" t="str">
        <f>IFERROR(__xludf.DUMMYFUNCTION("""COMPUTED_VALUE"""),"flatqube")</f>
        <v>flatqube</v>
      </c>
      <c r="B4600" s="3" t="str">
        <f>IFERROR(__xludf.DUMMYFUNCTION("""COMPUTED_VALUE"""),"qube")</f>
        <v>qube</v>
      </c>
      <c r="C4600" s="3" t="str">
        <f>IFERROR(__xludf.DUMMYFUNCTION("""COMPUTED_VALUE"""),"FlatQube")</f>
        <v>FlatQube</v>
      </c>
    </row>
    <row r="4601">
      <c r="A4601" s="3" t="str">
        <f>IFERROR(__xludf.DUMMYFUNCTION("""COMPUTED_VALUE"""),"fleta")</f>
        <v>fleta</v>
      </c>
      <c r="B4601" s="3" t="str">
        <f>IFERROR(__xludf.DUMMYFUNCTION("""COMPUTED_VALUE"""),"fleta")</f>
        <v>fleta</v>
      </c>
      <c r="C4601" s="3" t="str">
        <f>IFERROR(__xludf.DUMMYFUNCTION("""COMPUTED_VALUE"""),"FLETA")</f>
        <v>FLETA</v>
      </c>
    </row>
    <row r="4602">
      <c r="A4602" s="3" t="str">
        <f>IFERROR(__xludf.DUMMYFUNCTION("""COMPUTED_VALUE"""),"flex-coin")</f>
        <v>flex-coin</v>
      </c>
      <c r="B4602" s="3" t="str">
        <f>IFERROR(__xludf.DUMMYFUNCTION("""COMPUTED_VALUE"""),"flex")</f>
        <v>flex</v>
      </c>
      <c r="C4602" s="3" t="str">
        <f>IFERROR(__xludf.DUMMYFUNCTION("""COMPUTED_VALUE"""),"FLEX Coin")</f>
        <v>FLEX Coin</v>
      </c>
    </row>
    <row r="4603">
      <c r="A4603" s="3" t="str">
        <f>IFERROR(__xludf.DUMMYFUNCTION("""COMPUTED_VALUE"""),"flexq")</f>
        <v>flexq</v>
      </c>
      <c r="B4603" s="3" t="str">
        <f>IFERROR(__xludf.DUMMYFUNCTION("""COMPUTED_VALUE"""),"flq")</f>
        <v>flq</v>
      </c>
      <c r="C4603" s="3" t="str">
        <f>IFERROR(__xludf.DUMMYFUNCTION("""COMPUTED_VALUE"""),"FlexQ")</f>
        <v>FlexQ</v>
      </c>
    </row>
    <row r="4604">
      <c r="A4604" s="3" t="str">
        <f>IFERROR(__xludf.DUMMYFUNCTION("""COMPUTED_VALUE"""),"flex-usd")</f>
        <v>flex-usd</v>
      </c>
      <c r="B4604" s="3" t="str">
        <f>IFERROR(__xludf.DUMMYFUNCTION("""COMPUTED_VALUE"""),"flexusd")</f>
        <v>flexusd</v>
      </c>
      <c r="C4604" s="3" t="str">
        <f>IFERROR(__xludf.DUMMYFUNCTION("""COMPUTED_VALUE"""),"flexUSD")</f>
        <v>flexUSD</v>
      </c>
    </row>
    <row r="4605">
      <c r="A4605" s="3" t="str">
        <f>IFERROR(__xludf.DUMMYFUNCTION("""COMPUTED_VALUE"""),"flipstar")</f>
        <v>flipstar</v>
      </c>
      <c r="B4605" s="3" t="str">
        <f>IFERROR(__xludf.DUMMYFUNCTION("""COMPUTED_VALUE"""),"flip")</f>
        <v>flip</v>
      </c>
      <c r="C4605" s="3" t="str">
        <f>IFERROR(__xludf.DUMMYFUNCTION("""COMPUTED_VALUE"""),"FlipStar")</f>
        <v>FlipStar</v>
      </c>
    </row>
    <row r="4606">
      <c r="A4606" s="3" t="str">
        <f>IFERROR(__xludf.DUMMYFUNCTION("""COMPUTED_VALUE"""),"flits")</f>
        <v>flits</v>
      </c>
      <c r="B4606" s="3" t="str">
        <f>IFERROR(__xludf.DUMMYFUNCTION("""COMPUTED_VALUE"""),"fls")</f>
        <v>fls</v>
      </c>
      <c r="C4606" s="3" t="str">
        <f>IFERROR(__xludf.DUMMYFUNCTION("""COMPUTED_VALUE"""),"Flits")</f>
        <v>Flits</v>
      </c>
    </row>
    <row r="4607">
      <c r="A4607" s="3" t="str">
        <f>IFERROR(__xludf.DUMMYFUNCTION("""COMPUTED_VALUE"""),"flixxo")</f>
        <v>flixxo</v>
      </c>
      <c r="B4607" s="3" t="str">
        <f>IFERROR(__xludf.DUMMYFUNCTION("""COMPUTED_VALUE"""),"flixx")</f>
        <v>flixx</v>
      </c>
      <c r="C4607" s="3" t="str">
        <f>IFERROR(__xludf.DUMMYFUNCTION("""COMPUTED_VALUE"""),"Flixxo")</f>
        <v>Flixxo</v>
      </c>
    </row>
    <row r="4608">
      <c r="A4608" s="3" t="str">
        <f>IFERROR(__xludf.DUMMYFUNCTION("""COMPUTED_VALUE"""),"float-protocol")</f>
        <v>float-protocol</v>
      </c>
      <c r="B4608" s="3" t="str">
        <f>IFERROR(__xludf.DUMMYFUNCTION("""COMPUTED_VALUE"""),"bank")</f>
        <v>bank</v>
      </c>
      <c r="C4608" s="3" t="str">
        <f>IFERROR(__xludf.DUMMYFUNCTION("""COMPUTED_VALUE"""),"Float Protocol")</f>
        <v>Float Protocol</v>
      </c>
    </row>
    <row r="4609">
      <c r="A4609" s="3" t="str">
        <f>IFERROR(__xludf.DUMMYFUNCTION("""COMPUTED_VALUE"""),"float-protocol-float")</f>
        <v>float-protocol-float</v>
      </c>
      <c r="B4609" s="3" t="str">
        <f>IFERROR(__xludf.DUMMYFUNCTION("""COMPUTED_VALUE"""),"float")</f>
        <v>float</v>
      </c>
      <c r="C4609" s="3" t="str">
        <f>IFERROR(__xludf.DUMMYFUNCTION("""COMPUTED_VALUE"""),"Float Protocol: Float")</f>
        <v>Float Protocol: Float</v>
      </c>
    </row>
    <row r="4610">
      <c r="A4610" s="3" t="str">
        <f>IFERROR(__xludf.DUMMYFUNCTION("""COMPUTED_VALUE"""),"flock")</f>
        <v>flock</v>
      </c>
      <c r="B4610" s="3" t="str">
        <f>IFERROR(__xludf.DUMMYFUNCTION("""COMPUTED_VALUE"""),"flock")</f>
        <v>flock</v>
      </c>
      <c r="C4610" s="3" t="str">
        <f>IFERROR(__xludf.DUMMYFUNCTION("""COMPUTED_VALUE"""),"Flock")</f>
        <v>Flock</v>
      </c>
    </row>
    <row r="4611">
      <c r="A4611" s="3" t="str">
        <f>IFERROR(__xludf.DUMMYFUNCTION("""COMPUTED_VALUE"""),"floki")</f>
        <v>floki</v>
      </c>
      <c r="B4611" s="3" t="str">
        <f>IFERROR(__xludf.DUMMYFUNCTION("""COMPUTED_VALUE"""),"floki")</f>
        <v>floki</v>
      </c>
      <c r="C4611" s="3" t="str">
        <f>IFERROR(__xludf.DUMMYFUNCTION("""COMPUTED_VALUE"""),"FLOKI")</f>
        <v>FLOKI</v>
      </c>
    </row>
    <row r="4612">
      <c r="A4612" s="3" t="str">
        <f>IFERROR(__xludf.DUMMYFUNCTION("""COMPUTED_VALUE"""),"flokibonk")</f>
        <v>flokibonk</v>
      </c>
      <c r="B4612" s="3" t="str">
        <f>IFERROR(__xludf.DUMMYFUNCTION("""COMPUTED_VALUE"""),"flobo")</f>
        <v>flobo</v>
      </c>
      <c r="C4612" s="3" t="str">
        <f>IFERROR(__xludf.DUMMYFUNCTION("""COMPUTED_VALUE"""),"FlokiBonk")</f>
        <v>FlokiBonk</v>
      </c>
    </row>
    <row r="4613">
      <c r="A4613" s="3" t="str">
        <f>IFERROR(__xludf.DUMMYFUNCTION("""COMPUTED_VALUE"""),"floki-chain")</f>
        <v>floki-chain</v>
      </c>
      <c r="B4613" s="3" t="str">
        <f>IFERROR(__xludf.DUMMYFUNCTION("""COMPUTED_VALUE"""),"flokichain")</f>
        <v>flokichain</v>
      </c>
      <c r="C4613" s="3" t="str">
        <f>IFERROR(__xludf.DUMMYFUNCTION("""COMPUTED_VALUE"""),"Floki Chain")</f>
        <v>Floki Chain</v>
      </c>
    </row>
    <row r="4614">
      <c r="A4614" s="3" t="str">
        <f>IFERROR(__xludf.DUMMYFUNCTION("""COMPUTED_VALUE"""),"flokicoke")</f>
        <v>flokicoke</v>
      </c>
      <c r="B4614" s="3" t="str">
        <f>IFERROR(__xludf.DUMMYFUNCTION("""COMPUTED_VALUE"""),"flokicoke")</f>
        <v>flokicoke</v>
      </c>
      <c r="C4614" s="3" t="str">
        <f>IFERROR(__xludf.DUMMYFUNCTION("""COMPUTED_VALUE"""),"FlokiCoke")</f>
        <v>FlokiCoke</v>
      </c>
    </row>
    <row r="4615">
      <c r="A4615" s="3" t="str">
        <f>IFERROR(__xludf.DUMMYFUNCTION("""COMPUTED_VALUE"""),"flokigainz")</f>
        <v>flokigainz</v>
      </c>
      <c r="B4615" s="3" t="str">
        <f>IFERROR(__xludf.DUMMYFUNCTION("""COMPUTED_VALUE"""),"gainz")</f>
        <v>gainz</v>
      </c>
      <c r="C4615" s="3" t="str">
        <f>IFERROR(__xludf.DUMMYFUNCTION("""COMPUTED_VALUE"""),"FlokiGainz")</f>
        <v>FlokiGainz</v>
      </c>
    </row>
    <row r="4616">
      <c r="A4616" s="3" t="str">
        <f>IFERROR(__xludf.DUMMYFUNCTION("""COMPUTED_VALUE"""),"flokigrow")</f>
        <v>flokigrow</v>
      </c>
      <c r="B4616" s="3" t="str">
        <f>IFERROR(__xludf.DUMMYFUNCTION("""COMPUTED_VALUE"""),"flokigrow")</f>
        <v>flokigrow</v>
      </c>
      <c r="C4616" s="3" t="str">
        <f>IFERROR(__xludf.DUMMYFUNCTION("""COMPUTED_VALUE"""),"FlokiGrow")</f>
        <v>FlokiGrow</v>
      </c>
    </row>
    <row r="4617">
      <c r="A4617" s="3" t="str">
        <f>IFERROR(__xludf.DUMMYFUNCTION("""COMPUTED_VALUE"""),"flokimarvin")</f>
        <v>flokimarvin</v>
      </c>
      <c r="B4617" s="3" t="str">
        <f>IFERROR(__xludf.DUMMYFUNCTION("""COMPUTED_VALUE"""),"$pals")</f>
        <v>$pals</v>
      </c>
      <c r="C4617" s="3" t="str">
        <f>IFERROR(__xludf.DUMMYFUNCTION("""COMPUTED_VALUE"""),"FlokiMarvin")</f>
        <v>FlokiMarvin</v>
      </c>
    </row>
    <row r="4618">
      <c r="A4618" s="3" t="str">
        <f>IFERROR(__xludf.DUMMYFUNCTION("""COMPUTED_VALUE"""),"floki-millions")</f>
        <v>floki-millions</v>
      </c>
      <c r="B4618" s="3" t="str">
        <f>IFERROR(__xludf.DUMMYFUNCTION("""COMPUTED_VALUE"""),"millions")</f>
        <v>millions</v>
      </c>
      <c r="C4618" s="3" t="str">
        <f>IFERROR(__xludf.DUMMYFUNCTION("""COMPUTED_VALUE"""),"Floki Millions")</f>
        <v>Floki Millions</v>
      </c>
    </row>
    <row r="4619">
      <c r="A4619" s="3" t="str">
        <f>IFERROR(__xludf.DUMMYFUNCTION("""COMPUTED_VALUE"""),"flokimooni")</f>
        <v>flokimooni</v>
      </c>
      <c r="B4619" s="3" t="str">
        <f>IFERROR(__xludf.DUMMYFUNCTION("""COMPUTED_VALUE"""),"flokim")</f>
        <v>flokim</v>
      </c>
      <c r="C4619" s="3" t="str">
        <f>IFERROR(__xludf.DUMMYFUNCTION("""COMPUTED_VALUE"""),"Flokimooni")</f>
        <v>Flokimooni</v>
      </c>
    </row>
    <row r="4620">
      <c r="A4620" s="3" t="str">
        <f>IFERROR(__xludf.DUMMYFUNCTION("""COMPUTED_VALUE"""),"floki-musk")</f>
        <v>floki-musk</v>
      </c>
      <c r="B4620" s="3" t="str">
        <f>IFERROR(__xludf.DUMMYFUNCTION("""COMPUTED_VALUE"""),"floki")</f>
        <v>floki</v>
      </c>
      <c r="C4620" s="3" t="str">
        <f>IFERROR(__xludf.DUMMYFUNCTION("""COMPUTED_VALUE"""),"Floki Musk")</f>
        <v>Floki Musk</v>
      </c>
    </row>
    <row r="4621">
      <c r="A4621" s="3" t="str">
        <f>IFERROR(__xludf.DUMMYFUNCTION("""COMPUTED_VALUE"""),"floki-one")</f>
        <v>floki-one</v>
      </c>
      <c r="B4621" s="3" t="str">
        <f>IFERROR(__xludf.DUMMYFUNCTION("""COMPUTED_VALUE"""),"floki")</f>
        <v>floki</v>
      </c>
      <c r="C4621" s="3" t="str">
        <f>IFERROR(__xludf.DUMMYFUNCTION("""COMPUTED_VALUE"""),"Floki One")</f>
        <v>Floki One</v>
      </c>
    </row>
    <row r="4622">
      <c r="A4622" s="3" t="str">
        <f>IFERROR(__xludf.DUMMYFUNCTION("""COMPUTED_VALUE"""),"floki-pup")</f>
        <v>floki-pup</v>
      </c>
      <c r="B4622" s="3" t="str">
        <f>IFERROR(__xludf.DUMMYFUNCTION("""COMPUTED_VALUE"""),"flokipup")</f>
        <v>flokipup</v>
      </c>
      <c r="C4622" s="3" t="str">
        <f>IFERROR(__xludf.DUMMYFUNCTION("""COMPUTED_VALUE"""),"Floki Pup")</f>
        <v>Floki Pup</v>
      </c>
    </row>
    <row r="4623">
      <c r="A4623" s="3" t="str">
        <f>IFERROR(__xludf.DUMMYFUNCTION("""COMPUTED_VALUE"""),"flokirocket")</f>
        <v>flokirocket</v>
      </c>
      <c r="B4623" s="3" t="str">
        <f>IFERROR(__xludf.DUMMYFUNCTION("""COMPUTED_VALUE"""),"rkf")</f>
        <v>rkf</v>
      </c>
      <c r="C4623" s="3" t="str">
        <f>IFERROR(__xludf.DUMMYFUNCTION("""COMPUTED_VALUE"""),"FlokiRocket")</f>
        <v>FlokiRocket</v>
      </c>
    </row>
    <row r="4624">
      <c r="A4624" s="3" t="str">
        <f>IFERROR(__xludf.DUMMYFUNCTION("""COMPUTED_VALUE"""),"floki-rocket")</f>
        <v>floki-rocket</v>
      </c>
      <c r="B4624" s="3" t="str">
        <f>IFERROR(__xludf.DUMMYFUNCTION("""COMPUTED_VALUE"""),"rloki")</f>
        <v>rloki</v>
      </c>
      <c r="C4624" s="3" t="str">
        <f>IFERROR(__xludf.DUMMYFUNCTION("""COMPUTED_VALUE"""),"Floki Rocket")</f>
        <v>Floki Rocket</v>
      </c>
    </row>
    <row r="4625">
      <c r="A4625" s="3" t="str">
        <f>IFERROR(__xludf.DUMMYFUNCTION("""COMPUTED_VALUE"""),"flokiswap")</f>
        <v>flokiswap</v>
      </c>
      <c r="B4625" s="3" t="str">
        <f>IFERROR(__xludf.DUMMYFUNCTION("""COMPUTED_VALUE"""),"flokis")</f>
        <v>flokis</v>
      </c>
      <c r="C4625" s="3" t="str">
        <f>IFERROR(__xludf.DUMMYFUNCTION("""COMPUTED_VALUE"""),"FlokiSwap")</f>
        <v>FlokiSwap</v>
      </c>
    </row>
    <row r="4626">
      <c r="A4626" s="3" t="str">
        <f>IFERROR(__xludf.DUMMYFUNCTION("""COMPUTED_VALUE"""),"floof")</f>
        <v>floof</v>
      </c>
      <c r="B4626" s="3" t="str">
        <f>IFERROR(__xludf.DUMMYFUNCTION("""COMPUTED_VALUE"""),"floof")</f>
        <v>floof</v>
      </c>
      <c r="C4626" s="3" t="str">
        <f>IFERROR(__xludf.DUMMYFUNCTION("""COMPUTED_VALUE"""),"FLOOF")</f>
        <v>FLOOF</v>
      </c>
    </row>
    <row r="4627">
      <c r="A4627" s="3" t="str">
        <f>IFERROR(__xludf.DUMMYFUNCTION("""COMPUTED_VALUE"""),"floordao")</f>
        <v>floordao</v>
      </c>
      <c r="B4627" s="3" t="str">
        <f>IFERROR(__xludf.DUMMYFUNCTION("""COMPUTED_VALUE"""),"floor")</f>
        <v>floor</v>
      </c>
      <c r="C4627" s="3" t="str">
        <f>IFERROR(__xludf.DUMMYFUNCTION("""COMPUTED_VALUE"""),"FloorDAO")</f>
        <v>FloorDAO</v>
      </c>
    </row>
    <row r="4628">
      <c r="A4628" s="3" t="str">
        <f>IFERROR(__xludf.DUMMYFUNCTION("""COMPUTED_VALUE"""),"florida-man")</f>
        <v>florida-man</v>
      </c>
      <c r="B4628" s="3" t="str">
        <f>IFERROR(__xludf.DUMMYFUNCTION("""COMPUTED_VALUE"""),"fman")</f>
        <v>fman</v>
      </c>
      <c r="C4628" s="3" t="str">
        <f>IFERROR(__xludf.DUMMYFUNCTION("""COMPUTED_VALUE"""),"Florida Man")</f>
        <v>Florida Man</v>
      </c>
    </row>
    <row r="4629">
      <c r="A4629" s="3" t="str">
        <f>IFERROR(__xludf.DUMMYFUNCTION("""COMPUTED_VALUE"""),"florin")</f>
        <v>florin</v>
      </c>
      <c r="B4629" s="3" t="str">
        <f>IFERROR(__xludf.DUMMYFUNCTION("""COMPUTED_VALUE"""),"xfl")</f>
        <v>xfl</v>
      </c>
      <c r="C4629" s="3" t="str">
        <f>IFERROR(__xludf.DUMMYFUNCTION("""COMPUTED_VALUE"""),"Florin")</f>
        <v>Florin</v>
      </c>
    </row>
    <row r="4630">
      <c r="A4630" s="3" t="str">
        <f>IFERROR(__xludf.DUMMYFUNCTION("""COMPUTED_VALUE"""),"floshin")</f>
        <v>floshin</v>
      </c>
      <c r="B4630" s="3" t="str">
        <f>IFERROR(__xludf.DUMMYFUNCTION("""COMPUTED_VALUE"""),"floshin")</f>
        <v>floshin</v>
      </c>
      <c r="C4630" s="3" t="str">
        <f>IFERROR(__xludf.DUMMYFUNCTION("""COMPUTED_VALUE"""),"Floshin")</f>
        <v>Floshin</v>
      </c>
    </row>
    <row r="4631">
      <c r="A4631" s="3" t="str">
        <f>IFERROR(__xludf.DUMMYFUNCTION("""COMPUTED_VALUE"""),"flourishing-ai-token")</f>
        <v>flourishing-ai-token</v>
      </c>
      <c r="B4631" s="3" t="str">
        <f>IFERROR(__xludf.DUMMYFUNCTION("""COMPUTED_VALUE"""),"ai")</f>
        <v>ai</v>
      </c>
      <c r="C4631" s="3" t="str">
        <f>IFERROR(__xludf.DUMMYFUNCTION("""COMPUTED_VALUE"""),"Flourishing AI")</f>
        <v>Flourishing AI</v>
      </c>
    </row>
    <row r="4632">
      <c r="A4632" s="3" t="str">
        <f>IFERROR(__xludf.DUMMYFUNCTION("""COMPUTED_VALUE"""),"flow")</f>
        <v>flow</v>
      </c>
      <c r="B4632" s="3" t="str">
        <f>IFERROR(__xludf.DUMMYFUNCTION("""COMPUTED_VALUE"""),"flow")</f>
        <v>flow</v>
      </c>
      <c r="C4632" s="3" t="str">
        <f>IFERROR(__xludf.DUMMYFUNCTION("""COMPUTED_VALUE"""),"Flow")</f>
        <v>Flow</v>
      </c>
    </row>
    <row r="4633">
      <c r="A4633" s="3" t="str">
        <f>IFERROR(__xludf.DUMMYFUNCTION("""COMPUTED_VALUE"""),"flowchaincoin")</f>
        <v>flowchaincoin</v>
      </c>
      <c r="B4633" s="3" t="str">
        <f>IFERROR(__xludf.DUMMYFUNCTION("""COMPUTED_VALUE"""),"flc")</f>
        <v>flc</v>
      </c>
      <c r="C4633" s="3" t="str">
        <f>IFERROR(__xludf.DUMMYFUNCTION("""COMPUTED_VALUE"""),"Flowchain")</f>
        <v>Flowchain</v>
      </c>
    </row>
    <row r="4634">
      <c r="A4634" s="3" t="str">
        <f>IFERROR(__xludf.DUMMYFUNCTION("""COMPUTED_VALUE"""),"flower")</f>
        <v>flower</v>
      </c>
      <c r="B4634" s="3" t="str">
        <f>IFERROR(__xludf.DUMMYFUNCTION("""COMPUTED_VALUE"""),"flow")</f>
        <v>flow</v>
      </c>
      <c r="C4634" s="3" t="str">
        <f>IFERROR(__xludf.DUMMYFUNCTION("""COMPUTED_VALUE"""),"Flower")</f>
        <v>Flower</v>
      </c>
    </row>
    <row r="4635">
      <c r="A4635" s="3" t="str">
        <f>IFERROR(__xludf.DUMMYFUNCTION("""COMPUTED_VALUE"""),"fluffy-coin")</f>
        <v>fluffy-coin</v>
      </c>
      <c r="B4635" s="3" t="str">
        <f>IFERROR(__xludf.DUMMYFUNCTION("""COMPUTED_VALUE"""),"fluf")</f>
        <v>fluf</v>
      </c>
      <c r="C4635" s="3" t="str">
        <f>IFERROR(__xludf.DUMMYFUNCTION("""COMPUTED_VALUE"""),"Fluffy Coin")</f>
        <v>Fluffy Coin</v>
      </c>
    </row>
    <row r="4636">
      <c r="A4636" s="3" t="str">
        <f>IFERROR(__xludf.DUMMYFUNCTION("""COMPUTED_VALUE"""),"fluffy-inu")</f>
        <v>fluffy-inu</v>
      </c>
      <c r="B4636" s="3" t="str">
        <f>IFERROR(__xludf.DUMMYFUNCTION("""COMPUTED_VALUE"""),"fluffy")</f>
        <v>fluffy</v>
      </c>
      <c r="C4636" s="3" t="str">
        <f>IFERROR(__xludf.DUMMYFUNCTION("""COMPUTED_VALUE"""),"Fluffy Inu")</f>
        <v>Fluffy Inu</v>
      </c>
    </row>
    <row r="4637">
      <c r="A4637" s="3" t="str">
        <f>IFERROR(__xludf.DUMMYFUNCTION("""COMPUTED_VALUE"""),"fluid")</f>
        <v>fluid</v>
      </c>
      <c r="B4637" s="3" t="str">
        <f>IFERROR(__xludf.DUMMYFUNCTION("""COMPUTED_VALUE"""),"fld")</f>
        <v>fld</v>
      </c>
      <c r="C4637" s="3" t="str">
        <f>IFERROR(__xludf.DUMMYFUNCTION("""COMPUTED_VALUE"""),"FLUID")</f>
        <v>FLUID</v>
      </c>
    </row>
    <row r="4638">
      <c r="A4638" s="3" t="str">
        <f>IFERROR(__xludf.DUMMYFUNCTION("""COMPUTED_VALUE"""),"fluidfi")</f>
        <v>fluidfi</v>
      </c>
      <c r="B4638" s="3" t="str">
        <f>IFERROR(__xludf.DUMMYFUNCTION("""COMPUTED_VALUE"""),"fluid")</f>
        <v>fluid</v>
      </c>
      <c r="C4638" s="3" t="str">
        <f>IFERROR(__xludf.DUMMYFUNCTION("""COMPUTED_VALUE"""),"FluidFi")</f>
        <v>FluidFi</v>
      </c>
    </row>
    <row r="4639">
      <c r="A4639" s="3" t="str">
        <f>IFERROR(__xludf.DUMMYFUNCTION("""COMPUTED_VALUE"""),"flurry")</f>
        <v>flurry</v>
      </c>
      <c r="B4639" s="3" t="str">
        <f>IFERROR(__xludf.DUMMYFUNCTION("""COMPUTED_VALUE"""),"flurry")</f>
        <v>flurry</v>
      </c>
      <c r="C4639" s="3" t="str">
        <f>IFERROR(__xludf.DUMMYFUNCTION("""COMPUTED_VALUE"""),"Flurry Finance")</f>
        <v>Flurry Finance</v>
      </c>
    </row>
    <row r="4640">
      <c r="A4640" s="3" t="str">
        <f>IFERROR(__xludf.DUMMYFUNCTION("""COMPUTED_VALUE"""),"flux")</f>
        <v>flux</v>
      </c>
      <c r="B4640" s="3" t="str">
        <f>IFERROR(__xludf.DUMMYFUNCTION("""COMPUTED_VALUE"""),"flux")</f>
        <v>flux</v>
      </c>
      <c r="C4640" s="3" t="str">
        <f>IFERROR(__xludf.DUMMYFUNCTION("""COMPUTED_VALUE"""),"Datamine FLUX")</f>
        <v>Datamine FLUX</v>
      </c>
    </row>
    <row r="4641">
      <c r="A4641" s="3" t="str">
        <f>IFERROR(__xludf.DUMMYFUNCTION("""COMPUTED_VALUE"""),"flux-protocol")</f>
        <v>flux-protocol</v>
      </c>
      <c r="B4641" s="3" t="str">
        <f>IFERROR(__xludf.DUMMYFUNCTION("""COMPUTED_VALUE"""),"flux")</f>
        <v>flux</v>
      </c>
      <c r="C4641" s="3" t="str">
        <f>IFERROR(__xludf.DUMMYFUNCTION("""COMPUTED_VALUE"""),"Flux Protocol")</f>
        <v>Flux Protocol</v>
      </c>
    </row>
    <row r="4642">
      <c r="A4642" s="3" t="str">
        <f>IFERROR(__xludf.DUMMYFUNCTION("""COMPUTED_VALUE"""),"flux-token")</f>
        <v>flux-token</v>
      </c>
      <c r="B4642" s="3" t="str">
        <f>IFERROR(__xludf.DUMMYFUNCTION("""COMPUTED_VALUE"""),"flx")</f>
        <v>flx</v>
      </c>
      <c r="C4642" s="3" t="str">
        <f>IFERROR(__xludf.DUMMYFUNCTION("""COMPUTED_VALUE"""),"FluxProtocol")</f>
        <v>FluxProtocol</v>
      </c>
    </row>
    <row r="4643">
      <c r="A4643" s="3" t="str">
        <f>IFERROR(__xludf.DUMMYFUNCTION("""COMPUTED_VALUE"""),"flyapy")</f>
        <v>flyapy</v>
      </c>
      <c r="B4643" s="3" t="str">
        <f>IFERROR(__xludf.DUMMYFUNCTION("""COMPUTED_VALUE"""),"fly")</f>
        <v>fly</v>
      </c>
      <c r="C4643" s="3" t="str">
        <f>IFERROR(__xludf.DUMMYFUNCTION("""COMPUTED_VALUE"""),"FlyApy")</f>
        <v>FlyApy</v>
      </c>
    </row>
    <row r="4644">
      <c r="A4644" s="3" t="str">
        <f>IFERROR(__xludf.DUMMYFUNCTION("""COMPUTED_VALUE"""),"flycoin-fly")</f>
        <v>flycoin-fly</v>
      </c>
      <c r="B4644" s="3" t="str">
        <f>IFERROR(__xludf.DUMMYFUNCTION("""COMPUTED_VALUE"""),"fly")</f>
        <v>fly</v>
      </c>
      <c r="C4644" s="3" t="str">
        <f>IFERROR(__xludf.DUMMYFUNCTION("""COMPUTED_VALUE"""),"Flycoin FLY")</f>
        <v>Flycoin FLY</v>
      </c>
    </row>
    <row r="4645">
      <c r="A4645" s="3" t="str">
        <f>IFERROR(__xludf.DUMMYFUNCTION("""COMPUTED_VALUE"""),"flying-colours")</f>
        <v>flying-colours</v>
      </c>
      <c r="B4645" s="3" t="str">
        <f>IFERROR(__xludf.DUMMYFUNCTION("""COMPUTED_VALUE"""),"ours")</f>
        <v>ours</v>
      </c>
      <c r="C4645" s="3" t="str">
        <f>IFERROR(__xludf.DUMMYFUNCTION("""COMPUTED_VALUE"""),"Flying Colours")</f>
        <v>Flying Colours</v>
      </c>
    </row>
    <row r="4646">
      <c r="A4646" s="3" t="str">
        <f>IFERROR(__xludf.DUMMYFUNCTION("""COMPUTED_VALUE"""),"flypaper")</f>
        <v>flypaper</v>
      </c>
      <c r="B4646" s="3" t="str">
        <f>IFERROR(__xludf.DUMMYFUNCTION("""COMPUTED_VALUE"""),"sticky")</f>
        <v>sticky</v>
      </c>
      <c r="C4646" s="3" t="str">
        <f>IFERROR(__xludf.DUMMYFUNCTION("""COMPUTED_VALUE"""),"FlyPaper")</f>
        <v>FlyPaper</v>
      </c>
    </row>
    <row r="4647">
      <c r="A4647" s="3" t="str">
        <f>IFERROR(__xludf.DUMMYFUNCTION("""COMPUTED_VALUE"""),"flype-dao")</f>
        <v>flype-dao</v>
      </c>
      <c r="B4647" s="3" t="str">
        <f>IFERROR(__xludf.DUMMYFUNCTION("""COMPUTED_VALUE"""),"flyp")</f>
        <v>flyp</v>
      </c>
      <c r="C4647" s="3" t="str">
        <f>IFERROR(__xludf.DUMMYFUNCTION("""COMPUTED_VALUE"""),"FLYPE DAO")</f>
        <v>FLYPE DAO</v>
      </c>
    </row>
    <row r="4648">
      <c r="A4648" s="3" t="str">
        <f>IFERROR(__xludf.DUMMYFUNCTION("""COMPUTED_VALUE"""),"flypme")</f>
        <v>flypme</v>
      </c>
      <c r="B4648" s="3" t="str">
        <f>IFERROR(__xludf.DUMMYFUNCTION("""COMPUTED_VALUE"""),"fyp")</f>
        <v>fyp</v>
      </c>
      <c r="C4648" s="3" t="str">
        <f>IFERROR(__xludf.DUMMYFUNCTION("""COMPUTED_VALUE"""),"FlypMe")</f>
        <v>FlypMe</v>
      </c>
    </row>
    <row r="4649">
      <c r="A4649" s="3" t="str">
        <f>IFERROR(__xludf.DUMMYFUNCTION("""COMPUTED_VALUE"""),"fme")</f>
        <v>fme</v>
      </c>
      <c r="B4649" s="3" t="str">
        <f>IFERROR(__xludf.DUMMYFUNCTION("""COMPUTED_VALUE"""),"fme")</f>
        <v>fme</v>
      </c>
      <c r="C4649" s="3" t="str">
        <f>IFERROR(__xludf.DUMMYFUNCTION("""COMPUTED_VALUE"""),"FME")</f>
        <v>FME</v>
      </c>
    </row>
    <row r="4650">
      <c r="A4650" s="3" t="str">
        <f>IFERROR(__xludf.DUMMYFUNCTION("""COMPUTED_VALUE"""),"fm-gallery")</f>
        <v>fm-gallery</v>
      </c>
      <c r="B4650" s="3" t="str">
        <f>IFERROR(__xludf.DUMMYFUNCTION("""COMPUTED_VALUE"""),"fmg")</f>
        <v>fmg</v>
      </c>
      <c r="C4650" s="3" t="str">
        <f>IFERROR(__xludf.DUMMYFUNCTION("""COMPUTED_VALUE"""),"FM Gallery")</f>
        <v>FM Gallery</v>
      </c>
    </row>
    <row r="4651">
      <c r="A4651" s="3" t="str">
        <f>IFERROR(__xludf.DUMMYFUNCTION("""COMPUTED_VALUE"""),"fmoney-finance")</f>
        <v>fmoney-finance</v>
      </c>
      <c r="B4651" s="3" t="str">
        <f>IFERROR(__xludf.DUMMYFUNCTION("""COMPUTED_VALUE"""),"fmon")</f>
        <v>fmon</v>
      </c>
      <c r="C4651" s="3" t="str">
        <f>IFERROR(__xludf.DUMMYFUNCTION("""COMPUTED_VALUE"""),"FMONEY FINANCE")</f>
        <v>FMONEY FINANCE</v>
      </c>
    </row>
    <row r="4652">
      <c r="A4652" s="3" t="str">
        <f>IFERROR(__xludf.DUMMYFUNCTION("""COMPUTED_VALUE"""),"fnb-protocol")</f>
        <v>fnb-protocol</v>
      </c>
      <c r="B4652" s="3" t="str">
        <f>IFERROR(__xludf.DUMMYFUNCTION("""COMPUTED_VALUE"""),"fnb")</f>
        <v>fnb</v>
      </c>
      <c r="C4652" s="3" t="str">
        <f>IFERROR(__xludf.DUMMYFUNCTION("""COMPUTED_VALUE"""),"FNB Protocol")</f>
        <v>FNB Protocol</v>
      </c>
    </row>
    <row r="4653">
      <c r="A4653" s="3" t="str">
        <f>IFERROR(__xludf.DUMMYFUNCTION("""COMPUTED_VALUE"""),"fndz-token")</f>
        <v>fndz-token</v>
      </c>
      <c r="B4653" s="3" t="str">
        <f>IFERROR(__xludf.DUMMYFUNCTION("""COMPUTED_VALUE"""),"fndz")</f>
        <v>fndz</v>
      </c>
      <c r="C4653" s="3" t="str">
        <f>IFERROR(__xludf.DUMMYFUNCTION("""COMPUTED_VALUE"""),"FNDZ")</f>
        <v>FNDZ</v>
      </c>
    </row>
    <row r="4654">
      <c r="A4654" s="3" t="str">
        <f>IFERROR(__xludf.DUMMYFUNCTION("""COMPUTED_VALUE"""),"fnkcom")</f>
        <v>fnkcom</v>
      </c>
      <c r="B4654" s="3" t="str">
        <f>IFERROR(__xludf.DUMMYFUNCTION("""COMPUTED_VALUE"""),"fnk")</f>
        <v>fnk</v>
      </c>
      <c r="C4654" s="4" t="str">
        <f>IFERROR(__xludf.DUMMYFUNCTION("""COMPUTED_VALUE"""),"Fnk.com")</f>
        <v>Fnk.com</v>
      </c>
    </row>
    <row r="4655">
      <c r="A4655" s="3" t="str">
        <f>IFERROR(__xludf.DUMMYFUNCTION("""COMPUTED_VALUE"""),"foam-protocol")</f>
        <v>foam-protocol</v>
      </c>
      <c r="B4655" s="3" t="str">
        <f>IFERROR(__xludf.DUMMYFUNCTION("""COMPUTED_VALUE"""),"foam")</f>
        <v>foam</v>
      </c>
      <c r="C4655" s="3" t="str">
        <f>IFERROR(__xludf.DUMMYFUNCTION("""COMPUTED_VALUE"""),"FOAM")</f>
        <v>FOAM</v>
      </c>
    </row>
    <row r="4656">
      <c r="A4656" s="3" t="str">
        <f>IFERROR(__xludf.DUMMYFUNCTION("""COMPUTED_VALUE"""),"fodl-finance")</f>
        <v>fodl-finance</v>
      </c>
      <c r="B4656" s="3" t="str">
        <f>IFERROR(__xludf.DUMMYFUNCTION("""COMPUTED_VALUE"""),"fodl")</f>
        <v>fodl</v>
      </c>
      <c r="C4656" s="3" t="str">
        <f>IFERROR(__xludf.DUMMYFUNCTION("""COMPUTED_VALUE"""),"Fodl Finance")</f>
        <v>Fodl Finance</v>
      </c>
    </row>
    <row r="4657">
      <c r="A4657" s="3" t="str">
        <f>IFERROR(__xludf.DUMMYFUNCTION("""COMPUTED_VALUE"""),"foho-coin")</f>
        <v>foho-coin</v>
      </c>
      <c r="B4657" s="3" t="str">
        <f>IFERROR(__xludf.DUMMYFUNCTION("""COMPUTED_VALUE"""),"foho")</f>
        <v>foho</v>
      </c>
      <c r="C4657" s="3" t="str">
        <f>IFERROR(__xludf.DUMMYFUNCTION("""COMPUTED_VALUE"""),"Foho Coin")</f>
        <v>Foho Coin</v>
      </c>
    </row>
    <row r="4658">
      <c r="A4658" s="3" t="str">
        <f>IFERROR(__xludf.DUMMYFUNCTION("""COMPUTED_VALUE"""),"foincoin")</f>
        <v>foincoin</v>
      </c>
      <c r="B4658" s="3" t="str">
        <f>IFERROR(__xludf.DUMMYFUNCTION("""COMPUTED_VALUE"""),"foin")</f>
        <v>foin</v>
      </c>
      <c r="C4658" s="3" t="str">
        <f>IFERROR(__xludf.DUMMYFUNCTION("""COMPUTED_VALUE"""),"Foin")</f>
        <v>Foin</v>
      </c>
    </row>
    <row r="4659">
      <c r="A4659" s="3" t="str">
        <f>IFERROR(__xludf.DUMMYFUNCTION("""COMPUTED_VALUE"""),"folder-protocol")</f>
        <v>folder-protocol</v>
      </c>
      <c r="B4659" s="3" t="str">
        <f>IFERROR(__xludf.DUMMYFUNCTION("""COMPUTED_VALUE"""),"fol")</f>
        <v>fol</v>
      </c>
      <c r="C4659" s="3" t="str">
        <f>IFERROR(__xludf.DUMMYFUNCTION("""COMPUTED_VALUE"""),"Folder Protocol")</f>
        <v>Folder Protocol</v>
      </c>
    </row>
    <row r="4660">
      <c r="A4660" s="3" t="str">
        <f>IFERROR(__xludf.DUMMYFUNCTION("""COMPUTED_VALUE"""),"folk")</f>
        <v>folk</v>
      </c>
      <c r="B4660" s="3" t="str">
        <f>IFERROR(__xludf.DUMMYFUNCTION("""COMPUTED_VALUE"""),"folk")</f>
        <v>folk</v>
      </c>
      <c r="C4660" s="3" t="str">
        <f>IFERROR(__xludf.DUMMYFUNCTION("""COMPUTED_VALUE"""),"$FOLK")</f>
        <v>$FOLK</v>
      </c>
    </row>
    <row r="4661">
      <c r="A4661" s="3" t="str">
        <f>IFERROR(__xludf.DUMMYFUNCTION("""COMPUTED_VALUE"""),"follow-token")</f>
        <v>follow-token</v>
      </c>
      <c r="B4661" s="3" t="str">
        <f>IFERROR(__xludf.DUMMYFUNCTION("""COMPUTED_VALUE"""),"folo")</f>
        <v>folo</v>
      </c>
      <c r="C4661" s="3" t="str">
        <f>IFERROR(__xludf.DUMMYFUNCTION("""COMPUTED_VALUE"""),"Alpha Impact")</f>
        <v>Alpha Impact</v>
      </c>
    </row>
    <row r="4662">
      <c r="A4662" s="3" t="str">
        <f>IFERROR(__xludf.DUMMYFUNCTION("""COMPUTED_VALUE"""),"fomo")</f>
        <v>fomo</v>
      </c>
      <c r="B4662" s="3" t="str">
        <f>IFERROR(__xludf.DUMMYFUNCTION("""COMPUTED_VALUE"""),"fomo")</f>
        <v>fomo</v>
      </c>
      <c r="C4662" s="3" t="str">
        <f>IFERROR(__xludf.DUMMYFUNCTION("""COMPUTED_VALUE"""),"FOMO")</f>
        <v>FOMO</v>
      </c>
    </row>
    <row r="4663">
      <c r="A4663" s="3" t="str">
        <f>IFERROR(__xludf.DUMMYFUNCTION("""COMPUTED_VALUE"""),"fomo-baby")</f>
        <v>fomo-baby</v>
      </c>
      <c r="B4663" s="3" t="str">
        <f>IFERROR(__xludf.DUMMYFUNCTION("""COMPUTED_VALUE"""),"fomobaby")</f>
        <v>fomobaby</v>
      </c>
      <c r="C4663" s="3" t="str">
        <f>IFERROR(__xludf.DUMMYFUNCTION("""COMPUTED_VALUE"""),"FOMO BABY")</f>
        <v>FOMO BABY</v>
      </c>
    </row>
    <row r="4664">
      <c r="A4664" s="3" t="str">
        <f>IFERROR(__xludf.DUMMYFUNCTION("""COMPUTED_VALUE"""),"fomo-chronicles-manga")</f>
        <v>fomo-chronicles-manga</v>
      </c>
      <c r="B4664" s="3" t="str">
        <f>IFERROR(__xludf.DUMMYFUNCTION("""COMPUTED_VALUE"""),"otaku")</f>
        <v>otaku</v>
      </c>
      <c r="C4664" s="3" t="str">
        <f>IFERROR(__xludf.DUMMYFUNCTION("""COMPUTED_VALUE"""),"FOMO Chronicles Manga")</f>
        <v>FOMO Chronicles Manga</v>
      </c>
    </row>
    <row r="4665">
      <c r="A4665" s="3" t="str">
        <f>IFERROR(__xludf.DUMMYFUNCTION("""COMPUTED_VALUE"""),"fomoeth")</f>
        <v>fomoeth</v>
      </c>
      <c r="B4665" s="3" t="str">
        <f>IFERROR(__xludf.DUMMYFUNCTION("""COMPUTED_VALUE"""),"fomoeth")</f>
        <v>fomoeth</v>
      </c>
      <c r="C4665" s="3" t="str">
        <f>IFERROR(__xludf.DUMMYFUNCTION("""COMPUTED_VALUE"""),"FomoETH")</f>
        <v>FomoETH</v>
      </c>
    </row>
    <row r="4666">
      <c r="A4666" s="3" t="str">
        <f>IFERROR(__xludf.DUMMYFUNCTION("""COMPUTED_VALUE"""),"fone")</f>
        <v>fone</v>
      </c>
      <c r="B4666" s="3" t="str">
        <f>IFERROR(__xludf.DUMMYFUNCTION("""COMPUTED_VALUE"""),"fone")</f>
        <v>fone</v>
      </c>
      <c r="C4666" s="3" t="str">
        <f>IFERROR(__xludf.DUMMYFUNCTION("""COMPUTED_VALUE"""),"Fone")</f>
        <v>Fone</v>
      </c>
    </row>
    <row r="4667">
      <c r="A4667" s="3" t="str">
        <f>IFERROR(__xludf.DUMMYFUNCTION("""COMPUTED_VALUE"""),"font")</f>
        <v>font</v>
      </c>
      <c r="B4667" s="3" t="str">
        <f>IFERROR(__xludf.DUMMYFUNCTION("""COMPUTED_VALUE"""),"font")</f>
        <v>font</v>
      </c>
      <c r="C4667" s="3" t="str">
        <f>IFERROR(__xludf.DUMMYFUNCTION("""COMPUTED_VALUE"""),"Font")</f>
        <v>Font</v>
      </c>
    </row>
    <row r="4668">
      <c r="A4668" s="3" t="str">
        <f>IFERROR(__xludf.DUMMYFUNCTION("""COMPUTED_VALUE"""),"food-bank")</f>
        <v>food-bank</v>
      </c>
      <c r="B4668" s="3" t="str">
        <f>IFERROR(__xludf.DUMMYFUNCTION("""COMPUTED_VALUE"""),"food")</f>
        <v>food</v>
      </c>
      <c r="C4668" s="3" t="str">
        <f>IFERROR(__xludf.DUMMYFUNCTION("""COMPUTED_VALUE"""),"Food Bank")</f>
        <v>Food Bank</v>
      </c>
    </row>
    <row r="4669">
      <c r="A4669" s="3" t="str">
        <f>IFERROR(__xludf.DUMMYFUNCTION("""COMPUTED_VALUE"""),"foodchain-global")</f>
        <v>foodchain-global</v>
      </c>
      <c r="B4669" s="3" t="str">
        <f>IFERROR(__xludf.DUMMYFUNCTION("""COMPUTED_VALUE"""),"food")</f>
        <v>food</v>
      </c>
      <c r="C4669" s="3" t="str">
        <f>IFERROR(__xludf.DUMMYFUNCTION("""COMPUTED_VALUE"""),"FoodChain Global")</f>
        <v>FoodChain Global</v>
      </c>
    </row>
    <row r="4670">
      <c r="A4670" s="3" t="str">
        <f>IFERROR(__xludf.DUMMYFUNCTION("""COMPUTED_VALUE"""),"football-battle")</f>
        <v>football-battle</v>
      </c>
      <c r="B4670" s="3" t="str">
        <f>IFERROR(__xludf.DUMMYFUNCTION("""COMPUTED_VALUE"""),"fbl")</f>
        <v>fbl</v>
      </c>
      <c r="C4670" s="3" t="str">
        <f>IFERROR(__xludf.DUMMYFUNCTION("""COMPUTED_VALUE"""),"Football Battle")</f>
        <v>Football Battle</v>
      </c>
    </row>
    <row r="4671">
      <c r="A4671" s="3" t="str">
        <f>IFERROR(__xludf.DUMMYFUNCTION("""COMPUTED_VALUE"""),"football-coin")</f>
        <v>football-coin</v>
      </c>
      <c r="B4671" s="3" t="str">
        <f>IFERROR(__xludf.DUMMYFUNCTION("""COMPUTED_VALUE"""),"xfc")</f>
        <v>xfc</v>
      </c>
      <c r="C4671" s="3" t="str">
        <f>IFERROR(__xludf.DUMMYFUNCTION("""COMPUTED_VALUE"""),"Football Coin")</f>
        <v>Football Coin</v>
      </c>
    </row>
    <row r="4672">
      <c r="A4672" s="3" t="str">
        <f>IFERROR(__xludf.DUMMYFUNCTION("""COMPUTED_VALUE"""),"football-decentralized")</f>
        <v>football-decentralized</v>
      </c>
      <c r="B4672" s="3" t="str">
        <f>IFERROR(__xludf.DUMMYFUNCTION("""COMPUTED_VALUE"""),"fbd")</f>
        <v>fbd</v>
      </c>
      <c r="C4672" s="3" t="str">
        <f>IFERROR(__xludf.DUMMYFUNCTION("""COMPUTED_VALUE"""),"Football Decentralized")</f>
        <v>Football Decentralized</v>
      </c>
    </row>
    <row r="4673">
      <c r="A4673" s="3" t="str">
        <f>IFERROR(__xludf.DUMMYFUNCTION("""COMPUTED_VALUE"""),"football-fantasy-pro")</f>
        <v>football-fantasy-pro</v>
      </c>
      <c r="B4673" s="3" t="str">
        <f>IFERROR(__xludf.DUMMYFUNCTION("""COMPUTED_VALUE"""),"fanta")</f>
        <v>fanta</v>
      </c>
      <c r="C4673" s="3" t="str">
        <f>IFERROR(__xludf.DUMMYFUNCTION("""COMPUTED_VALUE"""),"Football Fantasy Pro")</f>
        <v>Football Fantasy Pro</v>
      </c>
    </row>
    <row r="4674">
      <c r="A4674" s="3" t="str">
        <f>IFERROR(__xludf.DUMMYFUNCTION("""COMPUTED_VALUE"""),"footballgo")</f>
        <v>footballgo</v>
      </c>
      <c r="B4674" s="3" t="str">
        <f>IFERROR(__xludf.DUMMYFUNCTION("""COMPUTED_VALUE"""),"fgsport")</f>
        <v>fgsport</v>
      </c>
      <c r="C4674" s="3" t="str">
        <f>IFERROR(__xludf.DUMMYFUNCTION("""COMPUTED_VALUE"""),"FootBallGo")</f>
        <v>FootBallGo</v>
      </c>
    </row>
    <row r="4675">
      <c r="A4675" s="3" t="str">
        <f>IFERROR(__xludf.DUMMYFUNCTION("""COMPUTED_VALUE"""),"footballstars")</f>
        <v>footballstars</v>
      </c>
      <c r="B4675" s="3" t="str">
        <f>IFERROR(__xludf.DUMMYFUNCTION("""COMPUTED_VALUE"""),"fts")</f>
        <v>fts</v>
      </c>
      <c r="C4675" s="3" t="str">
        <f>IFERROR(__xludf.DUMMYFUNCTION("""COMPUTED_VALUE"""),"FootballStars")</f>
        <v>FootballStars</v>
      </c>
    </row>
    <row r="4676">
      <c r="A4676" s="3" t="str">
        <f>IFERROR(__xludf.DUMMYFUNCTION("""COMPUTED_VALUE"""),"footie-plus")</f>
        <v>footie-plus</v>
      </c>
      <c r="B4676" s="3" t="str">
        <f>IFERROR(__xludf.DUMMYFUNCTION("""COMPUTED_VALUE"""),"footie")</f>
        <v>footie</v>
      </c>
      <c r="C4676" s="3" t="str">
        <f>IFERROR(__xludf.DUMMYFUNCTION("""COMPUTED_VALUE"""),"Footie Plus")</f>
        <v>Footie Plus</v>
      </c>
    </row>
    <row r="4677">
      <c r="A4677" s="3" t="str">
        <f>IFERROR(__xludf.DUMMYFUNCTION("""COMPUTED_VALUE"""),"forbitspace")</f>
        <v>forbitspace</v>
      </c>
      <c r="B4677" s="3" t="str">
        <f>IFERROR(__xludf.DUMMYFUNCTION("""COMPUTED_VALUE"""),"fbs")</f>
        <v>fbs</v>
      </c>
      <c r="C4677" s="3" t="str">
        <f>IFERROR(__xludf.DUMMYFUNCTION("""COMPUTED_VALUE"""),"Forbitspace")</f>
        <v>Forbitspace</v>
      </c>
    </row>
    <row r="4678">
      <c r="A4678" s="3" t="str">
        <f>IFERROR(__xludf.DUMMYFUNCTION("""COMPUTED_VALUE"""),"force-bridge-usdc")</f>
        <v>force-bridge-usdc</v>
      </c>
      <c r="B4678" s="3" t="str">
        <f>IFERROR(__xludf.DUMMYFUNCTION("""COMPUTED_VALUE"""),"usdc")</f>
        <v>usdc</v>
      </c>
      <c r="C4678" s="3" t="str">
        <f>IFERROR(__xludf.DUMMYFUNCTION("""COMPUTED_VALUE"""),"Force Bridge USDC")</f>
        <v>Force Bridge USDC</v>
      </c>
    </row>
    <row r="4679">
      <c r="A4679" s="3" t="str">
        <f>IFERROR(__xludf.DUMMYFUNCTION("""COMPUTED_VALUE"""),"forcecowboy")</f>
        <v>forcecowboy</v>
      </c>
      <c r="B4679" s="3" t="str">
        <f>IFERROR(__xludf.DUMMYFUNCTION("""COMPUTED_VALUE"""),"fcb")</f>
        <v>fcb</v>
      </c>
      <c r="C4679" s="3" t="str">
        <f>IFERROR(__xludf.DUMMYFUNCTION("""COMPUTED_VALUE"""),"ForceCowBoy")</f>
        <v>ForceCowBoy</v>
      </c>
    </row>
    <row r="4680">
      <c r="A4680" s="3" t="str">
        <f>IFERROR(__xludf.DUMMYFUNCTION("""COMPUTED_VALUE"""),"force-of-nature")</f>
        <v>force-of-nature</v>
      </c>
      <c r="B4680" s="3" t="str">
        <f>IFERROR(__xludf.DUMMYFUNCTION("""COMPUTED_VALUE"""),"fon")</f>
        <v>fon</v>
      </c>
      <c r="C4680" s="3" t="str">
        <f>IFERROR(__xludf.DUMMYFUNCTION("""COMPUTED_VALUE"""),"Force of Nature")</f>
        <v>Force of Nature</v>
      </c>
    </row>
    <row r="4681">
      <c r="A4681" s="3" t="str">
        <f>IFERROR(__xludf.DUMMYFUNCTION("""COMPUTED_VALUE"""),"force-protocol")</f>
        <v>force-protocol</v>
      </c>
      <c r="B4681" s="3" t="str">
        <f>IFERROR(__xludf.DUMMYFUNCTION("""COMPUTED_VALUE"""),"for")</f>
        <v>for</v>
      </c>
      <c r="C4681" s="3" t="str">
        <f>IFERROR(__xludf.DUMMYFUNCTION("""COMPUTED_VALUE"""),"ForTube")</f>
        <v>ForTube</v>
      </c>
    </row>
    <row r="4682">
      <c r="A4682" s="3" t="str">
        <f>IFERROR(__xludf.DUMMYFUNCTION("""COMPUTED_VALUE"""),"forefront")</f>
        <v>forefront</v>
      </c>
      <c r="B4682" s="3" t="str">
        <f>IFERROR(__xludf.DUMMYFUNCTION("""COMPUTED_VALUE"""),"ff")</f>
        <v>ff</v>
      </c>
      <c r="C4682" s="3" t="str">
        <f>IFERROR(__xludf.DUMMYFUNCTION("""COMPUTED_VALUE"""),"Forefront")</f>
        <v>Forefront</v>
      </c>
    </row>
    <row r="4683">
      <c r="A4683" s="3" t="str">
        <f>IFERROR(__xludf.DUMMYFUNCTION("""COMPUTED_VALUE"""),"forest-knight")</f>
        <v>forest-knight</v>
      </c>
      <c r="B4683" s="3" t="str">
        <f>IFERROR(__xludf.DUMMYFUNCTION("""COMPUTED_VALUE"""),"knight")</f>
        <v>knight</v>
      </c>
      <c r="C4683" s="3" t="str">
        <f>IFERROR(__xludf.DUMMYFUNCTION("""COMPUTED_VALUE"""),"Forest Knight")</f>
        <v>Forest Knight</v>
      </c>
    </row>
    <row r="4684">
      <c r="A4684" s="3" t="str">
        <f>IFERROR(__xludf.DUMMYFUNCTION("""COMPUTED_VALUE"""),"forest-tiger")</f>
        <v>forest-tiger</v>
      </c>
      <c r="B4684" s="3" t="str">
        <f>IFERROR(__xludf.DUMMYFUNCTION("""COMPUTED_VALUE"""),"tiger")</f>
        <v>tiger</v>
      </c>
      <c r="C4684" s="3" t="str">
        <f>IFERROR(__xludf.DUMMYFUNCTION("""COMPUTED_VALUE"""),"Forest Tiger")</f>
        <v>Forest Tiger</v>
      </c>
    </row>
    <row r="4685">
      <c r="A4685" s="3" t="str">
        <f>IFERROR(__xludf.DUMMYFUNCTION("""COMPUTED_VALUE"""),"foreverblast")</f>
        <v>foreverblast</v>
      </c>
      <c r="B4685" s="3" t="str">
        <f>IFERROR(__xludf.DUMMYFUNCTION("""COMPUTED_VALUE"""),"feb")</f>
        <v>feb</v>
      </c>
      <c r="C4685" s="3" t="str">
        <f>IFERROR(__xludf.DUMMYFUNCTION("""COMPUTED_VALUE"""),"ForeverBlast")</f>
        <v>ForeverBlast</v>
      </c>
    </row>
    <row r="4686">
      <c r="A4686" s="3" t="str">
        <f>IFERROR(__xludf.DUMMYFUNCTION("""COMPUTED_VALUE"""),"forever-burn")</f>
        <v>forever-burn</v>
      </c>
      <c r="B4686" s="3" t="str">
        <f>IFERROR(__xludf.DUMMYFUNCTION("""COMPUTED_VALUE"""),"fburn")</f>
        <v>fburn</v>
      </c>
      <c r="C4686" s="3" t="str">
        <f>IFERROR(__xludf.DUMMYFUNCTION("""COMPUTED_VALUE"""),"Forever Burn")</f>
        <v>Forever Burn</v>
      </c>
    </row>
    <row r="4687">
      <c r="A4687" s="3" t="str">
        <f>IFERROR(__xludf.DUMMYFUNCTION("""COMPUTED_VALUE"""),"forevermoon")</f>
        <v>forevermoon</v>
      </c>
      <c r="B4687" s="3" t="str">
        <f>IFERROR(__xludf.DUMMYFUNCTION("""COMPUTED_VALUE"""),"fomo")</f>
        <v>fomo</v>
      </c>
      <c r="C4687" s="3" t="str">
        <f>IFERROR(__xludf.DUMMYFUNCTION("""COMPUTED_VALUE"""),"ForeverMoon")</f>
        <v>ForeverMoon</v>
      </c>
    </row>
    <row r="4688">
      <c r="A4688" s="3" t="str">
        <f>IFERROR(__xludf.DUMMYFUNCTION("""COMPUTED_VALUE"""),"forever-pump")</f>
        <v>forever-pump</v>
      </c>
      <c r="B4688" s="3" t="str">
        <f>IFERROR(__xludf.DUMMYFUNCTION("""COMPUTED_VALUE"""),"foreverpump")</f>
        <v>foreverpump</v>
      </c>
      <c r="C4688" s="3" t="str">
        <f>IFERROR(__xludf.DUMMYFUNCTION("""COMPUTED_VALUE"""),"Forever Pump")</f>
        <v>Forever Pump</v>
      </c>
    </row>
    <row r="4689">
      <c r="A4689" s="3" t="str">
        <f>IFERROR(__xludf.DUMMYFUNCTION("""COMPUTED_VALUE"""),"forexcoin")</f>
        <v>forexcoin</v>
      </c>
      <c r="B4689" s="3" t="str">
        <f>IFERROR(__xludf.DUMMYFUNCTION("""COMPUTED_VALUE"""),"forex")</f>
        <v>forex</v>
      </c>
      <c r="C4689" s="3" t="str">
        <f>IFERROR(__xludf.DUMMYFUNCTION("""COMPUTED_VALUE"""),"FOREXCOIN")</f>
        <v>FOREXCOIN</v>
      </c>
    </row>
    <row r="4690">
      <c r="A4690" s="3" t="str">
        <f>IFERROR(__xludf.DUMMYFUNCTION("""COMPUTED_VALUE"""),"forge-finance")</f>
        <v>forge-finance</v>
      </c>
      <c r="B4690" s="3" t="str">
        <f>IFERROR(__xludf.DUMMYFUNCTION("""COMPUTED_VALUE"""),"forge")</f>
        <v>forge</v>
      </c>
      <c r="C4690" s="3" t="str">
        <f>IFERROR(__xludf.DUMMYFUNCTION("""COMPUTED_VALUE"""),"Forge Finance")</f>
        <v>Forge Finance</v>
      </c>
    </row>
    <row r="4691">
      <c r="A4691" s="3" t="str">
        <f>IFERROR(__xludf.DUMMYFUNCTION("""COMPUTED_VALUE"""),"for-loot-and-glory")</f>
        <v>for-loot-and-glory</v>
      </c>
      <c r="B4691" s="3" t="str">
        <f>IFERROR(__xludf.DUMMYFUNCTION("""COMPUTED_VALUE"""),"flag")</f>
        <v>flag</v>
      </c>
      <c r="C4691" s="3" t="str">
        <f>IFERROR(__xludf.DUMMYFUNCTION("""COMPUTED_VALUE"""),"For Loot And Glory")</f>
        <v>For Loot And Glory</v>
      </c>
    </row>
    <row r="4692">
      <c r="A4692" s="3" t="str">
        <f>IFERROR(__xludf.DUMMYFUNCTION("""COMPUTED_VALUE"""),"formation-fi")</f>
        <v>formation-fi</v>
      </c>
      <c r="B4692" s="3" t="str">
        <f>IFERROR(__xludf.DUMMYFUNCTION("""COMPUTED_VALUE"""),"form")</f>
        <v>form</v>
      </c>
      <c r="C4692" s="3" t="str">
        <f>IFERROR(__xludf.DUMMYFUNCTION("""COMPUTED_VALUE"""),"Formation FI")</f>
        <v>Formation FI</v>
      </c>
    </row>
    <row r="4693">
      <c r="A4693" s="3" t="str">
        <f>IFERROR(__xludf.DUMMYFUNCTION("""COMPUTED_VALUE"""),"formula")</f>
        <v>formula</v>
      </c>
      <c r="B4693" s="3" t="str">
        <f>IFERROR(__xludf.DUMMYFUNCTION("""COMPUTED_VALUE"""),"fml")</f>
        <v>fml</v>
      </c>
      <c r="C4693" s="3" t="str">
        <f>IFERROR(__xludf.DUMMYFUNCTION("""COMPUTED_VALUE"""),"FormulA")</f>
        <v>FormulA</v>
      </c>
    </row>
    <row r="4694">
      <c r="A4694" s="3" t="str">
        <f>IFERROR(__xludf.DUMMYFUNCTION("""COMPUTED_VALUE"""),"forta")</f>
        <v>forta</v>
      </c>
      <c r="B4694" s="3" t="str">
        <f>IFERROR(__xludf.DUMMYFUNCTION("""COMPUTED_VALUE"""),"fort")</f>
        <v>fort</v>
      </c>
      <c r="C4694" s="3" t="str">
        <f>IFERROR(__xludf.DUMMYFUNCTION("""COMPUTED_VALUE"""),"Forta")</f>
        <v>Forta</v>
      </c>
    </row>
    <row r="4695">
      <c r="A4695" s="3" t="str">
        <f>IFERROR(__xludf.DUMMYFUNCTION("""COMPUTED_VALUE"""),"forthbox")</f>
        <v>forthbox</v>
      </c>
      <c r="B4695" s="3" t="str">
        <f>IFERROR(__xludf.DUMMYFUNCTION("""COMPUTED_VALUE"""),"fbx")</f>
        <v>fbx</v>
      </c>
      <c r="C4695" s="3" t="str">
        <f>IFERROR(__xludf.DUMMYFUNCTION("""COMPUTED_VALUE"""),"ForthBox")</f>
        <v>ForthBox</v>
      </c>
    </row>
    <row r="4696">
      <c r="A4696" s="3" t="str">
        <f>IFERROR(__xludf.DUMMYFUNCTION("""COMPUTED_VALUE"""),"fortis")</f>
        <v>fortis</v>
      </c>
      <c r="B4696" s="3" t="str">
        <f>IFERROR(__xludf.DUMMYFUNCTION("""COMPUTED_VALUE"""),"fort")</f>
        <v>fort</v>
      </c>
      <c r="C4696" s="3" t="str">
        <f>IFERROR(__xludf.DUMMYFUNCTION("""COMPUTED_VALUE"""),"Fortis")</f>
        <v>Fortis</v>
      </c>
    </row>
    <row r="4697">
      <c r="A4697" s="3" t="str">
        <f>IFERROR(__xludf.DUMMYFUNCTION("""COMPUTED_VALUE"""),"fortknox")</f>
        <v>fortknox</v>
      </c>
      <c r="B4697" s="3" t="str">
        <f>IFERROR(__xludf.DUMMYFUNCTION("""COMPUTED_VALUE"""),"knox")</f>
        <v>knox</v>
      </c>
      <c r="C4697" s="3" t="str">
        <f>IFERROR(__xludf.DUMMYFUNCTION("""COMPUTED_VALUE"""),"FortKnox")</f>
        <v>FortKnox</v>
      </c>
    </row>
    <row r="4698">
      <c r="A4698" s="3" t="str">
        <f>IFERROR(__xludf.DUMMYFUNCTION("""COMPUTED_VALUE"""),"fortknoxter")</f>
        <v>fortknoxter</v>
      </c>
      <c r="B4698" s="3" t="str">
        <f>IFERROR(__xludf.DUMMYFUNCTION("""COMPUTED_VALUE"""),"fkx")</f>
        <v>fkx</v>
      </c>
      <c r="C4698" s="3" t="str">
        <f>IFERROR(__xludf.DUMMYFUNCTION("""COMPUTED_VALUE"""),"FortKnoxster")</f>
        <v>FortKnoxster</v>
      </c>
    </row>
    <row r="4699">
      <c r="A4699" s="3" t="str">
        <f>IFERROR(__xludf.DUMMYFUNCTION("""COMPUTED_VALUE"""),"fortress")</f>
        <v>fortress</v>
      </c>
      <c r="B4699" s="3" t="str">
        <f>IFERROR(__xludf.DUMMYFUNCTION("""COMPUTED_VALUE"""),"fts")</f>
        <v>fts</v>
      </c>
      <c r="C4699" s="3" t="str">
        <f>IFERROR(__xludf.DUMMYFUNCTION("""COMPUTED_VALUE"""),"Fortress Loans")</f>
        <v>Fortress Loans</v>
      </c>
    </row>
    <row r="4700">
      <c r="A4700" s="3" t="str">
        <f>IFERROR(__xludf.DUMMYFUNCTION("""COMPUTED_VALUE"""),"fortressdao")</f>
        <v>fortressdao</v>
      </c>
      <c r="B4700" s="3" t="str">
        <f>IFERROR(__xludf.DUMMYFUNCTION("""COMPUTED_VALUE"""),"fort")</f>
        <v>fort</v>
      </c>
      <c r="C4700" s="3" t="str">
        <f>IFERROR(__xludf.DUMMYFUNCTION("""COMPUTED_VALUE"""),"Fortress")</f>
        <v>Fortress</v>
      </c>
    </row>
    <row r="4701">
      <c r="A4701" s="3" t="str">
        <f>IFERROR(__xludf.DUMMYFUNCTION("""COMPUTED_VALUE"""),"fortuna")</f>
        <v>fortuna</v>
      </c>
      <c r="B4701" s="3" t="str">
        <f>IFERROR(__xludf.DUMMYFUNCTION("""COMPUTED_VALUE"""),"fota")</f>
        <v>fota</v>
      </c>
      <c r="C4701" s="3" t="str">
        <f>IFERROR(__xludf.DUMMYFUNCTION("""COMPUTED_VALUE"""),"Fortuna")</f>
        <v>Fortuna</v>
      </c>
    </row>
    <row r="4702">
      <c r="A4702" s="3" t="str">
        <f>IFERROR(__xludf.DUMMYFUNCTION("""COMPUTED_VALUE"""),"fortuna-sittard-fan-token")</f>
        <v>fortuna-sittard-fan-token</v>
      </c>
      <c r="B4702" s="3" t="str">
        <f>IFERROR(__xludf.DUMMYFUNCTION("""COMPUTED_VALUE"""),"for")</f>
        <v>for</v>
      </c>
      <c r="C4702" s="3" t="str">
        <f>IFERROR(__xludf.DUMMYFUNCTION("""COMPUTED_VALUE"""),"Fortuna Sittard Fan Token")</f>
        <v>Fortuna Sittard Fan Token</v>
      </c>
    </row>
    <row r="4703">
      <c r="A4703" s="3" t="str">
        <f>IFERROR(__xludf.DUMMYFUNCTION("""COMPUTED_VALUE"""),"fortune")</f>
        <v>fortune</v>
      </c>
      <c r="B4703" s="3" t="str">
        <f>IFERROR(__xludf.DUMMYFUNCTION("""COMPUTED_VALUE"""),"fortune")</f>
        <v>fortune</v>
      </c>
      <c r="C4703" s="3" t="str">
        <f>IFERROR(__xludf.DUMMYFUNCTION("""COMPUTED_VALUE"""),"Fortune")</f>
        <v>Fortune</v>
      </c>
    </row>
    <row r="4704">
      <c r="A4704" s="3" t="str">
        <f>IFERROR(__xludf.DUMMYFUNCTION("""COMPUTED_VALUE"""),"fortune-finance")</f>
        <v>fortune-finance</v>
      </c>
      <c r="B4704" s="3" t="str">
        <f>IFERROR(__xludf.DUMMYFUNCTION("""COMPUTED_VALUE"""),"frtn")</f>
        <v>frtn</v>
      </c>
      <c r="C4704" s="3" t="str">
        <f>IFERROR(__xludf.DUMMYFUNCTION("""COMPUTED_VALUE"""),"Fortune Finance")</f>
        <v>Fortune Finance</v>
      </c>
    </row>
    <row r="4705">
      <c r="A4705" s="3" t="str">
        <f>IFERROR(__xludf.DUMMYFUNCTION("""COMPUTED_VALUE"""),"fortuneum")</f>
        <v>fortuneum</v>
      </c>
      <c r="B4705" s="3" t="str">
        <f>IFERROR(__xludf.DUMMYFUNCTION("""COMPUTED_VALUE"""),"fortune")</f>
        <v>fortune</v>
      </c>
      <c r="C4705" s="3" t="str">
        <f>IFERROR(__xludf.DUMMYFUNCTION("""COMPUTED_VALUE"""),"FORTUNEUM")</f>
        <v>FORTUNEUM</v>
      </c>
    </row>
    <row r="4706">
      <c r="A4706" s="3" t="str">
        <f>IFERROR(__xludf.DUMMYFUNCTION("""COMPUTED_VALUE"""),"forus")</f>
        <v>forus</v>
      </c>
      <c r="B4706" s="3" t="str">
        <f>IFERROR(__xludf.DUMMYFUNCTION("""COMPUTED_VALUE"""),"fors")</f>
        <v>fors</v>
      </c>
      <c r="C4706" s="3" t="str">
        <f>IFERROR(__xludf.DUMMYFUNCTION("""COMPUTED_VALUE"""),"Forus")</f>
        <v>Forus</v>
      </c>
    </row>
    <row r="4707">
      <c r="A4707" s="3" t="str">
        <f>IFERROR(__xludf.DUMMYFUNCTION("""COMPUTED_VALUE"""),"fossil")</f>
        <v>fossil</v>
      </c>
      <c r="B4707" s="3" t="str">
        <f>IFERROR(__xludf.DUMMYFUNCTION("""COMPUTED_VALUE"""),"fossil")</f>
        <v>fossil</v>
      </c>
      <c r="C4707" s="3" t="str">
        <f>IFERROR(__xludf.DUMMYFUNCTION("""COMPUTED_VALUE"""),"Fossil")</f>
        <v>Fossil</v>
      </c>
    </row>
    <row r="4708">
      <c r="A4708" s="3" t="str">
        <f>IFERROR(__xludf.DUMMYFUNCTION("""COMPUTED_VALUE"""),"foundation")</f>
        <v>foundation</v>
      </c>
      <c r="B4708" s="3" t="str">
        <f>IFERROR(__xludf.DUMMYFUNCTION("""COMPUTED_VALUE"""),"fnd")</f>
        <v>fnd</v>
      </c>
      <c r="C4708" s="3" t="str">
        <f>IFERROR(__xludf.DUMMYFUNCTION("""COMPUTED_VALUE"""),"Foundation")</f>
        <v>Foundation</v>
      </c>
    </row>
    <row r="4709">
      <c r="A4709" s="3" t="str">
        <f>IFERROR(__xludf.DUMMYFUNCTION("""COMPUTED_VALUE"""),"foundrydao-logistics")</f>
        <v>foundrydao-logistics</v>
      </c>
      <c r="B4709" s="3" t="str">
        <f>IFERROR(__xludf.DUMMYFUNCTION("""COMPUTED_VALUE"""),"fry")</f>
        <v>fry</v>
      </c>
      <c r="C4709" s="3" t="str">
        <f>IFERROR(__xludf.DUMMYFUNCTION("""COMPUTED_VALUE"""),"FoundryDAO Logistics")</f>
        <v>FoundryDAO Logistics</v>
      </c>
    </row>
    <row r="4710">
      <c r="A4710" s="3" t="str">
        <f>IFERROR(__xludf.DUMMYFUNCTION("""COMPUTED_VALUE"""),"fountain-protocol")</f>
        <v>fountain-protocol</v>
      </c>
      <c r="B4710" s="3" t="str">
        <f>IFERROR(__xludf.DUMMYFUNCTION("""COMPUTED_VALUE"""),"ftp")</f>
        <v>ftp</v>
      </c>
      <c r="C4710" s="3" t="str">
        <f>IFERROR(__xludf.DUMMYFUNCTION("""COMPUTED_VALUE"""),"Fountain Protocol")</f>
        <v>Fountain Protocol</v>
      </c>
    </row>
    <row r="4711">
      <c r="A4711" s="3" t="str">
        <f>IFERROR(__xludf.DUMMYFUNCTION("""COMPUTED_VALUE"""),"foxboy")</f>
        <v>foxboy</v>
      </c>
      <c r="B4711" s="3" t="str">
        <f>IFERROR(__xludf.DUMMYFUNCTION("""COMPUTED_VALUE"""),"fbb")</f>
        <v>fbb</v>
      </c>
      <c r="C4711" s="3" t="str">
        <f>IFERROR(__xludf.DUMMYFUNCTION("""COMPUTED_VALUE"""),"Foxboy")</f>
        <v>Foxboy</v>
      </c>
    </row>
    <row r="4712">
      <c r="A4712" s="3" t="str">
        <f>IFERROR(__xludf.DUMMYFUNCTION("""COMPUTED_VALUE"""),"foxdcoin")</f>
        <v>foxdcoin</v>
      </c>
      <c r="B4712" s="3" t="str">
        <f>IFERROR(__xludf.DUMMYFUNCTION("""COMPUTED_VALUE"""),"foxd")</f>
        <v>foxd</v>
      </c>
      <c r="C4712" s="3" t="str">
        <f>IFERROR(__xludf.DUMMYFUNCTION("""COMPUTED_VALUE"""),"Foxdcoin")</f>
        <v>Foxdcoin</v>
      </c>
    </row>
    <row r="4713">
      <c r="A4713" s="3" t="str">
        <f>IFERROR(__xludf.DUMMYFUNCTION("""COMPUTED_VALUE"""),"fox-finance")</f>
        <v>fox-finance</v>
      </c>
      <c r="B4713" s="3" t="str">
        <f>IFERROR(__xludf.DUMMYFUNCTION("""COMPUTED_VALUE"""),"fox")</f>
        <v>fox</v>
      </c>
      <c r="C4713" s="3" t="str">
        <f>IFERROR(__xludf.DUMMYFUNCTION("""COMPUTED_VALUE"""),"Fox Finance")</f>
        <v>Fox Finance</v>
      </c>
    </row>
    <row r="4714">
      <c r="A4714" s="3" t="str">
        <f>IFERROR(__xludf.DUMMYFUNCTION("""COMPUTED_VALUE"""),"fox-financev2")</f>
        <v>fox-financev2</v>
      </c>
      <c r="B4714" s="3" t="str">
        <f>IFERROR(__xludf.DUMMYFUNCTION("""COMPUTED_VALUE"""),"fox")</f>
        <v>fox</v>
      </c>
      <c r="C4714" s="3" t="str">
        <f>IFERROR(__xludf.DUMMYFUNCTION("""COMPUTED_VALUE"""),"Fox Finance V2")</f>
        <v>Fox Finance V2</v>
      </c>
    </row>
    <row r="4715">
      <c r="A4715" s="3" t="str">
        <f>IFERROR(__xludf.DUMMYFUNCTION("""COMPUTED_VALUE"""),"foxgirl")</f>
        <v>foxgirl</v>
      </c>
      <c r="B4715" s="3" t="str">
        <f>IFERROR(__xludf.DUMMYFUNCTION("""COMPUTED_VALUE"""),"foxgirl")</f>
        <v>foxgirl</v>
      </c>
      <c r="C4715" s="3" t="str">
        <f>IFERROR(__xludf.DUMMYFUNCTION("""COMPUTED_VALUE"""),"FoxGirl")</f>
        <v>FoxGirl</v>
      </c>
    </row>
    <row r="4716">
      <c r="A4716" s="3" t="str">
        <f>IFERROR(__xludf.DUMMYFUNCTION("""COMPUTED_VALUE"""),"fox-trading-token")</f>
        <v>fox-trading-token</v>
      </c>
      <c r="B4716" s="3" t="str">
        <f>IFERROR(__xludf.DUMMYFUNCTION("""COMPUTED_VALUE"""),"foxt")</f>
        <v>foxt</v>
      </c>
      <c r="C4716" s="3" t="str">
        <f>IFERROR(__xludf.DUMMYFUNCTION("""COMPUTED_VALUE"""),"Fox Trading")</f>
        <v>Fox Trading</v>
      </c>
    </row>
    <row r="4717">
      <c r="A4717" s="3" t="str">
        <f>IFERROR(__xludf.DUMMYFUNCTION("""COMPUTED_VALUE"""),"foxy-equilibrium")</f>
        <v>foxy-equilibrium</v>
      </c>
      <c r="B4717" s="3" t="str">
        <f>IFERROR(__xludf.DUMMYFUNCTION("""COMPUTED_VALUE"""),"foxy")</f>
        <v>foxy</v>
      </c>
      <c r="C4717" s="3" t="str">
        <f>IFERROR(__xludf.DUMMYFUNCTION("""COMPUTED_VALUE"""),"Foxy Equilibrium")</f>
        <v>Foxy Equilibrium</v>
      </c>
    </row>
    <row r="4718">
      <c r="A4718" s="3" t="str">
        <f>IFERROR(__xludf.DUMMYFUNCTION("""COMPUTED_VALUE"""),"fozeus-coin")</f>
        <v>fozeus-coin</v>
      </c>
      <c r="B4718" s="3" t="str">
        <f>IFERROR(__xludf.DUMMYFUNCTION("""COMPUTED_VALUE"""),"fzs")</f>
        <v>fzs</v>
      </c>
      <c r="C4718" s="3" t="str">
        <f>IFERROR(__xludf.DUMMYFUNCTION("""COMPUTED_VALUE"""),"Fozeus Coin")</f>
        <v>Fozeus Coin</v>
      </c>
    </row>
    <row r="4719">
      <c r="A4719" s="3" t="str">
        <f>IFERROR(__xludf.DUMMYFUNCTION("""COMPUTED_VALUE"""),"fqswap")</f>
        <v>fqswap</v>
      </c>
      <c r="B4719" s="3" t="str">
        <f>IFERROR(__xludf.DUMMYFUNCTION("""COMPUTED_VALUE"""),"fqs")</f>
        <v>fqs</v>
      </c>
      <c r="C4719" s="3" t="str">
        <f>IFERROR(__xludf.DUMMYFUNCTION("""COMPUTED_VALUE"""),"FqSwap")</f>
        <v>FqSwap</v>
      </c>
    </row>
    <row r="4720">
      <c r="A4720" s="3" t="str">
        <f>IFERROR(__xludf.DUMMYFUNCTION("""COMPUTED_VALUE"""),"fractal")</f>
        <v>fractal</v>
      </c>
      <c r="B4720" s="3" t="str">
        <f>IFERROR(__xludf.DUMMYFUNCTION("""COMPUTED_VALUE"""),"fcl")</f>
        <v>fcl</v>
      </c>
      <c r="C4720" s="3" t="str">
        <f>IFERROR(__xludf.DUMMYFUNCTION("""COMPUTED_VALUE"""),"Fractal")</f>
        <v>Fractal</v>
      </c>
    </row>
    <row r="4721">
      <c r="A4721" s="3" t="str">
        <f>IFERROR(__xludf.DUMMYFUNCTION("""COMPUTED_VALUE"""),"fraction")</f>
        <v>fraction</v>
      </c>
      <c r="B4721" s="3" t="str">
        <f>IFERROR(__xludf.DUMMYFUNCTION("""COMPUTED_VALUE"""),"fraction")</f>
        <v>fraction</v>
      </c>
      <c r="C4721" s="3" t="str">
        <f>IFERROR(__xludf.DUMMYFUNCTION("""COMPUTED_VALUE"""),"Fraction")</f>
        <v>Fraction</v>
      </c>
    </row>
    <row r="4722">
      <c r="A4722" s="3" t="str">
        <f>IFERROR(__xludf.DUMMYFUNCTION("""COMPUTED_VALUE"""),"fractionalized-smb-2367")</f>
        <v>fractionalized-smb-2367</v>
      </c>
      <c r="B4722" s="3" t="str">
        <f>IFERROR(__xludf.DUMMYFUNCTION("""COMPUTED_VALUE"""),"daojones")</f>
        <v>daojones</v>
      </c>
      <c r="C4722" s="3" t="str">
        <f>IFERROR(__xludf.DUMMYFUNCTION("""COMPUTED_VALUE"""),"Fractionalized SMB-2367")</f>
        <v>Fractionalized SMB-2367</v>
      </c>
    </row>
    <row r="4723">
      <c r="A4723" s="3" t="str">
        <f>IFERROR(__xludf.DUMMYFUNCTION("""COMPUTED_VALUE"""),"fractionalized-wave-999")</f>
        <v>fractionalized-wave-999</v>
      </c>
      <c r="B4723" s="3" t="str">
        <f>IFERROR(__xludf.DUMMYFUNCTION("""COMPUTED_VALUE"""),"wav")</f>
        <v>wav</v>
      </c>
      <c r="C4723" s="3" t="str">
        <f>IFERROR(__xludf.DUMMYFUNCTION("""COMPUTED_VALUE"""),"Fractionalized WAVE-999")</f>
        <v>Fractionalized WAVE-999</v>
      </c>
    </row>
    <row r="4724">
      <c r="A4724" s="3" t="str">
        <f>IFERROR(__xludf.DUMMYFUNCTION("""COMPUTED_VALUE"""),"fracton-protocol")</f>
        <v>fracton-protocol</v>
      </c>
      <c r="B4724" s="3" t="str">
        <f>IFERROR(__xludf.DUMMYFUNCTION("""COMPUTED_VALUE"""),"ft")</f>
        <v>ft</v>
      </c>
      <c r="C4724" s="3" t="str">
        <f>IFERROR(__xludf.DUMMYFUNCTION("""COMPUTED_VALUE"""),"Fracton Protocol")</f>
        <v>Fracton Protocol</v>
      </c>
    </row>
    <row r="4725">
      <c r="A4725" s="3" t="str">
        <f>IFERROR(__xludf.DUMMYFUNCTION("""COMPUTED_VALUE"""),"fragments-of-arker")</f>
        <v>fragments-of-arker</v>
      </c>
      <c r="B4725" s="3" t="str">
        <f>IFERROR(__xludf.DUMMYFUNCTION("""COMPUTED_VALUE"""),"foa")</f>
        <v>foa</v>
      </c>
      <c r="C4725" s="3" t="str">
        <f>IFERROR(__xludf.DUMMYFUNCTION("""COMPUTED_VALUE"""),"Fragments of Arker")</f>
        <v>Fragments of Arker</v>
      </c>
    </row>
    <row r="4726">
      <c r="A4726" s="3" t="str">
        <f>IFERROR(__xludf.DUMMYFUNCTION("""COMPUTED_VALUE"""),"fragmint")</f>
        <v>fragmint</v>
      </c>
      <c r="B4726" s="3" t="str">
        <f>IFERROR(__xludf.DUMMYFUNCTION("""COMPUTED_VALUE"""),"frag")</f>
        <v>frag</v>
      </c>
      <c r="C4726" s="3" t="str">
        <f>IFERROR(__xludf.DUMMYFUNCTION("""COMPUTED_VALUE"""),"Fragmint")</f>
        <v>Fragmint</v>
      </c>
    </row>
    <row r="4727">
      <c r="A4727" s="3" t="str">
        <f>IFERROR(__xludf.DUMMYFUNCTION("""COMPUTED_VALUE"""),"fraktionalized-thug-2856")</f>
        <v>fraktionalized-thug-2856</v>
      </c>
      <c r="B4727" s="3" t="str">
        <f>IFERROR(__xludf.DUMMYFUNCTION("""COMPUTED_VALUE"""),"thug")</f>
        <v>thug</v>
      </c>
      <c r="C4727" s="3" t="str">
        <f>IFERROR(__xludf.DUMMYFUNCTION("""COMPUTED_VALUE"""),"Fraktionalized THUG 2856")</f>
        <v>Fraktionalized THUG 2856</v>
      </c>
    </row>
    <row r="4728">
      <c r="A4728" s="3" t="str">
        <f>IFERROR(__xludf.DUMMYFUNCTION("""COMPUTED_VALUE"""),"frakt-token")</f>
        <v>frakt-token</v>
      </c>
      <c r="B4728" s="3" t="str">
        <f>IFERROR(__xludf.DUMMYFUNCTION("""COMPUTED_VALUE"""),"frkt")</f>
        <v>frkt</v>
      </c>
      <c r="C4728" s="3" t="str">
        <f>IFERROR(__xludf.DUMMYFUNCTION("""COMPUTED_VALUE"""),"FRAKT")</f>
        <v>FRAKT</v>
      </c>
    </row>
    <row r="4729">
      <c r="A4729" s="3" t="str">
        <f>IFERROR(__xludf.DUMMYFUNCTION("""COMPUTED_VALUE"""),"france-fan-token")</f>
        <v>france-fan-token</v>
      </c>
      <c r="B4729" s="3" t="str">
        <f>IFERROR(__xludf.DUMMYFUNCTION("""COMPUTED_VALUE"""),"fra")</f>
        <v>fra</v>
      </c>
      <c r="C4729" s="3" t="str">
        <f>IFERROR(__xludf.DUMMYFUNCTION("""COMPUTED_VALUE"""),"France Fan Token")</f>
        <v>France Fan Token</v>
      </c>
    </row>
    <row r="4730">
      <c r="A4730" s="3" t="str">
        <f>IFERROR(__xludf.DUMMYFUNCTION("""COMPUTED_VALUE"""),"france-rev-finance")</f>
        <v>france-rev-finance</v>
      </c>
      <c r="B4730" s="3" t="str">
        <f>IFERROR(__xludf.DUMMYFUNCTION("""COMPUTED_VALUE"""),"frf")</f>
        <v>frf</v>
      </c>
      <c r="C4730" s="3" t="str">
        <f>IFERROR(__xludf.DUMMYFUNCTION("""COMPUTED_VALUE"""),"France REV Finance")</f>
        <v>France REV Finance</v>
      </c>
    </row>
    <row r="4731">
      <c r="A4731" s="3" t="str">
        <f>IFERROR(__xludf.DUMMYFUNCTION("""COMPUTED_VALUE"""),"frank-inu")</f>
        <v>frank-inu</v>
      </c>
      <c r="B4731" s="3" t="str">
        <f>IFERROR(__xludf.DUMMYFUNCTION("""COMPUTED_VALUE"""),"frank")</f>
        <v>frank</v>
      </c>
      <c r="C4731" s="3" t="str">
        <f>IFERROR(__xludf.DUMMYFUNCTION("""COMPUTED_VALUE"""),"Frank Inu")</f>
        <v>Frank Inu</v>
      </c>
    </row>
    <row r="4732">
      <c r="A4732" s="3" t="str">
        <f>IFERROR(__xludf.DUMMYFUNCTION("""COMPUTED_VALUE"""),"franklin")</f>
        <v>franklin</v>
      </c>
      <c r="B4732" s="3" t="str">
        <f>IFERROR(__xludf.DUMMYFUNCTION("""COMPUTED_VALUE"""),"fly")</f>
        <v>fly</v>
      </c>
      <c r="C4732" s="3" t="str">
        <f>IFERROR(__xludf.DUMMYFUNCTION("""COMPUTED_VALUE"""),"Franklin")</f>
        <v>Franklin</v>
      </c>
    </row>
    <row r="4733">
      <c r="A4733" s="3" t="str">
        <f>IFERROR(__xludf.DUMMYFUNCTION("""COMPUTED_VALUE"""),"frat")</f>
        <v>frat</v>
      </c>
      <c r="B4733" s="3" t="str">
        <f>IFERROR(__xludf.DUMMYFUNCTION("""COMPUTED_VALUE"""),"frat")</f>
        <v>frat</v>
      </c>
      <c r="C4733" s="3" t="str">
        <f>IFERROR(__xludf.DUMMYFUNCTION("""COMPUTED_VALUE"""),"Frat")</f>
        <v>Frat</v>
      </c>
    </row>
    <row r="4734">
      <c r="A4734" s="3" t="str">
        <f>IFERROR(__xludf.DUMMYFUNCTION("""COMPUTED_VALUE"""),"frax")</f>
        <v>frax</v>
      </c>
      <c r="B4734" s="3" t="str">
        <f>IFERROR(__xludf.DUMMYFUNCTION("""COMPUTED_VALUE"""),"frax")</f>
        <v>frax</v>
      </c>
      <c r="C4734" s="3" t="str">
        <f>IFERROR(__xludf.DUMMYFUNCTION("""COMPUTED_VALUE"""),"Frax")</f>
        <v>Frax</v>
      </c>
    </row>
    <row r="4735">
      <c r="A4735" s="3" t="str">
        <f>IFERROR(__xludf.DUMMYFUNCTION("""COMPUTED_VALUE"""),"frax-price-index")</f>
        <v>frax-price-index</v>
      </c>
      <c r="B4735" s="3" t="str">
        <f>IFERROR(__xludf.DUMMYFUNCTION("""COMPUTED_VALUE"""),"fpi")</f>
        <v>fpi</v>
      </c>
      <c r="C4735" s="3" t="str">
        <f>IFERROR(__xludf.DUMMYFUNCTION("""COMPUTED_VALUE"""),"Frax Price Index")</f>
        <v>Frax Price Index</v>
      </c>
    </row>
    <row r="4736">
      <c r="A4736" s="3" t="str">
        <f>IFERROR(__xludf.DUMMYFUNCTION("""COMPUTED_VALUE"""),"frax-price-index-share")</f>
        <v>frax-price-index-share</v>
      </c>
      <c r="B4736" s="3" t="str">
        <f>IFERROR(__xludf.DUMMYFUNCTION("""COMPUTED_VALUE"""),"fpis")</f>
        <v>fpis</v>
      </c>
      <c r="C4736" s="3" t="str">
        <f>IFERROR(__xludf.DUMMYFUNCTION("""COMPUTED_VALUE"""),"Frax Price Index Share")</f>
        <v>Frax Price Index Share</v>
      </c>
    </row>
    <row r="4737">
      <c r="A4737" s="3" t="str">
        <f>IFERROR(__xludf.DUMMYFUNCTION("""COMPUTED_VALUE"""),"frax-share")</f>
        <v>frax-share</v>
      </c>
      <c r="B4737" s="3" t="str">
        <f>IFERROR(__xludf.DUMMYFUNCTION("""COMPUTED_VALUE"""),"fxs")</f>
        <v>fxs</v>
      </c>
      <c r="C4737" s="3" t="str">
        <f>IFERROR(__xludf.DUMMYFUNCTION("""COMPUTED_VALUE"""),"Frax Share")</f>
        <v>Frax Share</v>
      </c>
    </row>
    <row r="4738">
      <c r="A4738" s="3" t="str">
        <f>IFERROR(__xludf.DUMMYFUNCTION("""COMPUTED_VALUE"""),"fredenergy")</f>
        <v>fredenergy</v>
      </c>
      <c r="B4738" s="3" t="str">
        <f>IFERROR(__xludf.DUMMYFUNCTION("""COMPUTED_VALUE"""),"fred")</f>
        <v>fred</v>
      </c>
      <c r="C4738" s="3" t="str">
        <f>IFERROR(__xludf.DUMMYFUNCTION("""COMPUTED_VALUE"""),"FRED Energy")</f>
        <v>FRED Energy</v>
      </c>
    </row>
    <row r="4739">
      <c r="A4739" s="3" t="str">
        <f>IFERROR(__xludf.DUMMYFUNCTION("""COMPUTED_VALUE"""),"freebie-life-finance")</f>
        <v>freebie-life-finance</v>
      </c>
      <c r="B4739" s="3" t="str">
        <f>IFERROR(__xludf.DUMMYFUNCTION("""COMPUTED_VALUE"""),"frb")</f>
        <v>frb</v>
      </c>
      <c r="C4739" s="3" t="str">
        <f>IFERROR(__xludf.DUMMYFUNCTION("""COMPUTED_VALUE"""),"Freebie Life Finance")</f>
        <v>Freebie Life Finance</v>
      </c>
    </row>
    <row r="4740">
      <c r="A4740" s="3" t="str">
        <f>IFERROR(__xludf.DUMMYFUNCTION("""COMPUTED_VALUE"""),"freecash")</f>
        <v>freecash</v>
      </c>
      <c r="B4740" s="3" t="str">
        <f>IFERROR(__xludf.DUMMYFUNCTION("""COMPUTED_VALUE"""),"fch")</f>
        <v>fch</v>
      </c>
      <c r="C4740" s="3" t="str">
        <f>IFERROR(__xludf.DUMMYFUNCTION("""COMPUTED_VALUE"""),"Freecash")</f>
        <v>Freecash</v>
      </c>
    </row>
    <row r="4741">
      <c r="A4741" s="3" t="str">
        <f>IFERROR(__xludf.DUMMYFUNCTION("""COMPUTED_VALUE"""),"freecity")</f>
        <v>freecity</v>
      </c>
      <c r="B4741" s="3" t="str">
        <f>IFERROR(__xludf.DUMMYFUNCTION("""COMPUTED_VALUE"""),"fcity")</f>
        <v>fcity</v>
      </c>
      <c r="C4741" s="3" t="str">
        <f>IFERROR(__xludf.DUMMYFUNCTION("""COMPUTED_VALUE"""),"FreeCity")</f>
        <v>FreeCity</v>
      </c>
    </row>
    <row r="4742">
      <c r="A4742" s="3" t="str">
        <f>IFERROR(__xludf.DUMMYFUNCTION("""COMPUTED_VALUE"""),"freedom")</f>
        <v>freedom</v>
      </c>
      <c r="B4742" s="3" t="str">
        <f>IFERROR(__xludf.DUMMYFUNCTION("""COMPUTED_VALUE"""),"fdm")</f>
        <v>fdm</v>
      </c>
      <c r="C4742" s="3" t="str">
        <f>IFERROR(__xludf.DUMMYFUNCTION("""COMPUTED_VALUE"""),"Freedom")</f>
        <v>Freedom</v>
      </c>
    </row>
    <row r="4743">
      <c r="A4743" s="3" t="str">
        <f>IFERROR(__xludf.DUMMYFUNCTION("""COMPUTED_VALUE"""),"freedomcoin")</f>
        <v>freedomcoin</v>
      </c>
      <c r="B4743" s="3" t="str">
        <f>IFERROR(__xludf.DUMMYFUNCTION("""COMPUTED_VALUE"""),"freed")</f>
        <v>freed</v>
      </c>
      <c r="C4743" s="3" t="str">
        <f>IFERROR(__xludf.DUMMYFUNCTION("""COMPUTED_VALUE"""),"Freedomcoin")</f>
        <v>Freedomcoin</v>
      </c>
    </row>
    <row r="4744">
      <c r="A4744" s="3" t="str">
        <f>IFERROR(__xludf.DUMMYFUNCTION("""COMPUTED_VALUE"""),"freedom-coin")</f>
        <v>freedom-coin</v>
      </c>
      <c r="B4744" s="3" t="str">
        <f>IFERROR(__xludf.DUMMYFUNCTION("""COMPUTED_VALUE"""),"free")</f>
        <v>free</v>
      </c>
      <c r="C4744" s="3" t="str">
        <f>IFERROR(__xludf.DUMMYFUNCTION("""COMPUTED_VALUE"""),"FREEdom coin")</f>
        <v>FREEdom coin</v>
      </c>
    </row>
    <row r="4745">
      <c r="A4745" s="3" t="str">
        <f>IFERROR(__xludf.DUMMYFUNCTION("""COMPUTED_VALUE"""),"freedom-god-dao")</f>
        <v>freedom-god-dao</v>
      </c>
      <c r="B4745" s="3" t="str">
        <f>IFERROR(__xludf.DUMMYFUNCTION("""COMPUTED_VALUE"""),"fgd")</f>
        <v>fgd</v>
      </c>
      <c r="C4745" s="3" t="str">
        <f>IFERROR(__xludf.DUMMYFUNCTION("""COMPUTED_VALUE"""),"Freedom God DAO")</f>
        <v>Freedom God DAO</v>
      </c>
    </row>
    <row r="4746">
      <c r="A4746" s="3" t="str">
        <f>IFERROR(__xludf.DUMMYFUNCTION("""COMPUTED_VALUE"""),"freedom-gold")</f>
        <v>freedom-gold</v>
      </c>
      <c r="B4746" s="3" t="str">
        <f>IFERROR(__xludf.DUMMYFUNCTION("""COMPUTED_VALUE"""),"frg")</f>
        <v>frg</v>
      </c>
      <c r="C4746" s="3" t="str">
        <f>IFERROR(__xludf.DUMMYFUNCTION("""COMPUTED_VALUE"""),"Freedom Gold")</f>
        <v>Freedom Gold</v>
      </c>
    </row>
    <row r="4747">
      <c r="A4747" s="3" t="str">
        <f>IFERROR(__xludf.DUMMYFUNCTION("""COMPUTED_VALUE"""),"freedom-jobs-business")</f>
        <v>freedom-jobs-business</v>
      </c>
      <c r="B4747" s="3" t="str">
        <f>IFERROR(__xludf.DUMMYFUNCTION("""COMPUTED_VALUE"""),"$fjb")</f>
        <v>$fjb</v>
      </c>
      <c r="C4747" s="3" t="str">
        <f>IFERROR(__xludf.DUMMYFUNCTION("""COMPUTED_VALUE"""),"Freedom. Jobs. Business")</f>
        <v>Freedom. Jobs. Business</v>
      </c>
    </row>
    <row r="4748">
      <c r="A4748" s="3" t="str">
        <f>IFERROR(__xludf.DUMMYFUNCTION("""COMPUTED_VALUE"""),"freedom-protocol")</f>
        <v>freedom-protocol</v>
      </c>
      <c r="B4748" s="3" t="str">
        <f>IFERROR(__xludf.DUMMYFUNCTION("""COMPUTED_VALUE"""),"free")</f>
        <v>free</v>
      </c>
      <c r="C4748" s="3" t="str">
        <f>IFERROR(__xludf.DUMMYFUNCTION("""COMPUTED_VALUE"""),"Freedom Protocol")</f>
        <v>Freedom Protocol</v>
      </c>
    </row>
    <row r="4749">
      <c r="A4749" s="3" t="str">
        <f>IFERROR(__xludf.DUMMYFUNCTION("""COMPUTED_VALUE"""),"freedom-reserve")</f>
        <v>freedom-reserve</v>
      </c>
      <c r="B4749" s="3" t="str">
        <f>IFERROR(__xludf.DUMMYFUNCTION("""COMPUTED_VALUE"""),"fr")</f>
        <v>fr</v>
      </c>
      <c r="C4749" s="3" t="str">
        <f>IFERROR(__xludf.DUMMYFUNCTION("""COMPUTED_VALUE"""),"Freedom Reserve")</f>
        <v>Freedom Reserve</v>
      </c>
    </row>
    <row r="4750">
      <c r="A4750" s="3" t="str">
        <f>IFERROR(__xludf.DUMMYFUNCTION("""COMPUTED_VALUE"""),"freela")</f>
        <v>freela</v>
      </c>
      <c r="B4750" s="3" t="str">
        <f>IFERROR(__xludf.DUMMYFUNCTION("""COMPUTED_VALUE"""),"frel")</f>
        <v>frel</v>
      </c>
      <c r="C4750" s="3" t="str">
        <f>IFERROR(__xludf.DUMMYFUNCTION("""COMPUTED_VALUE"""),"Freela")</f>
        <v>Freela</v>
      </c>
    </row>
    <row r="4751">
      <c r="A4751" s="3" t="str">
        <f>IFERROR(__xludf.DUMMYFUNCTION("""COMPUTED_VALUE"""),"freeliquid")</f>
        <v>freeliquid</v>
      </c>
      <c r="B4751" s="3" t="str">
        <f>IFERROR(__xludf.DUMMYFUNCTION("""COMPUTED_VALUE"""),"fl")</f>
        <v>fl</v>
      </c>
      <c r="C4751" s="3" t="str">
        <f>IFERROR(__xludf.DUMMYFUNCTION("""COMPUTED_VALUE"""),"Freeliquid")</f>
        <v>Freeliquid</v>
      </c>
    </row>
    <row r="4752">
      <c r="A4752" s="3" t="str">
        <f>IFERROR(__xludf.DUMMYFUNCTION("""COMPUTED_VALUE"""),"freemoon")</f>
        <v>freemoon</v>
      </c>
      <c r="B4752" s="3" t="str">
        <f>IFERROR(__xludf.DUMMYFUNCTION("""COMPUTED_VALUE"""),"freemoon")</f>
        <v>freemoon</v>
      </c>
      <c r="C4752" s="3" t="str">
        <f>IFERROR(__xludf.DUMMYFUNCTION("""COMPUTED_VALUE"""),"Freemoon")</f>
        <v>Freemoon</v>
      </c>
    </row>
    <row r="4753">
      <c r="A4753" s="3" t="str">
        <f>IFERROR(__xludf.DUMMYFUNCTION("""COMPUTED_VALUE"""),"freemoon-token")</f>
        <v>freemoon-token</v>
      </c>
      <c r="B4753" s="3" t="str">
        <f>IFERROR(__xludf.DUMMYFUNCTION("""COMPUTED_VALUE"""),"freemoon")</f>
        <v>freemoon</v>
      </c>
      <c r="C4753" s="3" t="str">
        <f>IFERROR(__xludf.DUMMYFUNCTION("""COMPUTED_VALUE"""),"Freemoon Token")</f>
        <v>Freemoon Token</v>
      </c>
    </row>
    <row r="4754">
      <c r="A4754" s="3" t="str">
        <f>IFERROR(__xludf.DUMMYFUNCTION("""COMPUTED_VALUE"""),"free-novak")</f>
        <v>free-novak</v>
      </c>
      <c r="B4754" s="3" t="str">
        <f>IFERROR(__xludf.DUMMYFUNCTION("""COMPUTED_VALUE"""),"freedom")</f>
        <v>freedom</v>
      </c>
      <c r="C4754" s="3" t="str">
        <f>IFERROR(__xludf.DUMMYFUNCTION("""COMPUTED_VALUE"""),"Free Novak")</f>
        <v>Free Novak</v>
      </c>
    </row>
    <row r="4755">
      <c r="A4755" s="3" t="str">
        <f>IFERROR(__xludf.DUMMYFUNCTION("""COMPUTED_VALUE"""),"freerossdao")</f>
        <v>freerossdao</v>
      </c>
      <c r="B4755" s="3" t="str">
        <f>IFERROR(__xludf.DUMMYFUNCTION("""COMPUTED_VALUE"""),"free")</f>
        <v>free</v>
      </c>
      <c r="C4755" s="3" t="str">
        <f>IFERROR(__xludf.DUMMYFUNCTION("""COMPUTED_VALUE"""),"FreeRossDAO")</f>
        <v>FreeRossDAO</v>
      </c>
    </row>
    <row r="4756">
      <c r="A4756" s="3" t="str">
        <f>IFERROR(__xludf.DUMMYFUNCTION("""COMPUTED_VALUE"""),"free-speech")</f>
        <v>free-speech</v>
      </c>
      <c r="B4756" s="3" t="str">
        <f>IFERROR(__xludf.DUMMYFUNCTION("""COMPUTED_VALUE"""),"1amd")</f>
        <v>1amd</v>
      </c>
      <c r="C4756" s="3" t="str">
        <f>IFERROR(__xludf.DUMMYFUNCTION("""COMPUTED_VALUE"""),"Free Speech")</f>
        <v>Free Speech</v>
      </c>
    </row>
    <row r="4757">
      <c r="A4757" s="3" t="str">
        <f>IFERROR(__xludf.DUMMYFUNCTION("""COMPUTED_VALUE"""),"freeway")</f>
        <v>freeway</v>
      </c>
      <c r="B4757" s="3" t="str">
        <f>IFERROR(__xludf.DUMMYFUNCTION("""COMPUTED_VALUE"""),"fwt")</f>
        <v>fwt</v>
      </c>
      <c r="C4757" s="3" t="str">
        <f>IFERROR(__xludf.DUMMYFUNCTION("""COMPUTED_VALUE"""),"Freeway")</f>
        <v>Freeway</v>
      </c>
    </row>
    <row r="4758">
      <c r="A4758" s="3" t="str">
        <f>IFERROR(__xludf.DUMMYFUNCTION("""COMPUTED_VALUE"""),"freicoin")</f>
        <v>freicoin</v>
      </c>
      <c r="B4758" s="3" t="str">
        <f>IFERROR(__xludf.DUMMYFUNCTION("""COMPUTED_VALUE"""),"frc")</f>
        <v>frc</v>
      </c>
      <c r="C4758" s="3" t="str">
        <f>IFERROR(__xludf.DUMMYFUNCTION("""COMPUTED_VALUE"""),"Freicoin")</f>
        <v>Freicoin</v>
      </c>
    </row>
    <row r="4759">
      <c r="A4759" s="3" t="str">
        <f>IFERROR(__xludf.DUMMYFUNCTION("""COMPUTED_VALUE"""),"freight-trust-network")</f>
        <v>freight-trust-network</v>
      </c>
      <c r="B4759" s="3" t="str">
        <f>IFERROR(__xludf.DUMMYFUNCTION("""COMPUTED_VALUE"""),"edi")</f>
        <v>edi</v>
      </c>
      <c r="C4759" s="3" t="str">
        <f>IFERROR(__xludf.DUMMYFUNCTION("""COMPUTED_VALUE"""),"Freight Trust Network")</f>
        <v>Freight Trust Network</v>
      </c>
    </row>
    <row r="4760">
      <c r="A4760" s="3" t="str">
        <f>IFERROR(__xludf.DUMMYFUNCTION("""COMPUTED_VALUE"""),"fren")</f>
        <v>fren</v>
      </c>
      <c r="B4760" s="3" t="str">
        <f>IFERROR(__xludf.DUMMYFUNCTION("""COMPUTED_VALUE"""),"fren")</f>
        <v>fren</v>
      </c>
      <c r="C4760" s="3" t="str">
        <f>IFERROR(__xludf.DUMMYFUNCTION("""COMPUTED_VALUE"""),"FREN")</f>
        <v>FREN</v>
      </c>
    </row>
    <row r="4761">
      <c r="A4761" s="3" t="str">
        <f>IFERROR(__xludf.DUMMYFUNCTION("""COMPUTED_VALUE"""),"frenchain")</f>
        <v>frenchain</v>
      </c>
      <c r="B4761" s="3" t="str">
        <f>IFERROR(__xludf.DUMMYFUNCTION("""COMPUTED_VALUE"""),"fren")</f>
        <v>fren</v>
      </c>
      <c r="C4761" s="3" t="str">
        <f>IFERROR(__xludf.DUMMYFUNCTION("""COMPUTED_VALUE"""),"FrenChain")</f>
        <v>FrenChain</v>
      </c>
    </row>
    <row r="4762">
      <c r="A4762" s="3" t="str">
        <f>IFERROR(__xludf.DUMMYFUNCTION("""COMPUTED_VALUE"""),"french-connection-finance")</f>
        <v>french-connection-finance</v>
      </c>
      <c r="B4762" s="3" t="str">
        <f>IFERROR(__xludf.DUMMYFUNCTION("""COMPUTED_VALUE"""),"fcf")</f>
        <v>fcf</v>
      </c>
      <c r="C4762" s="3" t="str">
        <f>IFERROR(__xludf.DUMMYFUNCTION("""COMPUTED_VALUE"""),"French Connection Finance")</f>
        <v>French Connection Finance</v>
      </c>
    </row>
    <row r="4763">
      <c r="A4763" s="3" t="str">
        <f>IFERROR(__xludf.DUMMYFUNCTION("""COMPUTED_VALUE"""),"french-digital-reserve")</f>
        <v>french-digital-reserve</v>
      </c>
      <c r="B4763" s="3" t="str">
        <f>IFERROR(__xludf.DUMMYFUNCTION("""COMPUTED_VALUE"""),"fdr")</f>
        <v>fdr</v>
      </c>
      <c r="C4763" s="3" t="str">
        <f>IFERROR(__xludf.DUMMYFUNCTION("""COMPUTED_VALUE"""),"French Digital Reserve")</f>
        <v>French Digital Reserve</v>
      </c>
    </row>
    <row r="4764">
      <c r="A4764" s="3" t="str">
        <f>IFERROR(__xludf.DUMMYFUNCTION("""COMPUTED_VALUE"""),"frenchie")</f>
        <v>frenchie</v>
      </c>
      <c r="B4764" s="3" t="str">
        <f>IFERROR(__xludf.DUMMYFUNCTION("""COMPUTED_VALUE"""),"fren")</f>
        <v>fren</v>
      </c>
      <c r="C4764" s="3" t="str">
        <f>IFERROR(__xludf.DUMMYFUNCTION("""COMPUTED_VALUE"""),"Frenchie")</f>
        <v>Frenchie</v>
      </c>
    </row>
    <row r="4765">
      <c r="A4765" s="3" t="str">
        <f>IFERROR(__xludf.DUMMYFUNCTION("""COMPUTED_VALUE"""),"frencoin")</f>
        <v>frencoin</v>
      </c>
      <c r="B4765" s="3" t="str">
        <f>IFERROR(__xludf.DUMMYFUNCTION("""COMPUTED_VALUE"""),"fren")</f>
        <v>fren</v>
      </c>
      <c r="C4765" s="3" t="str">
        <f>IFERROR(__xludf.DUMMYFUNCTION("""COMPUTED_VALUE"""),"FrenCoin")</f>
        <v>FrenCoin</v>
      </c>
    </row>
    <row r="4766">
      <c r="A4766" s="3" t="str">
        <f>IFERROR(__xludf.DUMMYFUNCTION("""COMPUTED_VALUE"""),"frenzy")</f>
        <v>frenzy</v>
      </c>
      <c r="B4766" s="3" t="str">
        <f>IFERROR(__xludf.DUMMYFUNCTION("""COMPUTED_VALUE"""),"fzy")</f>
        <v>fzy</v>
      </c>
      <c r="C4766" s="3" t="str">
        <f>IFERROR(__xludf.DUMMYFUNCTION("""COMPUTED_VALUE"""),"Frenzy")</f>
        <v>Frenzy</v>
      </c>
    </row>
    <row r="4767">
      <c r="A4767" s="3" t="str">
        <f>IFERROR(__xludf.DUMMYFUNCTION("""COMPUTED_VALUE"""),"freshcut-diamond")</f>
        <v>freshcut-diamond</v>
      </c>
      <c r="B4767" s="3" t="str">
        <f>IFERROR(__xludf.DUMMYFUNCTION("""COMPUTED_VALUE"""),"fcd")</f>
        <v>fcd</v>
      </c>
      <c r="C4767" s="3" t="str">
        <f>IFERROR(__xludf.DUMMYFUNCTION("""COMPUTED_VALUE"""),"FreshCut Diamond")</f>
        <v>FreshCut Diamond</v>
      </c>
    </row>
    <row r="4768">
      <c r="A4768" s="3" t="str">
        <f>IFERROR(__xludf.DUMMYFUNCTION("""COMPUTED_VALUE"""),"frey")</f>
        <v>frey</v>
      </c>
      <c r="B4768" s="3" t="str">
        <f>IFERROR(__xludf.DUMMYFUNCTION("""COMPUTED_VALUE"""),"frey")</f>
        <v>frey</v>
      </c>
      <c r="C4768" s="3" t="str">
        <f>IFERROR(__xludf.DUMMYFUNCTION("""COMPUTED_VALUE"""),"Frey")</f>
        <v>Frey</v>
      </c>
    </row>
    <row r="4769">
      <c r="A4769" s="3" t="str">
        <f>IFERROR(__xludf.DUMMYFUNCTION("""COMPUTED_VALUE"""),"freyala")</f>
        <v>freyala</v>
      </c>
      <c r="B4769" s="3" t="str">
        <f>IFERROR(__xludf.DUMMYFUNCTION("""COMPUTED_VALUE"""),"xya")</f>
        <v>xya</v>
      </c>
      <c r="C4769" s="3" t="str">
        <f>IFERROR(__xludf.DUMMYFUNCTION("""COMPUTED_VALUE"""),"GameFi Crossing")</f>
        <v>GameFi Crossing</v>
      </c>
    </row>
    <row r="4770">
      <c r="A4770" s="3" t="str">
        <f>IFERROR(__xludf.DUMMYFUNCTION("""COMPUTED_VALUE"""),"friends-with-benefits-pro")</f>
        <v>friends-with-benefits-pro</v>
      </c>
      <c r="B4770" s="3" t="str">
        <f>IFERROR(__xludf.DUMMYFUNCTION("""COMPUTED_VALUE"""),"fwb")</f>
        <v>fwb</v>
      </c>
      <c r="C4770" s="3" t="str">
        <f>IFERROR(__xludf.DUMMYFUNCTION("""COMPUTED_VALUE"""),"Friends With Benefits Pro")</f>
        <v>Friends With Benefits Pro</v>
      </c>
    </row>
    <row r="4771">
      <c r="A4771" s="3" t="str">
        <f>IFERROR(__xludf.DUMMYFUNCTION("""COMPUTED_VALUE"""),"friendz")</f>
        <v>friendz</v>
      </c>
      <c r="B4771" s="3" t="str">
        <f>IFERROR(__xludf.DUMMYFUNCTION("""COMPUTED_VALUE"""),"fdz")</f>
        <v>fdz</v>
      </c>
      <c r="C4771" s="3" t="str">
        <f>IFERROR(__xludf.DUMMYFUNCTION("""COMPUTED_VALUE"""),"Friendz")</f>
        <v>Friendz</v>
      </c>
    </row>
    <row r="4772">
      <c r="A4772" s="3" t="str">
        <f>IFERROR(__xludf.DUMMYFUNCTION("""COMPUTED_VALUE"""),"friesdao")</f>
        <v>friesdao</v>
      </c>
      <c r="B4772" s="3" t="str">
        <f>IFERROR(__xludf.DUMMYFUNCTION("""COMPUTED_VALUE"""),"fries")</f>
        <v>fries</v>
      </c>
      <c r="C4772" s="3" t="str">
        <f>IFERROR(__xludf.DUMMYFUNCTION("""COMPUTED_VALUE"""),"friesDAO")</f>
        <v>friesDAO</v>
      </c>
    </row>
    <row r="4773">
      <c r="A4773" s="3" t="str">
        <f>IFERROR(__xludf.DUMMYFUNCTION("""COMPUTED_VALUE"""),"fringe-finance")</f>
        <v>fringe-finance</v>
      </c>
      <c r="B4773" s="3" t="str">
        <f>IFERROR(__xludf.DUMMYFUNCTION("""COMPUTED_VALUE"""),"frin")</f>
        <v>frin</v>
      </c>
      <c r="C4773" s="3" t="str">
        <f>IFERROR(__xludf.DUMMYFUNCTION("""COMPUTED_VALUE"""),"Fringe Finance")</f>
        <v>Fringe Finance</v>
      </c>
    </row>
    <row r="4774">
      <c r="A4774" s="3" t="str">
        <f>IFERROR(__xludf.DUMMYFUNCTION("""COMPUTED_VALUE"""),"frmx-token")</f>
        <v>frmx-token</v>
      </c>
      <c r="B4774" s="3" t="str">
        <f>IFERROR(__xludf.DUMMYFUNCTION("""COMPUTED_VALUE"""),"frmx")</f>
        <v>frmx</v>
      </c>
      <c r="C4774" s="3" t="str">
        <f>IFERROR(__xludf.DUMMYFUNCTION("""COMPUTED_VALUE"""),"FRMx")</f>
        <v>FRMx</v>
      </c>
    </row>
    <row r="4775">
      <c r="A4775" s="3" t="str">
        <f>IFERROR(__xludf.DUMMYFUNCTION("""COMPUTED_VALUE"""),"froge-finance")</f>
        <v>froge-finance</v>
      </c>
      <c r="B4775" s="3" t="str">
        <f>IFERROR(__xludf.DUMMYFUNCTION("""COMPUTED_VALUE"""),"frogex")</f>
        <v>frogex</v>
      </c>
      <c r="C4775" s="3" t="str">
        <f>IFERROR(__xludf.DUMMYFUNCTION("""COMPUTED_VALUE"""),"FrogeX")</f>
        <v>FrogeX</v>
      </c>
    </row>
    <row r="4776">
      <c r="A4776" s="3" t="str">
        <f>IFERROR(__xludf.DUMMYFUNCTION("""COMPUTED_VALUE"""),"froggies-token")</f>
        <v>froggies-token</v>
      </c>
      <c r="B4776" s="3" t="str">
        <f>IFERROR(__xludf.DUMMYFUNCTION("""COMPUTED_VALUE"""),"frgst")</f>
        <v>frgst</v>
      </c>
      <c r="C4776" s="3" t="str">
        <f>IFERROR(__xludf.DUMMYFUNCTION("""COMPUTED_VALUE"""),"Froggies Token")</f>
        <v>Froggies Token</v>
      </c>
    </row>
    <row r="4777">
      <c r="A4777" s="3" t="str">
        <f>IFERROR(__xludf.DUMMYFUNCTION("""COMPUTED_VALUE"""),"frog-inu")</f>
        <v>frog-inu</v>
      </c>
      <c r="B4777" s="3" t="str">
        <f>IFERROR(__xludf.DUMMYFUNCTION("""COMPUTED_VALUE"""),"fgi")</f>
        <v>fgi</v>
      </c>
      <c r="C4777" s="3" t="str">
        <f>IFERROR(__xludf.DUMMYFUNCTION("""COMPUTED_VALUE"""),"Frog Inu")</f>
        <v>Frog Inu</v>
      </c>
    </row>
    <row r="4778">
      <c r="A4778" s="3" t="str">
        <f>IFERROR(__xludf.DUMMYFUNCTION("""COMPUTED_VALUE"""),"frogswap")</f>
        <v>frogswap</v>
      </c>
      <c r="B4778" s="3" t="str">
        <f>IFERROR(__xludf.DUMMYFUNCTION("""COMPUTED_VALUE"""),"frog")</f>
        <v>frog</v>
      </c>
      <c r="C4778" s="3" t="str">
        <f>IFERROR(__xludf.DUMMYFUNCTION("""COMPUTED_VALUE"""),"FrogSwap")</f>
        <v>FrogSwap</v>
      </c>
    </row>
    <row r="4779">
      <c r="A4779" s="3" t="str">
        <f>IFERROR(__xludf.DUMMYFUNCTION("""COMPUTED_VALUE"""),"frontfanz")</f>
        <v>frontfanz</v>
      </c>
      <c r="B4779" s="3" t="str">
        <f>IFERROR(__xludf.DUMMYFUNCTION("""COMPUTED_VALUE"""),"fanz")</f>
        <v>fanz</v>
      </c>
      <c r="C4779" s="3" t="str">
        <f>IFERROR(__xludf.DUMMYFUNCTION("""COMPUTED_VALUE"""),"FrontFanz")</f>
        <v>FrontFanz</v>
      </c>
    </row>
    <row r="4780">
      <c r="A4780" s="3" t="str">
        <f>IFERROR(__xludf.DUMMYFUNCTION("""COMPUTED_VALUE"""),"frontier-token")</f>
        <v>frontier-token</v>
      </c>
      <c r="B4780" s="3" t="str">
        <f>IFERROR(__xludf.DUMMYFUNCTION("""COMPUTED_VALUE"""),"front")</f>
        <v>front</v>
      </c>
      <c r="C4780" s="3" t="str">
        <f>IFERROR(__xludf.DUMMYFUNCTION("""COMPUTED_VALUE"""),"Frontier")</f>
        <v>Frontier</v>
      </c>
    </row>
    <row r="4781">
      <c r="A4781" s="3" t="str">
        <f>IFERROR(__xludf.DUMMYFUNCTION("""COMPUTED_VALUE"""),"front-row")</f>
        <v>front-row</v>
      </c>
      <c r="B4781" s="3" t="str">
        <f>IFERROR(__xludf.DUMMYFUNCTION("""COMPUTED_VALUE"""),"frr")</f>
        <v>frr</v>
      </c>
      <c r="C4781" s="3" t="str">
        <f>IFERROR(__xludf.DUMMYFUNCTION("""COMPUTED_VALUE"""),"Frontrow")</f>
        <v>Frontrow</v>
      </c>
    </row>
    <row r="4782">
      <c r="A4782" s="3" t="str">
        <f>IFERROR(__xludf.DUMMYFUNCTION("""COMPUTED_VALUE"""),"frosty-floki-v2")</f>
        <v>frosty-floki-v2</v>
      </c>
      <c r="B4782" s="3" t="str">
        <f>IFERROR(__xludf.DUMMYFUNCTION("""COMPUTED_VALUE"""),"frostyfloki")</f>
        <v>frostyfloki</v>
      </c>
      <c r="C4782" s="3" t="str">
        <f>IFERROR(__xludf.DUMMYFUNCTION("""COMPUTED_VALUE"""),"Frosty Floki V2")</f>
        <v>Frosty Floki V2</v>
      </c>
    </row>
    <row r="4783">
      <c r="A4783" s="3" t="str">
        <f>IFERROR(__xludf.DUMMYFUNCTION("""COMPUTED_VALUE"""),"froyo-games")</f>
        <v>froyo-games</v>
      </c>
      <c r="B4783" s="3" t="str">
        <f>IFERROR(__xludf.DUMMYFUNCTION("""COMPUTED_VALUE"""),"froyo")</f>
        <v>froyo</v>
      </c>
      <c r="C4783" s="3" t="str">
        <f>IFERROR(__xludf.DUMMYFUNCTION("""COMPUTED_VALUE"""),"Froyo Games")</f>
        <v>Froyo Games</v>
      </c>
    </row>
    <row r="4784">
      <c r="A4784" s="3" t="str">
        <f>IFERROR(__xludf.DUMMYFUNCTION("""COMPUTED_VALUE"""),"frozentomb")</f>
        <v>frozentomb</v>
      </c>
      <c r="B4784" s="3" t="str">
        <f>IFERROR(__xludf.DUMMYFUNCTION("""COMPUTED_VALUE"""),"ftomb")</f>
        <v>ftomb</v>
      </c>
      <c r="C4784" s="3" t="str">
        <f>IFERROR(__xludf.DUMMYFUNCTION("""COMPUTED_VALUE"""),"Frozentomb")</f>
        <v>Frozentomb</v>
      </c>
    </row>
    <row r="4785">
      <c r="A4785" s="3" t="str">
        <f>IFERROR(__xludf.DUMMYFUNCTION("""COMPUTED_VALUE"""),"frozentomb-lot")</f>
        <v>frozentomb-lot</v>
      </c>
      <c r="B4785" s="3" t="str">
        <f>IFERROR(__xludf.DUMMYFUNCTION("""COMPUTED_VALUE"""),"flot")</f>
        <v>flot</v>
      </c>
      <c r="C4785" s="3" t="str">
        <f>IFERROR(__xludf.DUMMYFUNCTION("""COMPUTED_VALUE"""),"Frozentomb LOT")</f>
        <v>Frozentomb LOT</v>
      </c>
    </row>
    <row r="4786">
      <c r="A4786" s="3" t="str">
        <f>IFERROR(__xludf.DUMMYFUNCTION("""COMPUTED_VALUE"""),"frozen-walrus-share")</f>
        <v>frozen-walrus-share</v>
      </c>
      <c r="B4786" s="3" t="str">
        <f>IFERROR(__xludf.DUMMYFUNCTION("""COMPUTED_VALUE"""),"wshare")</f>
        <v>wshare</v>
      </c>
      <c r="C4786" s="3" t="str">
        <f>IFERROR(__xludf.DUMMYFUNCTION("""COMPUTED_VALUE"""),"Frozen Walrus Share")</f>
        <v>Frozen Walrus Share</v>
      </c>
    </row>
    <row r="4787">
      <c r="A4787" s="3" t="str">
        <f>IFERROR(__xludf.DUMMYFUNCTION("""COMPUTED_VALUE"""),"fruits")</f>
        <v>fruits</v>
      </c>
      <c r="B4787" s="3" t="str">
        <f>IFERROR(__xludf.DUMMYFUNCTION("""COMPUTED_VALUE"""),"frts")</f>
        <v>frts</v>
      </c>
      <c r="C4787" s="3" t="str">
        <f>IFERROR(__xludf.DUMMYFUNCTION("""COMPUTED_VALUE"""),"Fruits")</f>
        <v>Fruits</v>
      </c>
    </row>
    <row r="4788">
      <c r="A4788" s="3" t="str">
        <f>IFERROR(__xludf.DUMMYFUNCTION("""COMPUTED_VALUE"""),"fruits-of-ryoshi")</f>
        <v>fruits-of-ryoshi</v>
      </c>
      <c r="B4788" s="3" t="str">
        <f>IFERROR(__xludf.DUMMYFUNCTION("""COMPUTED_VALUE"""),"yuzu")</f>
        <v>yuzu</v>
      </c>
      <c r="C4788" s="3" t="str">
        <f>IFERROR(__xludf.DUMMYFUNCTION("""COMPUTED_VALUE"""),"Fruits of Ryoshi")</f>
        <v>Fruits of Ryoshi</v>
      </c>
    </row>
    <row r="4789">
      <c r="A4789" s="3" t="str">
        <f>IFERROR(__xludf.DUMMYFUNCTION("""COMPUTED_VALUE"""),"frutti-dino")</f>
        <v>frutti-dino</v>
      </c>
      <c r="B4789" s="3" t="str">
        <f>IFERROR(__xludf.DUMMYFUNCTION("""COMPUTED_VALUE"""),"fdt")</f>
        <v>fdt</v>
      </c>
      <c r="C4789" s="3" t="str">
        <f>IFERROR(__xludf.DUMMYFUNCTION("""COMPUTED_VALUE"""),"Frutti Dino")</f>
        <v>Frutti Dino</v>
      </c>
    </row>
    <row r="4790">
      <c r="A4790" s="3" t="str">
        <f>IFERROR(__xludf.DUMMYFUNCTION("""COMPUTED_VALUE"""),"frz-solar-system")</f>
        <v>frz-solar-system</v>
      </c>
      <c r="B4790" s="3" t="str">
        <f>IFERROR(__xludf.DUMMYFUNCTION("""COMPUTED_VALUE"""),"frzss")</f>
        <v>frzss</v>
      </c>
      <c r="C4790" s="3" t="str">
        <f>IFERROR(__xludf.DUMMYFUNCTION("""COMPUTED_VALUE"""),"Frz Solar System")</f>
        <v>Frz Solar System</v>
      </c>
    </row>
    <row r="4791">
      <c r="A4791" s="3" t="str">
        <f>IFERROR(__xludf.DUMMYFUNCTION("""COMPUTED_VALUE"""),"frzswap")</f>
        <v>frzswap</v>
      </c>
      <c r="B4791" s="3" t="str">
        <f>IFERROR(__xludf.DUMMYFUNCTION("""COMPUTED_VALUE"""),"frzw")</f>
        <v>frzw</v>
      </c>
      <c r="C4791" s="3" t="str">
        <f>IFERROR(__xludf.DUMMYFUNCTION("""COMPUTED_VALUE"""),"FRZSwap")</f>
        <v>FRZSwap</v>
      </c>
    </row>
    <row r="4792">
      <c r="A4792" s="3" t="str">
        <f>IFERROR(__xludf.DUMMYFUNCTION("""COMPUTED_VALUE"""),"fsd-coin")</f>
        <v>fsd-coin</v>
      </c>
      <c r="B4792" s="3" t="str">
        <f>IFERROR(__xludf.DUMMYFUNCTION("""COMPUTED_VALUE"""),"fsdcoin")</f>
        <v>fsdcoin</v>
      </c>
      <c r="C4792" s="3" t="str">
        <f>IFERROR(__xludf.DUMMYFUNCTION("""COMPUTED_VALUE"""),"FSD Coin")</f>
        <v>FSD Coin</v>
      </c>
    </row>
    <row r="4793">
      <c r="A4793" s="3" t="str">
        <f>IFERROR(__xludf.DUMMYFUNCTION("""COMPUTED_VALUE"""),"fsn")</f>
        <v>fsn</v>
      </c>
      <c r="B4793" s="3" t="str">
        <f>IFERROR(__xludf.DUMMYFUNCTION("""COMPUTED_VALUE"""),"fsn")</f>
        <v>fsn</v>
      </c>
      <c r="C4793" s="3" t="str">
        <f>IFERROR(__xludf.DUMMYFUNCTION("""COMPUTED_VALUE"""),"FUSION")</f>
        <v>FUSION</v>
      </c>
    </row>
    <row r="4794">
      <c r="A4794" s="3" t="str">
        <f>IFERROR(__xludf.DUMMYFUNCTION("""COMPUTED_VALUE"""),"fstswap-osk")</f>
        <v>fstswap-osk</v>
      </c>
      <c r="B4794" s="3" t="str">
        <f>IFERROR(__xludf.DUMMYFUNCTION("""COMPUTED_VALUE"""),"osk")</f>
        <v>osk</v>
      </c>
      <c r="C4794" s="3" t="str">
        <f>IFERROR(__xludf.DUMMYFUNCTION("""COMPUTED_VALUE"""),"FstSwap OSK")</f>
        <v>FstSwap OSK</v>
      </c>
    </row>
    <row r="4795">
      <c r="A4795" s="3" t="str">
        <f>IFERROR(__xludf.DUMMYFUNCTION("""COMPUTED_VALUE"""),"fsw-token")</f>
        <v>fsw-token</v>
      </c>
      <c r="B4795" s="3" t="str">
        <f>IFERROR(__xludf.DUMMYFUNCTION("""COMPUTED_VALUE"""),"fsw")</f>
        <v>fsw</v>
      </c>
      <c r="C4795" s="3" t="str">
        <f>IFERROR(__xludf.DUMMYFUNCTION("""COMPUTED_VALUE"""),"Falconswap")</f>
        <v>Falconswap</v>
      </c>
    </row>
    <row r="4796">
      <c r="A4796" s="3" t="str">
        <f>IFERROR(__xludf.DUMMYFUNCTION("""COMPUTED_VALUE"""),"ftm-guru")</f>
        <v>ftm-guru</v>
      </c>
      <c r="B4796" s="3" t="str">
        <f>IFERROR(__xludf.DUMMYFUNCTION("""COMPUTED_VALUE"""),"elite")</f>
        <v>elite</v>
      </c>
      <c r="C4796" s="3" t="str">
        <f>IFERROR(__xludf.DUMMYFUNCTION("""COMPUTED_VALUE"""),"ftm.guru")</f>
        <v>ftm.guru</v>
      </c>
    </row>
    <row r="4797">
      <c r="A4797" s="3" t="str">
        <f>IFERROR(__xludf.DUMMYFUNCTION("""COMPUTED_VALUE"""),"ftmlaunch")</f>
        <v>ftmlaunch</v>
      </c>
      <c r="B4797" s="3" t="str">
        <f>IFERROR(__xludf.DUMMYFUNCTION("""COMPUTED_VALUE"""),"ftml")</f>
        <v>ftml</v>
      </c>
      <c r="C4797" s="3" t="str">
        <f>IFERROR(__xludf.DUMMYFUNCTION("""COMPUTED_VALUE"""),"FTMlaunch")</f>
        <v>FTMlaunch</v>
      </c>
    </row>
    <row r="4798">
      <c r="A4798" s="3" t="str">
        <f>IFERROR(__xludf.DUMMYFUNCTION("""COMPUTED_VALUE"""),"ftribe-fighters")</f>
        <v>ftribe-fighters</v>
      </c>
      <c r="B4798" s="3" t="str">
        <f>IFERROR(__xludf.DUMMYFUNCTION("""COMPUTED_VALUE"""),"f2c")</f>
        <v>f2c</v>
      </c>
      <c r="C4798" s="3" t="str">
        <f>IFERROR(__xludf.DUMMYFUNCTION("""COMPUTED_VALUE"""),"Ftribe Fighters")</f>
        <v>Ftribe Fighters</v>
      </c>
    </row>
    <row r="4799">
      <c r="A4799" s="3" t="str">
        <f>IFERROR(__xludf.DUMMYFUNCTION("""COMPUTED_VALUE"""),"ftx-token")</f>
        <v>ftx-token</v>
      </c>
      <c r="B4799" s="3" t="str">
        <f>IFERROR(__xludf.DUMMYFUNCTION("""COMPUTED_VALUE"""),"ftt")</f>
        <v>ftt</v>
      </c>
      <c r="C4799" s="3" t="str">
        <f>IFERROR(__xludf.DUMMYFUNCTION("""COMPUTED_VALUE"""),"FTX")</f>
        <v>FTX</v>
      </c>
    </row>
    <row r="4800">
      <c r="A4800" s="3" t="str">
        <f>IFERROR(__xludf.DUMMYFUNCTION("""COMPUTED_VALUE"""),"ftx-wormhole")</f>
        <v>ftx-wormhole</v>
      </c>
      <c r="B4800" s="3" t="str">
        <f>IFERROR(__xludf.DUMMYFUNCTION("""COMPUTED_VALUE"""),"ftt")</f>
        <v>ftt</v>
      </c>
      <c r="C4800" s="3" t="str">
        <f>IFERROR(__xludf.DUMMYFUNCTION("""COMPUTED_VALUE"""),"FTX (Wormhole)")</f>
        <v>FTX (Wormhole)</v>
      </c>
    </row>
    <row r="4801">
      <c r="A4801" s="3" t="str">
        <f>IFERROR(__xludf.DUMMYFUNCTION("""COMPUTED_VALUE"""),"fudcoin-official")</f>
        <v>fudcoin-official</v>
      </c>
      <c r="B4801" s="3" t="str">
        <f>IFERROR(__xludf.DUMMYFUNCTION("""COMPUTED_VALUE"""),"fud")</f>
        <v>fud</v>
      </c>
      <c r="C4801" s="3" t="str">
        <f>IFERROR(__xludf.DUMMYFUNCTION("""COMPUTED_VALUE"""),"FUDcoin Official")</f>
        <v>FUDcoin Official</v>
      </c>
    </row>
    <row r="4802">
      <c r="A4802" s="3" t="str">
        <f>IFERROR(__xludf.DUMMYFUNCTION("""COMPUTED_VALUE"""),"fudge")</f>
        <v>fudge</v>
      </c>
      <c r="B4802" s="3" t="str">
        <f>IFERROR(__xludf.DUMMYFUNCTION("""COMPUTED_VALUE"""),"$fudge")</f>
        <v>$fudge</v>
      </c>
      <c r="C4802" s="3" t="str">
        <f>IFERROR(__xludf.DUMMYFUNCTION("""COMPUTED_VALUE"""),"Fudge")</f>
        <v>Fudge</v>
      </c>
    </row>
    <row r="4803">
      <c r="A4803" s="3" t="str">
        <f>IFERROR(__xludf.DUMMYFUNCTION("""COMPUTED_VALUE"""),"fuel-token")</f>
        <v>fuel-token</v>
      </c>
      <c r="B4803" s="3" t="str">
        <f>IFERROR(__xludf.DUMMYFUNCTION("""COMPUTED_VALUE"""),"fuel")</f>
        <v>fuel</v>
      </c>
      <c r="C4803" s="3" t="str">
        <f>IFERROR(__xludf.DUMMYFUNCTION("""COMPUTED_VALUE"""),"Jetfuel Finance")</f>
        <v>Jetfuel Finance</v>
      </c>
    </row>
    <row r="4804">
      <c r="A4804" s="3" t="str">
        <f>IFERROR(__xludf.DUMMYFUNCTION("""COMPUTED_VALUE"""),"fufu")</f>
        <v>fufu</v>
      </c>
      <c r="B4804" s="3" t="str">
        <f>IFERROR(__xludf.DUMMYFUNCTION("""COMPUTED_VALUE"""),"fufu")</f>
        <v>fufu</v>
      </c>
      <c r="C4804" s="3" t="str">
        <f>IFERROR(__xludf.DUMMYFUNCTION("""COMPUTED_VALUE"""),"Fufu")</f>
        <v>Fufu</v>
      </c>
    </row>
    <row r="4805">
      <c r="A4805" s="3" t="str">
        <f>IFERROR(__xludf.DUMMYFUNCTION("""COMPUTED_VALUE"""),"fuji")</f>
        <v>fuji</v>
      </c>
      <c r="B4805" s="3" t="str">
        <f>IFERROR(__xludf.DUMMYFUNCTION("""COMPUTED_VALUE"""),"fuji")</f>
        <v>fuji</v>
      </c>
      <c r="C4805" s="3" t="str">
        <f>IFERROR(__xludf.DUMMYFUNCTION("""COMPUTED_VALUE"""),"Fuji")</f>
        <v>Fuji</v>
      </c>
    </row>
    <row r="4806">
      <c r="A4806" s="3" t="str">
        <f>IFERROR(__xludf.DUMMYFUNCTION("""COMPUTED_VALUE"""),"fujidao")</f>
        <v>fujidao</v>
      </c>
      <c r="B4806" s="3" t="str">
        <f>IFERROR(__xludf.DUMMYFUNCTION("""COMPUTED_VALUE"""),"fuji")</f>
        <v>fuji</v>
      </c>
      <c r="C4806" s="3" t="str">
        <f>IFERROR(__xludf.DUMMYFUNCTION("""COMPUTED_VALUE"""),"FujiDAO")</f>
        <v>FujiDAO</v>
      </c>
    </row>
    <row r="4807">
      <c r="A4807" s="3" t="str">
        <f>IFERROR(__xludf.DUMMYFUNCTION("""COMPUTED_VALUE"""),"fujitoken")</f>
        <v>fujitoken</v>
      </c>
      <c r="B4807" s="3" t="str">
        <f>IFERROR(__xludf.DUMMYFUNCTION("""COMPUTED_VALUE"""),"fjt")</f>
        <v>fjt</v>
      </c>
      <c r="C4807" s="3" t="str">
        <f>IFERROR(__xludf.DUMMYFUNCTION("""COMPUTED_VALUE"""),"Fuji FJT")</f>
        <v>Fuji FJT</v>
      </c>
    </row>
    <row r="4808">
      <c r="A4808" s="3" t="str">
        <f>IFERROR(__xludf.DUMMYFUNCTION("""COMPUTED_VALUE"""),"fuma-finance")</f>
        <v>fuma-finance</v>
      </c>
      <c r="B4808" s="3" t="str">
        <f>IFERROR(__xludf.DUMMYFUNCTION("""COMPUTED_VALUE"""),"fuma")</f>
        <v>fuma</v>
      </c>
      <c r="C4808" s="3" t="str">
        <f>IFERROR(__xludf.DUMMYFUNCTION("""COMPUTED_VALUE"""),"Fuma Finance")</f>
        <v>Fuma Finance</v>
      </c>
    </row>
    <row r="4809">
      <c r="A4809" s="3" t="str">
        <f>IFERROR(__xludf.DUMMYFUNCTION("""COMPUTED_VALUE"""),"fumoney")</f>
        <v>fumoney</v>
      </c>
      <c r="B4809" s="3" t="str">
        <f>IFERROR(__xludf.DUMMYFUNCTION("""COMPUTED_VALUE"""),"fum")</f>
        <v>fum</v>
      </c>
      <c r="C4809" s="3" t="str">
        <f>IFERROR(__xludf.DUMMYFUNCTION("""COMPUTED_VALUE"""),"FUMoney")</f>
        <v>FUMoney</v>
      </c>
    </row>
    <row r="4810">
      <c r="A4810" s="3" t="str">
        <f>IFERROR(__xludf.DUMMYFUNCTION("""COMPUTED_VALUE"""),"funcha")</f>
        <v>funcha</v>
      </c>
      <c r="B4810" s="3" t="str">
        <f>IFERROR(__xludf.DUMMYFUNCTION("""COMPUTED_VALUE"""),"fucha")</f>
        <v>fucha</v>
      </c>
      <c r="C4810" s="3" t="str">
        <f>IFERROR(__xludf.DUMMYFUNCTION("""COMPUTED_VALUE"""),"Funcha")</f>
        <v>Funcha</v>
      </c>
    </row>
    <row r="4811">
      <c r="A4811" s="3" t="str">
        <f>IFERROR(__xludf.DUMMYFUNCTION("""COMPUTED_VALUE"""),"fundamenta")</f>
        <v>fundamenta</v>
      </c>
      <c r="B4811" s="3" t="str">
        <f>IFERROR(__xludf.DUMMYFUNCTION("""COMPUTED_VALUE"""),"fmta")</f>
        <v>fmta</v>
      </c>
      <c r="C4811" s="3" t="str">
        <f>IFERROR(__xludf.DUMMYFUNCTION("""COMPUTED_VALUE"""),"Fundamenta")</f>
        <v>Fundamenta</v>
      </c>
    </row>
    <row r="4812">
      <c r="A4812" s="3" t="str">
        <f>IFERROR(__xludf.DUMMYFUNCTION("""COMPUTED_VALUE"""),"fund-of-yours")</f>
        <v>fund-of-yours</v>
      </c>
      <c r="B4812" s="3" t="str">
        <f>IFERROR(__xludf.DUMMYFUNCTION("""COMPUTED_VALUE"""),"foy")</f>
        <v>foy</v>
      </c>
      <c r="C4812" s="3" t="str">
        <f>IFERROR(__xludf.DUMMYFUNCTION("""COMPUTED_VALUE"""),"Fund Of Yours")</f>
        <v>Fund Of Yours</v>
      </c>
    </row>
    <row r="4813">
      <c r="A4813" s="3" t="str">
        <f>IFERROR(__xludf.DUMMYFUNCTION("""COMPUTED_VALUE"""),"funex")</f>
        <v>funex</v>
      </c>
      <c r="B4813" s="3" t="str">
        <f>IFERROR(__xludf.DUMMYFUNCTION("""COMPUTED_VALUE"""),"funex")</f>
        <v>funex</v>
      </c>
      <c r="C4813" s="3" t="str">
        <f>IFERROR(__xludf.DUMMYFUNCTION("""COMPUTED_VALUE"""),"Funex")</f>
        <v>Funex</v>
      </c>
    </row>
    <row r="4814">
      <c r="A4814" s="3" t="str">
        <f>IFERROR(__xludf.DUMMYFUNCTION("""COMPUTED_VALUE"""),"funfair")</f>
        <v>funfair</v>
      </c>
      <c r="B4814" s="3" t="str">
        <f>IFERROR(__xludf.DUMMYFUNCTION("""COMPUTED_VALUE"""),"fun")</f>
        <v>fun</v>
      </c>
      <c r="C4814" s="3" t="str">
        <f>IFERROR(__xludf.DUMMYFUNCTION("""COMPUTED_VALUE"""),"FUN")</f>
        <v>FUN</v>
      </c>
    </row>
    <row r="4815">
      <c r="A4815" s="3" t="str">
        <f>IFERROR(__xludf.DUMMYFUNCTION("""COMPUTED_VALUE"""),"funfi")</f>
        <v>funfi</v>
      </c>
      <c r="B4815" s="3" t="str">
        <f>IFERROR(__xludf.DUMMYFUNCTION("""COMPUTED_VALUE"""),"fnf")</f>
        <v>fnf</v>
      </c>
      <c r="C4815" s="3" t="str">
        <f>IFERROR(__xludf.DUMMYFUNCTION("""COMPUTED_VALUE"""),"FunFi")</f>
        <v>FunFi</v>
      </c>
    </row>
    <row r="4816">
      <c r="A4816" s="3" t="str">
        <f>IFERROR(__xludf.DUMMYFUNCTION("""COMPUTED_VALUE"""),"fungie-dao")</f>
        <v>fungie-dao</v>
      </c>
      <c r="B4816" s="3" t="str">
        <f>IFERROR(__xludf.DUMMYFUNCTION("""COMPUTED_VALUE"""),"fng")</f>
        <v>fng</v>
      </c>
      <c r="C4816" s="3" t="str">
        <f>IFERROR(__xludf.DUMMYFUNCTION("""COMPUTED_VALUE"""),"Fungie DAO")</f>
        <v>Fungie DAO</v>
      </c>
    </row>
    <row r="4817">
      <c r="A4817" s="3" t="str">
        <f>IFERROR(__xludf.DUMMYFUNCTION("""COMPUTED_VALUE"""),"furio")</f>
        <v>furio</v>
      </c>
      <c r="B4817" s="3" t="str">
        <f>IFERROR(__xludf.DUMMYFUNCTION("""COMPUTED_VALUE"""),"$fur")</f>
        <v>$fur</v>
      </c>
      <c r="C4817" s="3" t="str">
        <f>IFERROR(__xludf.DUMMYFUNCTION("""COMPUTED_VALUE"""),"Furio")</f>
        <v>Furio</v>
      </c>
    </row>
    <row r="4818">
      <c r="A4818" s="3" t="str">
        <f>IFERROR(__xludf.DUMMYFUNCTION("""COMPUTED_VALUE"""),"furucombo")</f>
        <v>furucombo</v>
      </c>
      <c r="B4818" s="3" t="str">
        <f>IFERROR(__xludf.DUMMYFUNCTION("""COMPUTED_VALUE"""),"combo")</f>
        <v>combo</v>
      </c>
      <c r="C4818" s="3" t="str">
        <f>IFERROR(__xludf.DUMMYFUNCTION("""COMPUTED_VALUE"""),"Furucombo")</f>
        <v>Furucombo</v>
      </c>
    </row>
    <row r="4819">
      <c r="A4819" s="3" t="str">
        <f>IFERROR(__xludf.DUMMYFUNCTION("""COMPUTED_VALUE"""),"furukuru")</f>
        <v>furukuru</v>
      </c>
      <c r="B4819" s="3" t="str">
        <f>IFERROR(__xludf.DUMMYFUNCTION("""COMPUTED_VALUE"""),"fuku")</f>
        <v>fuku</v>
      </c>
      <c r="C4819" s="3" t="str">
        <f>IFERROR(__xludf.DUMMYFUNCTION("""COMPUTED_VALUE"""),"Furukuru")</f>
        <v>Furukuru</v>
      </c>
    </row>
    <row r="4820">
      <c r="A4820" s="3" t="str">
        <f>IFERROR(__xludf.DUMMYFUNCTION("""COMPUTED_VALUE"""),"fuse-dollar")</f>
        <v>fuse-dollar</v>
      </c>
      <c r="B4820" s="3" t="str">
        <f>IFERROR(__xludf.DUMMYFUNCTION("""COMPUTED_VALUE"""),"fusd")</f>
        <v>fusd</v>
      </c>
      <c r="C4820" s="3" t="str">
        <f>IFERROR(__xludf.DUMMYFUNCTION("""COMPUTED_VALUE"""),"Fuse Dollar")</f>
        <v>Fuse Dollar</v>
      </c>
    </row>
    <row r="4821">
      <c r="A4821" s="3" t="str">
        <f>IFERROR(__xludf.DUMMYFUNCTION("""COMPUTED_VALUE"""),"fusefi")</f>
        <v>fusefi</v>
      </c>
      <c r="B4821" s="3" t="str">
        <f>IFERROR(__xludf.DUMMYFUNCTION("""COMPUTED_VALUE"""),"volt")</f>
        <v>volt</v>
      </c>
      <c r="C4821" s="3" t="str">
        <f>IFERROR(__xludf.DUMMYFUNCTION("""COMPUTED_VALUE"""),"Voltage Finance")</f>
        <v>Voltage Finance</v>
      </c>
    </row>
    <row r="4822">
      <c r="A4822" s="3" t="str">
        <f>IFERROR(__xludf.DUMMYFUNCTION("""COMPUTED_VALUE"""),"fuse-network-token")</f>
        <v>fuse-network-token</v>
      </c>
      <c r="B4822" s="3" t="str">
        <f>IFERROR(__xludf.DUMMYFUNCTION("""COMPUTED_VALUE"""),"fuse")</f>
        <v>fuse</v>
      </c>
      <c r="C4822" s="3" t="str">
        <f>IFERROR(__xludf.DUMMYFUNCTION("""COMPUTED_VALUE"""),"Fuse")</f>
        <v>Fuse</v>
      </c>
    </row>
    <row r="4823">
      <c r="A4823" s="3" t="str">
        <f>IFERROR(__xludf.DUMMYFUNCTION("""COMPUTED_VALUE"""),"fusible")</f>
        <v>fusible</v>
      </c>
      <c r="B4823" s="3" t="str">
        <f>IFERROR(__xludf.DUMMYFUNCTION("""COMPUTED_VALUE"""),"fusii")</f>
        <v>fusii</v>
      </c>
      <c r="C4823" s="3" t="str">
        <f>IFERROR(__xludf.DUMMYFUNCTION("""COMPUTED_VALUE"""),"Fusible")</f>
        <v>Fusible</v>
      </c>
    </row>
    <row r="4824">
      <c r="A4824" s="3" t="str">
        <f>IFERROR(__xludf.DUMMYFUNCTION("""COMPUTED_VALUE"""),"fusotao")</f>
        <v>fusotao</v>
      </c>
      <c r="B4824" s="3" t="str">
        <f>IFERROR(__xludf.DUMMYFUNCTION("""COMPUTED_VALUE"""),"tao")</f>
        <v>tao</v>
      </c>
      <c r="C4824" s="3" t="str">
        <f>IFERROR(__xludf.DUMMYFUNCTION("""COMPUTED_VALUE"""),"Fusotao")</f>
        <v>Fusotao</v>
      </c>
    </row>
    <row r="4825">
      <c r="A4825" s="3" t="str">
        <f>IFERROR(__xludf.DUMMYFUNCTION("""COMPUTED_VALUE"""),"futura")</f>
        <v>futura</v>
      </c>
      <c r="B4825" s="3" t="str">
        <f>IFERROR(__xludf.DUMMYFUNCTION("""COMPUTED_VALUE"""),"futura")</f>
        <v>futura</v>
      </c>
      <c r="C4825" s="3" t="str">
        <f>IFERROR(__xludf.DUMMYFUNCTION("""COMPUTED_VALUE"""),"Futura")</f>
        <v>Futura</v>
      </c>
    </row>
    <row r="4826">
      <c r="A4826" s="3" t="str">
        <f>IFERROR(__xludf.DUMMYFUNCTION("""COMPUTED_VALUE"""),"futurax")</f>
        <v>futurax</v>
      </c>
      <c r="B4826" s="3" t="str">
        <f>IFERROR(__xludf.DUMMYFUNCTION("""COMPUTED_VALUE"""),"ftxt")</f>
        <v>ftxt</v>
      </c>
      <c r="C4826" s="3" t="str">
        <f>IFERROR(__xludf.DUMMYFUNCTION("""COMPUTED_VALUE"""),"FUTURAX")</f>
        <v>FUTURAX</v>
      </c>
    </row>
    <row r="4827">
      <c r="A4827" s="3" t="str">
        <f>IFERROR(__xludf.DUMMYFUNCTION("""COMPUTED_VALUE"""),"future")</f>
        <v>future</v>
      </c>
      <c r="B4827" s="3" t="str">
        <f>IFERROR(__xludf.DUMMYFUNCTION("""COMPUTED_VALUE"""),"ftr")</f>
        <v>ftr</v>
      </c>
      <c r="C4827" s="3" t="str">
        <f>IFERROR(__xludf.DUMMYFUNCTION("""COMPUTED_VALUE"""),"Future")</f>
        <v>Future</v>
      </c>
    </row>
    <row r="4828">
      <c r="A4828" s="3" t="str">
        <f>IFERROR(__xludf.DUMMYFUNCTION("""COMPUTED_VALUE"""),"futurecoin")</f>
        <v>futurecoin</v>
      </c>
      <c r="B4828" s="3" t="str">
        <f>IFERROR(__xludf.DUMMYFUNCTION("""COMPUTED_VALUE"""),"future")</f>
        <v>future</v>
      </c>
      <c r="C4828" s="3" t="str">
        <f>IFERROR(__xludf.DUMMYFUNCTION("""COMPUTED_VALUE"""),"FutureCoin")</f>
        <v>FutureCoin</v>
      </c>
    </row>
    <row r="4829">
      <c r="A4829" s="3" t="str">
        <f>IFERROR(__xludf.DUMMYFUNCTION("""COMPUTED_VALUE"""),"future-of-fintech")</f>
        <v>future-of-fintech</v>
      </c>
      <c r="B4829" s="3" t="str">
        <f>IFERROR(__xludf.DUMMYFUNCTION("""COMPUTED_VALUE"""),"fof")</f>
        <v>fof</v>
      </c>
      <c r="C4829" s="3" t="str">
        <f>IFERROR(__xludf.DUMMYFUNCTION("""COMPUTED_VALUE"""),"Future Of Fintech")</f>
        <v>Future Of Fintech</v>
      </c>
    </row>
    <row r="4830">
      <c r="A4830" s="3" t="str">
        <f>IFERROR(__xludf.DUMMYFUNCTION("""COMPUTED_VALUE"""),"futurescash")</f>
        <v>futurescash</v>
      </c>
      <c r="B4830" s="3" t="str">
        <f>IFERROR(__xludf.DUMMYFUNCTION("""COMPUTED_VALUE"""),"fct")</f>
        <v>fct</v>
      </c>
      <c r="C4830" s="3" t="str">
        <f>IFERROR(__xludf.DUMMYFUNCTION("""COMPUTED_VALUE"""),"FuturesCash")</f>
        <v>FuturesCash</v>
      </c>
    </row>
    <row r="4831">
      <c r="A4831" s="3" t="str">
        <f>IFERROR(__xludf.DUMMYFUNCTION("""COMPUTED_VALUE"""),"futurescoin")</f>
        <v>futurescoin</v>
      </c>
      <c r="B4831" s="3" t="str">
        <f>IFERROR(__xludf.DUMMYFUNCTION("""COMPUTED_VALUE"""),"fc")</f>
        <v>fc</v>
      </c>
      <c r="C4831" s="3" t="str">
        <f>IFERROR(__xludf.DUMMYFUNCTION("""COMPUTED_VALUE"""),"FuturesCoin")</f>
        <v>FuturesCoin</v>
      </c>
    </row>
    <row r="4832">
      <c r="A4832" s="3" t="str">
        <f>IFERROR(__xludf.DUMMYFUNCTION("""COMPUTED_VALUE"""),"future-star")</f>
        <v>future-star</v>
      </c>
      <c r="B4832" s="3" t="str">
        <f>IFERROR(__xludf.DUMMYFUNCTION("""COMPUTED_VALUE"""),"fstar")</f>
        <v>fstar</v>
      </c>
      <c r="C4832" s="3" t="str">
        <f>IFERROR(__xludf.DUMMYFUNCTION("""COMPUTED_VALUE"""),"Future Star")</f>
        <v>Future Star</v>
      </c>
    </row>
    <row r="4833">
      <c r="A4833" s="3" t="str">
        <f>IFERROR(__xludf.DUMMYFUNCTION("""COMPUTED_VALUE"""),"futureswap")</f>
        <v>futureswap</v>
      </c>
      <c r="B4833" s="3" t="str">
        <f>IFERROR(__xludf.DUMMYFUNCTION("""COMPUTED_VALUE"""),"fst")</f>
        <v>fst</v>
      </c>
      <c r="C4833" s="3" t="str">
        <f>IFERROR(__xludf.DUMMYFUNCTION("""COMPUTED_VALUE"""),"Futureswap")</f>
        <v>Futureswap</v>
      </c>
    </row>
    <row r="4834">
      <c r="A4834" s="3" t="str">
        <f>IFERROR(__xludf.DUMMYFUNCTION("""COMPUTED_VALUE"""),"futurocoin")</f>
        <v>futurocoin</v>
      </c>
      <c r="B4834" s="3" t="str">
        <f>IFERROR(__xludf.DUMMYFUNCTION("""COMPUTED_VALUE"""),"fto")</f>
        <v>fto</v>
      </c>
      <c r="C4834" s="3" t="str">
        <f>IFERROR(__xludf.DUMMYFUNCTION("""COMPUTED_VALUE"""),"FuturoCoin")</f>
        <v>FuturoCoin</v>
      </c>
    </row>
    <row r="4835">
      <c r="A4835" s="3" t="str">
        <f>IFERROR(__xludf.DUMMYFUNCTION("""COMPUTED_VALUE"""),"fuze-token")</f>
        <v>fuze-token</v>
      </c>
      <c r="B4835" s="3" t="str">
        <f>IFERROR(__xludf.DUMMYFUNCTION("""COMPUTED_VALUE"""),"fuze")</f>
        <v>fuze</v>
      </c>
      <c r="C4835" s="3" t="str">
        <f>IFERROR(__xludf.DUMMYFUNCTION("""COMPUTED_VALUE"""),"FUZE")</f>
        <v>FUZE</v>
      </c>
    </row>
    <row r="4836">
      <c r="A4836" s="3" t="str">
        <f>IFERROR(__xludf.DUMMYFUNCTION("""COMPUTED_VALUE"""),"fuzex")</f>
        <v>fuzex</v>
      </c>
      <c r="B4836" s="3" t="str">
        <f>IFERROR(__xludf.DUMMYFUNCTION("""COMPUTED_VALUE"""),"fxt")</f>
        <v>fxt</v>
      </c>
      <c r="C4836" s="3" t="str">
        <f>IFERROR(__xludf.DUMMYFUNCTION("""COMPUTED_VALUE"""),"FuzeX")</f>
        <v>FuzeX</v>
      </c>
    </row>
    <row r="4837">
      <c r="A4837" s="3" t="str">
        <f>IFERROR(__xludf.DUMMYFUNCTION("""COMPUTED_VALUE"""),"fuzz-finance")</f>
        <v>fuzz-finance</v>
      </c>
      <c r="B4837" s="3" t="str">
        <f>IFERROR(__xludf.DUMMYFUNCTION("""COMPUTED_VALUE"""),"fuzz")</f>
        <v>fuzz</v>
      </c>
      <c r="C4837" s="3" t="str">
        <f>IFERROR(__xludf.DUMMYFUNCTION("""COMPUTED_VALUE"""),"Fuzz Finance")</f>
        <v>Fuzz Finance</v>
      </c>
    </row>
    <row r="4838">
      <c r="A4838" s="3" t="str">
        <f>IFERROR(__xludf.DUMMYFUNCTION("""COMPUTED_VALUE"""),"fx-coin")</f>
        <v>fx-coin</v>
      </c>
      <c r="B4838" s="3" t="str">
        <f>IFERROR(__xludf.DUMMYFUNCTION("""COMPUTED_VALUE"""),"fx")</f>
        <v>fx</v>
      </c>
      <c r="C4838" s="3" t="str">
        <f>IFERROR(__xludf.DUMMYFUNCTION("""COMPUTED_VALUE"""),"Function X")</f>
        <v>Function X</v>
      </c>
    </row>
    <row r="4839">
      <c r="A4839" s="3" t="str">
        <f>IFERROR(__xludf.DUMMYFUNCTION("""COMPUTED_VALUE"""),"fxt-token")</f>
        <v>fxt-token</v>
      </c>
      <c r="B4839" s="3" t="str">
        <f>IFERROR(__xludf.DUMMYFUNCTION("""COMPUTED_VALUE"""),"fxt")</f>
        <v>fxt</v>
      </c>
      <c r="C4839" s="3" t="str">
        <f>IFERROR(__xludf.DUMMYFUNCTION("""COMPUTED_VALUE"""),"FXT")</f>
        <v>FXT</v>
      </c>
    </row>
    <row r="4840">
      <c r="A4840" s="3" t="str">
        <f>IFERROR(__xludf.DUMMYFUNCTION("""COMPUTED_VALUE"""),"fxwallet")</f>
        <v>fxwallet</v>
      </c>
      <c r="B4840" s="3" t="str">
        <f>IFERROR(__xludf.DUMMYFUNCTION("""COMPUTED_VALUE"""),"fxl")</f>
        <v>fxl</v>
      </c>
      <c r="C4840" s="3" t="str">
        <f>IFERROR(__xludf.DUMMYFUNCTION("""COMPUTED_VALUE"""),"FXWallet")</f>
        <v>FXWallet</v>
      </c>
    </row>
    <row r="4841">
      <c r="A4841" s="3" t="str">
        <f>IFERROR(__xludf.DUMMYFUNCTION("""COMPUTED_VALUE"""),"fydcoin")</f>
        <v>fydcoin</v>
      </c>
      <c r="B4841" s="3" t="str">
        <f>IFERROR(__xludf.DUMMYFUNCTION("""COMPUTED_VALUE"""),"fyd")</f>
        <v>fyd</v>
      </c>
      <c r="C4841" s="3" t="str">
        <f>IFERROR(__xludf.DUMMYFUNCTION("""COMPUTED_VALUE"""),"FYDcoin")</f>
        <v>FYDcoin</v>
      </c>
    </row>
    <row r="4842">
      <c r="A4842" s="3" t="str">
        <f>IFERROR(__xludf.DUMMYFUNCTION("""COMPUTED_VALUE"""),"fyooz")</f>
        <v>fyooz</v>
      </c>
      <c r="B4842" s="3" t="str">
        <f>IFERROR(__xludf.DUMMYFUNCTION("""COMPUTED_VALUE"""),"fyz")</f>
        <v>fyz</v>
      </c>
      <c r="C4842" s="3" t="str">
        <f>IFERROR(__xludf.DUMMYFUNCTION("""COMPUTED_VALUE"""),"Fyooz")</f>
        <v>Fyooz</v>
      </c>
    </row>
    <row r="4843">
      <c r="A4843" s="3" t="str">
        <f>IFERROR(__xludf.DUMMYFUNCTION("""COMPUTED_VALUE"""),"g999")</f>
        <v>g999</v>
      </c>
      <c r="B4843" s="3" t="str">
        <f>IFERROR(__xludf.DUMMYFUNCTION("""COMPUTED_VALUE"""),"g999")</f>
        <v>g999</v>
      </c>
      <c r="C4843" s="3" t="str">
        <f>IFERROR(__xludf.DUMMYFUNCTION("""COMPUTED_VALUE"""),"G999")</f>
        <v>G999</v>
      </c>
    </row>
    <row r="4844">
      <c r="A4844" s="3" t="str">
        <f>IFERROR(__xludf.DUMMYFUNCTION("""COMPUTED_VALUE"""),"gabecoin")</f>
        <v>gabecoin</v>
      </c>
      <c r="B4844" s="3" t="str">
        <f>IFERROR(__xludf.DUMMYFUNCTION("""COMPUTED_VALUE"""),"gabecoin")</f>
        <v>gabecoin</v>
      </c>
      <c r="C4844" s="3" t="str">
        <f>IFERROR(__xludf.DUMMYFUNCTION("""COMPUTED_VALUE"""),"Gabecoin")</f>
        <v>Gabecoin</v>
      </c>
    </row>
    <row r="4845">
      <c r="A4845" s="3" t="str">
        <f>IFERROR(__xludf.DUMMYFUNCTION("""COMPUTED_VALUE"""),"gabur")</f>
        <v>gabur</v>
      </c>
      <c r="B4845" s="3" t="str">
        <f>IFERROR(__xludf.DUMMYFUNCTION("""COMPUTED_VALUE"""),"gbr")</f>
        <v>gbr</v>
      </c>
      <c r="C4845" s="3" t="str">
        <f>IFERROR(__xludf.DUMMYFUNCTION("""COMPUTED_VALUE"""),"Gabur")</f>
        <v>Gabur</v>
      </c>
    </row>
    <row r="4846">
      <c r="A4846" s="3" t="str">
        <f>IFERROR(__xludf.DUMMYFUNCTION("""COMPUTED_VALUE"""),"gabx-finance")</f>
        <v>gabx-finance</v>
      </c>
      <c r="B4846" s="3" t="str">
        <f>IFERROR(__xludf.DUMMYFUNCTION("""COMPUTED_VALUE"""),"gabx")</f>
        <v>gabx</v>
      </c>
      <c r="C4846" s="3" t="str">
        <f>IFERROR(__xludf.DUMMYFUNCTION("""COMPUTED_VALUE"""),"Gabx Finance")</f>
        <v>Gabx Finance</v>
      </c>
    </row>
    <row r="4847">
      <c r="A4847" s="3" t="str">
        <f>IFERROR(__xludf.DUMMYFUNCTION("""COMPUTED_VALUE"""),"gacube")</f>
        <v>gacube</v>
      </c>
      <c r="B4847" s="3" t="str">
        <f>IFERROR(__xludf.DUMMYFUNCTION("""COMPUTED_VALUE"""),"gac")</f>
        <v>gac</v>
      </c>
      <c r="C4847" s="3" t="str">
        <f>IFERROR(__xludf.DUMMYFUNCTION("""COMPUTED_VALUE"""),"GACUBE")</f>
        <v>GACUBE</v>
      </c>
    </row>
    <row r="4848">
      <c r="A4848" s="3" t="str">
        <f>IFERROR(__xludf.DUMMYFUNCTION("""COMPUTED_VALUE"""),"gadget-war")</f>
        <v>gadget-war</v>
      </c>
      <c r="B4848" s="3" t="str">
        <f>IFERROR(__xludf.DUMMYFUNCTION("""COMPUTED_VALUE"""),"gwar")</f>
        <v>gwar</v>
      </c>
      <c r="C4848" s="3" t="str">
        <f>IFERROR(__xludf.DUMMYFUNCTION("""COMPUTED_VALUE"""),"Gadget War")</f>
        <v>Gadget War</v>
      </c>
    </row>
    <row r="4849">
      <c r="A4849" s="3" t="str">
        <f>IFERROR(__xludf.DUMMYFUNCTION("""COMPUTED_VALUE"""),"gafa")</f>
        <v>gafa</v>
      </c>
      <c r="B4849" s="3" t="str">
        <f>IFERROR(__xludf.DUMMYFUNCTION("""COMPUTED_VALUE"""),"gafa")</f>
        <v>gafa</v>
      </c>
      <c r="C4849" s="3" t="str">
        <f>IFERROR(__xludf.DUMMYFUNCTION("""COMPUTED_VALUE"""),"Gafa")</f>
        <v>Gafa</v>
      </c>
    </row>
    <row r="4850">
      <c r="A4850" s="3" t="str">
        <f>IFERROR(__xludf.DUMMYFUNCTION("""COMPUTED_VALUE"""),"gaia-everworld")</f>
        <v>gaia-everworld</v>
      </c>
      <c r="B4850" s="3" t="str">
        <f>IFERROR(__xludf.DUMMYFUNCTION("""COMPUTED_VALUE"""),"gaia")</f>
        <v>gaia</v>
      </c>
      <c r="C4850" s="3" t="str">
        <f>IFERROR(__xludf.DUMMYFUNCTION("""COMPUTED_VALUE"""),"Gaia Everworld")</f>
        <v>Gaia Everworld</v>
      </c>
    </row>
    <row r="4851">
      <c r="A4851" s="3" t="str">
        <f>IFERROR(__xludf.DUMMYFUNCTION("""COMPUTED_VALUE"""),"gain")</f>
        <v>gain</v>
      </c>
      <c r="B4851" s="3" t="str">
        <f>IFERROR(__xludf.DUMMYFUNCTION("""COMPUTED_VALUE"""),"gain")</f>
        <v>gain</v>
      </c>
      <c r="C4851" s="3" t="str">
        <f>IFERROR(__xludf.DUMMYFUNCTION("""COMPUTED_VALUE"""),"GainPool")</f>
        <v>GainPool</v>
      </c>
    </row>
    <row r="4852">
      <c r="A4852" s="3" t="str">
        <f>IFERROR(__xludf.DUMMYFUNCTION("""COMPUTED_VALUE"""),"gaindao")</f>
        <v>gaindao</v>
      </c>
      <c r="B4852" s="3" t="str">
        <f>IFERROR(__xludf.DUMMYFUNCTION("""COMPUTED_VALUE"""),"gain")</f>
        <v>gain</v>
      </c>
      <c r="C4852" s="3" t="str">
        <f>IFERROR(__xludf.DUMMYFUNCTION("""COMPUTED_VALUE"""),"Gain DAO")</f>
        <v>Gain DAO</v>
      </c>
    </row>
    <row r="4853">
      <c r="A4853" s="3" t="str">
        <f>IFERROR(__xludf.DUMMYFUNCTION("""COMPUTED_VALUE"""),"gainfull")</f>
        <v>gainfull</v>
      </c>
      <c r="B4853" s="3" t="str">
        <f>IFERROR(__xludf.DUMMYFUNCTION("""COMPUTED_VALUE"""),"gfull")</f>
        <v>gfull</v>
      </c>
      <c r="C4853" s="3" t="str">
        <f>IFERROR(__xludf.DUMMYFUNCTION("""COMPUTED_VALUE"""),"Gainfull")</f>
        <v>Gainfull</v>
      </c>
    </row>
    <row r="4854">
      <c r="A4854" s="3" t="str">
        <f>IFERROR(__xludf.DUMMYFUNCTION("""COMPUTED_VALUE"""),"gain-protocol")</f>
        <v>gain-protocol</v>
      </c>
      <c r="B4854" s="3" t="str">
        <f>IFERROR(__xludf.DUMMYFUNCTION("""COMPUTED_VALUE"""),"gain")</f>
        <v>gain</v>
      </c>
      <c r="C4854" s="3" t="str">
        <f>IFERROR(__xludf.DUMMYFUNCTION("""COMPUTED_VALUE"""),"Gain Protocol")</f>
        <v>Gain Protocol</v>
      </c>
    </row>
    <row r="4855">
      <c r="A4855" s="3" t="str">
        <f>IFERROR(__xludf.DUMMYFUNCTION("""COMPUTED_VALUE"""),"gains")</f>
        <v>gains</v>
      </c>
      <c r="B4855" s="3" t="str">
        <f>IFERROR(__xludf.DUMMYFUNCTION("""COMPUTED_VALUE"""),"gains")</f>
        <v>gains</v>
      </c>
      <c r="C4855" s="3" t="str">
        <f>IFERROR(__xludf.DUMMYFUNCTION("""COMPUTED_VALUE"""),"Gains")</f>
        <v>Gains</v>
      </c>
    </row>
    <row r="4856">
      <c r="A4856" s="3" t="str">
        <f>IFERROR(__xludf.DUMMYFUNCTION("""COMPUTED_VALUE"""),"gains-farm")</f>
        <v>gains-farm</v>
      </c>
      <c r="B4856" s="3" t="str">
        <f>IFERROR(__xludf.DUMMYFUNCTION("""COMPUTED_VALUE"""),"gfarm2")</f>
        <v>gfarm2</v>
      </c>
      <c r="C4856" s="3" t="str">
        <f>IFERROR(__xludf.DUMMYFUNCTION("""COMPUTED_VALUE"""),"Gains Farm")</f>
        <v>Gains Farm</v>
      </c>
    </row>
    <row r="4857">
      <c r="A4857" s="3" t="str">
        <f>IFERROR(__xludf.DUMMYFUNCTION("""COMPUTED_VALUE"""),"gains-network")</f>
        <v>gains-network</v>
      </c>
      <c r="B4857" s="3" t="str">
        <f>IFERROR(__xludf.DUMMYFUNCTION("""COMPUTED_VALUE"""),"gns")</f>
        <v>gns</v>
      </c>
      <c r="C4857" s="3" t="str">
        <f>IFERROR(__xludf.DUMMYFUNCTION("""COMPUTED_VALUE"""),"Gains Network")</f>
        <v>Gains Network</v>
      </c>
    </row>
    <row r="4858">
      <c r="A4858" s="3" t="str">
        <f>IFERROR(__xludf.DUMMYFUNCTION("""COMPUTED_VALUE"""),"gaj")</f>
        <v>gaj</v>
      </c>
      <c r="B4858" s="3" t="str">
        <f>IFERROR(__xludf.DUMMYFUNCTION("""COMPUTED_VALUE"""),"gaj")</f>
        <v>gaj</v>
      </c>
      <c r="C4858" s="3" t="str">
        <f>IFERROR(__xludf.DUMMYFUNCTION("""COMPUTED_VALUE"""),"Gaj Finance")</f>
        <v>Gaj Finance</v>
      </c>
    </row>
    <row r="4859">
      <c r="A4859" s="3" t="str">
        <f>IFERROR(__xludf.DUMMYFUNCTION("""COMPUTED_VALUE"""),"gala")</f>
        <v>gala</v>
      </c>
      <c r="B4859" s="3" t="str">
        <f>IFERROR(__xludf.DUMMYFUNCTION("""COMPUTED_VALUE"""),"gala")</f>
        <v>gala</v>
      </c>
      <c r="C4859" s="3" t="str">
        <f>IFERROR(__xludf.DUMMYFUNCTION("""COMPUTED_VALUE"""),"GALA")</f>
        <v>GALA</v>
      </c>
    </row>
    <row r="4860">
      <c r="A4860" s="3" t="str">
        <f>IFERROR(__xludf.DUMMYFUNCTION("""COMPUTED_VALUE"""),"galactic-arena-the-nftverse")</f>
        <v>galactic-arena-the-nftverse</v>
      </c>
      <c r="B4860" s="3" t="str">
        <f>IFERROR(__xludf.DUMMYFUNCTION("""COMPUTED_VALUE"""),"gan")</f>
        <v>gan</v>
      </c>
      <c r="C4860" s="3" t="str">
        <f>IFERROR(__xludf.DUMMYFUNCTION("""COMPUTED_VALUE"""),"Galactic Arena: The NFTverse")</f>
        <v>Galactic Arena: The NFTverse</v>
      </c>
    </row>
    <row r="4861">
      <c r="A4861" s="3" t="str">
        <f>IFERROR(__xludf.DUMMYFUNCTION("""COMPUTED_VALUE"""),"galactic-war")</f>
        <v>galactic-war</v>
      </c>
      <c r="B4861" s="3" t="str">
        <f>IFERROR(__xludf.DUMMYFUNCTION("""COMPUTED_VALUE"""),"galw")</f>
        <v>galw</v>
      </c>
      <c r="C4861" s="3" t="str">
        <f>IFERROR(__xludf.DUMMYFUNCTION("""COMPUTED_VALUE"""),"Galactic War")</f>
        <v>Galactic War</v>
      </c>
    </row>
    <row r="4862">
      <c r="A4862" s="3" t="str">
        <f>IFERROR(__xludf.DUMMYFUNCTION("""COMPUTED_VALUE"""),"galatasaray-fan-token")</f>
        <v>galatasaray-fan-token</v>
      </c>
      <c r="B4862" s="3" t="str">
        <f>IFERROR(__xludf.DUMMYFUNCTION("""COMPUTED_VALUE"""),"gal")</f>
        <v>gal</v>
      </c>
      <c r="C4862" s="3" t="str">
        <f>IFERROR(__xludf.DUMMYFUNCTION("""COMPUTED_VALUE"""),"Galatasaray Fan Token")</f>
        <v>Galatasaray Fan Token</v>
      </c>
    </row>
    <row r="4863">
      <c r="A4863" s="3" t="str">
        <f>IFERROR(__xludf.DUMMYFUNCTION("""COMPUTED_VALUE"""),"galatic-kitty-fighters")</f>
        <v>galatic-kitty-fighters</v>
      </c>
      <c r="B4863" s="3" t="str">
        <f>IFERROR(__xludf.DUMMYFUNCTION("""COMPUTED_VALUE"""),"gkf")</f>
        <v>gkf</v>
      </c>
      <c r="C4863" s="3" t="str">
        <f>IFERROR(__xludf.DUMMYFUNCTION("""COMPUTED_VALUE"""),"Galatic Kitty Fighters")</f>
        <v>Galatic Kitty Fighters</v>
      </c>
    </row>
    <row r="4864">
      <c r="A4864" s="3" t="str">
        <f>IFERROR(__xludf.DUMMYFUNCTION("""COMPUTED_VALUE"""),"galaxia")</f>
        <v>galaxia</v>
      </c>
      <c r="B4864" s="3" t="str">
        <f>IFERROR(__xludf.DUMMYFUNCTION("""COMPUTED_VALUE"""),"gxa")</f>
        <v>gxa</v>
      </c>
      <c r="C4864" s="3" t="str">
        <f>IFERROR(__xludf.DUMMYFUNCTION("""COMPUTED_VALUE"""),"Galaxia")</f>
        <v>Galaxia</v>
      </c>
    </row>
    <row r="4865">
      <c r="A4865" s="3" t="str">
        <f>IFERROR(__xludf.DUMMYFUNCTION("""COMPUTED_VALUE"""),"galaxy-adventure")</f>
        <v>galaxy-adventure</v>
      </c>
      <c r="B4865" s="3" t="str">
        <f>IFERROR(__xludf.DUMMYFUNCTION("""COMPUTED_VALUE"""),"gla")</f>
        <v>gla</v>
      </c>
      <c r="C4865" s="3" t="str">
        <f>IFERROR(__xludf.DUMMYFUNCTION("""COMPUTED_VALUE"""),"Galaxy Adventure")</f>
        <v>Galaxy Adventure</v>
      </c>
    </row>
    <row r="4866">
      <c r="A4866" s="3" t="str">
        <f>IFERROR(__xludf.DUMMYFUNCTION("""COMPUTED_VALUE"""),"galaxy-arena")</f>
        <v>galaxy-arena</v>
      </c>
      <c r="B4866" s="3" t="str">
        <f>IFERROR(__xludf.DUMMYFUNCTION("""COMPUTED_VALUE"""),"esnc")</f>
        <v>esnc</v>
      </c>
      <c r="C4866" s="3" t="str">
        <f>IFERROR(__xludf.DUMMYFUNCTION("""COMPUTED_VALUE"""),"Galaxy Arena Metaverse")</f>
        <v>Galaxy Arena Metaverse</v>
      </c>
    </row>
    <row r="4867">
      <c r="A4867" s="3" t="str">
        <f>IFERROR(__xludf.DUMMYFUNCTION("""COMPUTED_VALUE"""),"galaxy-blitz")</f>
        <v>galaxy-blitz</v>
      </c>
      <c r="B4867" s="3" t="str">
        <f>IFERROR(__xludf.DUMMYFUNCTION("""COMPUTED_VALUE"""),"mit")</f>
        <v>mit</v>
      </c>
      <c r="C4867" s="3" t="str">
        <f>IFERROR(__xludf.DUMMYFUNCTION("""COMPUTED_VALUE"""),"Galaxy Blitz")</f>
        <v>Galaxy Blitz</v>
      </c>
    </row>
    <row r="4868">
      <c r="A4868" s="3" t="str">
        <f>IFERROR(__xludf.DUMMYFUNCTION("""COMPUTED_VALUE"""),"galaxybusd")</f>
        <v>galaxybusd</v>
      </c>
      <c r="B4868" s="3" t="str">
        <f>IFERROR(__xludf.DUMMYFUNCTION("""COMPUTED_VALUE"""),"galaxy")</f>
        <v>galaxy</v>
      </c>
      <c r="C4868" s="3" t="str">
        <f>IFERROR(__xludf.DUMMYFUNCTION("""COMPUTED_VALUE"""),"GalaxyBUSD")</f>
        <v>GalaxyBUSD</v>
      </c>
    </row>
    <row r="4869">
      <c r="A4869" s="3" t="str">
        <f>IFERROR(__xludf.DUMMYFUNCTION("""COMPUTED_VALUE"""),"galaxycoin")</f>
        <v>galaxycoin</v>
      </c>
      <c r="B4869" s="3" t="str">
        <f>IFERROR(__xludf.DUMMYFUNCTION("""COMPUTED_VALUE"""),"galaxy")</f>
        <v>galaxy</v>
      </c>
      <c r="C4869" s="3" t="str">
        <f>IFERROR(__xludf.DUMMYFUNCTION("""COMPUTED_VALUE"""),"GalaxyCoin")</f>
        <v>GalaxyCoin</v>
      </c>
    </row>
    <row r="4870">
      <c r="A4870" s="3" t="str">
        <f>IFERROR(__xludf.DUMMYFUNCTION("""COMPUTED_VALUE"""),"galaxy-coin")</f>
        <v>galaxy-coin</v>
      </c>
      <c r="B4870" s="3" t="str">
        <f>IFERROR(__xludf.DUMMYFUNCTION("""COMPUTED_VALUE"""),"glxc")</f>
        <v>glxc</v>
      </c>
      <c r="C4870" s="3" t="str">
        <f>IFERROR(__xludf.DUMMYFUNCTION("""COMPUTED_VALUE"""),"Galaxy Coin")</f>
        <v>Galaxy Coin</v>
      </c>
    </row>
    <row r="4871">
      <c r="A4871" s="3" t="str">
        <f>IFERROR(__xludf.DUMMYFUNCTION("""COMPUTED_VALUE"""),"galaxy-doge")</f>
        <v>galaxy-doge</v>
      </c>
      <c r="B4871" s="3" t="str">
        <f>IFERROR(__xludf.DUMMYFUNCTION("""COMPUTED_VALUE"""),"galaxydoge")</f>
        <v>galaxydoge</v>
      </c>
      <c r="C4871" s="3" t="str">
        <f>IFERROR(__xludf.DUMMYFUNCTION("""COMPUTED_VALUE"""),"Galaxy Doge")</f>
        <v>Galaxy Doge</v>
      </c>
    </row>
    <row r="4872">
      <c r="A4872" s="3" t="str">
        <f>IFERROR(__xludf.DUMMYFUNCTION("""COMPUTED_VALUE"""),"galaxy-essential")</f>
        <v>galaxy-essential</v>
      </c>
      <c r="B4872" s="3" t="str">
        <f>IFERROR(__xludf.DUMMYFUNCTION("""COMPUTED_VALUE"""),"gxe")</f>
        <v>gxe</v>
      </c>
      <c r="C4872" s="3" t="str">
        <f>IFERROR(__xludf.DUMMYFUNCTION("""COMPUTED_VALUE"""),"Galaxy Essential")</f>
        <v>Galaxy Essential</v>
      </c>
    </row>
    <row r="4873">
      <c r="A4873" s="3" t="str">
        <f>IFERROR(__xludf.DUMMYFUNCTION("""COMPUTED_VALUE"""),"galaxy-fight-club")</f>
        <v>galaxy-fight-club</v>
      </c>
      <c r="B4873" s="3" t="str">
        <f>IFERROR(__xludf.DUMMYFUNCTION("""COMPUTED_VALUE"""),"gcoin")</f>
        <v>gcoin</v>
      </c>
      <c r="C4873" s="3" t="str">
        <f>IFERROR(__xludf.DUMMYFUNCTION("""COMPUTED_VALUE"""),"Galaxy Fight Club")</f>
        <v>Galaxy Fight Club</v>
      </c>
    </row>
    <row r="4874">
      <c r="A4874" s="3" t="str">
        <f>IFERROR(__xludf.DUMMYFUNCTION("""COMPUTED_VALUE"""),"galaxy-finance")</f>
        <v>galaxy-finance</v>
      </c>
      <c r="B4874" s="3" t="str">
        <f>IFERROR(__xludf.DUMMYFUNCTION("""COMPUTED_VALUE"""),"gft")</f>
        <v>gft</v>
      </c>
      <c r="C4874" s="3" t="str">
        <f>IFERROR(__xludf.DUMMYFUNCTION("""COMPUTED_VALUE"""),"Galaxy Finance")</f>
        <v>Galaxy Finance</v>
      </c>
    </row>
    <row r="4875">
      <c r="A4875" s="3" t="str">
        <f>IFERROR(__xludf.DUMMYFUNCTION("""COMPUTED_VALUE"""),"galaxy-heroes")</f>
        <v>galaxy-heroes</v>
      </c>
      <c r="B4875" s="3" t="str">
        <f>IFERROR(__xludf.DUMMYFUNCTION("""COMPUTED_VALUE"""),"ghc")</f>
        <v>ghc</v>
      </c>
      <c r="C4875" s="3" t="str">
        <f>IFERROR(__xludf.DUMMYFUNCTION("""COMPUTED_VALUE"""),"Galaxy Heroes")</f>
        <v>Galaxy Heroes</v>
      </c>
    </row>
    <row r="4876">
      <c r="A4876" s="3" t="str">
        <f>IFERROR(__xludf.DUMMYFUNCTION("""COMPUTED_VALUE"""),"galaxy-heroes-coin")</f>
        <v>galaxy-heroes-coin</v>
      </c>
      <c r="B4876" s="3" t="str">
        <f>IFERROR(__xludf.DUMMYFUNCTION("""COMPUTED_VALUE"""),"ghc")</f>
        <v>ghc</v>
      </c>
      <c r="C4876" s="3" t="str">
        <f>IFERROR(__xludf.DUMMYFUNCTION("""COMPUTED_VALUE"""),"Galaxy Heroes Coin [OLD]")</f>
        <v>Galaxy Heroes Coin [OLD]</v>
      </c>
    </row>
    <row r="4877">
      <c r="A4877" s="3" t="str">
        <f>IFERROR(__xludf.DUMMYFUNCTION("""COMPUTED_VALUE"""),"galaxy-network")</f>
        <v>galaxy-network</v>
      </c>
      <c r="B4877" s="3" t="str">
        <f>IFERROR(__xludf.DUMMYFUNCTION("""COMPUTED_VALUE"""),"gnc")</f>
        <v>gnc</v>
      </c>
      <c r="C4877" s="3" t="str">
        <f>IFERROR(__xludf.DUMMYFUNCTION("""COMPUTED_VALUE"""),"Galaxy Network")</f>
        <v>Galaxy Network</v>
      </c>
    </row>
    <row r="4878">
      <c r="A4878" s="3" t="str">
        <f>IFERROR(__xludf.DUMMYFUNCTION("""COMPUTED_VALUE"""),"galaxy-surge")</f>
        <v>galaxy-surge</v>
      </c>
      <c r="B4878" s="3" t="str">
        <f>IFERROR(__xludf.DUMMYFUNCTION("""COMPUTED_VALUE"""),"gals")</f>
        <v>gals</v>
      </c>
      <c r="C4878" s="3" t="str">
        <f>IFERROR(__xludf.DUMMYFUNCTION("""COMPUTED_VALUE"""),"Galaxy Surge")</f>
        <v>Galaxy Surge</v>
      </c>
    </row>
    <row r="4879">
      <c r="A4879" s="3" t="str">
        <f>IFERROR(__xludf.DUMMYFUNCTION("""COMPUTED_VALUE"""),"galaxy-war")</f>
        <v>galaxy-war</v>
      </c>
      <c r="B4879" s="3" t="str">
        <f>IFERROR(__xludf.DUMMYFUNCTION("""COMPUTED_VALUE"""),"gwt")</f>
        <v>gwt</v>
      </c>
      <c r="C4879" s="3" t="str">
        <f>IFERROR(__xludf.DUMMYFUNCTION("""COMPUTED_VALUE"""),"Galaxy War")</f>
        <v>Galaxy War</v>
      </c>
    </row>
    <row r="4880">
      <c r="A4880" s="3" t="str">
        <f>IFERROR(__xludf.DUMMYFUNCTION("""COMPUTED_VALUE"""),"gale-network")</f>
        <v>gale-network</v>
      </c>
      <c r="B4880" s="3" t="str">
        <f>IFERROR(__xludf.DUMMYFUNCTION("""COMPUTED_VALUE"""),"gale")</f>
        <v>gale</v>
      </c>
      <c r="C4880" s="3" t="str">
        <f>IFERROR(__xludf.DUMMYFUNCTION("""COMPUTED_VALUE"""),"Gale Network")</f>
        <v>Gale Network</v>
      </c>
    </row>
    <row r="4881">
      <c r="A4881" s="3" t="str">
        <f>IFERROR(__xludf.DUMMYFUNCTION("""COMPUTED_VALUE"""),"galeon")</f>
        <v>galeon</v>
      </c>
      <c r="B4881" s="3" t="str">
        <f>IFERROR(__xludf.DUMMYFUNCTION("""COMPUTED_VALUE"""),"galeon")</f>
        <v>galeon</v>
      </c>
      <c r="C4881" s="3" t="str">
        <f>IFERROR(__xludf.DUMMYFUNCTION("""COMPUTED_VALUE"""),"Galeon")</f>
        <v>Galeon</v>
      </c>
    </row>
    <row r="4882">
      <c r="A4882" s="3" t="str">
        <f>IFERROR(__xludf.DUMMYFUNCTION("""COMPUTED_VALUE"""),"galileo")</f>
        <v>galileo</v>
      </c>
      <c r="B4882" s="3" t="str">
        <f>IFERROR(__xludf.DUMMYFUNCTION("""COMPUTED_VALUE"""),"gali")</f>
        <v>gali</v>
      </c>
      <c r="C4882" s="3" t="str">
        <f>IFERROR(__xludf.DUMMYFUNCTION("""COMPUTED_VALUE"""),"Galileo")</f>
        <v>Galileo</v>
      </c>
    </row>
    <row r="4883">
      <c r="A4883" s="3" t="str">
        <f>IFERROR(__xludf.DUMMYFUNCTION("""COMPUTED_VALUE"""),"galileo-protocol")</f>
        <v>galileo-protocol</v>
      </c>
      <c r="B4883" s="3" t="str">
        <f>IFERROR(__xludf.DUMMYFUNCTION("""COMPUTED_VALUE"""),"leox")</f>
        <v>leox</v>
      </c>
      <c r="C4883" s="3" t="str">
        <f>IFERROR(__xludf.DUMMYFUNCTION("""COMPUTED_VALUE"""),"Galileo Protocol")</f>
        <v>Galileo Protocol</v>
      </c>
    </row>
    <row r="4884">
      <c r="A4884" s="3" t="str">
        <f>IFERROR(__xludf.DUMMYFUNCTION("""COMPUTED_VALUE"""),"gallant")</f>
        <v>gallant</v>
      </c>
      <c r="B4884" s="3" t="str">
        <f>IFERROR(__xludf.DUMMYFUNCTION("""COMPUTED_VALUE"""),"gal")</f>
        <v>gal</v>
      </c>
      <c r="C4884" s="3" t="str">
        <f>IFERROR(__xludf.DUMMYFUNCTION("""COMPUTED_VALUE"""),"Gallant")</f>
        <v>Gallant</v>
      </c>
    </row>
    <row r="4885">
      <c r="A4885" s="3" t="str">
        <f>IFERROR(__xludf.DUMMYFUNCTION("""COMPUTED_VALUE"""),"gamb")</f>
        <v>gamb</v>
      </c>
      <c r="B4885" s="3" t="str">
        <f>IFERROR(__xludf.DUMMYFUNCTION("""COMPUTED_VALUE"""),"gmb")</f>
        <v>gmb</v>
      </c>
      <c r="C4885" s="3" t="str">
        <f>IFERROR(__xludf.DUMMYFUNCTION("""COMPUTED_VALUE"""),"GAMB")</f>
        <v>GAMB</v>
      </c>
    </row>
    <row r="4886">
      <c r="A4886" s="3" t="str">
        <f>IFERROR(__xludf.DUMMYFUNCTION("""COMPUTED_VALUE"""),"gambit-coin")</f>
        <v>gambit-coin</v>
      </c>
      <c r="B4886" s="3" t="str">
        <f>IFERROR(__xludf.DUMMYFUNCTION("""COMPUTED_VALUE"""),"gmbt")</f>
        <v>gmbt</v>
      </c>
      <c r="C4886" s="3" t="str">
        <f>IFERROR(__xludf.DUMMYFUNCTION("""COMPUTED_VALUE"""),"Gambit Coin")</f>
        <v>Gambit Coin</v>
      </c>
    </row>
    <row r="4887">
      <c r="A4887" s="3" t="str">
        <f>IFERROR(__xludf.DUMMYFUNCTION("""COMPUTED_VALUE"""),"gambler-shiba")</f>
        <v>gambler-shiba</v>
      </c>
      <c r="B4887" s="3" t="str">
        <f>IFERROR(__xludf.DUMMYFUNCTION("""COMPUTED_VALUE"""),"gshiba")</f>
        <v>gshiba</v>
      </c>
      <c r="C4887" s="3" t="str">
        <f>IFERROR(__xludf.DUMMYFUNCTION("""COMPUTED_VALUE"""),"Gambler Shiba")</f>
        <v>Gambler Shiba</v>
      </c>
    </row>
    <row r="4888">
      <c r="A4888" s="3" t="str">
        <f>IFERROR(__xludf.DUMMYFUNCTION("""COMPUTED_VALUE"""),"game")</f>
        <v>game</v>
      </c>
      <c r="B4888" s="3" t="str">
        <f>IFERROR(__xludf.DUMMYFUNCTION("""COMPUTED_VALUE"""),"gtc")</f>
        <v>gtc</v>
      </c>
      <c r="C4888" s="3" t="str">
        <f>IFERROR(__xludf.DUMMYFUNCTION("""COMPUTED_VALUE"""),"Game")</f>
        <v>Game</v>
      </c>
    </row>
    <row r="4889">
      <c r="A4889" s="3" t="str">
        <f>IFERROR(__xludf.DUMMYFUNCTION("""COMPUTED_VALUE"""),"game-ace-token")</f>
        <v>game-ace-token</v>
      </c>
      <c r="B4889" s="3" t="str">
        <f>IFERROR(__xludf.DUMMYFUNCTION("""COMPUTED_VALUE"""),"gat")</f>
        <v>gat</v>
      </c>
      <c r="C4889" s="3" t="str">
        <f>IFERROR(__xludf.DUMMYFUNCTION("""COMPUTED_VALUE"""),"Game Ace")</f>
        <v>Game Ace</v>
      </c>
    </row>
    <row r="4890">
      <c r="A4890" s="3" t="str">
        <f>IFERROR(__xludf.DUMMYFUNCTION("""COMPUTED_VALUE"""),"gameantz")</f>
        <v>gameantz</v>
      </c>
      <c r="B4890" s="3" t="str">
        <f>IFERROR(__xludf.DUMMYFUNCTION("""COMPUTED_VALUE"""),"antz")</f>
        <v>antz</v>
      </c>
      <c r="C4890" s="3" t="str">
        <f>IFERROR(__xludf.DUMMYFUNCTION("""COMPUTED_VALUE"""),"GameAntz")</f>
        <v>GameAntz</v>
      </c>
    </row>
    <row r="4891">
      <c r="A4891" s="3" t="str">
        <f>IFERROR(__xludf.DUMMYFUNCTION("""COMPUTED_VALUE"""),"gamebox")</f>
        <v>gamebox</v>
      </c>
      <c r="B4891" s="3" t="str">
        <f>IFERROR(__xludf.DUMMYFUNCTION("""COMPUTED_VALUE"""),"gamebox")</f>
        <v>gamebox</v>
      </c>
      <c r="C4891" s="3" t="str">
        <f>IFERROR(__xludf.DUMMYFUNCTION("""COMPUTED_VALUE"""),"Gamebox")</f>
        <v>Gamebox</v>
      </c>
    </row>
    <row r="4892">
      <c r="A4892" s="3" t="str">
        <f>IFERROR(__xludf.DUMMYFUNCTION("""COMPUTED_VALUE"""),"game-city")</f>
        <v>game-city</v>
      </c>
      <c r="B4892" s="3" t="str">
        <f>IFERROR(__xludf.DUMMYFUNCTION("""COMPUTED_VALUE"""),"gmci")</f>
        <v>gmci</v>
      </c>
      <c r="C4892" s="3" t="str">
        <f>IFERROR(__xludf.DUMMYFUNCTION("""COMPUTED_VALUE"""),"Game City")</f>
        <v>Game City</v>
      </c>
    </row>
    <row r="4893">
      <c r="A4893" s="3" t="str">
        <f>IFERROR(__xludf.DUMMYFUNCTION("""COMPUTED_VALUE"""),"game-coin")</f>
        <v>game-coin</v>
      </c>
      <c r="B4893" s="3" t="str">
        <f>IFERROR(__xludf.DUMMYFUNCTION("""COMPUTED_VALUE"""),"gmex")</f>
        <v>gmex</v>
      </c>
      <c r="C4893" s="3" t="str">
        <f>IFERROR(__xludf.DUMMYFUNCTION("""COMPUTED_VALUE"""),"Game Coin")</f>
        <v>Game Coin</v>
      </c>
    </row>
    <row r="4894">
      <c r="A4894" s="3" t="str">
        <f>IFERROR(__xludf.DUMMYFUNCTION("""COMPUTED_VALUE"""),"gamecredits")</f>
        <v>gamecredits</v>
      </c>
      <c r="B4894" s="3" t="str">
        <f>IFERROR(__xludf.DUMMYFUNCTION("""COMPUTED_VALUE"""),"game")</f>
        <v>game</v>
      </c>
      <c r="C4894" s="3" t="str">
        <f>IFERROR(__xludf.DUMMYFUNCTION("""COMPUTED_VALUE"""),"GameCredits")</f>
        <v>GameCredits</v>
      </c>
    </row>
    <row r="4895">
      <c r="A4895" s="3" t="str">
        <f>IFERROR(__xludf.DUMMYFUNCTION("""COMPUTED_VALUE"""),"gamedao")</f>
        <v>gamedao</v>
      </c>
      <c r="B4895" s="3" t="str">
        <f>IFERROR(__xludf.DUMMYFUNCTION("""COMPUTED_VALUE"""),"dao")</f>
        <v>dao</v>
      </c>
      <c r="C4895" s="3" t="str">
        <f>IFERROR(__xludf.DUMMYFUNCTION("""COMPUTED_VALUE"""),"GameDAO")</f>
        <v>GameDAO</v>
      </c>
    </row>
    <row r="4896">
      <c r="A4896" s="3" t="str">
        <f>IFERROR(__xludf.DUMMYFUNCTION("""COMPUTED_VALUE"""),"gamee")</f>
        <v>gamee</v>
      </c>
      <c r="B4896" s="3" t="str">
        <f>IFERROR(__xludf.DUMMYFUNCTION("""COMPUTED_VALUE"""),"gmee")</f>
        <v>gmee</v>
      </c>
      <c r="C4896" s="3" t="str">
        <f>IFERROR(__xludf.DUMMYFUNCTION("""COMPUTED_VALUE"""),"GAMEE")</f>
        <v>GAMEE</v>
      </c>
    </row>
    <row r="4897">
      <c r="A4897" s="3" t="str">
        <f>IFERROR(__xludf.DUMMYFUNCTION("""COMPUTED_VALUE"""),"gamefantasystar")</f>
        <v>gamefantasystar</v>
      </c>
      <c r="B4897" s="3" t="str">
        <f>IFERROR(__xludf.DUMMYFUNCTION("""COMPUTED_VALUE"""),"gfs")</f>
        <v>gfs</v>
      </c>
      <c r="C4897" s="3" t="str">
        <f>IFERROR(__xludf.DUMMYFUNCTION("""COMPUTED_VALUE"""),"GameFantasyStar")</f>
        <v>GameFantasyStar</v>
      </c>
    </row>
    <row r="4898">
      <c r="A4898" s="3" t="str">
        <f>IFERROR(__xludf.DUMMYFUNCTION("""COMPUTED_VALUE"""),"game-fantasy-token")</f>
        <v>game-fantasy-token</v>
      </c>
      <c r="B4898" s="3" t="str">
        <f>IFERROR(__xludf.DUMMYFUNCTION("""COMPUTED_VALUE"""),"gft")</f>
        <v>gft</v>
      </c>
      <c r="C4898" s="3" t="str">
        <f>IFERROR(__xludf.DUMMYFUNCTION("""COMPUTED_VALUE"""),"Game Fantasy")</f>
        <v>Game Fantasy</v>
      </c>
    </row>
    <row r="4899">
      <c r="A4899" s="3" t="str">
        <f>IFERROR(__xludf.DUMMYFUNCTION("""COMPUTED_VALUE"""),"game-federation")</f>
        <v>game-federation</v>
      </c>
      <c r="B4899" s="3" t="str">
        <f>IFERROR(__xludf.DUMMYFUNCTION("""COMPUTED_VALUE"""),"gft")</f>
        <v>gft</v>
      </c>
      <c r="C4899" s="3" t="str">
        <f>IFERROR(__xludf.DUMMYFUNCTION("""COMPUTED_VALUE"""),"Game Federation")</f>
        <v>Game Federation</v>
      </c>
    </row>
    <row r="4900">
      <c r="A4900" s="3" t="str">
        <f>IFERROR(__xludf.DUMMYFUNCTION("""COMPUTED_VALUE"""),"gamefi")</f>
        <v>gamefi</v>
      </c>
      <c r="B4900" s="3" t="str">
        <f>IFERROR(__xludf.DUMMYFUNCTION("""COMPUTED_VALUE"""),"gafi")</f>
        <v>gafi</v>
      </c>
      <c r="C4900" s="3" t="str">
        <f>IFERROR(__xludf.DUMMYFUNCTION("""COMPUTED_VALUE"""),"GameFi")</f>
        <v>GameFi</v>
      </c>
    </row>
    <row r="4901">
      <c r="A4901" s="3" t="str">
        <f>IFERROR(__xludf.DUMMYFUNCTION("""COMPUTED_VALUE"""),"gamefi-token")</f>
        <v>gamefi-token</v>
      </c>
      <c r="B4901" s="3" t="str">
        <f>IFERROR(__xludf.DUMMYFUNCTION("""COMPUTED_VALUE"""),"gfi")</f>
        <v>gfi</v>
      </c>
      <c r="C4901" s="3" t="str">
        <f>IFERROR(__xludf.DUMMYFUNCTION("""COMPUTED_VALUE"""),"GameFi Protocol")</f>
        <v>GameFi Protocol</v>
      </c>
    </row>
    <row r="4902">
      <c r="A4902" s="3" t="str">
        <f>IFERROR(__xludf.DUMMYFUNCTION("""COMPUTED_VALUE"""),"gameflip")</f>
        <v>gameflip</v>
      </c>
      <c r="B4902" s="3" t="str">
        <f>IFERROR(__xludf.DUMMYFUNCTION("""COMPUTED_VALUE"""),"flp")</f>
        <v>flp</v>
      </c>
      <c r="C4902" s="3" t="str">
        <f>IFERROR(__xludf.DUMMYFUNCTION("""COMPUTED_VALUE"""),"Gameflip")</f>
        <v>Gameflip</v>
      </c>
    </row>
    <row r="4903">
      <c r="A4903" s="3" t="str">
        <f>IFERROR(__xludf.DUMMYFUNCTION("""COMPUTED_VALUE"""),"game-gold-token")</f>
        <v>game-gold-token</v>
      </c>
      <c r="B4903" s="3" t="str">
        <f>IFERROR(__xludf.DUMMYFUNCTION("""COMPUTED_VALUE"""),"ggt")</f>
        <v>ggt</v>
      </c>
      <c r="C4903" s="3" t="str">
        <f>IFERROR(__xludf.DUMMYFUNCTION("""COMPUTED_VALUE"""),"Game Gold Token")</f>
        <v>Game Gold Token</v>
      </c>
    </row>
    <row r="4904">
      <c r="A4904" s="3" t="str">
        <f>IFERROR(__xludf.DUMMYFUNCTION("""COMPUTED_VALUE"""),"gameguru")</f>
        <v>gameguru</v>
      </c>
      <c r="B4904" s="3" t="str">
        <f>IFERROR(__xludf.DUMMYFUNCTION("""COMPUTED_VALUE"""),"ggt")</f>
        <v>ggt</v>
      </c>
      <c r="C4904" s="3" t="str">
        <f>IFERROR(__xludf.DUMMYFUNCTION("""COMPUTED_VALUE"""),"GameGuru")</f>
        <v>GameGuru</v>
      </c>
    </row>
    <row r="4905">
      <c r="A4905" s="3" t="str">
        <f>IFERROR(__xludf.DUMMYFUNCTION("""COMPUTED_VALUE"""),"gamenft")</f>
        <v>gamenft</v>
      </c>
      <c r="B4905" s="3" t="str">
        <f>IFERROR(__xludf.DUMMYFUNCTION("""COMPUTED_VALUE"""),"gnft")</f>
        <v>gnft</v>
      </c>
      <c r="C4905" s="3" t="str">
        <f>IFERROR(__xludf.DUMMYFUNCTION("""COMPUTED_VALUE"""),"GameNFT")</f>
        <v>GameNFT</v>
      </c>
    </row>
    <row r="4906">
      <c r="A4906" s="3" t="str">
        <f>IFERROR(__xludf.DUMMYFUNCTION("""COMPUTED_VALUE"""),"game-of-dragons")</f>
        <v>game-of-dragons</v>
      </c>
      <c r="B4906" s="3" t="str">
        <f>IFERROR(__xludf.DUMMYFUNCTION("""COMPUTED_VALUE"""),"god")</f>
        <v>god</v>
      </c>
      <c r="C4906" s="3" t="str">
        <f>IFERROR(__xludf.DUMMYFUNCTION("""COMPUTED_VALUE"""),"Game of Dragons")</f>
        <v>Game of Dragons</v>
      </c>
    </row>
    <row r="4907">
      <c r="A4907" s="3" t="str">
        <f>IFERROR(__xludf.DUMMYFUNCTION("""COMPUTED_VALUE"""),"gameology")</f>
        <v>gameology</v>
      </c>
      <c r="B4907" s="3" t="str">
        <f>IFERROR(__xludf.DUMMYFUNCTION("""COMPUTED_VALUE"""),"gmy")</f>
        <v>gmy</v>
      </c>
      <c r="C4907" s="3" t="str">
        <f>IFERROR(__xludf.DUMMYFUNCTION("""COMPUTED_VALUE"""),"Gameology")</f>
        <v>Gameology</v>
      </c>
    </row>
    <row r="4908">
      <c r="A4908" s="3" t="str">
        <f>IFERROR(__xludf.DUMMYFUNCTION("""COMPUTED_VALUE"""),"gamer")</f>
        <v>gamer</v>
      </c>
      <c r="B4908" s="3" t="str">
        <f>IFERROR(__xludf.DUMMYFUNCTION("""COMPUTED_VALUE"""),"gmr")</f>
        <v>gmr</v>
      </c>
      <c r="C4908" s="3" t="str">
        <f>IFERROR(__xludf.DUMMYFUNCTION("""COMPUTED_VALUE"""),"GAMER")</f>
        <v>GAMER</v>
      </c>
    </row>
    <row r="4909">
      <c r="A4909" s="3" t="str">
        <f>IFERROR(__xludf.DUMMYFUNCTION("""COMPUTED_VALUE"""),"gamer-arena")</f>
        <v>gamer-arena</v>
      </c>
      <c r="B4909" s="3" t="str">
        <f>IFERROR(__xludf.DUMMYFUNCTION("""COMPUTED_VALUE"""),"gau")</f>
        <v>gau</v>
      </c>
      <c r="C4909" s="3" t="str">
        <f>IFERROR(__xludf.DUMMYFUNCTION("""COMPUTED_VALUE"""),"Gamer Arena")</f>
        <v>Gamer Arena</v>
      </c>
    </row>
    <row r="4910">
      <c r="A4910" s="3" t="str">
        <f>IFERROR(__xludf.DUMMYFUNCTION("""COMPUTED_VALUE"""),"gamercoin")</f>
        <v>gamercoin</v>
      </c>
      <c r="B4910" s="3" t="str">
        <f>IFERROR(__xludf.DUMMYFUNCTION("""COMPUTED_VALUE"""),"ghx")</f>
        <v>ghx</v>
      </c>
      <c r="C4910" s="3" t="str">
        <f>IFERROR(__xludf.DUMMYFUNCTION("""COMPUTED_VALUE"""),"GamerCoin")</f>
        <v>GamerCoin</v>
      </c>
    </row>
    <row r="4911">
      <c r="A4911" s="3" t="str">
        <f>IFERROR(__xludf.DUMMYFUNCTION("""COMPUTED_VALUE"""),"gamerse")</f>
        <v>gamerse</v>
      </c>
      <c r="B4911" s="3" t="str">
        <f>IFERROR(__xludf.DUMMYFUNCTION("""COMPUTED_VALUE"""),"lfg")</f>
        <v>lfg</v>
      </c>
      <c r="C4911" s="3" t="str">
        <f>IFERROR(__xludf.DUMMYFUNCTION("""COMPUTED_VALUE"""),"Gamerse")</f>
        <v>Gamerse</v>
      </c>
    </row>
    <row r="4912">
      <c r="A4912" s="3" t="str">
        <f>IFERROR(__xludf.DUMMYFUNCTION("""COMPUTED_VALUE"""),"gamesafe")</f>
        <v>gamesafe</v>
      </c>
      <c r="B4912" s="3" t="str">
        <f>IFERROR(__xludf.DUMMYFUNCTION("""COMPUTED_VALUE"""),"gamesafe")</f>
        <v>gamesafe</v>
      </c>
      <c r="C4912" s="3" t="str">
        <f>IFERROR(__xludf.DUMMYFUNCTION("""COMPUTED_VALUE"""),"Gamesafe")</f>
        <v>Gamesafe</v>
      </c>
    </row>
    <row r="4913">
      <c r="A4913" s="3" t="str">
        <f>IFERROR(__xludf.DUMMYFUNCTION("""COMPUTED_VALUE"""),"gamespad")</f>
        <v>gamespad</v>
      </c>
      <c r="B4913" s="3" t="str">
        <f>IFERROR(__xludf.DUMMYFUNCTION("""COMPUTED_VALUE"""),"gmpd")</f>
        <v>gmpd</v>
      </c>
      <c r="C4913" s="3" t="str">
        <f>IFERROR(__xludf.DUMMYFUNCTION("""COMPUTED_VALUE"""),"GamesPad")</f>
        <v>GamesPad</v>
      </c>
    </row>
    <row r="4914">
      <c r="A4914" s="3" t="str">
        <f>IFERROR(__xludf.DUMMYFUNCTION("""COMPUTED_VALUE"""),"gamesta")</f>
        <v>gamesta</v>
      </c>
      <c r="B4914" s="3" t="str">
        <f>IFERROR(__xludf.DUMMYFUNCTION("""COMPUTED_VALUE"""),"gsg")</f>
        <v>gsg</v>
      </c>
      <c r="C4914" s="3" t="str">
        <f>IFERROR(__xludf.DUMMYFUNCTION("""COMPUTED_VALUE"""),"Gamesta")</f>
        <v>Gamesta</v>
      </c>
    </row>
    <row r="4915">
      <c r="A4915" s="3" t="str">
        <f>IFERROR(__xludf.DUMMYFUNCTION("""COMPUTED_VALUE"""),"game-stake")</f>
        <v>game-stake</v>
      </c>
      <c r="B4915" s="3" t="str">
        <f>IFERROR(__xludf.DUMMYFUNCTION("""COMPUTED_VALUE"""),"gsk")</f>
        <v>gsk</v>
      </c>
      <c r="C4915" s="3" t="str">
        <f>IFERROR(__xludf.DUMMYFUNCTION("""COMPUTED_VALUE"""),"Game Stake")</f>
        <v>Game Stake</v>
      </c>
    </row>
    <row r="4916">
      <c r="A4916" s="3" t="str">
        <f>IFERROR(__xludf.DUMMYFUNCTION("""COMPUTED_VALUE"""),"gamestar-exchange")</f>
        <v>gamestar-exchange</v>
      </c>
      <c r="B4916" s="3" t="str">
        <f>IFERROR(__xludf.DUMMYFUNCTION("""COMPUTED_VALUE"""),"gms")</f>
        <v>gms</v>
      </c>
      <c r="C4916" s="3" t="str">
        <f>IFERROR(__xludf.DUMMYFUNCTION("""COMPUTED_VALUE"""),"GameStar")</f>
        <v>GameStar</v>
      </c>
    </row>
    <row r="4917">
      <c r="A4917" s="3" t="str">
        <f>IFERROR(__xludf.DUMMYFUNCTION("""COMPUTED_VALUE"""),"gamestarplus")</f>
        <v>gamestarplus</v>
      </c>
      <c r="B4917" s="3" t="str">
        <f>IFERROR(__xludf.DUMMYFUNCTION("""COMPUTED_VALUE"""),"gstar")</f>
        <v>gstar</v>
      </c>
      <c r="C4917" s="3" t="str">
        <f>IFERROR(__xludf.DUMMYFUNCTION("""COMPUTED_VALUE"""),"GameStarPlus")</f>
        <v>GameStarPlus</v>
      </c>
    </row>
    <row r="4918">
      <c r="A4918" s="3" t="str">
        <f>IFERROR(__xludf.DUMMYFUNCTION("""COMPUTED_VALUE"""),"game-stars")</f>
        <v>game-stars</v>
      </c>
      <c r="B4918" s="3" t="str">
        <f>IFERROR(__xludf.DUMMYFUNCTION("""COMPUTED_VALUE"""),"gst")</f>
        <v>gst</v>
      </c>
      <c r="C4918" s="3" t="str">
        <f>IFERROR(__xludf.DUMMYFUNCTION("""COMPUTED_VALUE"""),"Game Stars")</f>
        <v>Game Stars</v>
      </c>
    </row>
    <row r="4919">
      <c r="A4919" s="3" t="str">
        <f>IFERROR(__xludf.DUMMYFUNCTION("""COMPUTED_VALUE"""),"gamestarter")</f>
        <v>gamestarter</v>
      </c>
      <c r="B4919" s="3" t="str">
        <f>IFERROR(__xludf.DUMMYFUNCTION("""COMPUTED_VALUE"""),"game")</f>
        <v>game</v>
      </c>
      <c r="C4919" s="3" t="str">
        <f>IFERROR(__xludf.DUMMYFUNCTION("""COMPUTED_VALUE"""),"Gamestarter")</f>
        <v>Gamestarter</v>
      </c>
    </row>
    <row r="4920">
      <c r="A4920" s="3" t="str">
        <f>IFERROR(__xludf.DUMMYFUNCTION("""COMPUTED_VALUE"""),"gamestation")</f>
        <v>gamestation</v>
      </c>
      <c r="B4920" s="3" t="str">
        <f>IFERROR(__xludf.DUMMYFUNCTION("""COMPUTED_VALUE"""),"gamer")</f>
        <v>gamer</v>
      </c>
      <c r="C4920" s="3" t="str">
        <f>IFERROR(__xludf.DUMMYFUNCTION("""COMPUTED_VALUE"""),"GameStation")</f>
        <v>GameStation</v>
      </c>
    </row>
    <row r="4921">
      <c r="A4921" s="3" t="str">
        <f>IFERROR(__xludf.DUMMYFUNCTION("""COMPUTED_VALUE"""),"gamestop-finance")</f>
        <v>gamestop-finance</v>
      </c>
      <c r="B4921" s="3" t="str">
        <f>IFERROR(__xludf.DUMMYFUNCTION("""COMPUTED_VALUE"""),"gme")</f>
        <v>gme</v>
      </c>
      <c r="C4921" s="3" t="str">
        <f>IFERROR(__xludf.DUMMYFUNCTION("""COMPUTED_VALUE"""),"GameStop Finance")</f>
        <v>GameStop Finance</v>
      </c>
    </row>
    <row r="4922">
      <c r="A4922" s="3" t="str">
        <f>IFERROR(__xludf.DUMMYFUNCTION("""COMPUTED_VALUE"""),"gamestop-tokenized-stock-defichain")</f>
        <v>gamestop-tokenized-stock-defichain</v>
      </c>
      <c r="B4922" s="3" t="str">
        <f>IFERROR(__xludf.DUMMYFUNCTION("""COMPUTED_VALUE"""),"dgme")</f>
        <v>dgme</v>
      </c>
      <c r="C4922" s="3" t="str">
        <f>IFERROR(__xludf.DUMMYFUNCTION("""COMPUTED_VALUE"""),"GameStop Tokenized Stock Defichain")</f>
        <v>GameStop Tokenized Stock Defichain</v>
      </c>
    </row>
    <row r="4923">
      <c r="A4923" s="3" t="str">
        <f>IFERROR(__xludf.DUMMYFUNCTION("""COMPUTED_VALUE"""),"gameswap-org")</f>
        <v>gameswap-org</v>
      </c>
      <c r="B4923" s="3" t="str">
        <f>IFERROR(__xludf.DUMMYFUNCTION("""COMPUTED_VALUE"""),"gswap")</f>
        <v>gswap</v>
      </c>
      <c r="C4923" s="3" t="str">
        <f>IFERROR(__xludf.DUMMYFUNCTION("""COMPUTED_VALUE"""),"Gameswap")</f>
        <v>Gameswap</v>
      </c>
    </row>
    <row r="4924">
      <c r="A4924" s="3" t="str">
        <f>IFERROR(__xludf.DUMMYFUNCTION("""COMPUTED_VALUE"""),"game-tree")</f>
        <v>game-tree</v>
      </c>
      <c r="B4924" s="3" t="str">
        <f>IFERROR(__xludf.DUMMYFUNCTION("""COMPUTED_VALUE"""),"gtcoin")</f>
        <v>gtcoin</v>
      </c>
      <c r="C4924" s="3" t="str">
        <f>IFERROR(__xludf.DUMMYFUNCTION("""COMPUTED_VALUE"""),"Game Tree")</f>
        <v>Game Tree</v>
      </c>
    </row>
    <row r="4925">
      <c r="A4925" s="3" t="str">
        <f>IFERROR(__xludf.DUMMYFUNCTION("""COMPUTED_VALUE"""),"gameverse")</f>
        <v>gameverse</v>
      </c>
      <c r="B4925" s="3" t="str">
        <f>IFERROR(__xludf.DUMMYFUNCTION("""COMPUTED_VALUE"""),"gmv")</f>
        <v>gmv</v>
      </c>
      <c r="C4925" s="3" t="str">
        <f>IFERROR(__xludf.DUMMYFUNCTION("""COMPUTED_VALUE"""),"GameVerse")</f>
        <v>GameVerse</v>
      </c>
    </row>
    <row r="4926">
      <c r="A4926" s="3" t="str">
        <f>IFERROR(__xludf.DUMMYFUNCTION("""COMPUTED_VALUE"""),"gamex")</f>
        <v>gamex</v>
      </c>
      <c r="B4926" s="3" t="str">
        <f>IFERROR(__xludf.DUMMYFUNCTION("""COMPUTED_VALUE"""),"gmx")</f>
        <v>gmx</v>
      </c>
      <c r="C4926" s="3" t="str">
        <f>IFERROR(__xludf.DUMMYFUNCTION("""COMPUTED_VALUE"""),"GameX")</f>
        <v>GameX</v>
      </c>
    </row>
    <row r="4927">
      <c r="A4927" s="3" t="str">
        <f>IFERROR(__xludf.DUMMYFUNCTION("""COMPUTED_VALUE"""),"game-x-change-potion")</f>
        <v>game-x-change-potion</v>
      </c>
      <c r="B4927" s="3" t="str">
        <f>IFERROR(__xludf.DUMMYFUNCTION("""COMPUTED_VALUE"""),"gxp")</f>
        <v>gxp</v>
      </c>
      <c r="C4927" s="3" t="str">
        <f>IFERROR(__xludf.DUMMYFUNCTION("""COMPUTED_VALUE"""),"Game X Change Potion")</f>
        <v>Game X Change Potion</v>
      </c>
    </row>
    <row r="4928">
      <c r="A4928" s="3" t="str">
        <f>IFERROR(__xludf.DUMMYFUNCTION("""COMPUTED_VALUE"""),"gameyoo")</f>
        <v>gameyoo</v>
      </c>
      <c r="B4928" s="3" t="str">
        <f>IFERROR(__xludf.DUMMYFUNCTION("""COMPUTED_VALUE"""),"gyc")</f>
        <v>gyc</v>
      </c>
      <c r="C4928" s="3" t="str">
        <f>IFERROR(__xludf.DUMMYFUNCTION("""COMPUTED_VALUE"""),"GameYoo")</f>
        <v>GameYoo</v>
      </c>
    </row>
    <row r="4929">
      <c r="A4929" s="3" t="str">
        <f>IFERROR(__xludf.DUMMYFUNCTION("""COMPUTED_VALUE"""),"gamezone")</f>
        <v>gamezone</v>
      </c>
      <c r="B4929" s="3" t="str">
        <f>IFERROR(__xludf.DUMMYFUNCTION("""COMPUTED_VALUE"""),"gzone")</f>
        <v>gzone</v>
      </c>
      <c r="C4929" s="3" t="str">
        <f>IFERROR(__xludf.DUMMYFUNCTION("""COMPUTED_VALUE"""),"GameZone")</f>
        <v>GameZone</v>
      </c>
    </row>
    <row r="4930">
      <c r="A4930" s="3" t="str">
        <f>IFERROR(__xludf.DUMMYFUNCTION("""COMPUTED_VALUE"""),"gami")</f>
        <v>gami</v>
      </c>
      <c r="B4930" s="3" t="str">
        <f>IFERROR(__xludf.DUMMYFUNCTION("""COMPUTED_VALUE"""),"gami")</f>
        <v>gami</v>
      </c>
      <c r="C4930" s="3" t="str">
        <f>IFERROR(__xludf.DUMMYFUNCTION("""COMPUTED_VALUE"""),"Gami")</f>
        <v>Gami</v>
      </c>
    </row>
    <row r="4931">
      <c r="A4931" s="3" t="str">
        <f>IFERROR(__xludf.DUMMYFUNCTION("""COMPUTED_VALUE"""),"gamifi")</f>
        <v>gamifi</v>
      </c>
      <c r="B4931" s="3" t="str">
        <f>IFERROR(__xludf.DUMMYFUNCTION("""COMPUTED_VALUE"""),"gmi")</f>
        <v>gmi</v>
      </c>
      <c r="C4931" s="3" t="str">
        <f>IFERROR(__xludf.DUMMYFUNCTION("""COMPUTED_VALUE"""),"GamiFi")</f>
        <v>GamiFi</v>
      </c>
    </row>
    <row r="4932">
      <c r="A4932" s="3" t="str">
        <f>IFERROR(__xludf.DUMMYFUNCTION("""COMPUTED_VALUE"""),"gaming-doge")</f>
        <v>gaming-doge</v>
      </c>
      <c r="B4932" s="3" t="str">
        <f>IFERROR(__xludf.DUMMYFUNCTION("""COMPUTED_VALUE"""),"gamingdoge")</f>
        <v>gamingdoge</v>
      </c>
      <c r="C4932" s="3" t="str">
        <f>IFERROR(__xludf.DUMMYFUNCTION("""COMPUTED_VALUE"""),"Gaming Doge")</f>
        <v>Gaming Doge</v>
      </c>
    </row>
    <row r="4933">
      <c r="A4933" s="3" t="str">
        <f>IFERROR(__xludf.DUMMYFUNCTION("""COMPUTED_VALUE"""),"gamingshiba")</f>
        <v>gamingshiba</v>
      </c>
      <c r="B4933" s="3" t="str">
        <f>IFERROR(__xludf.DUMMYFUNCTION("""COMPUTED_VALUE"""),"gamingshiba")</f>
        <v>gamingshiba</v>
      </c>
      <c r="C4933" s="3" t="str">
        <f>IFERROR(__xludf.DUMMYFUNCTION("""COMPUTED_VALUE"""),"GamingShiba")</f>
        <v>GamingShiba</v>
      </c>
    </row>
    <row r="4934">
      <c r="A4934" s="3" t="str">
        <f>IFERROR(__xludf.DUMMYFUNCTION("""COMPUTED_VALUE"""),"gaming-stars")</f>
        <v>gaming-stars</v>
      </c>
      <c r="B4934" s="3" t="str">
        <f>IFERROR(__xludf.DUMMYFUNCTION("""COMPUTED_VALUE"""),"games")</f>
        <v>games</v>
      </c>
      <c r="C4934" s="3" t="str">
        <f>IFERROR(__xludf.DUMMYFUNCTION("""COMPUTED_VALUE"""),"Gaming Stars")</f>
        <v>Gaming Stars</v>
      </c>
    </row>
    <row r="4935">
      <c r="A4935" s="3" t="str">
        <f>IFERROR(__xludf.DUMMYFUNCTION("""COMPUTED_VALUE"""),"gamium")</f>
        <v>gamium</v>
      </c>
      <c r="B4935" s="3" t="str">
        <f>IFERROR(__xludf.DUMMYFUNCTION("""COMPUTED_VALUE"""),"gmm")</f>
        <v>gmm</v>
      </c>
      <c r="C4935" s="3" t="str">
        <f>IFERROR(__xludf.DUMMYFUNCTION("""COMPUTED_VALUE"""),"Gamium")</f>
        <v>Gamium</v>
      </c>
    </row>
    <row r="4936">
      <c r="A4936" s="3" t="str">
        <f>IFERROR(__xludf.DUMMYFUNCTION("""COMPUTED_VALUE"""),"gami-world")</f>
        <v>gami-world</v>
      </c>
      <c r="B4936" s="3" t="str">
        <f>IFERROR(__xludf.DUMMYFUNCTION("""COMPUTED_VALUE"""),"gami")</f>
        <v>gami</v>
      </c>
      <c r="C4936" s="3" t="str">
        <f>IFERROR(__xludf.DUMMYFUNCTION("""COMPUTED_VALUE"""),"GAMI World")</f>
        <v>GAMI World</v>
      </c>
    </row>
    <row r="4937">
      <c r="A4937" s="3" t="str">
        <f>IFERROR(__xludf.DUMMYFUNCTION("""COMPUTED_VALUE"""),"gamma")</f>
        <v>gamma</v>
      </c>
      <c r="B4937" s="3" t="str">
        <f>IFERROR(__xludf.DUMMYFUNCTION("""COMPUTED_VALUE"""),"gamma")</f>
        <v>gamma</v>
      </c>
      <c r="C4937" s="3" t="str">
        <f>IFERROR(__xludf.DUMMYFUNCTION("""COMPUTED_VALUE"""),"Gamma")</f>
        <v>Gamma</v>
      </c>
    </row>
    <row r="4938">
      <c r="A4938" s="3" t="str">
        <f>IFERROR(__xludf.DUMMYFUNCTION("""COMPUTED_VALUE"""),"gamma-strategies")</f>
        <v>gamma-strategies</v>
      </c>
      <c r="B4938" s="3" t="str">
        <f>IFERROR(__xludf.DUMMYFUNCTION("""COMPUTED_VALUE"""),"gamma")</f>
        <v>gamma</v>
      </c>
      <c r="C4938" s="3" t="str">
        <f>IFERROR(__xludf.DUMMYFUNCTION("""COMPUTED_VALUE"""),"Gamma Strategies")</f>
        <v>Gamma Strategies</v>
      </c>
    </row>
    <row r="4939">
      <c r="A4939" s="3" t="str">
        <f>IFERROR(__xludf.DUMMYFUNCTION("""COMPUTED_VALUE"""),"gamma-token")</f>
        <v>gamma-token</v>
      </c>
      <c r="B4939" s="3" t="str">
        <f>IFERROR(__xludf.DUMMYFUNCTION("""COMPUTED_VALUE"""),"gam")</f>
        <v>gam</v>
      </c>
      <c r="C4939" s="3" t="str">
        <f>IFERROR(__xludf.DUMMYFUNCTION("""COMPUTED_VALUE"""),"Gamma GAM")</f>
        <v>Gamma GAM</v>
      </c>
    </row>
    <row r="4940">
      <c r="A4940" s="3" t="str">
        <f>IFERROR(__xludf.DUMMYFUNCTION("""COMPUTED_VALUE"""),"gamyfi-token")</f>
        <v>gamyfi-token</v>
      </c>
      <c r="B4940" s="3" t="str">
        <f>IFERROR(__xludf.DUMMYFUNCTION("""COMPUTED_VALUE"""),"gfx")</f>
        <v>gfx</v>
      </c>
      <c r="C4940" s="3" t="str">
        <f>IFERROR(__xludf.DUMMYFUNCTION("""COMPUTED_VALUE"""),"GamyFi")</f>
        <v>GamyFi</v>
      </c>
    </row>
    <row r="4941">
      <c r="A4941" s="3" t="str">
        <f>IFERROR(__xludf.DUMMYFUNCTION("""COMPUTED_VALUE"""),"gandercoin")</f>
        <v>gandercoin</v>
      </c>
      <c r="B4941" s="3" t="str">
        <f>IFERROR(__xludf.DUMMYFUNCTION("""COMPUTED_VALUE"""),"gand")</f>
        <v>gand</v>
      </c>
      <c r="C4941" s="3" t="str">
        <f>IFERROR(__xludf.DUMMYFUNCTION("""COMPUTED_VALUE"""),"GanderCoin")</f>
        <v>GanderCoin</v>
      </c>
    </row>
    <row r="4942">
      <c r="A4942" s="3" t="str">
        <f>IFERROR(__xludf.DUMMYFUNCTION("""COMPUTED_VALUE"""),"gangstabet")</f>
        <v>gangstabet</v>
      </c>
      <c r="B4942" s="3" t="str">
        <f>IFERROR(__xludf.DUMMYFUNCTION("""COMPUTED_VALUE"""),"gbet")</f>
        <v>gbet</v>
      </c>
      <c r="C4942" s="3" t="str">
        <f>IFERROR(__xludf.DUMMYFUNCTION("""COMPUTED_VALUE"""),"GangstaBet")</f>
        <v>GangstaBet</v>
      </c>
    </row>
    <row r="4943">
      <c r="A4943" s="3" t="str">
        <f>IFERROR(__xludf.DUMMYFUNCTION("""COMPUTED_VALUE"""),"gan-punks")</f>
        <v>gan-punks</v>
      </c>
      <c r="B4943" s="3" t="str">
        <f>IFERROR(__xludf.DUMMYFUNCTION("""COMPUTED_VALUE"""),"gpunks20")</f>
        <v>gpunks20</v>
      </c>
      <c r="C4943" s="3" t="str">
        <f>IFERROR(__xludf.DUMMYFUNCTION("""COMPUTED_VALUE"""),"Gan Punks")</f>
        <v>Gan Punks</v>
      </c>
    </row>
    <row r="4944">
      <c r="A4944" s="3" t="str">
        <f>IFERROR(__xludf.DUMMYFUNCTION("""COMPUTED_VALUE"""),"gapcoin")</f>
        <v>gapcoin</v>
      </c>
      <c r="B4944" s="3" t="str">
        <f>IFERROR(__xludf.DUMMYFUNCTION("""COMPUTED_VALUE"""),"gap")</f>
        <v>gap</v>
      </c>
      <c r="C4944" s="3" t="str">
        <f>IFERROR(__xludf.DUMMYFUNCTION("""COMPUTED_VALUE"""),"Gapcoin")</f>
        <v>Gapcoin</v>
      </c>
    </row>
    <row r="4945">
      <c r="A4945" s="3" t="str">
        <f>IFERROR(__xludf.DUMMYFUNCTION("""COMPUTED_VALUE"""),"gard")</f>
        <v>gard</v>
      </c>
      <c r="B4945" s="3" t="str">
        <f>IFERROR(__xludf.DUMMYFUNCTION("""COMPUTED_VALUE"""),"gard")</f>
        <v>gard</v>
      </c>
      <c r="C4945" s="3" t="str">
        <f>IFERROR(__xludf.DUMMYFUNCTION("""COMPUTED_VALUE"""),"GARD")</f>
        <v>GARD</v>
      </c>
    </row>
    <row r="4946">
      <c r="A4946" s="3" t="str">
        <f>IFERROR(__xludf.DUMMYFUNCTION("""COMPUTED_VALUE"""),"gard-governance-token")</f>
        <v>gard-governance-token</v>
      </c>
      <c r="B4946" s="3" t="str">
        <f>IFERROR(__xludf.DUMMYFUNCTION("""COMPUTED_VALUE"""),"ggt")</f>
        <v>ggt</v>
      </c>
      <c r="C4946" s="3" t="str">
        <f>IFERROR(__xludf.DUMMYFUNCTION("""COMPUTED_VALUE"""),"GARD Governance")</f>
        <v>GARD Governance</v>
      </c>
    </row>
    <row r="4947">
      <c r="A4947" s="3" t="str">
        <f>IFERROR(__xludf.DUMMYFUNCTION("""COMPUTED_VALUE"""),"gari-network")</f>
        <v>gari-network</v>
      </c>
      <c r="B4947" s="3" t="str">
        <f>IFERROR(__xludf.DUMMYFUNCTION("""COMPUTED_VALUE"""),"gari")</f>
        <v>gari</v>
      </c>
      <c r="C4947" s="3" t="str">
        <f>IFERROR(__xludf.DUMMYFUNCTION("""COMPUTED_VALUE"""),"Gari Network")</f>
        <v>Gari Network</v>
      </c>
    </row>
    <row r="4948">
      <c r="A4948" s="3" t="str">
        <f>IFERROR(__xludf.DUMMYFUNCTION("""COMPUTED_VALUE"""),"garlic")</f>
        <v>garlic</v>
      </c>
      <c r="B4948" s="3" t="str">
        <f>IFERROR(__xludf.DUMMYFUNCTION("""COMPUTED_VALUE"""),"grlc")</f>
        <v>grlc</v>
      </c>
      <c r="C4948" s="3" t="str">
        <f>IFERROR(__xludf.DUMMYFUNCTION("""COMPUTED_VALUE"""),"Garlic")</f>
        <v>Garlic</v>
      </c>
    </row>
    <row r="4949">
      <c r="A4949" s="3" t="str">
        <f>IFERROR(__xludf.DUMMYFUNCTION("""COMPUTED_VALUE"""),"garlicoin")</f>
        <v>garlicoin</v>
      </c>
      <c r="B4949" s="3" t="str">
        <f>IFERROR(__xludf.DUMMYFUNCTION("""COMPUTED_VALUE"""),"grlc")</f>
        <v>grlc</v>
      </c>
      <c r="C4949" s="3" t="str">
        <f>IFERROR(__xludf.DUMMYFUNCTION("""COMPUTED_VALUE"""),"Garlicoin")</f>
        <v>Garlicoin</v>
      </c>
    </row>
    <row r="4950">
      <c r="A4950" s="3" t="str">
        <f>IFERROR(__xludf.DUMMYFUNCTION("""COMPUTED_VALUE"""),"gary")</f>
        <v>gary</v>
      </c>
      <c r="B4950" s="3" t="str">
        <f>IFERROR(__xludf.DUMMYFUNCTION("""COMPUTED_VALUE"""),"gary")</f>
        <v>gary</v>
      </c>
      <c r="C4950" s="3" t="str">
        <f>IFERROR(__xludf.DUMMYFUNCTION("""COMPUTED_VALUE"""),"Gary")</f>
        <v>Gary</v>
      </c>
    </row>
    <row r="4951">
      <c r="A4951" s="3" t="str">
        <f>IFERROR(__xludf.DUMMYFUNCTION("""COMPUTED_VALUE"""),"gas")</f>
        <v>gas</v>
      </c>
      <c r="B4951" s="3" t="str">
        <f>IFERROR(__xludf.DUMMYFUNCTION("""COMPUTED_VALUE"""),"gas")</f>
        <v>gas</v>
      </c>
      <c r="C4951" s="3" t="str">
        <f>IFERROR(__xludf.DUMMYFUNCTION("""COMPUTED_VALUE"""),"Gas")</f>
        <v>Gas</v>
      </c>
    </row>
    <row r="4952">
      <c r="A4952" s="3" t="str">
        <f>IFERROR(__xludf.DUMMYFUNCTION("""COMPUTED_VALUE"""),"gasblock")</f>
        <v>gasblock</v>
      </c>
      <c r="B4952" s="3" t="str">
        <f>IFERROR(__xludf.DUMMYFUNCTION("""COMPUTED_VALUE"""),"gsbl")</f>
        <v>gsbl</v>
      </c>
      <c r="C4952" s="3" t="str">
        <f>IFERROR(__xludf.DUMMYFUNCTION("""COMPUTED_VALUE"""),"GasBlock")</f>
        <v>GasBlock</v>
      </c>
    </row>
    <row r="4953">
      <c r="A4953" s="3" t="str">
        <f>IFERROR(__xludf.DUMMYFUNCTION("""COMPUTED_VALUE"""),"gas-dao")</f>
        <v>gas-dao</v>
      </c>
      <c r="B4953" s="3" t="str">
        <f>IFERROR(__xludf.DUMMYFUNCTION("""COMPUTED_VALUE"""),"gas")</f>
        <v>gas</v>
      </c>
      <c r="C4953" s="3" t="str">
        <f>IFERROR(__xludf.DUMMYFUNCTION("""COMPUTED_VALUE"""),"Gas DAO")</f>
        <v>Gas DAO</v>
      </c>
    </row>
    <row r="4954">
      <c r="A4954" s="3" t="str">
        <f>IFERROR(__xludf.DUMMYFUNCTION("""COMPUTED_VALUE"""),"gasp")</f>
        <v>gasp</v>
      </c>
      <c r="B4954" s="3" t="str">
        <f>IFERROR(__xludf.DUMMYFUNCTION("""COMPUTED_VALUE"""),"gasp")</f>
        <v>gasp</v>
      </c>
      <c r="C4954" s="3" t="str">
        <f>IFERROR(__xludf.DUMMYFUNCTION("""COMPUTED_VALUE"""),"gAsp")</f>
        <v>gAsp</v>
      </c>
    </row>
    <row r="4955">
      <c r="A4955" s="3" t="str">
        <f>IFERROR(__xludf.DUMMYFUNCTION("""COMPUTED_VALUE"""),"gastoken")</f>
        <v>gastoken</v>
      </c>
      <c r="B4955" s="3" t="str">
        <f>IFERROR(__xludf.DUMMYFUNCTION("""COMPUTED_VALUE"""),"gst2")</f>
        <v>gst2</v>
      </c>
      <c r="C4955" s="3" t="str">
        <f>IFERROR(__xludf.DUMMYFUNCTION("""COMPUTED_VALUE"""),"GasToken")</f>
        <v>GasToken</v>
      </c>
    </row>
    <row r="4956">
      <c r="A4956" s="3" t="str">
        <f>IFERROR(__xludf.DUMMYFUNCTION("""COMPUTED_VALUE"""),"gastream")</f>
        <v>gastream</v>
      </c>
      <c r="B4956" s="3" t="str">
        <f>IFERROR(__xludf.DUMMYFUNCTION("""COMPUTED_VALUE"""),"gstrm")</f>
        <v>gstrm</v>
      </c>
      <c r="C4956" s="3" t="str">
        <f>IFERROR(__xludf.DUMMYFUNCTION("""COMPUTED_VALUE"""),"GaStream")</f>
        <v>GaStream</v>
      </c>
    </row>
    <row r="4957">
      <c r="A4957" s="3" t="str">
        <f>IFERROR(__xludf.DUMMYFUNCTION("""COMPUTED_VALUE"""),"gatechain-token")</f>
        <v>gatechain-token</v>
      </c>
      <c r="B4957" s="3" t="str">
        <f>IFERROR(__xludf.DUMMYFUNCTION("""COMPUTED_VALUE"""),"gt")</f>
        <v>gt</v>
      </c>
      <c r="C4957" s="3" t="str">
        <f>IFERROR(__xludf.DUMMYFUNCTION("""COMPUTED_VALUE"""),"Gate")</f>
        <v>Gate</v>
      </c>
    </row>
    <row r="4958">
      <c r="A4958" s="3" t="str">
        <f>IFERROR(__xludf.DUMMYFUNCTION("""COMPUTED_VALUE"""),"gateway-protocol")</f>
        <v>gateway-protocol</v>
      </c>
      <c r="B4958" s="3" t="str">
        <f>IFERROR(__xludf.DUMMYFUNCTION("""COMPUTED_VALUE"""),"gwp")</f>
        <v>gwp</v>
      </c>
      <c r="C4958" s="3" t="str">
        <f>IFERROR(__xludf.DUMMYFUNCTION("""COMPUTED_VALUE"""),"Gateway Protocol")</f>
        <v>Gateway Protocol</v>
      </c>
    </row>
    <row r="4959">
      <c r="A4959" s="3" t="str">
        <f>IFERROR(__xludf.DUMMYFUNCTION("""COMPUTED_VALUE"""),"gather")</f>
        <v>gather</v>
      </c>
      <c r="B4959" s="3" t="str">
        <f>IFERROR(__xludf.DUMMYFUNCTION("""COMPUTED_VALUE"""),"gth")</f>
        <v>gth</v>
      </c>
      <c r="C4959" s="3" t="str">
        <f>IFERROR(__xludf.DUMMYFUNCTION("""COMPUTED_VALUE"""),"Gather")</f>
        <v>Gather</v>
      </c>
    </row>
    <row r="4960">
      <c r="A4960" s="3" t="str">
        <f>IFERROR(__xludf.DUMMYFUNCTION("""COMPUTED_VALUE"""),"gatorswap")</f>
        <v>gatorswap</v>
      </c>
      <c r="B4960" s="3" t="str">
        <f>IFERROR(__xludf.DUMMYFUNCTION("""COMPUTED_VALUE"""),"gator")</f>
        <v>gator</v>
      </c>
      <c r="C4960" s="3" t="str">
        <f>IFERROR(__xludf.DUMMYFUNCTION("""COMPUTED_VALUE"""),"GatorSwap")</f>
        <v>GatorSwap</v>
      </c>
    </row>
    <row r="4961">
      <c r="A4961" s="3" t="str">
        <f>IFERROR(__xludf.DUMMYFUNCTION("""COMPUTED_VALUE"""),"gaur-money")</f>
        <v>gaur-money</v>
      </c>
      <c r="B4961" s="3" t="str">
        <f>IFERROR(__xludf.DUMMYFUNCTION("""COMPUTED_VALUE"""),"gaur")</f>
        <v>gaur</v>
      </c>
      <c r="C4961" s="3" t="str">
        <f>IFERROR(__xludf.DUMMYFUNCTION("""COMPUTED_VALUE"""),"Gaur Money")</f>
        <v>Gaur Money</v>
      </c>
    </row>
    <row r="4962">
      <c r="A4962" s="3" t="str">
        <f>IFERROR(__xludf.DUMMYFUNCTION("""COMPUTED_VALUE"""),"gaur-shares")</f>
        <v>gaur-shares</v>
      </c>
      <c r="B4962" s="3" t="str">
        <f>IFERROR(__xludf.DUMMYFUNCTION("""COMPUTED_VALUE"""),"gshare")</f>
        <v>gshare</v>
      </c>
      <c r="C4962" s="3" t="str">
        <f>IFERROR(__xludf.DUMMYFUNCTION("""COMPUTED_VALUE"""),"Gaur Shares")</f>
        <v>Gaur Shares</v>
      </c>
    </row>
    <row r="4963">
      <c r="A4963" s="3" t="str">
        <f>IFERROR(__xludf.DUMMYFUNCTION("""COMPUTED_VALUE"""),"gax-liquidity-token-reward")</f>
        <v>gax-liquidity-token-reward</v>
      </c>
      <c r="B4963" s="3" t="str">
        <f>IFERROR(__xludf.DUMMYFUNCTION("""COMPUTED_VALUE"""),"gltr")</f>
        <v>gltr</v>
      </c>
      <c r="C4963" s="3" t="str">
        <f>IFERROR(__xludf.DUMMYFUNCTION("""COMPUTED_VALUE"""),"GAX Liquidity Token Reward")</f>
        <v>GAX Liquidity Token Reward</v>
      </c>
    </row>
    <row r="4964">
      <c r="A4964" s="3" t="str">
        <f>IFERROR(__xludf.DUMMYFUNCTION("""COMPUTED_VALUE"""),"gazetv")</f>
        <v>gazetv</v>
      </c>
      <c r="B4964" s="3" t="str">
        <f>IFERROR(__xludf.DUMMYFUNCTION("""COMPUTED_VALUE"""),"gaze")</f>
        <v>gaze</v>
      </c>
      <c r="C4964" s="3" t="str">
        <f>IFERROR(__xludf.DUMMYFUNCTION("""COMPUTED_VALUE"""),"GazeTV")</f>
        <v>GazeTV</v>
      </c>
    </row>
    <row r="4965">
      <c r="A4965" s="3" t="str">
        <f>IFERROR(__xludf.DUMMYFUNCTION("""COMPUTED_VALUE"""),"gaziantep-fk-fan-token")</f>
        <v>gaziantep-fk-fan-token</v>
      </c>
      <c r="B4965" s="3" t="str">
        <f>IFERROR(__xludf.DUMMYFUNCTION("""COMPUTED_VALUE"""),"gfk")</f>
        <v>gfk</v>
      </c>
      <c r="C4965" s="3" t="str">
        <f>IFERROR(__xludf.DUMMYFUNCTION("""COMPUTED_VALUE"""),"Gaziantep FK Fan Token")</f>
        <v>Gaziantep FK Fan Token</v>
      </c>
    </row>
    <row r="4966">
      <c r="A4966" s="3" t="str">
        <f>IFERROR(__xludf.DUMMYFUNCTION("""COMPUTED_VALUE"""),"gbox")</f>
        <v>gbox</v>
      </c>
      <c r="B4966" s="3" t="str">
        <f>IFERROR(__xludf.DUMMYFUNCTION("""COMPUTED_VALUE"""),"gbox")</f>
        <v>gbox</v>
      </c>
      <c r="C4966" s="3" t="str">
        <f>IFERROR(__xludf.DUMMYFUNCTION("""COMPUTED_VALUE"""),"GBOX")</f>
        <v>GBOX</v>
      </c>
    </row>
    <row r="4967">
      <c r="A4967" s="3" t="str">
        <f>IFERROR(__xludf.DUMMYFUNCTION("""COMPUTED_VALUE"""),"gcn-coin")</f>
        <v>gcn-coin</v>
      </c>
      <c r="B4967" s="3" t="str">
        <f>IFERROR(__xludf.DUMMYFUNCTION("""COMPUTED_VALUE"""),"gcn")</f>
        <v>gcn</v>
      </c>
      <c r="C4967" s="3" t="str">
        <f>IFERROR(__xludf.DUMMYFUNCTION("""COMPUTED_VALUE"""),"GCN Coin")</f>
        <v>GCN Coin</v>
      </c>
    </row>
    <row r="4968">
      <c r="A4968" s="3" t="str">
        <f>IFERROR(__xludf.DUMMYFUNCTION("""COMPUTED_VALUE"""),"gdoge-finance")</f>
        <v>gdoge-finance</v>
      </c>
      <c r="B4968" s="3" t="str">
        <f>IFERROR(__xludf.DUMMYFUNCTION("""COMPUTED_VALUE"""),"gdoge")</f>
        <v>gdoge</v>
      </c>
      <c r="C4968" s="3" t="str">
        <f>IFERROR(__xludf.DUMMYFUNCTION("""COMPUTED_VALUE"""),"GDOGE Finance")</f>
        <v>GDOGE Finance</v>
      </c>
    </row>
    <row r="4969">
      <c r="A4969" s="3" t="str">
        <f>IFERROR(__xludf.DUMMYFUNCTION("""COMPUTED_VALUE"""),"gdrt")</f>
        <v>gdrt</v>
      </c>
      <c r="B4969" s="3" t="str">
        <f>IFERROR(__xludf.DUMMYFUNCTION("""COMPUTED_VALUE"""),"gdrt")</f>
        <v>gdrt</v>
      </c>
      <c r="C4969" s="3" t="str">
        <f>IFERROR(__xludf.DUMMYFUNCTION("""COMPUTED_VALUE"""),"GDRT")</f>
        <v>GDRT</v>
      </c>
    </row>
    <row r="4970">
      <c r="A4970" s="3" t="str">
        <f>IFERROR(__xludf.DUMMYFUNCTION("""COMPUTED_VALUE"""),"gear")</f>
        <v>gear</v>
      </c>
      <c r="B4970" s="3" t="str">
        <f>IFERROR(__xludf.DUMMYFUNCTION("""COMPUTED_VALUE"""),"gear")</f>
        <v>gear</v>
      </c>
      <c r="C4970" s="3" t="str">
        <f>IFERROR(__xludf.DUMMYFUNCTION("""COMPUTED_VALUE"""),"Gear")</f>
        <v>Gear</v>
      </c>
    </row>
    <row r="4971">
      <c r="A4971" s="3" t="str">
        <f>IFERROR(__xludf.DUMMYFUNCTION("""COMPUTED_VALUE"""),"gecoin")</f>
        <v>gecoin</v>
      </c>
      <c r="B4971" s="3" t="str">
        <f>IFERROR(__xludf.DUMMYFUNCTION("""COMPUTED_VALUE"""),"gec")</f>
        <v>gec</v>
      </c>
      <c r="C4971" s="3" t="str">
        <f>IFERROR(__xludf.DUMMYFUNCTION("""COMPUTED_VALUE"""),"Gecoin")</f>
        <v>Gecoin</v>
      </c>
    </row>
    <row r="4972">
      <c r="A4972" s="3" t="str">
        <f>IFERROR(__xludf.DUMMYFUNCTION("""COMPUTED_VALUE"""),"geegoopuzzle")</f>
        <v>geegoopuzzle</v>
      </c>
      <c r="B4972" s="3" t="str">
        <f>IFERROR(__xludf.DUMMYFUNCTION("""COMPUTED_VALUE"""),"ggp")</f>
        <v>ggp</v>
      </c>
      <c r="C4972" s="3" t="str">
        <f>IFERROR(__xludf.DUMMYFUNCTION("""COMPUTED_VALUE"""),"Geegoopuzzle")</f>
        <v>Geegoopuzzle</v>
      </c>
    </row>
    <row r="4973">
      <c r="A4973" s="3" t="str">
        <f>IFERROR(__xludf.DUMMYFUNCTION("""COMPUTED_VALUE"""),"geeq")</f>
        <v>geeq</v>
      </c>
      <c r="B4973" s="3" t="str">
        <f>IFERROR(__xludf.DUMMYFUNCTION("""COMPUTED_VALUE"""),"geeq")</f>
        <v>geeq</v>
      </c>
      <c r="C4973" s="3" t="str">
        <f>IFERROR(__xludf.DUMMYFUNCTION("""COMPUTED_VALUE"""),"GEEQ")</f>
        <v>GEEQ</v>
      </c>
    </row>
    <row r="4974">
      <c r="A4974" s="3" t="str">
        <f>IFERROR(__xludf.DUMMYFUNCTION("""COMPUTED_VALUE"""),"geist-dai")</f>
        <v>geist-dai</v>
      </c>
      <c r="B4974" s="3" t="str">
        <f>IFERROR(__xludf.DUMMYFUNCTION("""COMPUTED_VALUE"""),"gdai")</f>
        <v>gdai</v>
      </c>
      <c r="C4974" s="3" t="str">
        <f>IFERROR(__xludf.DUMMYFUNCTION("""COMPUTED_VALUE"""),"Geist Dai")</f>
        <v>Geist Dai</v>
      </c>
    </row>
    <row r="4975">
      <c r="A4975" s="3" t="str">
        <f>IFERROR(__xludf.DUMMYFUNCTION("""COMPUTED_VALUE"""),"geist-eth")</f>
        <v>geist-eth</v>
      </c>
      <c r="B4975" s="3" t="str">
        <f>IFERROR(__xludf.DUMMYFUNCTION("""COMPUTED_VALUE"""),"geth")</f>
        <v>geth</v>
      </c>
      <c r="C4975" s="3" t="str">
        <f>IFERROR(__xludf.DUMMYFUNCTION("""COMPUTED_VALUE"""),"Geist ETH")</f>
        <v>Geist ETH</v>
      </c>
    </row>
    <row r="4976">
      <c r="A4976" s="3" t="str">
        <f>IFERROR(__xludf.DUMMYFUNCTION("""COMPUTED_VALUE"""),"geist-finance")</f>
        <v>geist-finance</v>
      </c>
      <c r="B4976" s="3" t="str">
        <f>IFERROR(__xludf.DUMMYFUNCTION("""COMPUTED_VALUE"""),"geist")</f>
        <v>geist</v>
      </c>
      <c r="C4976" s="3" t="str">
        <f>IFERROR(__xludf.DUMMYFUNCTION("""COMPUTED_VALUE"""),"Geist Finance")</f>
        <v>Geist Finance</v>
      </c>
    </row>
    <row r="4977">
      <c r="A4977" s="3" t="str">
        <f>IFERROR(__xludf.DUMMYFUNCTION("""COMPUTED_VALUE"""),"geist-ftm")</f>
        <v>geist-ftm</v>
      </c>
      <c r="B4977" s="3" t="str">
        <f>IFERROR(__xludf.DUMMYFUNCTION("""COMPUTED_VALUE"""),"gftm")</f>
        <v>gftm</v>
      </c>
      <c r="C4977" s="3" t="str">
        <f>IFERROR(__xludf.DUMMYFUNCTION("""COMPUTED_VALUE"""),"Geist FTM")</f>
        <v>Geist FTM</v>
      </c>
    </row>
    <row r="4978">
      <c r="A4978" s="3" t="str">
        <f>IFERROR(__xludf.DUMMYFUNCTION("""COMPUTED_VALUE"""),"geist-fusdt")</f>
        <v>geist-fusdt</v>
      </c>
      <c r="B4978" s="3" t="str">
        <f>IFERROR(__xludf.DUMMYFUNCTION("""COMPUTED_VALUE"""),"gfusdt")</f>
        <v>gfusdt</v>
      </c>
      <c r="C4978" s="3" t="str">
        <f>IFERROR(__xludf.DUMMYFUNCTION("""COMPUTED_VALUE"""),"Geist fUSDT")</f>
        <v>Geist fUSDT</v>
      </c>
    </row>
    <row r="4979">
      <c r="A4979" s="3" t="str">
        <f>IFERROR(__xludf.DUMMYFUNCTION("""COMPUTED_VALUE"""),"geist-usdc")</f>
        <v>geist-usdc</v>
      </c>
      <c r="B4979" s="3" t="str">
        <f>IFERROR(__xludf.DUMMYFUNCTION("""COMPUTED_VALUE"""),"gusdc")</f>
        <v>gusdc</v>
      </c>
      <c r="C4979" s="3" t="str">
        <f>IFERROR(__xludf.DUMMYFUNCTION("""COMPUTED_VALUE"""),"Geist USDC")</f>
        <v>Geist USDC</v>
      </c>
    </row>
    <row r="4980">
      <c r="A4980" s="3" t="str">
        <f>IFERROR(__xludf.DUMMYFUNCTION("""COMPUTED_VALUE"""),"geist-wbtc")</f>
        <v>geist-wbtc</v>
      </c>
      <c r="B4980" s="3" t="str">
        <f>IFERROR(__xludf.DUMMYFUNCTION("""COMPUTED_VALUE"""),"gwbtc")</f>
        <v>gwbtc</v>
      </c>
      <c r="C4980" s="3" t="str">
        <f>IFERROR(__xludf.DUMMYFUNCTION("""COMPUTED_VALUE"""),"Geist WBTC")</f>
        <v>Geist WBTC</v>
      </c>
    </row>
    <row r="4981">
      <c r="A4981" s="3" t="str">
        <f>IFERROR(__xludf.DUMMYFUNCTION("""COMPUTED_VALUE"""),"gelato")</f>
        <v>gelato</v>
      </c>
      <c r="B4981" s="3" t="str">
        <f>IFERROR(__xludf.DUMMYFUNCTION("""COMPUTED_VALUE"""),"gel")</f>
        <v>gel</v>
      </c>
      <c r="C4981" s="3" t="str">
        <f>IFERROR(__xludf.DUMMYFUNCTION("""COMPUTED_VALUE"""),"Gelato")</f>
        <v>Gelato</v>
      </c>
    </row>
    <row r="4982">
      <c r="A4982" s="3" t="str">
        <f>IFERROR(__xludf.DUMMYFUNCTION("""COMPUTED_VALUE"""),"geld-finance")</f>
        <v>geld-finance</v>
      </c>
      <c r="B4982" s="3" t="str">
        <f>IFERROR(__xludf.DUMMYFUNCTION("""COMPUTED_VALUE"""),"geldf")</f>
        <v>geldf</v>
      </c>
      <c r="C4982" s="3" t="str">
        <f>IFERROR(__xludf.DUMMYFUNCTION("""COMPUTED_VALUE"""),"GELD Finance")</f>
        <v>GELD Finance</v>
      </c>
    </row>
    <row r="4983">
      <c r="A4983" s="3" t="str">
        <f>IFERROR(__xludf.DUMMYFUNCTION("""COMPUTED_VALUE"""),"gemcave-token")</f>
        <v>gemcave-token</v>
      </c>
      <c r="B4983" s="3" t="str">
        <f>IFERROR(__xludf.DUMMYFUNCTION("""COMPUTED_VALUE"""),"gems")</f>
        <v>gems</v>
      </c>
      <c r="C4983" s="3" t="str">
        <f>IFERROR(__xludf.DUMMYFUNCTION("""COMPUTED_VALUE"""),"GemCave Token")</f>
        <v>GemCave Token</v>
      </c>
    </row>
    <row r="4984">
      <c r="A4984" s="3" t="str">
        <f>IFERROR(__xludf.DUMMYFUNCTION("""COMPUTED_VALUE"""),"gemdao")</f>
        <v>gemdao</v>
      </c>
      <c r="B4984" s="3" t="str">
        <f>IFERROR(__xludf.DUMMYFUNCTION("""COMPUTED_VALUE"""),"gemdao")</f>
        <v>gemdao</v>
      </c>
      <c r="C4984" s="3" t="str">
        <f>IFERROR(__xludf.DUMMYFUNCTION("""COMPUTED_VALUE"""),"Gemdao")</f>
        <v>Gemdao</v>
      </c>
    </row>
    <row r="4985">
      <c r="A4985" s="3" t="str">
        <f>IFERROR(__xludf.DUMMYFUNCTION("""COMPUTED_VALUE"""),"gem-exchange-and-trading")</f>
        <v>gem-exchange-and-trading</v>
      </c>
      <c r="B4985" s="3" t="str">
        <f>IFERROR(__xludf.DUMMYFUNCTION("""COMPUTED_VALUE"""),"gxt")</f>
        <v>gxt</v>
      </c>
      <c r="C4985" s="3" t="str">
        <f>IFERROR(__xludf.DUMMYFUNCTION("""COMPUTED_VALUE"""),"Gem Exchange and Trading")</f>
        <v>Gem Exchange and Trading</v>
      </c>
    </row>
    <row r="4986">
      <c r="A4986" s="3" t="str">
        <f>IFERROR(__xludf.DUMMYFUNCTION("""COMPUTED_VALUE"""),"gemguardian")</f>
        <v>gemguardian</v>
      </c>
      <c r="B4986" s="3" t="str">
        <f>IFERROR(__xludf.DUMMYFUNCTION("""COMPUTED_VALUE"""),"gemg")</f>
        <v>gemg</v>
      </c>
      <c r="C4986" s="3" t="str">
        <f>IFERROR(__xludf.DUMMYFUNCTION("""COMPUTED_VALUE"""),"GemGuardian")</f>
        <v>GemGuardian</v>
      </c>
    </row>
    <row r="4987">
      <c r="A4987" s="3" t="str">
        <f>IFERROR(__xludf.DUMMYFUNCTION("""COMPUTED_VALUE"""),"gemie")</f>
        <v>gemie</v>
      </c>
      <c r="B4987" s="3" t="str">
        <f>IFERROR(__xludf.DUMMYFUNCTION("""COMPUTED_VALUE"""),"gem")</f>
        <v>gem</v>
      </c>
      <c r="C4987" s="3" t="str">
        <f>IFERROR(__xludf.DUMMYFUNCTION("""COMPUTED_VALUE"""),"Gemie")</f>
        <v>Gemie</v>
      </c>
    </row>
    <row r="4988">
      <c r="A4988" s="3" t="str">
        <f>IFERROR(__xludf.DUMMYFUNCTION("""COMPUTED_VALUE"""),"gemini-dollar")</f>
        <v>gemini-dollar</v>
      </c>
      <c r="B4988" s="3" t="str">
        <f>IFERROR(__xludf.DUMMYFUNCTION("""COMPUTED_VALUE"""),"gusd")</f>
        <v>gusd</v>
      </c>
      <c r="C4988" s="3" t="str">
        <f>IFERROR(__xludf.DUMMYFUNCTION("""COMPUTED_VALUE"""),"Gemini Dollar")</f>
        <v>Gemini Dollar</v>
      </c>
    </row>
    <row r="4989">
      <c r="A4989" s="3" t="str">
        <f>IFERROR(__xludf.DUMMYFUNCTION("""COMPUTED_VALUE"""),"gemit-app")</f>
        <v>gemit-app</v>
      </c>
      <c r="B4989" s="3" t="str">
        <f>IFERROR(__xludf.DUMMYFUNCTION("""COMPUTED_VALUE"""),"gemit")</f>
        <v>gemit</v>
      </c>
      <c r="C4989" s="3" t="str">
        <f>IFERROR(__xludf.DUMMYFUNCTION("""COMPUTED_VALUE"""),"GEMIT.app")</f>
        <v>GEMIT.app</v>
      </c>
    </row>
    <row r="4990">
      <c r="A4990" s="3" t="str">
        <f>IFERROR(__xludf.DUMMYFUNCTION("""COMPUTED_VALUE"""),"gemlink")</f>
        <v>gemlink</v>
      </c>
      <c r="B4990" s="3" t="str">
        <f>IFERROR(__xludf.DUMMYFUNCTION("""COMPUTED_VALUE"""),"glink")</f>
        <v>glink</v>
      </c>
      <c r="C4990" s="3" t="str">
        <f>IFERROR(__xludf.DUMMYFUNCTION("""COMPUTED_VALUE"""),"GemLink")</f>
        <v>GemLink</v>
      </c>
    </row>
    <row r="4991">
      <c r="A4991" s="3" t="str">
        <f>IFERROR(__xludf.DUMMYFUNCTION("""COMPUTED_VALUE"""),"gempad")</f>
        <v>gempad</v>
      </c>
      <c r="B4991" s="3" t="str">
        <f>IFERROR(__xludf.DUMMYFUNCTION("""COMPUTED_VALUE"""),"gems")</f>
        <v>gems</v>
      </c>
      <c r="C4991" s="3" t="str">
        <f>IFERROR(__xludf.DUMMYFUNCTION("""COMPUTED_VALUE"""),"GemPad")</f>
        <v>GemPad</v>
      </c>
    </row>
    <row r="4992">
      <c r="A4992" s="3" t="str">
        <f>IFERROR(__xludf.DUMMYFUNCTION("""COMPUTED_VALUE"""),"gempay")</f>
        <v>gempay</v>
      </c>
      <c r="B4992" s="3" t="str">
        <f>IFERROR(__xludf.DUMMYFUNCTION("""COMPUTED_VALUE"""),"gpay")</f>
        <v>gpay</v>
      </c>
      <c r="C4992" s="3" t="str">
        <f>IFERROR(__xludf.DUMMYFUNCTION("""COMPUTED_VALUE"""),"GemPay")</f>
        <v>GemPay</v>
      </c>
    </row>
    <row r="4993">
      <c r="A4993" s="3" t="str">
        <f>IFERROR(__xludf.DUMMYFUNCTION("""COMPUTED_VALUE"""),"gems-2")</f>
        <v>gems-2</v>
      </c>
      <c r="B4993" s="3" t="str">
        <f>IFERROR(__xludf.DUMMYFUNCTION("""COMPUTED_VALUE"""),"gem")</f>
        <v>gem</v>
      </c>
      <c r="C4993" s="3" t="str">
        <f>IFERROR(__xludf.DUMMYFUNCTION("""COMPUTED_VALUE"""),"Gems")</f>
        <v>Gems</v>
      </c>
    </row>
    <row r="4994">
      <c r="A4994" s="3" t="str">
        <f>IFERROR(__xludf.DUMMYFUNCTION("""COMPUTED_VALUE"""),"gem-slots")</f>
        <v>gem-slots</v>
      </c>
      <c r="B4994" s="3" t="str">
        <f>IFERROR(__xludf.DUMMYFUNCTION("""COMPUTED_VALUE"""),"bst")</f>
        <v>bst</v>
      </c>
      <c r="C4994" s="3" t="str">
        <f>IFERROR(__xludf.DUMMYFUNCTION("""COMPUTED_VALUE"""),"GEM Slots")</f>
        <v>GEM Slots</v>
      </c>
    </row>
    <row r="4995">
      <c r="A4995" s="3" t="str">
        <f>IFERROR(__xludf.DUMMYFUNCTION("""COMPUTED_VALUE"""),"gemuni")</f>
        <v>gemuni</v>
      </c>
      <c r="B4995" s="3" t="str">
        <f>IFERROR(__xludf.DUMMYFUNCTION("""COMPUTED_VALUE"""),"geni")</f>
        <v>geni</v>
      </c>
      <c r="C4995" s="3" t="str">
        <f>IFERROR(__xludf.DUMMYFUNCTION("""COMPUTED_VALUE"""),"GemUni")</f>
        <v>GemUni</v>
      </c>
    </row>
    <row r="4996">
      <c r="A4996" s="3" t="str">
        <f>IFERROR(__xludf.DUMMYFUNCTION("""COMPUTED_VALUE"""),"genaro-network")</f>
        <v>genaro-network</v>
      </c>
      <c r="B4996" s="3" t="str">
        <f>IFERROR(__xludf.DUMMYFUNCTION("""COMPUTED_VALUE"""),"gnx")</f>
        <v>gnx</v>
      </c>
      <c r="C4996" s="3" t="str">
        <f>IFERROR(__xludf.DUMMYFUNCTION("""COMPUTED_VALUE"""),"Genaro Network")</f>
        <v>Genaro Network</v>
      </c>
    </row>
    <row r="4997">
      <c r="A4997" s="3" t="str">
        <f>IFERROR(__xludf.DUMMYFUNCTION("""COMPUTED_VALUE"""),"genart")</f>
        <v>genart</v>
      </c>
      <c r="B4997" s="3" t="str">
        <f>IFERROR(__xludf.DUMMYFUNCTION("""COMPUTED_VALUE"""),"genart")</f>
        <v>genart</v>
      </c>
      <c r="C4997" s="3" t="str">
        <f>IFERROR(__xludf.DUMMYFUNCTION("""COMPUTED_VALUE"""),"GENART")</f>
        <v>GENART</v>
      </c>
    </row>
    <row r="4998">
      <c r="A4998" s="3" t="str">
        <f>IFERROR(__xludf.DUMMYFUNCTION("""COMPUTED_VALUE"""),"genclerbirligi-fan-token")</f>
        <v>genclerbirligi-fan-token</v>
      </c>
      <c r="B4998" s="3" t="str">
        <f>IFERROR(__xludf.DUMMYFUNCTION("""COMPUTED_VALUE"""),"gbsk")</f>
        <v>gbsk</v>
      </c>
      <c r="C4998" s="3" t="str">
        <f>IFERROR(__xludf.DUMMYFUNCTION("""COMPUTED_VALUE"""),"Gençlerbirliği Fan Token")</f>
        <v>Gençlerbirliği Fan Token</v>
      </c>
    </row>
    <row r="4999">
      <c r="A4999" s="3" t="str">
        <f>IFERROR(__xludf.DUMMYFUNCTION("""COMPUTED_VALUE"""),"gencoin-capital")</f>
        <v>gencoin-capital</v>
      </c>
      <c r="B4999" s="3" t="str">
        <f>IFERROR(__xludf.DUMMYFUNCTION("""COMPUTED_VALUE"""),"gencap")</f>
        <v>gencap</v>
      </c>
      <c r="C4999" s="3" t="str">
        <f>IFERROR(__xludf.DUMMYFUNCTION("""COMPUTED_VALUE"""),"GenCoin Capital")</f>
        <v>GenCoin Capital</v>
      </c>
    </row>
    <row r="5000">
      <c r="A5000" s="3" t="str">
        <f>IFERROR(__xludf.DUMMYFUNCTION("""COMPUTED_VALUE"""),"gene")</f>
        <v>gene</v>
      </c>
      <c r="B5000" s="3" t="str">
        <f>IFERROR(__xludf.DUMMYFUNCTION("""COMPUTED_VALUE"""),"gene")</f>
        <v>gene</v>
      </c>
      <c r="C5000" s="3" t="str">
        <f>IFERROR(__xludf.DUMMYFUNCTION("""COMPUTED_VALUE"""),"Gene")</f>
        <v>Gene</v>
      </c>
    </row>
    <row r="5001">
      <c r="A5001" s="3" t="str">
        <f>IFERROR(__xludf.DUMMYFUNCTION("""COMPUTED_VALUE"""),"genebank-token")</f>
        <v>genebank-token</v>
      </c>
      <c r="B5001" s="3" t="str">
        <f>IFERROR(__xludf.DUMMYFUNCTION("""COMPUTED_VALUE"""),"gnbt")</f>
        <v>gnbt</v>
      </c>
      <c r="C5001" s="3" t="str">
        <f>IFERROR(__xludf.DUMMYFUNCTION("""COMPUTED_VALUE"""),"Genebank")</f>
        <v>Genebank</v>
      </c>
    </row>
    <row r="5002">
      <c r="A5002" s="3" t="str">
        <f>IFERROR(__xludf.DUMMYFUNCTION("""COMPUTED_VALUE"""),"general-attention-currency")</f>
        <v>general-attention-currency</v>
      </c>
      <c r="B5002" s="3" t="str">
        <f>IFERROR(__xludf.DUMMYFUNCTION("""COMPUTED_VALUE"""),"xac")</f>
        <v>xac</v>
      </c>
      <c r="C5002" s="3" t="str">
        <f>IFERROR(__xludf.DUMMYFUNCTION("""COMPUTED_VALUE"""),"General Attention Currency")</f>
        <v>General Attention Currency</v>
      </c>
    </row>
    <row r="5003">
      <c r="A5003" s="3" t="str">
        <f>IFERROR(__xludf.DUMMYFUNCTION("""COMPUTED_VALUE"""),"generation")</f>
        <v>generation</v>
      </c>
      <c r="B5003" s="3" t="str">
        <f>IFERROR(__xludf.DUMMYFUNCTION("""COMPUTED_VALUE"""),"gen")</f>
        <v>gen</v>
      </c>
      <c r="C5003" s="3" t="str">
        <f>IFERROR(__xludf.DUMMYFUNCTION("""COMPUTED_VALUE"""),"Generation")</f>
        <v>Generation</v>
      </c>
    </row>
    <row r="5004">
      <c r="A5004" s="3" t="str">
        <f>IFERROR(__xludf.DUMMYFUNCTION("""COMPUTED_VALUE"""),"genes-chain")</f>
        <v>genes-chain</v>
      </c>
      <c r="B5004" s="3" t="str">
        <f>IFERROR(__xludf.DUMMYFUNCTION("""COMPUTED_VALUE"""),"genes")</f>
        <v>genes</v>
      </c>
      <c r="C5004" s="3" t="str">
        <f>IFERROR(__xludf.DUMMYFUNCTION("""COMPUTED_VALUE"""),"GENES Chain")</f>
        <v>GENES Chain</v>
      </c>
    </row>
    <row r="5005">
      <c r="A5005" s="3" t="str">
        <f>IFERROR(__xludf.DUMMYFUNCTION("""COMPUTED_VALUE"""),"genesis-defi")</f>
        <v>genesis-defi</v>
      </c>
      <c r="B5005" s="3" t="str">
        <f>IFERROR(__xludf.DUMMYFUNCTION("""COMPUTED_VALUE"""),"genf")</f>
        <v>genf</v>
      </c>
      <c r="C5005" s="3" t="str">
        <f>IFERROR(__xludf.DUMMYFUNCTION("""COMPUTED_VALUE"""),"Genesis Defi")</f>
        <v>Genesis Defi</v>
      </c>
    </row>
    <row r="5006">
      <c r="A5006" s="3" t="str">
        <f>IFERROR(__xludf.DUMMYFUNCTION("""COMPUTED_VALUE"""),"genesis-finance")</f>
        <v>genesis-finance</v>
      </c>
      <c r="B5006" s="3" t="str">
        <f>IFERROR(__xludf.DUMMYFUNCTION("""COMPUTED_VALUE"""),"gefi")</f>
        <v>gefi</v>
      </c>
      <c r="C5006" s="3" t="str">
        <f>IFERROR(__xludf.DUMMYFUNCTION("""COMPUTED_VALUE"""),"Genesis Finance")</f>
        <v>Genesis Finance</v>
      </c>
    </row>
    <row r="5007">
      <c r="A5007" s="3" t="str">
        <f>IFERROR(__xludf.DUMMYFUNCTION("""COMPUTED_VALUE"""),"genesis-mana")</f>
        <v>genesis-mana</v>
      </c>
      <c r="B5007" s="3" t="str">
        <f>IFERROR(__xludf.DUMMYFUNCTION("""COMPUTED_VALUE"""),"mana")</f>
        <v>mana</v>
      </c>
      <c r="C5007" s="3" t="str">
        <f>IFERROR(__xludf.DUMMYFUNCTION("""COMPUTED_VALUE"""),"Genesis Mana")</f>
        <v>Genesis Mana</v>
      </c>
    </row>
    <row r="5008">
      <c r="A5008" s="3" t="str">
        <f>IFERROR(__xludf.DUMMYFUNCTION("""COMPUTED_VALUE"""),"genesis-particle")</f>
        <v>genesis-particle</v>
      </c>
      <c r="B5008" s="3" t="str">
        <f>IFERROR(__xludf.DUMMYFUNCTION("""COMPUTED_VALUE"""),"gp")</f>
        <v>gp</v>
      </c>
      <c r="C5008" s="3" t="str">
        <f>IFERROR(__xludf.DUMMYFUNCTION("""COMPUTED_VALUE"""),"Genesis Particle")</f>
        <v>Genesis Particle</v>
      </c>
    </row>
    <row r="5009">
      <c r="A5009" s="3" t="str">
        <f>IFERROR(__xludf.DUMMYFUNCTION("""COMPUTED_VALUE"""),"genesis-pool")</f>
        <v>genesis-pool</v>
      </c>
      <c r="B5009" s="3" t="str">
        <f>IFERROR(__xludf.DUMMYFUNCTION("""COMPUTED_VALUE"""),"gpool")</f>
        <v>gpool</v>
      </c>
      <c r="C5009" s="3" t="str">
        <f>IFERROR(__xludf.DUMMYFUNCTION("""COMPUTED_VALUE"""),"Genesis Pool")</f>
        <v>Genesis Pool</v>
      </c>
    </row>
    <row r="5010">
      <c r="A5010" s="3" t="str">
        <f>IFERROR(__xludf.DUMMYFUNCTION("""COMPUTED_VALUE"""),"genesis-shards")</f>
        <v>genesis-shards</v>
      </c>
      <c r="B5010" s="3" t="str">
        <f>IFERROR(__xludf.DUMMYFUNCTION("""COMPUTED_VALUE"""),"gs")</f>
        <v>gs</v>
      </c>
      <c r="C5010" s="3" t="str">
        <f>IFERROR(__xludf.DUMMYFUNCTION("""COMPUTED_VALUE"""),"Genesis Shards")</f>
        <v>Genesis Shards</v>
      </c>
    </row>
    <row r="5011">
      <c r="A5011" s="3" t="str">
        <f>IFERROR(__xludf.DUMMYFUNCTION("""COMPUTED_VALUE"""),"genesis-universe")</f>
        <v>genesis-universe</v>
      </c>
      <c r="B5011" s="3" t="str">
        <f>IFERROR(__xludf.DUMMYFUNCTION("""COMPUTED_VALUE"""),"gut")</f>
        <v>gut</v>
      </c>
      <c r="C5011" s="3" t="str">
        <f>IFERROR(__xludf.DUMMYFUNCTION("""COMPUTED_VALUE"""),"Genesis Universe")</f>
        <v>Genesis Universe</v>
      </c>
    </row>
    <row r="5012">
      <c r="A5012" s="3" t="str">
        <f>IFERROR(__xludf.DUMMYFUNCTION("""COMPUTED_VALUE"""),"genesis-vision")</f>
        <v>genesis-vision</v>
      </c>
      <c r="B5012" s="3" t="str">
        <f>IFERROR(__xludf.DUMMYFUNCTION("""COMPUTED_VALUE"""),"gvt")</f>
        <v>gvt</v>
      </c>
      <c r="C5012" s="3" t="str">
        <f>IFERROR(__xludf.DUMMYFUNCTION("""COMPUTED_VALUE"""),"Genesis Vision")</f>
        <v>Genesis Vision</v>
      </c>
    </row>
    <row r="5013">
      <c r="A5013" s="3" t="str">
        <f>IFERROR(__xludf.DUMMYFUNCTION("""COMPUTED_VALUE"""),"genesis-worlds")</f>
        <v>genesis-worlds</v>
      </c>
      <c r="B5013" s="3" t="str">
        <f>IFERROR(__xludf.DUMMYFUNCTION("""COMPUTED_VALUE"""),"genesis")</f>
        <v>genesis</v>
      </c>
      <c r="C5013" s="3" t="str">
        <f>IFERROR(__xludf.DUMMYFUNCTION("""COMPUTED_VALUE"""),"Genesis Worlds")</f>
        <v>Genesis Worlds</v>
      </c>
    </row>
    <row r="5014">
      <c r="A5014" s="3" t="str">
        <f>IFERROR(__xludf.DUMMYFUNCTION("""COMPUTED_VALUE"""),"genesisx")</f>
        <v>genesisx</v>
      </c>
      <c r="B5014" s="3" t="str">
        <f>IFERROR(__xludf.DUMMYFUNCTION("""COMPUTED_VALUE"""),"xgs")</f>
        <v>xgs</v>
      </c>
      <c r="C5014" s="3" t="str">
        <f>IFERROR(__xludf.DUMMYFUNCTION("""COMPUTED_VALUE"""),"GenesisX")</f>
        <v>GenesisX</v>
      </c>
    </row>
    <row r="5015">
      <c r="A5015" s="3" t="str">
        <f>IFERROR(__xludf.DUMMYFUNCTION("""COMPUTED_VALUE"""),"genesysgo-shadow")</f>
        <v>genesysgo-shadow</v>
      </c>
      <c r="B5015" s="3" t="str">
        <f>IFERROR(__xludf.DUMMYFUNCTION("""COMPUTED_VALUE"""),"shdw")</f>
        <v>shdw</v>
      </c>
      <c r="C5015" s="3" t="str">
        <f>IFERROR(__xludf.DUMMYFUNCTION("""COMPUTED_VALUE"""),"Shadow Token")</f>
        <v>Shadow Token</v>
      </c>
    </row>
    <row r="5016">
      <c r="A5016" s="3" t="str">
        <f>IFERROR(__xludf.DUMMYFUNCTION("""COMPUTED_VALUE"""),"genesys-token")</f>
        <v>genesys-token</v>
      </c>
      <c r="B5016" s="3" t="str">
        <f>IFERROR(__xludf.DUMMYFUNCTION("""COMPUTED_VALUE"""),"gsys")</f>
        <v>gsys</v>
      </c>
      <c r="C5016" s="3" t="str">
        <f>IFERROR(__xludf.DUMMYFUNCTION("""COMPUTED_VALUE"""),"Genesys Token")</f>
        <v>Genesys Token</v>
      </c>
    </row>
    <row r="5017">
      <c r="A5017" s="3" t="str">
        <f>IFERROR(__xludf.DUMMYFUNCTION("""COMPUTED_VALUE"""),"genexi")</f>
        <v>genexi</v>
      </c>
      <c r="B5017" s="3" t="str">
        <f>IFERROR(__xludf.DUMMYFUNCTION("""COMPUTED_VALUE"""),"gxi")</f>
        <v>gxi</v>
      </c>
      <c r="C5017" s="3" t="str">
        <f>IFERROR(__xludf.DUMMYFUNCTION("""COMPUTED_VALUE"""),"Genexi")</f>
        <v>Genexi</v>
      </c>
    </row>
    <row r="5018">
      <c r="A5018" s="3" t="str">
        <f>IFERROR(__xludf.DUMMYFUNCTION("""COMPUTED_VALUE"""),"genie-protocol")</f>
        <v>genie-protocol</v>
      </c>
      <c r="B5018" s="3" t="str">
        <f>IFERROR(__xludf.DUMMYFUNCTION("""COMPUTED_VALUE"""),"gnp")</f>
        <v>gnp</v>
      </c>
      <c r="C5018" s="3" t="str">
        <f>IFERROR(__xludf.DUMMYFUNCTION("""COMPUTED_VALUE"""),"Genie Protocol")</f>
        <v>Genie Protocol</v>
      </c>
    </row>
    <row r="5019">
      <c r="A5019" s="3" t="str">
        <f>IFERROR(__xludf.DUMMYFUNCTION("""COMPUTED_VALUE"""),"genius-coin")</f>
        <v>genius-coin</v>
      </c>
      <c r="B5019" s="3" t="str">
        <f>IFERROR(__xludf.DUMMYFUNCTION("""COMPUTED_VALUE"""),"genius")</f>
        <v>genius</v>
      </c>
      <c r="C5019" s="3" t="str">
        <f>IFERROR(__xludf.DUMMYFUNCTION("""COMPUTED_VALUE"""),"Genius Coin")</f>
        <v>Genius Coin</v>
      </c>
    </row>
    <row r="5020">
      <c r="A5020" s="3" t="str">
        <f>IFERROR(__xludf.DUMMYFUNCTION("""COMPUTED_VALUE"""),"geniux")</f>
        <v>geniux</v>
      </c>
      <c r="B5020" s="3" t="str">
        <f>IFERROR(__xludf.DUMMYFUNCTION("""COMPUTED_VALUE"""),"iux")</f>
        <v>iux</v>
      </c>
      <c r="C5020" s="3" t="str">
        <f>IFERROR(__xludf.DUMMYFUNCTION("""COMPUTED_VALUE"""),"GeniuX")</f>
        <v>GeniuX</v>
      </c>
    </row>
    <row r="5021">
      <c r="A5021" s="3" t="str">
        <f>IFERROR(__xludf.DUMMYFUNCTION("""COMPUTED_VALUE"""),"genix")</f>
        <v>genix</v>
      </c>
      <c r="B5021" s="3" t="str">
        <f>IFERROR(__xludf.DUMMYFUNCTION("""COMPUTED_VALUE"""),"genix")</f>
        <v>genix</v>
      </c>
      <c r="C5021" s="3" t="str">
        <f>IFERROR(__xludf.DUMMYFUNCTION("""COMPUTED_VALUE"""),"Genix")</f>
        <v>Genix</v>
      </c>
    </row>
    <row r="5022">
      <c r="A5022" s="3" t="str">
        <f>IFERROR(__xludf.DUMMYFUNCTION("""COMPUTED_VALUE"""),"gennix")</f>
        <v>gennix</v>
      </c>
      <c r="B5022" s="3" t="str">
        <f>IFERROR(__xludf.DUMMYFUNCTION("""COMPUTED_VALUE"""),"gnnx")</f>
        <v>gnnx</v>
      </c>
      <c r="C5022" s="3" t="str">
        <f>IFERROR(__xludf.DUMMYFUNCTION("""COMPUTED_VALUE"""),"Gennix")</f>
        <v>Gennix</v>
      </c>
    </row>
    <row r="5023">
      <c r="A5023" s="3" t="str">
        <f>IFERROR(__xludf.DUMMYFUNCTION("""COMPUTED_VALUE"""),"genomesdao")</f>
        <v>genomesdao</v>
      </c>
      <c r="B5023" s="3" t="str">
        <f>IFERROR(__xludf.DUMMYFUNCTION("""COMPUTED_VALUE"""),"$gene")</f>
        <v>$gene</v>
      </c>
      <c r="C5023" s="3" t="str">
        <f>IFERROR(__xludf.DUMMYFUNCTION("""COMPUTED_VALUE"""),"GenomesDAO")</f>
        <v>GenomesDAO</v>
      </c>
    </row>
    <row r="5024">
      <c r="A5024" s="3" t="str">
        <f>IFERROR(__xludf.DUMMYFUNCTION("""COMPUTED_VALUE"""),"genopet-ki")</f>
        <v>genopet-ki</v>
      </c>
      <c r="B5024" s="3" t="str">
        <f>IFERROR(__xludf.DUMMYFUNCTION("""COMPUTED_VALUE"""),"ki")</f>
        <v>ki</v>
      </c>
      <c r="C5024" s="3" t="str">
        <f>IFERROR(__xludf.DUMMYFUNCTION("""COMPUTED_VALUE"""),"Genopets KI")</f>
        <v>Genopets KI</v>
      </c>
    </row>
    <row r="5025">
      <c r="A5025" s="3" t="str">
        <f>IFERROR(__xludf.DUMMYFUNCTION("""COMPUTED_VALUE"""),"genopets")</f>
        <v>genopets</v>
      </c>
      <c r="B5025" s="3" t="str">
        <f>IFERROR(__xludf.DUMMYFUNCTION("""COMPUTED_VALUE"""),"gene")</f>
        <v>gene</v>
      </c>
      <c r="C5025" s="3" t="str">
        <f>IFERROR(__xludf.DUMMYFUNCTION("""COMPUTED_VALUE"""),"Genopets")</f>
        <v>Genopets</v>
      </c>
    </row>
    <row r="5026">
      <c r="A5026" s="3" t="str">
        <f>IFERROR(__xludf.DUMMYFUNCTION("""COMPUTED_VALUE"""),"genshinflokiinu")</f>
        <v>genshinflokiinu</v>
      </c>
      <c r="B5026" s="3" t="str">
        <f>IFERROR(__xludf.DUMMYFUNCTION("""COMPUTED_VALUE"""),"gfloki")</f>
        <v>gfloki</v>
      </c>
      <c r="C5026" s="3" t="str">
        <f>IFERROR(__xludf.DUMMYFUNCTION("""COMPUTED_VALUE"""),"GenshinFlokiInu")</f>
        <v>GenshinFlokiInu</v>
      </c>
    </row>
    <row r="5027">
      <c r="A5027" s="3" t="str">
        <f>IFERROR(__xludf.DUMMYFUNCTION("""COMPUTED_VALUE"""),"genshin-nft")</f>
        <v>genshin-nft</v>
      </c>
      <c r="B5027" s="3" t="str">
        <f>IFERROR(__xludf.DUMMYFUNCTION("""COMPUTED_VALUE"""),"genshin")</f>
        <v>genshin</v>
      </c>
      <c r="C5027" s="3" t="str">
        <f>IFERROR(__xludf.DUMMYFUNCTION("""COMPUTED_VALUE"""),"Genshin NFT")</f>
        <v>Genshin NFT</v>
      </c>
    </row>
    <row r="5028">
      <c r="A5028" s="3" t="str">
        <f>IFERROR(__xludf.DUMMYFUNCTION("""COMPUTED_VALUE"""),"genshiro")</f>
        <v>genshiro</v>
      </c>
      <c r="B5028" s="3" t="str">
        <f>IFERROR(__xludf.DUMMYFUNCTION("""COMPUTED_VALUE"""),"gens")</f>
        <v>gens</v>
      </c>
      <c r="C5028" s="3" t="str">
        <f>IFERROR(__xludf.DUMMYFUNCTION("""COMPUTED_VALUE"""),"Genshiro")</f>
        <v>Genshiro</v>
      </c>
    </row>
    <row r="5029">
      <c r="A5029" s="3" t="str">
        <f>IFERROR(__xludf.DUMMYFUNCTION("""COMPUTED_VALUE"""),"gensokishis-metaverse")</f>
        <v>gensokishis-metaverse</v>
      </c>
      <c r="B5029" s="3" t="str">
        <f>IFERROR(__xludf.DUMMYFUNCTION("""COMPUTED_VALUE"""),"mv")</f>
        <v>mv</v>
      </c>
      <c r="C5029" s="3" t="str">
        <f>IFERROR(__xludf.DUMMYFUNCTION("""COMPUTED_VALUE"""),"GensoKishi Metaverse")</f>
        <v>GensoKishi Metaverse</v>
      </c>
    </row>
    <row r="5030">
      <c r="A5030" s="3" t="str">
        <f>IFERROR(__xludf.DUMMYFUNCTION("""COMPUTED_VALUE"""),"gentarium")</f>
        <v>gentarium</v>
      </c>
      <c r="B5030" s="3" t="str">
        <f>IFERROR(__xludf.DUMMYFUNCTION("""COMPUTED_VALUE"""),"gtm")</f>
        <v>gtm</v>
      </c>
      <c r="C5030" s="3" t="str">
        <f>IFERROR(__xludf.DUMMYFUNCTION("""COMPUTED_VALUE"""),"Gentarium")</f>
        <v>Gentarium</v>
      </c>
    </row>
    <row r="5031">
      <c r="A5031" s="3" t="str">
        <f>IFERROR(__xludf.DUMMYFUNCTION("""COMPUTED_VALUE"""),"genx")</f>
        <v>genx</v>
      </c>
      <c r="B5031" s="3" t="str">
        <f>IFERROR(__xludf.DUMMYFUNCTION("""COMPUTED_VALUE"""),"genx")</f>
        <v>genx</v>
      </c>
      <c r="C5031" s="3" t="str">
        <f>IFERROR(__xludf.DUMMYFUNCTION("""COMPUTED_VALUE"""),"GENX")</f>
        <v>GENX</v>
      </c>
    </row>
    <row r="5032">
      <c r="A5032" s="3" t="str">
        <f>IFERROR(__xludf.DUMMYFUNCTION("""COMPUTED_VALUE"""),"genz-token")</f>
        <v>genz-token</v>
      </c>
      <c r="B5032" s="3" t="str">
        <f>IFERROR(__xludf.DUMMYFUNCTION("""COMPUTED_VALUE"""),"genz")</f>
        <v>genz</v>
      </c>
      <c r="C5032" s="3" t="str">
        <f>IFERROR(__xludf.DUMMYFUNCTION("""COMPUTED_VALUE"""),"GENZ Token")</f>
        <v>GENZ Token</v>
      </c>
    </row>
    <row r="5033">
      <c r="A5033" s="3" t="str">
        <f>IFERROR(__xludf.DUMMYFUNCTION("""COMPUTED_VALUE"""),"geocoin")</f>
        <v>geocoin</v>
      </c>
      <c r="B5033" s="3" t="str">
        <f>IFERROR(__xludf.DUMMYFUNCTION("""COMPUTED_VALUE"""),"geo")</f>
        <v>geo</v>
      </c>
      <c r="C5033" s="3" t="str">
        <f>IFERROR(__xludf.DUMMYFUNCTION("""COMPUTED_VALUE"""),"Geocoin")</f>
        <v>Geocoin</v>
      </c>
    </row>
    <row r="5034">
      <c r="A5034" s="3" t="str">
        <f>IFERROR(__xludf.DUMMYFUNCTION("""COMPUTED_VALUE"""),"geodb")</f>
        <v>geodb</v>
      </c>
      <c r="B5034" s="3" t="str">
        <f>IFERROR(__xludf.DUMMYFUNCTION("""COMPUTED_VALUE"""),"geo")</f>
        <v>geo</v>
      </c>
      <c r="C5034" s="3" t="str">
        <f>IFERROR(__xludf.DUMMYFUNCTION("""COMPUTED_VALUE"""),"GeoDB")</f>
        <v>GeoDB</v>
      </c>
    </row>
    <row r="5035">
      <c r="A5035" s="3" t="str">
        <f>IFERROR(__xludf.DUMMYFUNCTION("""COMPUTED_VALUE"""),"geojam")</f>
        <v>geojam</v>
      </c>
      <c r="B5035" s="3" t="str">
        <f>IFERROR(__xludf.DUMMYFUNCTION("""COMPUTED_VALUE"""),"jam")</f>
        <v>jam</v>
      </c>
      <c r="C5035" s="3" t="str">
        <f>IFERROR(__xludf.DUMMYFUNCTION("""COMPUTED_VALUE"""),"Geojam")</f>
        <v>Geojam</v>
      </c>
    </row>
    <row r="5036">
      <c r="A5036" s="3" t="str">
        <f>IFERROR(__xludf.DUMMYFUNCTION("""COMPUTED_VALUE"""),"geopoly")</f>
        <v>geopoly</v>
      </c>
      <c r="B5036" s="3" t="str">
        <f>IFERROR(__xludf.DUMMYFUNCTION("""COMPUTED_VALUE"""),"geo$")</f>
        <v>geo$</v>
      </c>
      <c r="C5036" s="3" t="str">
        <f>IFERROR(__xludf.DUMMYFUNCTION("""COMPUTED_VALUE"""),"Geopoly")</f>
        <v>Geopoly</v>
      </c>
    </row>
    <row r="5037">
      <c r="A5037" s="3" t="str">
        <f>IFERROR(__xludf.DUMMYFUNCTION("""COMPUTED_VALUE"""),"gera-coin")</f>
        <v>gera-coin</v>
      </c>
      <c r="B5037" s="3" t="str">
        <f>IFERROR(__xludf.DUMMYFUNCTION("""COMPUTED_VALUE"""),"gera")</f>
        <v>gera</v>
      </c>
      <c r="C5037" s="3" t="str">
        <f>IFERROR(__xludf.DUMMYFUNCTION("""COMPUTED_VALUE"""),"Gera Coin")</f>
        <v>Gera Coin</v>
      </c>
    </row>
    <row r="5038">
      <c r="A5038" s="3" t="str">
        <f>IFERROR(__xludf.DUMMYFUNCTION("""COMPUTED_VALUE"""),"get")</f>
        <v>get</v>
      </c>
      <c r="B5038" s="3" t="str">
        <f>IFERROR(__xludf.DUMMYFUNCTION("""COMPUTED_VALUE"""),"get")</f>
        <v>get</v>
      </c>
      <c r="C5038" s="3" t="str">
        <f>IFERROR(__xludf.DUMMYFUNCTION("""COMPUTED_VALUE"""),"GET")</f>
        <v>GET</v>
      </c>
    </row>
    <row r="5039">
      <c r="A5039" s="3" t="str">
        <f>IFERROR(__xludf.DUMMYFUNCTION("""COMPUTED_VALUE"""),"getkicks")</f>
        <v>getkicks</v>
      </c>
      <c r="B5039" s="3" t="str">
        <f>IFERROR(__xludf.DUMMYFUNCTION("""COMPUTED_VALUE"""),"kicks")</f>
        <v>kicks</v>
      </c>
      <c r="C5039" s="3" t="str">
        <f>IFERROR(__xludf.DUMMYFUNCTION("""COMPUTED_VALUE"""),"GetKicks")</f>
        <v>GetKicks</v>
      </c>
    </row>
    <row r="5040">
      <c r="A5040" s="3" t="str">
        <f>IFERROR(__xludf.DUMMYFUNCTION("""COMPUTED_VALUE"""),"get-set-play")</f>
        <v>get-set-play</v>
      </c>
      <c r="B5040" s="3" t="str">
        <f>IFERROR(__xludf.DUMMYFUNCTION("""COMPUTED_VALUE"""),"gsp")</f>
        <v>gsp</v>
      </c>
      <c r="C5040" s="3" t="str">
        <f>IFERROR(__xludf.DUMMYFUNCTION("""COMPUTED_VALUE"""),"Get Set Play")</f>
        <v>Get Set Play</v>
      </c>
    </row>
    <row r="5041">
      <c r="A5041" s="3" t="str">
        <f>IFERROR(__xludf.DUMMYFUNCTION("""COMPUTED_VALUE"""),"get-token")</f>
        <v>get-token</v>
      </c>
      <c r="B5041" s="3" t="str">
        <f>IFERROR(__xludf.DUMMYFUNCTION("""COMPUTED_VALUE"""),"get")</f>
        <v>get</v>
      </c>
      <c r="C5041" s="3" t="str">
        <f>IFERROR(__xludf.DUMMYFUNCTION("""COMPUTED_VALUE"""),"GET Protocol")</f>
        <v>GET Protocol</v>
      </c>
    </row>
    <row r="5042">
      <c r="A5042" s="3" t="str">
        <f>IFERROR(__xludf.DUMMYFUNCTION("""COMPUTED_VALUE"""),"geyser")</f>
        <v>geyser</v>
      </c>
      <c r="B5042" s="3" t="str">
        <f>IFERROR(__xludf.DUMMYFUNCTION("""COMPUTED_VALUE"""),"gysr")</f>
        <v>gysr</v>
      </c>
      <c r="C5042" s="3" t="str">
        <f>IFERROR(__xludf.DUMMYFUNCTION("""COMPUTED_VALUE"""),"Geyser")</f>
        <v>Geyser</v>
      </c>
    </row>
    <row r="5043">
      <c r="A5043" s="3" t="str">
        <f>IFERROR(__xludf.DUMMYFUNCTION("""COMPUTED_VALUE"""),"geysercoin")</f>
        <v>geysercoin</v>
      </c>
      <c r="B5043" s="3" t="str">
        <f>IFERROR(__xludf.DUMMYFUNCTION("""COMPUTED_VALUE"""),"gsr")</f>
        <v>gsr</v>
      </c>
      <c r="C5043" s="3" t="str">
        <f>IFERROR(__xludf.DUMMYFUNCTION("""COMPUTED_VALUE"""),"GeyserCoin")</f>
        <v>GeyserCoin</v>
      </c>
    </row>
    <row r="5044">
      <c r="A5044" s="3" t="str">
        <f>IFERROR(__xludf.DUMMYFUNCTION("""COMPUTED_VALUE"""),"gforce")</f>
        <v>gforce</v>
      </c>
      <c r="B5044" s="3" t="str">
        <f>IFERROR(__xludf.DUMMYFUNCTION("""COMPUTED_VALUE"""),"gfce")</f>
        <v>gfce</v>
      </c>
      <c r="C5044" s="3" t="str">
        <f>IFERROR(__xludf.DUMMYFUNCTION("""COMPUTED_VALUE"""),"GFORCE")</f>
        <v>GFORCE</v>
      </c>
    </row>
    <row r="5045">
      <c r="A5045" s="3" t="str">
        <f>IFERROR(__xludf.DUMMYFUNCTION("""COMPUTED_VALUE"""),"gg-coin")</f>
        <v>gg-coin</v>
      </c>
      <c r="B5045" s="3" t="str">
        <f>IFERROR(__xludf.DUMMYFUNCTION("""COMPUTED_VALUE"""),"ggc")</f>
        <v>ggc</v>
      </c>
      <c r="C5045" s="3" t="str">
        <f>IFERROR(__xludf.DUMMYFUNCTION("""COMPUTED_VALUE"""),"Global Game Coin")</f>
        <v>Global Game Coin</v>
      </c>
    </row>
    <row r="5046">
      <c r="A5046" s="3" t="str">
        <f>IFERROR(__xludf.DUMMYFUNCTION("""COMPUTED_VALUE"""),"ggtkn")</f>
        <v>ggtkn</v>
      </c>
      <c r="B5046" s="3" t="str">
        <f>IFERROR(__xludf.DUMMYFUNCTION("""COMPUTED_VALUE"""),"ggtkn")</f>
        <v>ggtkn</v>
      </c>
      <c r="C5046" s="3" t="str">
        <f>IFERROR(__xludf.DUMMYFUNCTION("""COMPUTED_VALUE"""),"GGTKN")</f>
        <v>GGTKN</v>
      </c>
    </row>
    <row r="5047">
      <c r="A5047" s="3" t="str">
        <f>IFERROR(__xludf.DUMMYFUNCTION("""COMPUTED_VALUE"""),"gg-token")</f>
        <v>gg-token</v>
      </c>
      <c r="B5047" s="3" t="str">
        <f>IFERROR(__xludf.DUMMYFUNCTION("""COMPUTED_VALUE"""),"ggtk")</f>
        <v>ggtk</v>
      </c>
      <c r="C5047" s="3" t="str">
        <f>IFERROR(__xludf.DUMMYFUNCTION("""COMPUTED_VALUE"""),"GG")</f>
        <v>GG</v>
      </c>
    </row>
    <row r="5048">
      <c r="A5048" s="3" t="str">
        <f>IFERROR(__xludf.DUMMYFUNCTION("""COMPUTED_VALUE"""),"ghospers-game")</f>
        <v>ghospers-game</v>
      </c>
      <c r="B5048" s="3" t="str">
        <f>IFERROR(__xludf.DUMMYFUNCTION("""COMPUTED_VALUE"""),"ghsp")</f>
        <v>ghsp</v>
      </c>
      <c r="C5048" s="3" t="str">
        <f>IFERROR(__xludf.DUMMYFUNCTION("""COMPUTED_VALUE"""),"Ghospers Game")</f>
        <v>Ghospers Game</v>
      </c>
    </row>
    <row r="5049">
      <c r="A5049" s="3" t="str">
        <f>IFERROR(__xludf.DUMMYFUNCTION("""COMPUTED_VALUE"""),"ghost-by-mcafee")</f>
        <v>ghost-by-mcafee</v>
      </c>
      <c r="B5049" s="3" t="str">
        <f>IFERROR(__xludf.DUMMYFUNCTION("""COMPUTED_VALUE"""),"ghost")</f>
        <v>ghost</v>
      </c>
      <c r="C5049" s="3" t="str">
        <f>IFERROR(__xludf.DUMMYFUNCTION("""COMPUTED_VALUE"""),"Ghost")</f>
        <v>Ghost</v>
      </c>
    </row>
    <row r="5050">
      <c r="A5050" s="3" t="str">
        <f>IFERROR(__xludf.DUMMYFUNCTION("""COMPUTED_VALUE"""),"ghostface")</f>
        <v>ghostface</v>
      </c>
      <c r="B5050" s="3" t="str">
        <f>IFERROR(__xludf.DUMMYFUNCTION("""COMPUTED_VALUE"""),"ghostface")</f>
        <v>ghostface</v>
      </c>
      <c r="C5050" s="3" t="str">
        <f>IFERROR(__xludf.DUMMYFUNCTION("""COMPUTED_VALUE"""),"Ghostface")</f>
        <v>Ghostface</v>
      </c>
    </row>
    <row r="5051">
      <c r="A5051" s="3" t="str">
        <f>IFERROR(__xludf.DUMMYFUNCTION("""COMPUTED_VALUE"""),"ghostmarket")</f>
        <v>ghostmarket</v>
      </c>
      <c r="B5051" s="3" t="str">
        <f>IFERROR(__xludf.DUMMYFUNCTION("""COMPUTED_VALUE"""),"gm")</f>
        <v>gm</v>
      </c>
      <c r="C5051" s="3" t="str">
        <f>IFERROR(__xludf.DUMMYFUNCTION("""COMPUTED_VALUE"""),"GhostMarket")</f>
        <v>GhostMarket</v>
      </c>
    </row>
    <row r="5052">
      <c r="A5052" s="3" t="str">
        <f>IFERROR(__xludf.DUMMYFUNCTION("""COMPUTED_VALUE"""),"ghost-trader")</f>
        <v>ghost-trader</v>
      </c>
      <c r="B5052" s="3" t="str">
        <f>IFERROR(__xludf.DUMMYFUNCTION("""COMPUTED_VALUE"""),"gtr")</f>
        <v>gtr</v>
      </c>
      <c r="C5052" s="3" t="str">
        <f>IFERROR(__xludf.DUMMYFUNCTION("""COMPUTED_VALUE"""),"Ghost Trader")</f>
        <v>Ghost Trader</v>
      </c>
    </row>
    <row r="5053">
      <c r="A5053" s="3" t="str">
        <f>IFERROR(__xludf.DUMMYFUNCTION("""COMPUTED_VALUE"""),"ghoul-token")</f>
        <v>ghoul-token</v>
      </c>
      <c r="B5053" s="3" t="str">
        <f>IFERROR(__xludf.DUMMYFUNCTION("""COMPUTED_VALUE"""),"ghoul")</f>
        <v>ghoul</v>
      </c>
      <c r="C5053" s="3" t="str">
        <f>IFERROR(__xludf.DUMMYFUNCTION("""COMPUTED_VALUE"""),"Ghoul")</f>
        <v>Ghoul</v>
      </c>
    </row>
    <row r="5054">
      <c r="A5054" s="3" t="str">
        <f>IFERROR(__xludf.DUMMYFUNCTION("""COMPUTED_VALUE"""),"gibx-swap")</f>
        <v>gibx-swap</v>
      </c>
      <c r="B5054" s="3" t="str">
        <f>IFERROR(__xludf.DUMMYFUNCTION("""COMPUTED_VALUE"""),"x")</f>
        <v>x</v>
      </c>
      <c r="C5054" s="3" t="str">
        <f>IFERROR(__xludf.DUMMYFUNCTION("""COMPUTED_VALUE"""),"GIBX Swap")</f>
        <v>GIBX Swap</v>
      </c>
    </row>
    <row r="5055">
      <c r="A5055" s="3" t="str">
        <f>IFERROR(__xludf.DUMMYFUNCTION("""COMPUTED_VALUE"""),"gictrade")</f>
        <v>gictrade</v>
      </c>
      <c r="B5055" s="3" t="str">
        <f>IFERROR(__xludf.DUMMYFUNCTION("""COMPUTED_VALUE"""),"gict")</f>
        <v>gict</v>
      </c>
      <c r="C5055" s="3" t="str">
        <f>IFERROR(__xludf.DUMMYFUNCTION("""COMPUTED_VALUE"""),"GICTrade")</f>
        <v>GICTrade</v>
      </c>
    </row>
    <row r="5056">
      <c r="A5056" s="3" t="str">
        <f>IFERROR(__xludf.DUMMYFUNCTION("""COMPUTED_VALUE"""),"giddy")</f>
        <v>giddy</v>
      </c>
      <c r="B5056" s="3" t="str">
        <f>IFERROR(__xludf.DUMMYFUNCTION("""COMPUTED_VALUE"""),"gddy")</f>
        <v>gddy</v>
      </c>
      <c r="C5056" s="3" t="str">
        <f>IFERROR(__xludf.DUMMYFUNCTION("""COMPUTED_VALUE"""),"Giddy")</f>
        <v>Giddy</v>
      </c>
    </row>
    <row r="5057">
      <c r="A5057" s="3" t="str">
        <f>IFERROR(__xludf.DUMMYFUNCTION("""COMPUTED_VALUE"""),"gif-dao")</f>
        <v>gif-dao</v>
      </c>
      <c r="B5057" s="3" t="str">
        <f>IFERROR(__xludf.DUMMYFUNCTION("""COMPUTED_VALUE"""),"gif")</f>
        <v>gif</v>
      </c>
      <c r="C5057" s="3" t="str">
        <f>IFERROR(__xludf.DUMMYFUNCTION("""COMPUTED_VALUE"""),"GIF DAO")</f>
        <v>GIF DAO</v>
      </c>
    </row>
    <row r="5058">
      <c r="A5058" s="3" t="str">
        <f>IFERROR(__xludf.DUMMYFUNCTION("""COMPUTED_VALUE"""),"giftbag")</f>
        <v>giftbag</v>
      </c>
      <c r="B5058" s="3" t="str">
        <f>IFERROR(__xludf.DUMMYFUNCTION("""COMPUTED_VALUE"""),"gbag")</f>
        <v>gbag</v>
      </c>
      <c r="C5058" s="3" t="str">
        <f>IFERROR(__xludf.DUMMYFUNCTION("""COMPUTED_VALUE"""),"Giftbag")</f>
        <v>Giftbag</v>
      </c>
    </row>
    <row r="5059">
      <c r="A5059" s="3" t="str">
        <f>IFERROR(__xludf.DUMMYFUNCTION("""COMPUTED_VALUE"""),"gift-coin")</f>
        <v>gift-coin</v>
      </c>
      <c r="B5059" s="3" t="str">
        <f>IFERROR(__xludf.DUMMYFUNCTION("""COMPUTED_VALUE"""),"gift")</f>
        <v>gift</v>
      </c>
      <c r="C5059" s="3" t="str">
        <f>IFERROR(__xludf.DUMMYFUNCTION("""COMPUTED_VALUE"""),"Gift Coin")</f>
        <v>Gift Coin</v>
      </c>
    </row>
    <row r="5060">
      <c r="A5060" s="3" t="str">
        <f>IFERROR(__xludf.DUMMYFUNCTION("""COMPUTED_VALUE"""),"giftedhands")</f>
        <v>giftedhands</v>
      </c>
      <c r="B5060" s="3" t="str">
        <f>IFERROR(__xludf.DUMMYFUNCTION("""COMPUTED_VALUE"""),"ghd")</f>
        <v>ghd</v>
      </c>
      <c r="C5060" s="3" t="str">
        <f>IFERROR(__xludf.DUMMYFUNCTION("""COMPUTED_VALUE"""),"Giftedhands")</f>
        <v>Giftedhands</v>
      </c>
    </row>
    <row r="5061">
      <c r="A5061" s="3" t="str">
        <f>IFERROR(__xludf.DUMMYFUNCTION("""COMPUTED_VALUE"""),"gifto")</f>
        <v>gifto</v>
      </c>
      <c r="B5061" s="3" t="str">
        <f>IFERROR(__xludf.DUMMYFUNCTION("""COMPUTED_VALUE"""),"gto")</f>
        <v>gto</v>
      </c>
      <c r="C5061" s="3" t="str">
        <f>IFERROR(__xludf.DUMMYFUNCTION("""COMPUTED_VALUE"""),"Gifto")</f>
        <v>Gifto</v>
      </c>
    </row>
    <row r="5062">
      <c r="A5062" s="3" t="str">
        <f>IFERROR(__xludf.DUMMYFUNCTION("""COMPUTED_VALUE"""),"gigaswap")</f>
        <v>gigaswap</v>
      </c>
      <c r="B5062" s="3" t="str">
        <f>IFERROR(__xludf.DUMMYFUNCTION("""COMPUTED_VALUE"""),"giga")</f>
        <v>giga</v>
      </c>
      <c r="C5062" s="3" t="str">
        <f>IFERROR(__xludf.DUMMYFUNCTION("""COMPUTED_VALUE"""),"GigaSwap")</f>
        <v>GigaSwap</v>
      </c>
    </row>
    <row r="5063">
      <c r="A5063" s="3" t="str">
        <f>IFERROR(__xludf.DUMMYFUNCTION("""COMPUTED_VALUE"""),"giga-watt-token")</f>
        <v>giga-watt-token</v>
      </c>
      <c r="B5063" s="3" t="str">
        <f>IFERROR(__xludf.DUMMYFUNCTION("""COMPUTED_VALUE"""),"wtt")</f>
        <v>wtt</v>
      </c>
      <c r="C5063" s="3" t="str">
        <f>IFERROR(__xludf.DUMMYFUNCTION("""COMPUTED_VALUE"""),"Giga Watt")</f>
        <v>Giga Watt</v>
      </c>
    </row>
    <row r="5064">
      <c r="A5064" s="3" t="str">
        <f>IFERROR(__xludf.DUMMYFUNCTION("""COMPUTED_VALUE"""),"gigecoin")</f>
        <v>gigecoin</v>
      </c>
      <c r="B5064" s="3" t="str">
        <f>IFERROR(__xludf.DUMMYFUNCTION("""COMPUTED_VALUE"""),"gig")</f>
        <v>gig</v>
      </c>
      <c r="C5064" s="3" t="str">
        <f>IFERROR(__xludf.DUMMYFUNCTION("""COMPUTED_VALUE"""),"GigEcoin")</f>
        <v>GigEcoin</v>
      </c>
    </row>
    <row r="5065">
      <c r="A5065" s="3" t="str">
        <f>IFERROR(__xludf.DUMMYFUNCTION("""COMPUTED_VALUE"""),"giletjaunecoin")</f>
        <v>giletjaunecoin</v>
      </c>
      <c r="B5065" s="3" t="str">
        <f>IFERROR(__xludf.DUMMYFUNCTION("""COMPUTED_VALUE"""),"gjco")</f>
        <v>gjco</v>
      </c>
      <c r="C5065" s="3" t="str">
        <f>IFERROR(__xludf.DUMMYFUNCTION("""COMPUTED_VALUE"""),"GiletJauneCoin")</f>
        <v>GiletJauneCoin</v>
      </c>
    </row>
    <row r="5066">
      <c r="A5066" s="3" t="str">
        <f>IFERROR(__xludf.DUMMYFUNCTION("""COMPUTED_VALUE"""),"gilgamesh-eth")</f>
        <v>gilgamesh-eth</v>
      </c>
      <c r="B5066" s="3" t="str">
        <f>IFERROR(__xludf.DUMMYFUNCTION("""COMPUTED_VALUE"""),"gil")</f>
        <v>gil</v>
      </c>
      <c r="C5066" s="3" t="str">
        <f>IFERROR(__xludf.DUMMYFUNCTION("""COMPUTED_VALUE"""),"Gilgamesh ETH")</f>
        <v>Gilgamesh ETH</v>
      </c>
    </row>
    <row r="5067">
      <c r="A5067" s="3" t="str">
        <f>IFERROR(__xludf.DUMMYFUNCTION("""COMPUTED_VALUE"""),"gimmer")</f>
        <v>gimmer</v>
      </c>
      <c r="B5067" s="3" t="str">
        <f>IFERROR(__xludf.DUMMYFUNCTION("""COMPUTED_VALUE"""),"gmr")</f>
        <v>gmr</v>
      </c>
      <c r="C5067" s="3" t="str">
        <f>IFERROR(__xludf.DUMMYFUNCTION("""COMPUTED_VALUE"""),"Gimmer")</f>
        <v>Gimmer</v>
      </c>
    </row>
    <row r="5068">
      <c r="A5068" s="3" t="str">
        <f>IFERROR(__xludf.DUMMYFUNCTION("""COMPUTED_VALUE"""),"gin-finance")</f>
        <v>gin-finance</v>
      </c>
      <c r="B5068" s="3" t="str">
        <f>IFERROR(__xludf.DUMMYFUNCTION("""COMPUTED_VALUE"""),"gin")</f>
        <v>gin</v>
      </c>
      <c r="C5068" s="3" t="str">
        <f>IFERROR(__xludf.DUMMYFUNCTION("""COMPUTED_VALUE"""),"Gin Finance")</f>
        <v>Gin Finance</v>
      </c>
    </row>
    <row r="5069">
      <c r="A5069" s="3" t="str">
        <f>IFERROR(__xludf.DUMMYFUNCTION("""COMPUTED_VALUE"""),"ginga-finance")</f>
        <v>ginga-finance</v>
      </c>
      <c r="B5069" s="3" t="str">
        <f>IFERROR(__xludf.DUMMYFUNCTION("""COMPUTED_VALUE"""),"gin")</f>
        <v>gin</v>
      </c>
      <c r="C5069" s="3" t="str">
        <f>IFERROR(__xludf.DUMMYFUNCTION("""COMPUTED_VALUE"""),"Ginga Finance")</f>
        <v>Ginga Finance</v>
      </c>
    </row>
    <row r="5070">
      <c r="A5070" s="3" t="str">
        <f>IFERROR(__xludf.DUMMYFUNCTION("""COMPUTED_VALUE"""),"ginoa")</f>
        <v>ginoa</v>
      </c>
      <c r="B5070" s="3" t="str">
        <f>IFERROR(__xludf.DUMMYFUNCTION("""COMPUTED_VALUE"""),"ginoa")</f>
        <v>ginoa</v>
      </c>
      <c r="C5070" s="3" t="str">
        <f>IFERROR(__xludf.DUMMYFUNCTION("""COMPUTED_VALUE"""),"Ginoa")</f>
        <v>Ginoa</v>
      </c>
    </row>
    <row r="5071">
      <c r="A5071" s="3" t="str">
        <f>IFERROR(__xludf.DUMMYFUNCTION("""COMPUTED_VALUE"""),"ginspirit")</f>
        <v>ginspirit</v>
      </c>
      <c r="B5071" s="3" t="str">
        <f>IFERROR(__xludf.DUMMYFUNCTION("""COMPUTED_VALUE"""),"ginspirit")</f>
        <v>ginspirit</v>
      </c>
      <c r="C5071" s="3" t="str">
        <f>IFERROR(__xludf.DUMMYFUNCTION("""COMPUTED_VALUE"""),"GinSpirit")</f>
        <v>GinSpirit</v>
      </c>
    </row>
    <row r="5072">
      <c r="A5072" s="3" t="str">
        <f>IFERROR(__xludf.DUMMYFUNCTION("""COMPUTED_VALUE"""),"ginza-eternity-reward")</f>
        <v>ginza-eternity-reward</v>
      </c>
      <c r="B5072" s="3" t="str">
        <f>IFERROR(__xludf.DUMMYFUNCTION("""COMPUTED_VALUE"""),"ger")</f>
        <v>ger</v>
      </c>
      <c r="C5072" s="3" t="str">
        <f>IFERROR(__xludf.DUMMYFUNCTION("""COMPUTED_VALUE"""),"Ginza Eternity Reward")</f>
        <v>Ginza Eternity Reward</v>
      </c>
    </row>
    <row r="5073">
      <c r="A5073" s="3" t="str">
        <f>IFERROR(__xludf.DUMMYFUNCTION("""COMPUTED_VALUE"""),"ginza-network")</f>
        <v>ginza-network</v>
      </c>
      <c r="B5073" s="3" t="str">
        <f>IFERROR(__xludf.DUMMYFUNCTION("""COMPUTED_VALUE"""),"ginza")</f>
        <v>ginza</v>
      </c>
      <c r="C5073" s="3" t="str">
        <f>IFERROR(__xludf.DUMMYFUNCTION("""COMPUTED_VALUE"""),"Ginza Network")</f>
        <v>Ginza Network</v>
      </c>
    </row>
    <row r="5074">
      <c r="A5074" s="3" t="str">
        <f>IFERROR(__xludf.DUMMYFUNCTION("""COMPUTED_VALUE"""),"giotto")</f>
        <v>giotto</v>
      </c>
      <c r="B5074" s="3" t="str">
        <f>IFERROR(__xludf.DUMMYFUNCTION("""COMPUTED_VALUE"""),"giotto")</f>
        <v>giotto</v>
      </c>
      <c r="C5074" s="3" t="str">
        <f>IFERROR(__xludf.DUMMYFUNCTION("""COMPUTED_VALUE"""),"GIOTTO")</f>
        <v>GIOTTO</v>
      </c>
    </row>
    <row r="5075">
      <c r="A5075" s="3" t="str">
        <f>IFERROR(__xludf.DUMMYFUNCTION("""COMPUTED_VALUE"""),"giresunspor-token")</f>
        <v>giresunspor-token</v>
      </c>
      <c r="B5075" s="3" t="str">
        <f>IFERROR(__xludf.DUMMYFUNCTION("""COMPUTED_VALUE"""),"grs")</f>
        <v>grs</v>
      </c>
      <c r="C5075" s="3" t="str">
        <f>IFERROR(__xludf.DUMMYFUNCTION("""COMPUTED_VALUE"""),"Giresunspor Token")</f>
        <v>Giresunspor Token</v>
      </c>
    </row>
    <row r="5076">
      <c r="A5076" s="3" t="str">
        <f>IFERROR(__xludf.DUMMYFUNCTION("""COMPUTED_VALUE"""),"gitcoin")</f>
        <v>gitcoin</v>
      </c>
      <c r="B5076" s="3" t="str">
        <f>IFERROR(__xludf.DUMMYFUNCTION("""COMPUTED_VALUE"""),"gtc")</f>
        <v>gtc</v>
      </c>
      <c r="C5076" s="3" t="str">
        <f>IFERROR(__xludf.DUMMYFUNCTION("""COMPUTED_VALUE"""),"Gitcoin")</f>
        <v>Gitcoin</v>
      </c>
    </row>
    <row r="5077">
      <c r="A5077" s="3" t="str">
        <f>IFERROR(__xludf.DUMMYFUNCTION("""COMPUTED_VALUE"""),"gitshock-finance")</f>
        <v>gitshock-finance</v>
      </c>
      <c r="B5077" s="3" t="str">
        <f>IFERROR(__xludf.DUMMYFUNCTION("""COMPUTED_VALUE"""),"gtfx")</f>
        <v>gtfx</v>
      </c>
      <c r="C5077" s="3" t="str">
        <f>IFERROR(__xludf.DUMMYFUNCTION("""COMPUTED_VALUE"""),"Gitshock Finance")</f>
        <v>Gitshock Finance</v>
      </c>
    </row>
    <row r="5078">
      <c r="A5078" s="3" t="str">
        <f>IFERROR(__xludf.DUMMYFUNCTION("""COMPUTED_VALUE"""),"giveth")</f>
        <v>giveth</v>
      </c>
      <c r="B5078" s="3" t="str">
        <f>IFERROR(__xludf.DUMMYFUNCTION("""COMPUTED_VALUE"""),"giv")</f>
        <v>giv</v>
      </c>
      <c r="C5078" s="3" t="str">
        <f>IFERROR(__xludf.DUMMYFUNCTION("""COMPUTED_VALUE"""),"Giveth")</f>
        <v>Giveth</v>
      </c>
    </row>
    <row r="5079">
      <c r="A5079" s="3" t="str">
        <f>IFERROR(__xludf.DUMMYFUNCTION("""COMPUTED_VALUE"""),"givingtoservices-svs")</f>
        <v>givingtoservices-svs</v>
      </c>
      <c r="B5079" s="3" t="str">
        <f>IFERROR(__xludf.DUMMYFUNCTION("""COMPUTED_VALUE"""),"svs")</f>
        <v>svs</v>
      </c>
      <c r="C5079" s="3" t="str">
        <f>IFERROR(__xludf.DUMMYFUNCTION("""COMPUTED_VALUE"""),"GivingToServices SVS")</f>
        <v>GivingToServices SVS</v>
      </c>
    </row>
    <row r="5080">
      <c r="A5080" s="3" t="str">
        <f>IFERROR(__xludf.DUMMYFUNCTION("""COMPUTED_VALUE"""),"givly-coin")</f>
        <v>givly-coin</v>
      </c>
      <c r="B5080" s="3" t="str">
        <f>IFERROR(__xludf.DUMMYFUNCTION("""COMPUTED_VALUE"""),"giv")</f>
        <v>giv</v>
      </c>
      <c r="C5080" s="3" t="str">
        <f>IFERROR(__xludf.DUMMYFUNCTION("""COMPUTED_VALUE"""),"GIV")</f>
        <v>GIV</v>
      </c>
    </row>
    <row r="5081">
      <c r="A5081" s="3" t="str">
        <f>IFERROR(__xludf.DUMMYFUNCTION("""COMPUTED_VALUE"""),"gizadao")</f>
        <v>gizadao</v>
      </c>
      <c r="B5081" s="3" t="str">
        <f>IFERROR(__xludf.DUMMYFUNCTION("""COMPUTED_VALUE"""),"giza")</f>
        <v>giza</v>
      </c>
      <c r="C5081" s="3" t="str">
        <f>IFERROR(__xludf.DUMMYFUNCTION("""COMPUTED_VALUE"""),"GizaDao")</f>
        <v>GizaDao</v>
      </c>
    </row>
    <row r="5082">
      <c r="A5082" s="3" t="str">
        <f>IFERROR(__xludf.DUMMYFUNCTION("""COMPUTED_VALUE"""),"gld-tokenized-stock-defichain")</f>
        <v>gld-tokenized-stock-defichain</v>
      </c>
      <c r="B5082" s="3" t="str">
        <f>IFERROR(__xludf.DUMMYFUNCTION("""COMPUTED_VALUE"""),"dgld")</f>
        <v>dgld</v>
      </c>
      <c r="C5082" s="3" t="str">
        <f>IFERROR(__xludf.DUMMYFUNCTION("""COMPUTED_VALUE"""),"SPDR Gold Shares Defichain")</f>
        <v>SPDR Gold Shares Defichain</v>
      </c>
    </row>
    <row r="5083">
      <c r="A5083" s="3" t="str">
        <f>IFERROR(__xludf.DUMMYFUNCTION("""COMPUTED_VALUE"""),"gleec-coin")</f>
        <v>gleec-coin</v>
      </c>
      <c r="B5083" s="3" t="str">
        <f>IFERROR(__xludf.DUMMYFUNCTION("""COMPUTED_VALUE"""),"gleec")</f>
        <v>gleec</v>
      </c>
      <c r="C5083" s="3" t="str">
        <f>IFERROR(__xludf.DUMMYFUNCTION("""COMPUTED_VALUE"""),"Gleec Coin")</f>
        <v>Gleec Coin</v>
      </c>
    </row>
    <row r="5084">
      <c r="A5084" s="3" t="str">
        <f>IFERROR(__xludf.DUMMYFUNCTION("""COMPUTED_VALUE"""),"glex")</f>
        <v>glex</v>
      </c>
      <c r="B5084" s="3" t="str">
        <f>IFERROR(__xludf.DUMMYFUNCTION("""COMPUTED_VALUE"""),"glex")</f>
        <v>glex</v>
      </c>
      <c r="C5084" s="3" t="str">
        <f>IFERROR(__xludf.DUMMYFUNCTION("""COMPUTED_VALUE"""),"GLEX")</f>
        <v>GLEX</v>
      </c>
    </row>
    <row r="5085">
      <c r="A5085" s="3" t="str">
        <f>IFERROR(__xludf.DUMMYFUNCTION("""COMPUTED_VALUE"""),"glide-finance")</f>
        <v>glide-finance</v>
      </c>
      <c r="B5085" s="3" t="str">
        <f>IFERROR(__xludf.DUMMYFUNCTION("""COMPUTED_VALUE"""),"glide")</f>
        <v>glide</v>
      </c>
      <c r="C5085" s="3" t="str">
        <f>IFERROR(__xludf.DUMMYFUNCTION("""COMPUTED_VALUE"""),"Glide Finance")</f>
        <v>Glide Finance</v>
      </c>
    </row>
    <row r="5086">
      <c r="A5086" s="3" t="str">
        <f>IFERROR(__xludf.DUMMYFUNCTION("""COMPUTED_VALUE"""),"glimpse")</f>
        <v>glimpse</v>
      </c>
      <c r="B5086" s="3" t="str">
        <f>IFERROR(__xludf.DUMMYFUNCTION("""COMPUTED_VALUE"""),"glms")</f>
        <v>glms</v>
      </c>
      <c r="C5086" s="3" t="str">
        <f>IFERROR(__xludf.DUMMYFUNCTION("""COMPUTED_VALUE"""),"Glimpse")</f>
        <v>Glimpse</v>
      </c>
    </row>
    <row r="5087">
      <c r="A5087" s="3" t="str">
        <f>IFERROR(__xludf.DUMMYFUNCTION("""COMPUTED_VALUE"""),"glink-arts-shares")</f>
        <v>glink-arts-shares</v>
      </c>
      <c r="B5087" s="3" t="str">
        <f>IFERROR(__xludf.DUMMYFUNCTION("""COMPUTED_VALUE"""),"garts")</f>
        <v>garts</v>
      </c>
      <c r="C5087" s="3" t="str">
        <f>IFERROR(__xludf.DUMMYFUNCTION("""COMPUTED_VALUE"""),"Glink Arts Share")</f>
        <v>Glink Arts Share</v>
      </c>
    </row>
    <row r="5088">
      <c r="A5088" s="3" t="str">
        <f>IFERROR(__xludf.DUMMYFUNCTION("""COMPUTED_VALUE"""),"glitch-protocol")</f>
        <v>glitch-protocol</v>
      </c>
      <c r="B5088" s="3" t="str">
        <f>IFERROR(__xludf.DUMMYFUNCTION("""COMPUTED_VALUE"""),"glch")</f>
        <v>glch</v>
      </c>
      <c r="C5088" s="3" t="str">
        <f>IFERROR(__xludf.DUMMYFUNCTION("""COMPUTED_VALUE"""),"Glitch Protocol")</f>
        <v>Glitch Protocol</v>
      </c>
    </row>
    <row r="5089">
      <c r="A5089" s="3" t="str">
        <f>IFERROR(__xludf.DUMMYFUNCTION("""COMPUTED_VALUE"""),"glitter-finance")</f>
        <v>glitter-finance</v>
      </c>
      <c r="B5089" s="3" t="str">
        <f>IFERROR(__xludf.DUMMYFUNCTION("""COMPUTED_VALUE"""),"xgli")</f>
        <v>xgli</v>
      </c>
      <c r="C5089" s="3" t="str">
        <f>IFERROR(__xludf.DUMMYFUNCTION("""COMPUTED_VALUE"""),"Glitter Finance")</f>
        <v>Glitter Finance</v>
      </c>
    </row>
    <row r="5090">
      <c r="A5090" s="3" t="str">
        <f>IFERROR(__xludf.DUMMYFUNCTION("""COMPUTED_VALUE"""),"glitzkoin")</f>
        <v>glitzkoin</v>
      </c>
      <c r="B5090" s="3" t="str">
        <f>IFERROR(__xludf.DUMMYFUNCTION("""COMPUTED_VALUE"""),"gtn")</f>
        <v>gtn</v>
      </c>
      <c r="C5090" s="3" t="str">
        <f>IFERROR(__xludf.DUMMYFUNCTION("""COMPUTED_VALUE"""),"GlitzKoin")</f>
        <v>GlitzKoin</v>
      </c>
    </row>
    <row r="5091">
      <c r="A5091" s="3" t="str">
        <f>IFERROR(__xludf.DUMMYFUNCTION("""COMPUTED_VALUE"""),"global-aex-token")</f>
        <v>global-aex-token</v>
      </c>
      <c r="B5091" s="3" t="str">
        <f>IFERROR(__xludf.DUMMYFUNCTION("""COMPUTED_VALUE"""),"gat")</f>
        <v>gat</v>
      </c>
      <c r="C5091" s="3" t="str">
        <f>IFERROR(__xludf.DUMMYFUNCTION("""COMPUTED_VALUE"""),"Global AEX")</f>
        <v>Global AEX</v>
      </c>
    </row>
    <row r="5092">
      <c r="A5092" s="3" t="str">
        <f>IFERROR(__xludf.DUMMYFUNCTION("""COMPUTED_VALUE"""),"globalboost")</f>
        <v>globalboost</v>
      </c>
      <c r="B5092" s="3" t="str">
        <f>IFERROR(__xludf.DUMMYFUNCTION("""COMPUTED_VALUE"""),"bsty")</f>
        <v>bsty</v>
      </c>
      <c r="C5092" s="3" t="str">
        <f>IFERROR(__xludf.DUMMYFUNCTION("""COMPUTED_VALUE"""),"GlobalBoost-Y")</f>
        <v>GlobalBoost-Y</v>
      </c>
    </row>
    <row r="5093">
      <c r="A5093" s="3" t="str">
        <f>IFERROR(__xludf.DUMMYFUNCTION("""COMPUTED_VALUE"""),"globalchainz")</f>
        <v>globalchainz</v>
      </c>
      <c r="B5093" s="3" t="str">
        <f>IFERROR(__xludf.DUMMYFUNCTION("""COMPUTED_VALUE"""),"gcz")</f>
        <v>gcz</v>
      </c>
      <c r="C5093" s="3" t="str">
        <f>IFERROR(__xludf.DUMMYFUNCTION("""COMPUTED_VALUE"""),"GlobalChainZ")</f>
        <v>GlobalChainZ</v>
      </c>
    </row>
    <row r="5094">
      <c r="A5094" s="3" t="str">
        <f>IFERROR(__xludf.DUMMYFUNCTION("""COMPUTED_VALUE"""),"global-china-cash")</f>
        <v>global-china-cash</v>
      </c>
      <c r="B5094" s="3" t="str">
        <f>IFERROR(__xludf.DUMMYFUNCTION("""COMPUTED_VALUE"""),"cnc")</f>
        <v>cnc</v>
      </c>
      <c r="C5094" s="3" t="str">
        <f>IFERROR(__xludf.DUMMYFUNCTION("""COMPUTED_VALUE"""),"Global China Cash")</f>
        <v>Global China Cash</v>
      </c>
    </row>
    <row r="5095">
      <c r="A5095" s="3" t="str">
        <f>IFERROR(__xludf.DUMMYFUNCTION("""COMPUTED_VALUE"""),"globalcoin")</f>
        <v>globalcoin</v>
      </c>
      <c r="B5095" s="3" t="str">
        <f>IFERROR(__xludf.DUMMYFUNCTION("""COMPUTED_VALUE"""),"glc")</f>
        <v>glc</v>
      </c>
      <c r="C5095" s="3" t="str">
        <f>IFERROR(__xludf.DUMMYFUNCTION("""COMPUTED_VALUE"""),"GlobalCoin")</f>
        <v>GlobalCoin</v>
      </c>
    </row>
    <row r="5096">
      <c r="A5096" s="3" t="str">
        <f>IFERROR(__xludf.DUMMYFUNCTION("""COMPUTED_VALUE"""),"global-coin-research")</f>
        <v>global-coin-research</v>
      </c>
      <c r="B5096" s="3" t="str">
        <f>IFERROR(__xludf.DUMMYFUNCTION("""COMPUTED_VALUE"""),"gcr")</f>
        <v>gcr</v>
      </c>
      <c r="C5096" s="3" t="str">
        <f>IFERROR(__xludf.DUMMYFUNCTION("""COMPUTED_VALUE"""),"Global Coin Research")</f>
        <v>Global Coin Research</v>
      </c>
    </row>
    <row r="5097">
      <c r="A5097" s="3" t="str">
        <f>IFERROR(__xludf.DUMMYFUNCTION("""COMPUTED_VALUE"""),"global-crypto-alliance")</f>
        <v>global-crypto-alliance</v>
      </c>
      <c r="B5097" s="3" t="str">
        <f>IFERROR(__xludf.DUMMYFUNCTION("""COMPUTED_VALUE"""),"call")</f>
        <v>call</v>
      </c>
      <c r="C5097" s="3" t="str">
        <f>IFERROR(__xludf.DUMMYFUNCTION("""COMPUTED_VALUE"""),"Global Crypto Alliance")</f>
        <v>Global Crypto Alliance</v>
      </c>
    </row>
    <row r="5098">
      <c r="A5098" s="3" t="str">
        <f>IFERROR(__xludf.DUMMYFUNCTION("""COMPUTED_VALUE"""),"global-digital-content")</f>
        <v>global-digital-content</v>
      </c>
      <c r="B5098" s="3" t="str">
        <f>IFERROR(__xludf.DUMMYFUNCTION("""COMPUTED_VALUE"""),"gdc")</f>
        <v>gdc</v>
      </c>
      <c r="C5098" s="3" t="str">
        <f>IFERROR(__xludf.DUMMYFUNCTION("""COMPUTED_VALUE"""),"Global Digital Content")</f>
        <v>Global Digital Content</v>
      </c>
    </row>
    <row r="5099">
      <c r="A5099" s="3" t="str">
        <f>IFERROR(__xludf.DUMMYFUNCTION("""COMPUTED_VALUE"""),"global-gaming")</f>
        <v>global-gaming</v>
      </c>
      <c r="B5099" s="3" t="str">
        <f>IFERROR(__xludf.DUMMYFUNCTION("""COMPUTED_VALUE"""),"gmng")</f>
        <v>gmng</v>
      </c>
      <c r="C5099" s="3" t="str">
        <f>IFERROR(__xludf.DUMMYFUNCTION("""COMPUTED_VALUE"""),"Global Gaming")</f>
        <v>Global Gaming</v>
      </c>
    </row>
    <row r="5100">
      <c r="A5100" s="3" t="str">
        <f>IFERROR(__xludf.DUMMYFUNCTION("""COMPUTED_VALUE"""),"globalgive")</f>
        <v>globalgive</v>
      </c>
      <c r="B5100" s="3" t="str">
        <f>IFERROR(__xludf.DUMMYFUNCTION("""COMPUTED_VALUE"""),"ggive")</f>
        <v>ggive</v>
      </c>
      <c r="C5100" s="3" t="str">
        <f>IFERROR(__xludf.DUMMYFUNCTION("""COMPUTED_VALUE"""),"GlobalGive")</f>
        <v>GlobalGive</v>
      </c>
    </row>
    <row r="5101">
      <c r="A5101" s="3" t="str">
        <f>IFERROR(__xludf.DUMMYFUNCTION("""COMPUTED_VALUE"""),"global-human-trust")</f>
        <v>global-human-trust</v>
      </c>
      <c r="B5101" s="3" t="str">
        <f>IFERROR(__xludf.DUMMYFUNCTION("""COMPUTED_VALUE"""),"ght")</f>
        <v>ght</v>
      </c>
      <c r="C5101" s="3" t="str">
        <f>IFERROR(__xludf.DUMMYFUNCTION("""COMPUTED_VALUE"""),"Global Human Trust")</f>
        <v>Global Human Trust</v>
      </c>
    </row>
    <row r="5102">
      <c r="A5102" s="3" t="str">
        <f>IFERROR(__xludf.DUMMYFUNCTION("""COMPUTED_VALUE"""),"global-innovative-solutions")</f>
        <v>global-innovative-solutions</v>
      </c>
      <c r="B5102" s="3" t="str">
        <f>IFERROR(__xludf.DUMMYFUNCTION("""COMPUTED_VALUE"""),"gsi")</f>
        <v>gsi</v>
      </c>
      <c r="C5102" s="3" t="str">
        <f>IFERROR(__xludf.DUMMYFUNCTION("""COMPUTED_VALUE"""),"Global Innovative Solutions")</f>
        <v>Global Innovative Solutions</v>
      </c>
    </row>
    <row r="5103">
      <c r="A5103" s="3" t="str">
        <f>IFERROR(__xludf.DUMMYFUNCTION("""COMPUTED_VALUE"""),"global-smart-asset")</f>
        <v>global-smart-asset</v>
      </c>
      <c r="B5103" s="3" t="str">
        <f>IFERROR(__xludf.DUMMYFUNCTION("""COMPUTED_VALUE"""),"gsa")</f>
        <v>gsa</v>
      </c>
      <c r="C5103" s="3" t="str">
        <f>IFERROR(__xludf.DUMMYFUNCTION("""COMPUTED_VALUE"""),"Global Smart Asset")</f>
        <v>Global Smart Asset</v>
      </c>
    </row>
    <row r="5104">
      <c r="A5104" s="3" t="str">
        <f>IFERROR(__xludf.DUMMYFUNCTION("""COMPUTED_VALUE"""),"global-social-chain")</f>
        <v>global-social-chain</v>
      </c>
      <c r="B5104" s="3" t="str">
        <f>IFERROR(__xludf.DUMMYFUNCTION("""COMPUTED_VALUE"""),"gsc")</f>
        <v>gsc</v>
      </c>
      <c r="C5104" s="3" t="str">
        <f>IFERROR(__xludf.DUMMYFUNCTION("""COMPUTED_VALUE"""),"Global Social Chain")</f>
        <v>Global Social Chain</v>
      </c>
    </row>
    <row r="5105">
      <c r="A5105" s="3" t="str">
        <f>IFERROR(__xludf.DUMMYFUNCTION("""COMPUTED_VALUE"""),"global-token-cash")</f>
        <v>global-token-cash</v>
      </c>
      <c r="B5105" s="3" t="str">
        <f>IFERROR(__xludf.DUMMYFUNCTION("""COMPUTED_VALUE"""),"gtc")</f>
        <v>gtc</v>
      </c>
      <c r="C5105" s="3" t="str">
        <f>IFERROR(__xludf.DUMMYFUNCTION("""COMPUTED_VALUE"""),"Global Token Cash")</f>
        <v>Global Token Cash</v>
      </c>
    </row>
    <row r="5106">
      <c r="A5106" s="3" t="str">
        <f>IFERROR(__xludf.DUMMYFUNCTION("""COMPUTED_VALUE"""),"global-trading-xenocurren")</f>
        <v>global-trading-xenocurren</v>
      </c>
      <c r="B5106" s="3" t="str">
        <f>IFERROR(__xludf.DUMMYFUNCTION("""COMPUTED_VALUE"""),"gtx")</f>
        <v>gtx</v>
      </c>
      <c r="C5106" s="3" t="str">
        <f>IFERROR(__xludf.DUMMYFUNCTION("""COMPUTED_VALUE"""),"Global Trading Xenocurrency")</f>
        <v>Global Trading Xenocurrency</v>
      </c>
    </row>
    <row r="5107">
      <c r="A5107" s="3" t="str">
        <f>IFERROR(__xludf.DUMMYFUNCTION("""COMPUTED_VALUE"""),"global-trust-coin")</f>
        <v>global-trust-coin</v>
      </c>
      <c r="B5107" s="3" t="str">
        <f>IFERROR(__xludf.DUMMYFUNCTION("""COMPUTED_VALUE"""),"gtc")</f>
        <v>gtc</v>
      </c>
      <c r="C5107" s="3" t="str">
        <f>IFERROR(__xludf.DUMMYFUNCTION("""COMPUTED_VALUE"""),"Global Trust Coin")</f>
        <v>Global Trust Coin</v>
      </c>
    </row>
    <row r="5108">
      <c r="A5108" s="3" t="str">
        <f>IFERROR(__xludf.DUMMYFUNCTION("""COMPUTED_VALUE"""),"globaltrustfund")</f>
        <v>globaltrustfund</v>
      </c>
      <c r="B5108" s="3" t="str">
        <f>IFERROR(__xludf.DUMMYFUNCTION("""COMPUTED_VALUE"""),"gtf")</f>
        <v>gtf</v>
      </c>
      <c r="C5108" s="3" t="str">
        <f>IFERROR(__xludf.DUMMYFUNCTION("""COMPUTED_VALUE"""),"GLOBALTRUSTFUND")</f>
        <v>GLOBALTRUSTFUND</v>
      </c>
    </row>
    <row r="5109">
      <c r="A5109" s="3" t="str">
        <f>IFERROR(__xludf.DUMMYFUNCTION("""COMPUTED_VALUE"""),"globe-derivative-exchange")</f>
        <v>globe-derivative-exchange</v>
      </c>
      <c r="B5109" s="3" t="str">
        <f>IFERROR(__xludf.DUMMYFUNCTION("""COMPUTED_VALUE"""),"gdt")</f>
        <v>gdt</v>
      </c>
      <c r="C5109" s="3" t="str">
        <f>IFERROR(__xludf.DUMMYFUNCTION("""COMPUTED_VALUE"""),"Globe Derivative Exchange")</f>
        <v>Globe Derivative Exchange</v>
      </c>
    </row>
    <row r="5110">
      <c r="A5110" s="3" t="str">
        <f>IFERROR(__xludf.DUMMYFUNCTION("""COMPUTED_VALUE"""),"globiance-exchange")</f>
        <v>globiance-exchange</v>
      </c>
      <c r="B5110" s="3" t="str">
        <f>IFERROR(__xludf.DUMMYFUNCTION("""COMPUTED_VALUE"""),"gbex")</f>
        <v>gbex</v>
      </c>
      <c r="C5110" s="3" t="str">
        <f>IFERROR(__xludf.DUMMYFUNCTION("""COMPUTED_VALUE"""),"Globiance Exchange")</f>
        <v>Globiance Exchange</v>
      </c>
    </row>
    <row r="5111">
      <c r="A5111" s="3" t="str">
        <f>IFERROR(__xludf.DUMMYFUNCTION("""COMPUTED_VALUE"""),"glorydoge")</f>
        <v>glorydoge</v>
      </c>
      <c r="B5111" s="3" t="str">
        <f>IFERROR(__xludf.DUMMYFUNCTION("""COMPUTED_VALUE"""),"gloryd")</f>
        <v>gloryd</v>
      </c>
      <c r="C5111" s="3" t="str">
        <f>IFERROR(__xludf.DUMMYFUNCTION("""COMPUTED_VALUE"""),"GloryDoge")</f>
        <v>GloryDoge</v>
      </c>
    </row>
    <row r="5112">
      <c r="A5112" s="3" t="str">
        <f>IFERROR(__xludf.DUMMYFUNCTION("""COMPUTED_VALUE"""),"glory-hero")</f>
        <v>glory-hero</v>
      </c>
      <c r="B5112" s="3" t="str">
        <f>IFERROR(__xludf.DUMMYFUNCTION("""COMPUTED_VALUE"""),"gho")</f>
        <v>gho</v>
      </c>
      <c r="C5112" s="3" t="str">
        <f>IFERROR(__xludf.DUMMYFUNCTION("""COMPUTED_VALUE"""),"Glory Hero")</f>
        <v>Glory Hero</v>
      </c>
    </row>
    <row r="5113">
      <c r="A5113" s="3" t="str">
        <f>IFERROR(__xludf.DUMMYFUNCTION("""COMPUTED_VALUE"""),"glosfer-token")</f>
        <v>glosfer-token</v>
      </c>
      <c r="B5113" s="3" t="str">
        <f>IFERROR(__xludf.DUMMYFUNCTION("""COMPUTED_VALUE"""),"glo")</f>
        <v>glo</v>
      </c>
      <c r="C5113" s="3" t="str">
        <f>IFERROR(__xludf.DUMMYFUNCTION("""COMPUTED_VALUE"""),"Glosfer")</f>
        <v>Glosfer</v>
      </c>
    </row>
    <row r="5114">
      <c r="A5114" s="3" t="str">
        <f>IFERROR(__xludf.DUMMYFUNCTION("""COMPUTED_VALUE"""),"glouki")</f>
        <v>glouki</v>
      </c>
      <c r="B5114" s="3" t="str">
        <f>IFERROR(__xludf.DUMMYFUNCTION("""COMPUTED_VALUE"""),"glk")</f>
        <v>glk</v>
      </c>
      <c r="C5114" s="3" t="str">
        <f>IFERROR(__xludf.DUMMYFUNCTION("""COMPUTED_VALUE"""),"Glouki")</f>
        <v>Glouki</v>
      </c>
    </row>
    <row r="5115">
      <c r="A5115" s="3" t="str">
        <f>IFERROR(__xludf.DUMMYFUNCTION("""COMPUTED_VALUE"""),"glow")</f>
        <v>glow</v>
      </c>
      <c r="B5115" s="3" t="str">
        <f>IFERROR(__xludf.DUMMYFUNCTION("""COMPUTED_VALUE"""),"glow")</f>
        <v>glow</v>
      </c>
      <c r="C5115" s="3" t="str">
        <f>IFERROR(__xludf.DUMMYFUNCTION("""COMPUTED_VALUE"""),"Glow")</f>
        <v>Glow</v>
      </c>
    </row>
    <row r="5116">
      <c r="A5116" s="3" t="str">
        <f>IFERROR(__xludf.DUMMYFUNCTION("""COMPUTED_VALUE"""),"glowv2")</f>
        <v>glowv2</v>
      </c>
      <c r="B5116" s="3" t="str">
        <f>IFERROR(__xludf.DUMMYFUNCTION("""COMPUTED_VALUE"""),"glowv2")</f>
        <v>glowv2</v>
      </c>
      <c r="C5116" s="3" t="str">
        <f>IFERROR(__xludf.DUMMYFUNCTION("""COMPUTED_VALUE"""),"GlowV2")</f>
        <v>GlowV2</v>
      </c>
    </row>
    <row r="5117">
      <c r="A5117" s="3" t="str">
        <f>IFERROR(__xludf.DUMMYFUNCTION("""COMPUTED_VALUE"""),"glox-finance")</f>
        <v>glox-finance</v>
      </c>
      <c r="B5117" s="3" t="str">
        <f>IFERROR(__xludf.DUMMYFUNCTION("""COMPUTED_VALUE"""),"glox")</f>
        <v>glox</v>
      </c>
      <c r="C5117" s="3" t="str">
        <f>IFERROR(__xludf.DUMMYFUNCTION("""COMPUTED_VALUE"""),"Glox Finance")</f>
        <v>Glox Finance</v>
      </c>
    </row>
    <row r="5118">
      <c r="A5118" s="3" t="str">
        <f>IFERROR(__xludf.DUMMYFUNCTION("""COMPUTED_VALUE"""),"glyph-vault-nftx")</f>
        <v>glyph-vault-nftx</v>
      </c>
      <c r="B5118" s="3" t="str">
        <f>IFERROR(__xludf.DUMMYFUNCTION("""COMPUTED_VALUE"""),"glyph")</f>
        <v>glyph</v>
      </c>
      <c r="C5118" s="3" t="str">
        <f>IFERROR(__xludf.DUMMYFUNCTION("""COMPUTED_VALUE"""),"GLYPH Vault (NFTX)")</f>
        <v>GLYPH Vault (NFTX)</v>
      </c>
    </row>
    <row r="5119">
      <c r="A5119" s="3" t="str">
        <f>IFERROR(__xludf.DUMMYFUNCTION("""COMPUTED_VALUE"""),"gm")</f>
        <v>gm</v>
      </c>
      <c r="B5119" s="3" t="str">
        <f>IFERROR(__xludf.DUMMYFUNCTION("""COMPUTED_VALUE"""),"gm")</f>
        <v>gm</v>
      </c>
      <c r="C5119" s="3" t="str">
        <f>IFERROR(__xludf.DUMMYFUNCTION("""COMPUTED_VALUE"""),"GM")</f>
        <v>GM</v>
      </c>
    </row>
    <row r="5120">
      <c r="A5120" s="3" t="str">
        <f>IFERROR(__xludf.DUMMYFUNCTION("""COMPUTED_VALUE"""),"gmcoin")</f>
        <v>gmcoin</v>
      </c>
      <c r="B5120" s="3" t="str">
        <f>IFERROR(__xludf.DUMMYFUNCTION("""COMPUTED_VALUE"""),"gm")</f>
        <v>gm</v>
      </c>
      <c r="C5120" s="3" t="str">
        <f>IFERROR(__xludf.DUMMYFUNCTION("""COMPUTED_VALUE"""),"GM Holding")</f>
        <v>GM Holding</v>
      </c>
    </row>
    <row r="5121">
      <c r="A5121" s="3" t="str">
        <f>IFERROR(__xludf.DUMMYFUNCTION("""COMPUTED_VALUE"""),"gmcoin-2")</f>
        <v>gmcoin-2</v>
      </c>
      <c r="B5121" s="3" t="str">
        <f>IFERROR(__xludf.DUMMYFUNCTION("""COMPUTED_VALUE"""),"gmcoin")</f>
        <v>gmcoin</v>
      </c>
      <c r="C5121" s="3" t="str">
        <f>IFERROR(__xludf.DUMMYFUNCTION("""COMPUTED_VALUE"""),"GMCoin")</f>
        <v>GMCoin</v>
      </c>
    </row>
    <row r="5122">
      <c r="A5122" s="3" t="str">
        <f>IFERROR(__xludf.DUMMYFUNCTION("""COMPUTED_VALUE"""),"gmd-protocol")</f>
        <v>gmd-protocol</v>
      </c>
      <c r="B5122" s="3" t="str">
        <f>IFERROR(__xludf.DUMMYFUNCTION("""COMPUTED_VALUE"""),"gmd")</f>
        <v>gmd</v>
      </c>
      <c r="C5122" s="3" t="str">
        <f>IFERROR(__xludf.DUMMYFUNCTION("""COMPUTED_VALUE"""),"GMD Protocol")</f>
        <v>GMD Protocol</v>
      </c>
    </row>
    <row r="5123">
      <c r="A5123" s="3" t="str">
        <f>IFERROR(__xludf.DUMMYFUNCTION("""COMPUTED_VALUE"""),"gm-floki")</f>
        <v>gm-floki</v>
      </c>
      <c r="B5123" s="3" t="str">
        <f>IFERROR(__xludf.DUMMYFUNCTION("""COMPUTED_VALUE"""),"gmfloki")</f>
        <v>gmfloki</v>
      </c>
      <c r="C5123" s="3" t="str">
        <f>IFERROR(__xludf.DUMMYFUNCTION("""COMPUTED_VALUE"""),"GM Floki")</f>
        <v>GM Floki</v>
      </c>
    </row>
    <row r="5124">
      <c r="A5124" s="3" t="str">
        <f>IFERROR(__xludf.DUMMYFUNCTION("""COMPUTED_VALUE"""),"gmsol")</f>
        <v>gmsol</v>
      </c>
      <c r="B5124" s="3" t="str">
        <f>IFERROR(__xludf.DUMMYFUNCTION("""COMPUTED_VALUE"""),"gmsol")</f>
        <v>gmsol</v>
      </c>
      <c r="C5124" s="3" t="str">
        <f>IFERROR(__xludf.DUMMYFUNCTION("""COMPUTED_VALUE"""),"GMSOL")</f>
        <v>GMSOL</v>
      </c>
    </row>
    <row r="5125">
      <c r="A5125" s="3" t="str">
        <f>IFERROR(__xludf.DUMMYFUNCTION("""COMPUTED_VALUE"""),"gmt-token")</f>
        <v>gmt-token</v>
      </c>
      <c r="B5125" s="3" t="str">
        <f>IFERROR(__xludf.DUMMYFUNCTION("""COMPUTED_VALUE"""),"gmt")</f>
        <v>gmt</v>
      </c>
      <c r="C5125" s="3" t="str">
        <f>IFERROR(__xludf.DUMMYFUNCTION("""COMPUTED_VALUE"""),"GMT")</f>
        <v>GMT</v>
      </c>
    </row>
    <row r="5126">
      <c r="A5126" s="3" t="str">
        <f>IFERROR(__xludf.DUMMYFUNCTION("""COMPUTED_VALUE"""),"gmx")</f>
        <v>gmx</v>
      </c>
      <c r="B5126" s="3" t="str">
        <f>IFERROR(__xludf.DUMMYFUNCTION("""COMPUTED_VALUE"""),"gmx")</f>
        <v>gmx</v>
      </c>
      <c r="C5126" s="3" t="str">
        <f>IFERROR(__xludf.DUMMYFUNCTION("""COMPUTED_VALUE"""),"GMX")</f>
        <v>GMX</v>
      </c>
    </row>
    <row r="5127">
      <c r="A5127" s="3" t="str">
        <f>IFERROR(__xludf.DUMMYFUNCTION("""COMPUTED_VALUE"""),"gn")</f>
        <v>gn</v>
      </c>
      <c r="B5127" s="3" t="str">
        <f>IFERROR(__xludf.DUMMYFUNCTION("""COMPUTED_VALUE"""),"gn")</f>
        <v>gn</v>
      </c>
      <c r="C5127" s="3" t="str">
        <f>IFERROR(__xludf.DUMMYFUNCTION("""COMPUTED_VALUE"""),"GN")</f>
        <v>GN</v>
      </c>
    </row>
    <row r="5128">
      <c r="A5128" s="3" t="str">
        <f>IFERROR(__xludf.DUMMYFUNCTION("""COMPUTED_VALUE"""),"gnar-token")</f>
        <v>gnar-token</v>
      </c>
      <c r="B5128" s="3" t="str">
        <f>IFERROR(__xludf.DUMMYFUNCTION("""COMPUTED_VALUE"""),"gnar")</f>
        <v>gnar</v>
      </c>
      <c r="C5128" s="3" t="str">
        <f>IFERROR(__xludf.DUMMYFUNCTION("""COMPUTED_VALUE"""),"GNAR")</f>
        <v>GNAR</v>
      </c>
    </row>
    <row r="5129">
      <c r="A5129" s="3" t="str">
        <f>IFERROR(__xludf.DUMMYFUNCTION("""COMPUTED_VALUE"""),"gnft")</f>
        <v>gnft</v>
      </c>
      <c r="B5129" s="3" t="str">
        <f>IFERROR(__xludf.DUMMYFUNCTION("""COMPUTED_VALUE"""),"gnft")</f>
        <v>gnft</v>
      </c>
      <c r="C5129" s="3" t="str">
        <f>IFERROR(__xludf.DUMMYFUNCTION("""COMPUTED_VALUE"""),"GNFT")</f>
        <v>GNFT</v>
      </c>
    </row>
    <row r="5130">
      <c r="A5130" s="3" t="str">
        <f>IFERROR(__xludf.DUMMYFUNCTION("""COMPUTED_VALUE"""),"gnome")</f>
        <v>gnome</v>
      </c>
      <c r="B5130" s="3" t="str">
        <f>IFERROR(__xludf.DUMMYFUNCTION("""COMPUTED_VALUE"""),"$gnome")</f>
        <v>$gnome</v>
      </c>
      <c r="C5130" s="3" t="str">
        <f>IFERROR(__xludf.DUMMYFUNCTION("""COMPUTED_VALUE"""),"GNOME")</f>
        <v>GNOME</v>
      </c>
    </row>
    <row r="5131">
      <c r="A5131" s="3" t="str">
        <f>IFERROR(__xludf.DUMMYFUNCTION("""COMPUTED_VALUE"""),"gnome-mines")</f>
        <v>gnome-mines</v>
      </c>
      <c r="B5131" s="3" t="str">
        <f>IFERROR(__xludf.DUMMYFUNCTION("""COMPUTED_VALUE"""),"gmines")</f>
        <v>gmines</v>
      </c>
      <c r="C5131" s="3" t="str">
        <f>IFERROR(__xludf.DUMMYFUNCTION("""COMPUTED_VALUE"""),"Gnome Mines")</f>
        <v>Gnome Mines</v>
      </c>
    </row>
    <row r="5132">
      <c r="A5132" s="3" t="str">
        <f>IFERROR(__xludf.DUMMYFUNCTION("""COMPUTED_VALUE"""),"gnome-mines-token-v2")</f>
        <v>gnome-mines-token-v2</v>
      </c>
      <c r="B5132" s="3" t="str">
        <f>IFERROR(__xludf.DUMMYFUNCTION("""COMPUTED_VALUE"""),"gminesv2")</f>
        <v>gminesv2</v>
      </c>
      <c r="C5132" s="3" t="str">
        <f>IFERROR(__xludf.DUMMYFUNCTION("""COMPUTED_VALUE"""),"Gnome Mines Token V2")</f>
        <v>Gnome Mines Token V2</v>
      </c>
    </row>
    <row r="5133">
      <c r="A5133" s="3" t="str">
        <f>IFERROR(__xludf.DUMMYFUNCTION("""COMPUTED_VALUE"""),"gnosis")</f>
        <v>gnosis</v>
      </c>
      <c r="B5133" s="3" t="str">
        <f>IFERROR(__xludf.DUMMYFUNCTION("""COMPUTED_VALUE"""),"gno")</f>
        <v>gno</v>
      </c>
      <c r="C5133" s="3" t="str">
        <f>IFERROR(__xludf.DUMMYFUNCTION("""COMPUTED_VALUE"""),"Gnosis")</f>
        <v>Gnosis</v>
      </c>
    </row>
    <row r="5134">
      <c r="A5134" s="3" t="str">
        <f>IFERROR(__xludf.DUMMYFUNCTION("""COMPUTED_VALUE"""),"gny")</f>
        <v>gny</v>
      </c>
      <c r="B5134" s="3" t="str">
        <f>IFERROR(__xludf.DUMMYFUNCTION("""COMPUTED_VALUE"""),"gny")</f>
        <v>gny</v>
      </c>
      <c r="C5134" s="3" t="str">
        <f>IFERROR(__xludf.DUMMYFUNCTION("""COMPUTED_VALUE"""),"GNY")</f>
        <v>GNY</v>
      </c>
    </row>
    <row r="5135">
      <c r="A5135" s="3" t="str">
        <f>IFERROR(__xludf.DUMMYFUNCTION("""COMPUTED_VALUE"""),"go2e-otm")</f>
        <v>go2e-otm</v>
      </c>
      <c r="B5135" s="3" t="str">
        <f>IFERROR(__xludf.DUMMYFUNCTION("""COMPUTED_VALUE"""),"otm")</f>
        <v>otm</v>
      </c>
      <c r="C5135" s="3" t="str">
        <f>IFERROR(__xludf.DUMMYFUNCTION("""COMPUTED_VALUE"""),"GO2E OTM")</f>
        <v>GO2E OTM</v>
      </c>
    </row>
    <row r="5136">
      <c r="A5136" s="3" t="str">
        <f>IFERROR(__xludf.DUMMYFUNCTION("""COMPUTED_VALUE"""),"go2e-token")</f>
        <v>go2e-token</v>
      </c>
      <c r="B5136" s="3" t="str">
        <f>IFERROR(__xludf.DUMMYFUNCTION("""COMPUTED_VALUE"""),"gte")</f>
        <v>gte</v>
      </c>
      <c r="C5136" s="3" t="str">
        <f>IFERROR(__xludf.DUMMYFUNCTION("""COMPUTED_VALUE"""),"GO2E GTE")</f>
        <v>GO2E GTE</v>
      </c>
    </row>
    <row r="5137">
      <c r="A5137" s="3" t="str">
        <f>IFERROR(__xludf.DUMMYFUNCTION("""COMPUTED_VALUE"""),"goal")</f>
        <v>goal</v>
      </c>
      <c r="B5137" s="3" t="str">
        <f>IFERROR(__xludf.DUMMYFUNCTION("""COMPUTED_VALUE"""),"goal")</f>
        <v>goal</v>
      </c>
      <c r="C5137" s="3" t="str">
        <f>IFERROR(__xludf.DUMMYFUNCTION("""COMPUTED_VALUE"""),"CronosFC")</f>
        <v>CronosFC</v>
      </c>
    </row>
    <row r="5138">
      <c r="A5138" s="3" t="str">
        <f>IFERROR(__xludf.DUMMYFUNCTION("""COMPUTED_VALUE"""),"goaltime-n")</f>
        <v>goaltime-n</v>
      </c>
      <c r="B5138" s="3" t="str">
        <f>IFERROR(__xludf.DUMMYFUNCTION("""COMPUTED_VALUE"""),"gtx")</f>
        <v>gtx</v>
      </c>
      <c r="C5138" s="3" t="str">
        <f>IFERROR(__xludf.DUMMYFUNCTION("""COMPUTED_VALUE"""),"GoalTime N")</f>
        <v>GoalTime N</v>
      </c>
    </row>
    <row r="5139">
      <c r="A5139" s="3" t="str">
        <f>IFERROR(__xludf.DUMMYFUNCTION("""COMPUTED_VALUE"""),"goal-token")</f>
        <v>goal-token</v>
      </c>
      <c r="B5139" s="3" t="str">
        <f>IFERROR(__xludf.DUMMYFUNCTION("""COMPUTED_VALUE"""),"goal")</f>
        <v>goal</v>
      </c>
      <c r="C5139" s="3" t="str">
        <f>IFERROR(__xludf.DUMMYFUNCTION("""COMPUTED_VALUE"""),"Goal")</f>
        <v>Goal</v>
      </c>
    </row>
    <row r="5140">
      <c r="A5140" s="3" t="str">
        <f>IFERROR(__xludf.DUMMYFUNCTION("""COMPUTED_VALUE"""),"goalw")</f>
        <v>goalw</v>
      </c>
      <c r="B5140" s="3" t="str">
        <f>IFERROR(__xludf.DUMMYFUNCTION("""COMPUTED_VALUE"""),"glw")</f>
        <v>glw</v>
      </c>
      <c r="C5140" s="3" t="str">
        <f>IFERROR(__xludf.DUMMYFUNCTION("""COMPUTED_VALUE"""),"GoalW")</f>
        <v>GoalW</v>
      </c>
    </row>
    <row r="5141">
      <c r="A5141" s="3" t="str">
        <f>IFERROR(__xludf.DUMMYFUNCTION("""COMPUTED_VALUE"""),"goat-coin")</f>
        <v>goat-coin</v>
      </c>
      <c r="B5141" s="3" t="str">
        <f>IFERROR(__xludf.DUMMYFUNCTION("""COMPUTED_VALUE"""),"goat")</f>
        <v>goat</v>
      </c>
      <c r="C5141" s="3" t="str">
        <f>IFERROR(__xludf.DUMMYFUNCTION("""COMPUTED_VALUE"""),"Goat Coin")</f>
        <v>Goat Coin</v>
      </c>
    </row>
    <row r="5142">
      <c r="A5142" s="3" t="str">
        <f>IFERROR(__xludf.DUMMYFUNCTION("""COMPUTED_VALUE"""),"goat-gang")</f>
        <v>goat-gang</v>
      </c>
      <c r="B5142" s="3" t="str">
        <f>IFERROR(__xludf.DUMMYFUNCTION("""COMPUTED_VALUE"""),"ggt")</f>
        <v>ggt</v>
      </c>
      <c r="C5142" s="3" t="str">
        <f>IFERROR(__xludf.DUMMYFUNCTION("""COMPUTED_VALUE"""),"Goat Gang")</f>
        <v>Goat Gang</v>
      </c>
    </row>
    <row r="5143">
      <c r="A5143" s="3" t="str">
        <f>IFERROR(__xludf.DUMMYFUNCTION("""COMPUTED_VALUE"""),"goats")</f>
        <v>goats</v>
      </c>
      <c r="B5143" s="3" t="str">
        <f>IFERROR(__xludf.DUMMYFUNCTION("""COMPUTED_VALUE"""),"goats")</f>
        <v>goats</v>
      </c>
      <c r="C5143" s="3" t="str">
        <f>IFERROR(__xludf.DUMMYFUNCTION("""COMPUTED_VALUE"""),"GOATS")</f>
        <v>GOATS</v>
      </c>
    </row>
    <row r="5144">
      <c r="A5144" s="3" t="str">
        <f>IFERROR(__xludf.DUMMYFUNCTION("""COMPUTED_VALUE"""),"g-o-a-t-token")</f>
        <v>g-o-a-t-token</v>
      </c>
      <c r="B5144" s="3" t="str">
        <f>IFERROR(__xludf.DUMMYFUNCTION("""COMPUTED_VALUE"""),"g.o.a.t")</f>
        <v>g.o.a.t</v>
      </c>
      <c r="C5144" s="3" t="str">
        <f>IFERROR(__xludf.DUMMYFUNCTION("""COMPUTED_VALUE"""),"G.O.A.T")</f>
        <v>G.O.A.T</v>
      </c>
    </row>
    <row r="5145">
      <c r="A5145" s="3" t="str">
        <f>IFERROR(__xludf.DUMMYFUNCTION("""COMPUTED_VALUE"""),"goblin")</f>
        <v>goblin</v>
      </c>
      <c r="B5145" s="3" t="str">
        <f>IFERROR(__xludf.DUMMYFUNCTION("""COMPUTED_VALUE"""),"goblin")</f>
        <v>goblin</v>
      </c>
      <c r="C5145" s="3" t="str">
        <f>IFERROR(__xludf.DUMMYFUNCTION("""COMPUTED_VALUE"""),"Goblin")</f>
        <v>Goblin</v>
      </c>
    </row>
    <row r="5146">
      <c r="A5146" s="3" t="str">
        <f>IFERROR(__xludf.DUMMYFUNCTION("""COMPUTED_VALUE"""),"gobtc")</f>
        <v>gobtc</v>
      </c>
      <c r="B5146" s="3" t="str">
        <f>IFERROR(__xludf.DUMMYFUNCTION("""COMPUTED_VALUE"""),"gobtc")</f>
        <v>gobtc</v>
      </c>
      <c r="C5146" s="3" t="str">
        <f>IFERROR(__xludf.DUMMYFUNCTION("""COMPUTED_VALUE"""),"goBTC")</f>
        <v>goBTC</v>
      </c>
    </row>
    <row r="5147">
      <c r="A5147" s="3" t="str">
        <f>IFERROR(__xludf.DUMMYFUNCTION("""COMPUTED_VALUE"""),"gobyte")</f>
        <v>gobyte</v>
      </c>
      <c r="B5147" s="3" t="str">
        <f>IFERROR(__xludf.DUMMYFUNCTION("""COMPUTED_VALUE"""),"gbx")</f>
        <v>gbx</v>
      </c>
      <c r="C5147" s="3" t="str">
        <f>IFERROR(__xludf.DUMMYFUNCTION("""COMPUTED_VALUE"""),"GoByte")</f>
        <v>GoByte</v>
      </c>
    </row>
    <row r="5148">
      <c r="A5148" s="3" t="str">
        <f>IFERROR(__xludf.DUMMYFUNCTION("""COMPUTED_VALUE"""),"gochain")</f>
        <v>gochain</v>
      </c>
      <c r="B5148" s="3" t="str">
        <f>IFERROR(__xludf.DUMMYFUNCTION("""COMPUTED_VALUE"""),"go")</f>
        <v>go</v>
      </c>
      <c r="C5148" s="3" t="str">
        <f>IFERROR(__xludf.DUMMYFUNCTION("""COMPUTED_VALUE"""),"GoChain")</f>
        <v>GoChain</v>
      </c>
    </row>
    <row r="5149">
      <c r="A5149" s="3" t="str">
        <f>IFERROR(__xludf.DUMMYFUNCTION("""COMPUTED_VALUE"""),"gocryptome")</f>
        <v>gocryptome</v>
      </c>
      <c r="B5149" s="3" t="str">
        <f>IFERROR(__xludf.DUMMYFUNCTION("""COMPUTED_VALUE"""),"gcme")</f>
        <v>gcme</v>
      </c>
      <c r="C5149" s="3" t="str">
        <f>IFERROR(__xludf.DUMMYFUNCTION("""COMPUTED_VALUE"""),"GoCryptoMe")</f>
        <v>GoCryptoMe</v>
      </c>
    </row>
    <row r="5150">
      <c r="A5150" s="3" t="str">
        <f>IFERROR(__xludf.DUMMYFUNCTION("""COMPUTED_VALUE"""),"gode-chain")</f>
        <v>gode-chain</v>
      </c>
      <c r="B5150" s="3" t="str">
        <f>IFERROR(__xludf.DUMMYFUNCTION("""COMPUTED_VALUE"""),"gode")</f>
        <v>gode</v>
      </c>
      <c r="C5150" s="3" t="str">
        <f>IFERROR(__xludf.DUMMYFUNCTION("""COMPUTED_VALUE"""),"Gode Chain")</f>
        <v>Gode Chain</v>
      </c>
    </row>
    <row r="5151">
      <c r="A5151" s="3" t="str">
        <f>IFERROR(__xludf.DUMMYFUNCTION("""COMPUTED_VALUE"""),"gods-and-legends")</f>
        <v>gods-and-legends</v>
      </c>
      <c r="B5151" s="3" t="str">
        <f>IFERROR(__xludf.DUMMYFUNCTION("""COMPUTED_VALUE"""),"gnlr")</f>
        <v>gnlr</v>
      </c>
      <c r="C5151" s="3" t="str">
        <f>IFERROR(__xludf.DUMMYFUNCTION("""COMPUTED_VALUE"""),"Gods and Legends")</f>
        <v>Gods and Legends</v>
      </c>
    </row>
    <row r="5152">
      <c r="A5152" s="3" t="str">
        <f>IFERROR(__xludf.DUMMYFUNCTION("""COMPUTED_VALUE"""),"gods-unchained")</f>
        <v>gods-unchained</v>
      </c>
      <c r="B5152" s="3" t="str">
        <f>IFERROR(__xludf.DUMMYFUNCTION("""COMPUTED_VALUE"""),"gods")</f>
        <v>gods</v>
      </c>
      <c r="C5152" s="3" t="str">
        <f>IFERROR(__xludf.DUMMYFUNCTION("""COMPUTED_VALUE"""),"Gods Unchained")</f>
        <v>Gods Unchained</v>
      </c>
    </row>
    <row r="5153">
      <c r="A5153" s="3" t="str">
        <f>IFERROR(__xludf.DUMMYFUNCTION("""COMPUTED_VALUE"""),"godzilla")</f>
        <v>godzilla</v>
      </c>
      <c r="B5153" s="3" t="str">
        <f>IFERROR(__xludf.DUMMYFUNCTION("""COMPUTED_VALUE"""),"godz")</f>
        <v>godz</v>
      </c>
      <c r="C5153" s="3" t="str">
        <f>IFERROR(__xludf.DUMMYFUNCTION("""COMPUTED_VALUE"""),"Godzilla")</f>
        <v>Godzilla</v>
      </c>
    </row>
    <row r="5154">
      <c r="A5154" s="3" t="str">
        <f>IFERROR(__xludf.DUMMYFUNCTION("""COMPUTED_VALUE"""),"goeth")</f>
        <v>goeth</v>
      </c>
      <c r="B5154" s="3" t="str">
        <f>IFERROR(__xludf.DUMMYFUNCTION("""COMPUTED_VALUE"""),"goeth")</f>
        <v>goeth</v>
      </c>
      <c r="C5154" s="3" t="str">
        <f>IFERROR(__xludf.DUMMYFUNCTION("""COMPUTED_VALUE"""),"goETH")</f>
        <v>goETH</v>
      </c>
    </row>
    <row r="5155">
      <c r="A5155" s="3" t="str">
        <f>IFERROR(__xludf.DUMMYFUNCTION("""COMPUTED_VALUE"""),"gofit-token")</f>
        <v>gofit-token</v>
      </c>
      <c r="B5155" s="3" t="str">
        <f>IFERROR(__xludf.DUMMYFUNCTION("""COMPUTED_VALUE"""),"gof")</f>
        <v>gof</v>
      </c>
      <c r="C5155" s="3" t="str">
        <f>IFERROR(__xludf.DUMMYFUNCTION("""COMPUTED_VALUE"""),"GoFit Token")</f>
        <v>GoFit Token</v>
      </c>
    </row>
    <row r="5156">
      <c r="A5156" s="3" t="str">
        <f>IFERROR(__xludf.DUMMYFUNCTION("""COMPUTED_VALUE"""),"gogocoin")</f>
        <v>gogocoin</v>
      </c>
      <c r="B5156" s="3" t="str">
        <f>IFERROR(__xludf.DUMMYFUNCTION("""COMPUTED_VALUE"""),"gogo")</f>
        <v>gogo</v>
      </c>
      <c r="C5156" s="3" t="str">
        <f>IFERROR(__xludf.DUMMYFUNCTION("""COMPUTED_VALUE"""),"GOGOcoin")</f>
        <v>GOGOcoin</v>
      </c>
    </row>
    <row r="5157">
      <c r="A5157" s="3" t="str">
        <f>IFERROR(__xludf.DUMMYFUNCTION("""COMPUTED_VALUE"""),"gogo-finance")</f>
        <v>gogo-finance</v>
      </c>
      <c r="B5157" s="3" t="str">
        <f>IFERROR(__xludf.DUMMYFUNCTION("""COMPUTED_VALUE"""),"gogo")</f>
        <v>gogo</v>
      </c>
      <c r="C5157" s="3" t="str">
        <f>IFERROR(__xludf.DUMMYFUNCTION("""COMPUTED_VALUE"""),"GOGO Finance")</f>
        <v>GOGO Finance</v>
      </c>
    </row>
    <row r="5158">
      <c r="A5158" s="3" t="str">
        <f>IFERROR(__xludf.DUMMYFUNCTION("""COMPUTED_VALUE"""),"gogolcoin")</f>
        <v>gogolcoin</v>
      </c>
      <c r="B5158" s="3" t="str">
        <f>IFERROR(__xludf.DUMMYFUNCTION("""COMPUTED_VALUE"""),"gol")</f>
        <v>gol</v>
      </c>
      <c r="C5158" s="3" t="str">
        <f>IFERROR(__xludf.DUMMYFUNCTION("""COMPUTED_VALUE"""),"GogolCoin")</f>
        <v>GogolCoin</v>
      </c>
    </row>
    <row r="5159">
      <c r="A5159" s="3" t="str">
        <f>IFERROR(__xludf.DUMMYFUNCTION("""COMPUTED_VALUE"""),"goin")</f>
        <v>goin</v>
      </c>
      <c r="B5159" s="3" t="str">
        <f>IFERROR(__xludf.DUMMYFUNCTION("""COMPUTED_VALUE"""),"goin")</f>
        <v>goin</v>
      </c>
      <c r="C5159" s="3" t="str">
        <f>IFERROR(__xludf.DUMMYFUNCTION("""COMPUTED_VALUE"""),"GOIN")</f>
        <v>GOIN</v>
      </c>
    </row>
    <row r="5160">
      <c r="A5160" s="3" t="str">
        <f>IFERROR(__xludf.DUMMYFUNCTION("""COMPUTED_VALUE"""),"goku")</f>
        <v>goku</v>
      </c>
      <c r="B5160" s="3" t="str">
        <f>IFERROR(__xludf.DUMMYFUNCTION("""COMPUTED_VALUE"""),"goku")</f>
        <v>goku</v>
      </c>
      <c r="C5160" s="3" t="str">
        <f>IFERROR(__xludf.DUMMYFUNCTION("""COMPUTED_VALUE"""),"Goku")</f>
        <v>Goku</v>
      </c>
    </row>
    <row r="5161">
      <c r="A5161" s="3" t="str">
        <f>IFERROR(__xludf.DUMMYFUNCTION("""COMPUTED_VALUE"""),"gokumarket-credit")</f>
        <v>gokumarket-credit</v>
      </c>
      <c r="B5161" s="3" t="str">
        <f>IFERROR(__xludf.DUMMYFUNCTION("""COMPUTED_VALUE"""),"gmc")</f>
        <v>gmc</v>
      </c>
      <c r="C5161" s="3" t="str">
        <f>IFERROR(__xludf.DUMMYFUNCTION("""COMPUTED_VALUE"""),"GokuMarket Credit")</f>
        <v>GokuMarket Credit</v>
      </c>
    </row>
    <row r="5162">
      <c r="A5162" s="3" t="str">
        <f>IFERROR(__xludf.DUMMYFUNCTION("""COMPUTED_VALUE"""),"golcoin")</f>
        <v>golcoin</v>
      </c>
      <c r="B5162" s="3" t="str">
        <f>IFERROR(__xludf.DUMMYFUNCTION("""COMPUTED_VALUE"""),"golc")</f>
        <v>golc</v>
      </c>
      <c r="C5162" s="3" t="str">
        <f>IFERROR(__xludf.DUMMYFUNCTION("""COMPUTED_VALUE"""),"GOLCOIN")</f>
        <v>GOLCOIN</v>
      </c>
    </row>
    <row r="5163">
      <c r="A5163" s="3" t="str">
        <f>IFERROR(__xludf.DUMMYFUNCTION("""COMPUTED_VALUE"""),"gold8")</f>
        <v>gold8</v>
      </c>
      <c r="B5163" s="3" t="str">
        <f>IFERROR(__xludf.DUMMYFUNCTION("""COMPUTED_VALUE"""),"gold8")</f>
        <v>gold8</v>
      </c>
      <c r="C5163" s="3" t="str">
        <f>IFERROR(__xludf.DUMMYFUNCTION("""COMPUTED_VALUE"""),"GOLD8")</f>
        <v>GOLD8</v>
      </c>
    </row>
    <row r="5164">
      <c r="A5164" s="3" t="str">
        <f>IFERROR(__xludf.DUMMYFUNCTION("""COMPUTED_VALUE"""),"goldario")</f>
        <v>goldario</v>
      </c>
      <c r="B5164" s="3" t="str">
        <f>IFERROR(__xludf.DUMMYFUNCTION("""COMPUTED_VALUE"""),"gld")</f>
        <v>gld</v>
      </c>
      <c r="C5164" s="3" t="str">
        <f>IFERROR(__xludf.DUMMYFUNCTION("""COMPUTED_VALUE"""),"Goldario")</f>
        <v>Goldario</v>
      </c>
    </row>
    <row r="5165">
      <c r="A5165" s="3" t="str">
        <f>IFERROR(__xludf.DUMMYFUNCTION("""COMPUTED_VALUE"""),"goldblocks")</f>
        <v>goldblocks</v>
      </c>
      <c r="B5165" s="3" t="str">
        <f>IFERROR(__xludf.DUMMYFUNCTION("""COMPUTED_VALUE"""),"gb")</f>
        <v>gb</v>
      </c>
      <c r="C5165" s="3" t="str">
        <f>IFERROR(__xludf.DUMMYFUNCTION("""COMPUTED_VALUE"""),"GoldBlocks")</f>
        <v>GoldBlocks</v>
      </c>
    </row>
    <row r="5166">
      <c r="A5166" s="3" t="str">
        <f>IFERROR(__xludf.DUMMYFUNCTION("""COMPUTED_VALUE"""),"goldcoin")</f>
        <v>goldcoin</v>
      </c>
      <c r="B5166" s="3" t="str">
        <f>IFERROR(__xludf.DUMMYFUNCTION("""COMPUTED_VALUE"""),"glc")</f>
        <v>glc</v>
      </c>
      <c r="C5166" s="3" t="str">
        <f>IFERROR(__xludf.DUMMYFUNCTION("""COMPUTED_VALUE"""),"Goldcoin")</f>
        <v>Goldcoin</v>
      </c>
    </row>
    <row r="5167">
      <c r="A5167" s="3" t="str">
        <f>IFERROR(__xludf.DUMMYFUNCTION("""COMPUTED_VALUE"""),"golddoge-sachs")</f>
        <v>golddoge-sachs</v>
      </c>
      <c r="B5167" s="3" t="str">
        <f>IFERROR(__xludf.DUMMYFUNCTION("""COMPUTED_VALUE"""),"$gds")</f>
        <v>$gds</v>
      </c>
      <c r="C5167" s="3" t="str">
        <f>IFERROR(__xludf.DUMMYFUNCTION("""COMPUTED_VALUE"""),"Golddoge Sachs")</f>
        <v>Golddoge Sachs</v>
      </c>
    </row>
    <row r="5168">
      <c r="A5168" s="3" t="str">
        <f>IFERROR(__xludf.DUMMYFUNCTION("""COMPUTED_VALUE"""),"goldefy")</f>
        <v>goldefy</v>
      </c>
      <c r="B5168" s="3" t="str">
        <f>IFERROR(__xludf.DUMMYFUNCTION("""COMPUTED_VALUE"""),"god")</f>
        <v>god</v>
      </c>
      <c r="C5168" s="3" t="str">
        <f>IFERROR(__xludf.DUMMYFUNCTION("""COMPUTED_VALUE"""),"GoldeFy")</f>
        <v>GoldeFy</v>
      </c>
    </row>
    <row r="5169">
      <c r="A5169" s="3" t="str">
        <f>IFERROR(__xludf.DUMMYFUNCTION("""COMPUTED_VALUE"""),"golden-age")</f>
        <v>golden-age</v>
      </c>
      <c r="B5169" s="3" t="str">
        <f>IFERROR(__xludf.DUMMYFUNCTION("""COMPUTED_VALUE"""),"ga")</f>
        <v>ga</v>
      </c>
      <c r="C5169" s="3" t="str">
        <f>IFERROR(__xludf.DUMMYFUNCTION("""COMPUTED_VALUE"""),"Golden Age")</f>
        <v>Golden Age</v>
      </c>
    </row>
    <row r="5170">
      <c r="A5170" s="3" t="str">
        <f>IFERROR(__xludf.DUMMYFUNCTION("""COMPUTED_VALUE"""),"golden-ball")</f>
        <v>golden-ball</v>
      </c>
      <c r="B5170" s="3" t="str">
        <f>IFERROR(__xludf.DUMMYFUNCTION("""COMPUTED_VALUE"""),"glb")</f>
        <v>glb</v>
      </c>
      <c r="C5170" s="3" t="str">
        <f>IFERROR(__xludf.DUMMYFUNCTION("""COMPUTED_VALUE"""),"Golden Ball")</f>
        <v>Golden Ball</v>
      </c>
    </row>
    <row r="5171">
      <c r="A5171" s="3" t="str">
        <f>IFERROR(__xludf.DUMMYFUNCTION("""COMPUTED_VALUE"""),"golden-banana")</f>
        <v>golden-banana</v>
      </c>
      <c r="B5171" s="3" t="str">
        <f>IFERROR(__xludf.DUMMYFUNCTION("""COMPUTED_VALUE"""),"gba")</f>
        <v>gba</v>
      </c>
      <c r="C5171" s="3" t="str">
        <f>IFERROR(__xludf.DUMMYFUNCTION("""COMPUTED_VALUE"""),"Golden Banana")</f>
        <v>Golden Banana</v>
      </c>
    </row>
    <row r="5172">
      <c r="A5172" s="3" t="str">
        <f>IFERROR(__xludf.DUMMYFUNCTION("""COMPUTED_VALUE"""),"goldendiamond9")</f>
        <v>goldendiamond9</v>
      </c>
      <c r="B5172" s="3" t="str">
        <f>IFERROR(__xludf.DUMMYFUNCTION("""COMPUTED_VALUE"""),"g9")</f>
        <v>g9</v>
      </c>
      <c r="C5172" s="3" t="str">
        <f>IFERROR(__xludf.DUMMYFUNCTION("""COMPUTED_VALUE"""),"GoldenDiamond9")</f>
        <v>GoldenDiamond9</v>
      </c>
    </row>
    <row r="5173">
      <c r="A5173" s="3" t="str">
        <f>IFERROR(__xludf.DUMMYFUNCTION("""COMPUTED_VALUE"""),"golden-doge")</f>
        <v>golden-doge</v>
      </c>
      <c r="B5173" s="3" t="str">
        <f>IFERROR(__xludf.DUMMYFUNCTION("""COMPUTED_VALUE"""),"gdoge")</f>
        <v>gdoge</v>
      </c>
      <c r="C5173" s="3" t="str">
        <f>IFERROR(__xludf.DUMMYFUNCTION("""COMPUTED_VALUE"""),"Golden Doge")</f>
        <v>Golden Doge</v>
      </c>
    </row>
    <row r="5174">
      <c r="A5174" s="3" t="str">
        <f>IFERROR(__xludf.DUMMYFUNCTION("""COMPUTED_VALUE"""),"golden-goal")</f>
        <v>golden-goal</v>
      </c>
      <c r="B5174" s="3" t="str">
        <f>IFERROR(__xludf.DUMMYFUNCTION("""COMPUTED_VALUE"""),"gdg")</f>
        <v>gdg</v>
      </c>
      <c r="C5174" s="3" t="str">
        <f>IFERROR(__xludf.DUMMYFUNCTION("""COMPUTED_VALUE"""),"Golden Goal")</f>
        <v>Golden Goal</v>
      </c>
    </row>
    <row r="5175">
      <c r="A5175" s="3" t="str">
        <f>IFERROR(__xludf.DUMMYFUNCTION("""COMPUTED_VALUE"""),"golden-goose")</f>
        <v>golden-goose</v>
      </c>
      <c r="B5175" s="3" t="str">
        <f>IFERROR(__xludf.DUMMYFUNCTION("""COMPUTED_VALUE"""),"gold")</f>
        <v>gold</v>
      </c>
      <c r="C5175" s="3" t="str">
        <f>IFERROR(__xludf.DUMMYFUNCTION("""COMPUTED_VALUE"""),"Golden Goose")</f>
        <v>Golden Goose</v>
      </c>
    </row>
    <row r="5176">
      <c r="A5176" s="3" t="str">
        <f>IFERROR(__xludf.DUMMYFUNCTION("""COMPUTED_VALUE"""),"golden-ratio-coin")</f>
        <v>golden-ratio-coin</v>
      </c>
      <c r="B5176" s="3" t="str">
        <f>IFERROR(__xludf.DUMMYFUNCTION("""COMPUTED_VALUE"""),"goldr")</f>
        <v>goldr</v>
      </c>
      <c r="C5176" s="3" t="str">
        <f>IFERROR(__xludf.DUMMYFUNCTION("""COMPUTED_VALUE"""),"Golden Ratio Coin")</f>
        <v>Golden Ratio Coin</v>
      </c>
    </row>
    <row r="5177">
      <c r="A5177" s="3" t="str">
        <f>IFERROR(__xludf.DUMMYFUNCTION("""COMPUTED_VALUE"""),"golden-roots")</f>
        <v>golden-roots</v>
      </c>
      <c r="B5177" s="3" t="str">
        <f>IFERROR(__xludf.DUMMYFUNCTION("""COMPUTED_VALUE"""),"gdr")</f>
        <v>gdr</v>
      </c>
      <c r="C5177" s="3" t="str">
        <f>IFERROR(__xludf.DUMMYFUNCTION("""COMPUTED_VALUE"""),"Golden Roots")</f>
        <v>Golden Roots</v>
      </c>
    </row>
    <row r="5178">
      <c r="A5178" s="3" t="str">
        <f>IFERROR(__xludf.DUMMYFUNCTION("""COMPUTED_VALUE"""),"golden-society-token-v2")</f>
        <v>golden-society-token-v2</v>
      </c>
      <c r="B5178" s="3" t="str">
        <f>IFERROR(__xludf.DUMMYFUNCTION("""COMPUTED_VALUE"""),"gdsy")</f>
        <v>gdsy</v>
      </c>
      <c r="C5178" s="3" t="str">
        <f>IFERROR(__xludf.DUMMYFUNCTION("""COMPUTED_VALUE"""),"Golden Society Token V2")</f>
        <v>Golden Society Token V2</v>
      </c>
    </row>
    <row r="5179">
      <c r="A5179" s="3" t="str">
        <f>IFERROR(__xludf.DUMMYFUNCTION("""COMPUTED_VALUE"""),"golden-token")</f>
        <v>golden-token</v>
      </c>
      <c r="B5179" s="3" t="str">
        <f>IFERROR(__xludf.DUMMYFUNCTION("""COMPUTED_VALUE"""),"gold")</f>
        <v>gold</v>
      </c>
      <c r="C5179" s="3" t="str">
        <f>IFERROR(__xludf.DUMMYFUNCTION("""COMPUTED_VALUE"""),"Golden")</f>
        <v>Golden</v>
      </c>
    </row>
    <row r="5180">
      <c r="A5180" s="3" t="str">
        <f>IFERROR(__xludf.DUMMYFUNCTION("""COMPUTED_VALUE"""),"goldenzone")</f>
        <v>goldenzone</v>
      </c>
      <c r="B5180" s="3" t="str">
        <f>IFERROR(__xludf.DUMMYFUNCTION("""COMPUTED_VALUE"""),"gld")</f>
        <v>gld</v>
      </c>
      <c r="C5180" s="3" t="str">
        <f>IFERROR(__xludf.DUMMYFUNCTION("""COMPUTED_VALUE"""),"Goldenzone")</f>
        <v>Goldenzone</v>
      </c>
    </row>
    <row r="5181">
      <c r="A5181" s="3" t="str">
        <f>IFERROR(__xludf.DUMMYFUNCTION("""COMPUTED_VALUE"""),"goldex-token")</f>
        <v>goldex-token</v>
      </c>
      <c r="B5181" s="3" t="str">
        <f>IFERROR(__xludf.DUMMYFUNCTION("""COMPUTED_VALUE"""),"gldx")</f>
        <v>gldx</v>
      </c>
      <c r="C5181" s="3" t="str">
        <f>IFERROR(__xludf.DUMMYFUNCTION("""COMPUTED_VALUE"""),"Goldex")</f>
        <v>Goldex</v>
      </c>
    </row>
    <row r="5182">
      <c r="A5182" s="3" t="str">
        <f>IFERROR(__xludf.DUMMYFUNCTION("""COMPUTED_VALUE"""),"goldfarm")</f>
        <v>goldfarm</v>
      </c>
      <c r="B5182" s="3" t="str">
        <f>IFERROR(__xludf.DUMMYFUNCTION("""COMPUTED_VALUE"""),"gold")</f>
        <v>gold</v>
      </c>
      <c r="C5182" s="3" t="str">
        <f>IFERROR(__xludf.DUMMYFUNCTION("""COMPUTED_VALUE"""),"GoldFarm")</f>
        <v>GoldFarm</v>
      </c>
    </row>
    <row r="5183">
      <c r="A5183" s="3" t="str">
        <f>IFERROR(__xludf.DUMMYFUNCTION("""COMPUTED_VALUE"""),"gold-fever-native-gold")</f>
        <v>gold-fever-native-gold</v>
      </c>
      <c r="B5183" s="3" t="str">
        <f>IFERROR(__xludf.DUMMYFUNCTION("""COMPUTED_VALUE"""),"ngl")</f>
        <v>ngl</v>
      </c>
      <c r="C5183" s="3" t="str">
        <f>IFERROR(__xludf.DUMMYFUNCTION("""COMPUTED_VALUE"""),"Gold Fever Native Gold")</f>
        <v>Gold Fever Native Gold</v>
      </c>
    </row>
    <row r="5184">
      <c r="A5184" s="3" t="str">
        <f>IFERROR(__xludf.DUMMYFUNCTION("""COMPUTED_VALUE"""),"goldfinch")</f>
        <v>goldfinch</v>
      </c>
      <c r="B5184" s="3" t="str">
        <f>IFERROR(__xludf.DUMMYFUNCTION("""COMPUTED_VALUE"""),"gfi")</f>
        <v>gfi</v>
      </c>
      <c r="C5184" s="3" t="str">
        <f>IFERROR(__xludf.DUMMYFUNCTION("""COMPUTED_VALUE"""),"Goldfinch")</f>
        <v>Goldfinch</v>
      </c>
    </row>
    <row r="5185">
      <c r="A5185" s="3" t="str">
        <f>IFERROR(__xludf.DUMMYFUNCTION("""COMPUTED_VALUE"""),"gold-guaranteed-coin")</f>
        <v>gold-guaranteed-coin</v>
      </c>
      <c r="B5185" s="3" t="str">
        <f>IFERROR(__xludf.DUMMYFUNCTION("""COMPUTED_VALUE"""),"ggcm")</f>
        <v>ggcm</v>
      </c>
      <c r="C5185" s="3" t="str">
        <f>IFERROR(__xludf.DUMMYFUNCTION("""COMPUTED_VALUE"""),"Gold Guaranteed Coin")</f>
        <v>Gold Guaranteed Coin</v>
      </c>
    </row>
    <row r="5186">
      <c r="A5186" s="3" t="str">
        <f>IFERROR(__xludf.DUMMYFUNCTION("""COMPUTED_VALUE"""),"goldkash")</f>
        <v>goldkash</v>
      </c>
      <c r="B5186" s="3" t="str">
        <f>IFERROR(__xludf.DUMMYFUNCTION("""COMPUTED_VALUE"""),"xgk")</f>
        <v>xgk</v>
      </c>
      <c r="C5186" s="3" t="str">
        <f>IFERROR(__xludf.DUMMYFUNCTION("""COMPUTED_VALUE"""),"GoldKash")</f>
        <v>GoldKash</v>
      </c>
    </row>
    <row r="5187">
      <c r="A5187" s="3" t="str">
        <f>IFERROR(__xludf.DUMMYFUNCTION("""COMPUTED_VALUE"""),"goldminer")</f>
        <v>goldminer</v>
      </c>
      <c r="B5187" s="3" t="str">
        <f>IFERROR(__xludf.DUMMYFUNCTION("""COMPUTED_VALUE"""),"gm")</f>
        <v>gm</v>
      </c>
      <c r="C5187" s="3" t="str">
        <f>IFERROR(__xludf.DUMMYFUNCTION("""COMPUTED_VALUE"""),"GoldMiner")</f>
        <v>GoldMiner</v>
      </c>
    </row>
    <row r="5188">
      <c r="A5188" s="3" t="str">
        <f>IFERROR(__xludf.DUMMYFUNCTION("""COMPUTED_VALUE"""),"gold-mining-members")</f>
        <v>gold-mining-members</v>
      </c>
      <c r="B5188" s="3" t="str">
        <f>IFERROR(__xludf.DUMMYFUNCTION("""COMPUTED_VALUE"""),"gmm")</f>
        <v>gmm</v>
      </c>
      <c r="C5188" s="3" t="str">
        <f>IFERROR(__xludf.DUMMYFUNCTION("""COMPUTED_VALUE"""),"Gold Mining Members")</f>
        <v>Gold Mining Members</v>
      </c>
    </row>
    <row r="5189">
      <c r="A5189" s="3" t="str">
        <f>IFERROR(__xludf.DUMMYFUNCTION("""COMPUTED_VALUE"""),"goldmint")</f>
        <v>goldmint</v>
      </c>
      <c r="B5189" s="3" t="str">
        <f>IFERROR(__xludf.DUMMYFUNCTION("""COMPUTED_VALUE"""),"mntp")</f>
        <v>mntp</v>
      </c>
      <c r="C5189" s="3" t="str">
        <f>IFERROR(__xludf.DUMMYFUNCTION("""COMPUTED_VALUE"""),"Goldmint")</f>
        <v>Goldmint</v>
      </c>
    </row>
    <row r="5190">
      <c r="A5190" s="3" t="str">
        <f>IFERROR(__xludf.DUMMYFUNCTION("""COMPUTED_VALUE"""),"goldnugget")</f>
        <v>goldnugget</v>
      </c>
      <c r="B5190" s="3" t="str">
        <f>IFERROR(__xludf.DUMMYFUNCTION("""COMPUTED_VALUE"""),"ngt")</f>
        <v>ngt</v>
      </c>
      <c r="C5190" s="3" t="str">
        <f>IFERROR(__xludf.DUMMYFUNCTION("""COMPUTED_VALUE"""),"Gold Nugget")</f>
        <v>Gold Nugget</v>
      </c>
    </row>
    <row r="5191">
      <c r="A5191" s="3" t="str">
        <f>IFERROR(__xludf.DUMMYFUNCTION("""COMPUTED_VALUE"""),"goldpesa-option")</f>
        <v>goldpesa-option</v>
      </c>
      <c r="B5191" s="3" t="str">
        <f>IFERROR(__xludf.DUMMYFUNCTION("""COMPUTED_VALUE"""),"gpo")</f>
        <v>gpo</v>
      </c>
      <c r="C5191" s="3" t="str">
        <f>IFERROR(__xludf.DUMMYFUNCTION("""COMPUTED_VALUE"""),"GoldPesa Option")</f>
        <v>GoldPesa Option</v>
      </c>
    </row>
    <row r="5192">
      <c r="A5192" s="3" t="str">
        <f>IFERROR(__xludf.DUMMYFUNCTION("""COMPUTED_VALUE"""),"gold-retriever")</f>
        <v>gold-retriever</v>
      </c>
      <c r="B5192" s="3" t="str">
        <f>IFERROR(__xludf.DUMMYFUNCTION("""COMPUTED_VALUE"""),"gldn")</f>
        <v>gldn</v>
      </c>
      <c r="C5192" s="3" t="str">
        <f>IFERROR(__xludf.DUMMYFUNCTION("""COMPUTED_VALUE"""),"Gold Retriever")</f>
        <v>Gold Retriever</v>
      </c>
    </row>
    <row r="5193">
      <c r="A5193" s="3" t="str">
        <f>IFERROR(__xludf.DUMMYFUNCTION("""COMPUTED_VALUE"""),"gold-rush")</f>
        <v>gold-rush</v>
      </c>
      <c r="B5193" s="3" t="str">
        <f>IFERROR(__xludf.DUMMYFUNCTION("""COMPUTED_VALUE"""),"grush")</f>
        <v>grush</v>
      </c>
      <c r="C5193" s="3" t="str">
        <f>IFERROR(__xludf.DUMMYFUNCTION("""COMPUTED_VALUE"""),"Gold Rush")</f>
        <v>Gold Rush</v>
      </c>
    </row>
    <row r="5194">
      <c r="A5194" s="3" t="str">
        <f>IFERROR(__xludf.DUMMYFUNCTION("""COMPUTED_VALUE"""),"gold-rush-finance")</f>
        <v>gold-rush-finance</v>
      </c>
      <c r="B5194" s="3" t="str">
        <f>IFERROR(__xludf.DUMMYFUNCTION("""COMPUTED_VALUE"""),"$grush")</f>
        <v>$grush</v>
      </c>
      <c r="C5194" s="3" t="str">
        <f>IFERROR(__xludf.DUMMYFUNCTION("""COMPUTED_VALUE"""),"Gold Rush Finance")</f>
        <v>Gold Rush Finance</v>
      </c>
    </row>
    <row r="5195">
      <c r="A5195" s="3" t="str">
        <f>IFERROR(__xludf.DUMMYFUNCTION("""COMPUTED_VALUE"""),"gold-secured-currency")</f>
        <v>gold-secured-currency</v>
      </c>
      <c r="B5195" s="3" t="str">
        <f>IFERROR(__xludf.DUMMYFUNCTION("""COMPUTED_VALUE"""),"gsx")</f>
        <v>gsx</v>
      </c>
      <c r="C5195" s="3" t="str">
        <f>IFERROR(__xludf.DUMMYFUNCTION("""COMPUTED_VALUE"""),"Gold Secured Currency")</f>
        <v>Gold Secured Currency</v>
      </c>
    </row>
    <row r="5196">
      <c r="A5196" s="3" t="str">
        <f>IFERROR(__xludf.DUMMYFUNCTION("""COMPUTED_VALUE"""),"gold-socialfi-gamefi")</f>
        <v>gold-socialfi-gamefi</v>
      </c>
      <c r="B5196" s="3" t="str">
        <f>IFERROR(__xludf.DUMMYFUNCTION("""COMPUTED_VALUE"""),"gsg")</f>
        <v>gsg</v>
      </c>
      <c r="C5196" s="3" t="str">
        <f>IFERROR(__xludf.DUMMYFUNCTION("""COMPUTED_VALUE"""),"Gold Socialfi GameFi")</f>
        <v>Gold Socialfi GameFi</v>
      </c>
    </row>
    <row r="5197">
      <c r="A5197" s="3" t="str">
        <f>IFERROR(__xludf.DUMMYFUNCTION("""COMPUTED_VALUE"""),"goldstars-coin")</f>
        <v>goldstars-coin</v>
      </c>
      <c r="B5197" s="3" t="str">
        <f>IFERROR(__xludf.DUMMYFUNCTION("""COMPUTED_VALUE"""),"gsc")</f>
        <v>gsc</v>
      </c>
      <c r="C5197" s="3" t="str">
        <f>IFERROR(__xludf.DUMMYFUNCTION("""COMPUTED_VALUE"""),"Goldstars Coin")</f>
        <v>Goldstars Coin</v>
      </c>
    </row>
    <row r="5198">
      <c r="A5198" s="3" t="str">
        <f>IFERROR(__xludf.DUMMYFUNCTION("""COMPUTED_VALUE"""),"golem")</f>
        <v>golem</v>
      </c>
      <c r="B5198" s="3" t="str">
        <f>IFERROR(__xludf.DUMMYFUNCTION("""COMPUTED_VALUE"""),"glm")</f>
        <v>glm</v>
      </c>
      <c r="C5198" s="3" t="str">
        <f>IFERROR(__xludf.DUMMYFUNCTION("""COMPUTED_VALUE"""),"Golem")</f>
        <v>Golem</v>
      </c>
    </row>
    <row r="5199">
      <c r="A5199" s="3" t="str">
        <f>IFERROR(__xludf.DUMMYFUNCTION("""COMPUTED_VALUE"""),"golff")</f>
        <v>golff</v>
      </c>
      <c r="B5199" s="3" t="str">
        <f>IFERROR(__xludf.DUMMYFUNCTION("""COMPUTED_VALUE"""),"gof")</f>
        <v>gof</v>
      </c>
      <c r="C5199" s="3" t="str">
        <f>IFERROR(__xludf.DUMMYFUNCTION("""COMPUTED_VALUE"""),"Golff")</f>
        <v>Golff</v>
      </c>
    </row>
    <row r="5200">
      <c r="A5200" s="3" t="str">
        <f>IFERROR(__xludf.DUMMYFUNCTION("""COMPUTED_VALUE"""),"golfrochain")</f>
        <v>golfrochain</v>
      </c>
      <c r="B5200" s="3" t="str">
        <f>IFERROR(__xludf.DUMMYFUNCTION("""COMPUTED_VALUE"""),"golf")</f>
        <v>golf</v>
      </c>
      <c r="C5200" s="3" t="str">
        <f>IFERROR(__xludf.DUMMYFUNCTION("""COMPUTED_VALUE"""),"Golfrochain")</f>
        <v>Golfrochain</v>
      </c>
    </row>
    <row r="5201">
      <c r="A5201" s="3" t="str">
        <f>IFERROR(__xludf.DUMMYFUNCTION("""COMPUTED_VALUE"""),"gomeat")</f>
        <v>gomeat</v>
      </c>
      <c r="B5201" s="3" t="str">
        <f>IFERROR(__xludf.DUMMYFUNCTION("""COMPUTED_VALUE"""),"gomt")</f>
        <v>gomt</v>
      </c>
      <c r="C5201" s="3" t="str">
        <f>IFERROR(__xludf.DUMMYFUNCTION("""COMPUTED_VALUE"""),"GoMeat")</f>
        <v>GoMeat</v>
      </c>
    </row>
    <row r="5202">
      <c r="A5202" s="3" t="str">
        <f>IFERROR(__xludf.DUMMYFUNCTION("""COMPUTED_VALUE"""),"gomics")</f>
        <v>gomics</v>
      </c>
      <c r="B5202" s="3" t="str">
        <f>IFERROR(__xludf.DUMMYFUNCTION("""COMPUTED_VALUE"""),"gom")</f>
        <v>gom</v>
      </c>
      <c r="C5202" s="3" t="str">
        <f>IFERROR(__xludf.DUMMYFUNCTION("""COMPUTED_VALUE"""),"Gomics")</f>
        <v>Gomics</v>
      </c>
    </row>
    <row r="5203">
      <c r="A5203" s="3" t="str">
        <f>IFERROR(__xludf.DUMMYFUNCTION("""COMPUTED_VALUE"""),"gomoney2")</f>
        <v>gomoney2</v>
      </c>
      <c r="B5203" s="3" t="str">
        <f>IFERROR(__xludf.DUMMYFUNCTION("""COMPUTED_VALUE"""),"gom2")</f>
        <v>gom2</v>
      </c>
      <c r="C5203" s="3" t="str">
        <f>IFERROR(__xludf.DUMMYFUNCTION("""COMPUTED_VALUE"""),"GoMoney2")</f>
        <v>GoMoney2</v>
      </c>
    </row>
    <row r="5204">
      <c r="A5204" s="3" t="str">
        <f>IFERROR(__xludf.DUMMYFUNCTION("""COMPUTED_VALUE"""),"gondola-finance")</f>
        <v>gondola-finance</v>
      </c>
      <c r="B5204" s="3" t="str">
        <f>IFERROR(__xludf.DUMMYFUNCTION("""COMPUTED_VALUE"""),"gdl")</f>
        <v>gdl</v>
      </c>
      <c r="C5204" s="3" t="str">
        <f>IFERROR(__xludf.DUMMYFUNCTION("""COMPUTED_VALUE"""),"Gondola Finance")</f>
        <v>Gondola Finance</v>
      </c>
    </row>
    <row r="5205">
      <c r="A5205" s="3" t="str">
        <f>IFERROR(__xludf.DUMMYFUNCTION("""COMPUTED_VALUE"""),"gonetwork")</f>
        <v>gonetwork</v>
      </c>
      <c r="B5205" s="3" t="str">
        <f>IFERROR(__xludf.DUMMYFUNCTION("""COMPUTED_VALUE"""),"got")</f>
        <v>got</v>
      </c>
      <c r="C5205" s="3" t="str">
        <f>IFERROR(__xludf.DUMMYFUNCTION("""COMPUTED_VALUE"""),"GoNetwork")</f>
        <v>GoNetwork</v>
      </c>
    </row>
    <row r="5206">
      <c r="A5206" s="3" t="str">
        <f>IFERROR(__xludf.DUMMYFUNCTION("""COMPUTED_VALUE"""),"good-bridging")</f>
        <v>good-bridging</v>
      </c>
      <c r="B5206" s="3" t="str">
        <f>IFERROR(__xludf.DUMMYFUNCTION("""COMPUTED_VALUE"""),"gb")</f>
        <v>gb</v>
      </c>
      <c r="C5206" s="3" t="str">
        <f>IFERROR(__xludf.DUMMYFUNCTION("""COMPUTED_VALUE"""),"Good Bridging")</f>
        <v>Good Bridging</v>
      </c>
    </row>
    <row r="5207">
      <c r="A5207" s="3" t="str">
        <f>IFERROR(__xludf.DUMMYFUNCTION("""COMPUTED_VALUE"""),"good-dog")</f>
        <v>good-dog</v>
      </c>
      <c r="B5207" s="3" t="str">
        <f>IFERROR(__xludf.DUMMYFUNCTION("""COMPUTED_VALUE"""),"heel")</f>
        <v>heel</v>
      </c>
      <c r="C5207" s="3" t="str">
        <f>IFERROR(__xludf.DUMMYFUNCTION("""COMPUTED_VALUE"""),"Good Dog")</f>
        <v>Good Dog</v>
      </c>
    </row>
    <row r="5208">
      <c r="A5208" s="3" t="str">
        <f>IFERROR(__xludf.DUMMYFUNCTION("""COMPUTED_VALUE"""),"good-doge")</f>
        <v>good-doge</v>
      </c>
      <c r="B5208" s="3" t="str">
        <f>IFERROR(__xludf.DUMMYFUNCTION("""COMPUTED_VALUE"""),"treat")</f>
        <v>treat</v>
      </c>
      <c r="C5208" s="3" t="str">
        <f>IFERROR(__xludf.DUMMYFUNCTION("""COMPUTED_VALUE"""),"Good Doge")</f>
        <v>Good Doge</v>
      </c>
    </row>
    <row r="5209">
      <c r="A5209" s="3" t="str">
        <f>IFERROR(__xludf.DUMMYFUNCTION("""COMPUTED_VALUE"""),"good-fire")</f>
        <v>good-fire</v>
      </c>
      <c r="B5209" s="3" t="str">
        <f>IFERROR(__xludf.DUMMYFUNCTION("""COMPUTED_VALUE"""),"gf")</f>
        <v>gf</v>
      </c>
      <c r="C5209" s="3" t="str">
        <f>IFERROR(__xludf.DUMMYFUNCTION("""COMPUTED_VALUE"""),"Good Fire")</f>
        <v>Good Fire</v>
      </c>
    </row>
    <row r="5210">
      <c r="A5210" s="3" t="str">
        <f>IFERROR(__xludf.DUMMYFUNCTION("""COMPUTED_VALUE"""),"good-games-guild")</f>
        <v>good-games-guild</v>
      </c>
      <c r="B5210" s="3" t="str">
        <f>IFERROR(__xludf.DUMMYFUNCTION("""COMPUTED_VALUE"""),"ggg")</f>
        <v>ggg</v>
      </c>
      <c r="C5210" s="3" t="str">
        <f>IFERROR(__xludf.DUMMYFUNCTION("""COMPUTED_VALUE"""),"Good Games Guild")</f>
        <v>Good Games Guild</v>
      </c>
    </row>
    <row r="5211">
      <c r="A5211" s="3" t="str">
        <f>IFERROR(__xludf.DUMMYFUNCTION("""COMPUTED_VALUE"""),"good-person-coin")</f>
        <v>good-person-coin</v>
      </c>
      <c r="B5211" s="3" t="str">
        <f>IFERROR(__xludf.DUMMYFUNCTION("""COMPUTED_VALUE"""),"gpcx")</f>
        <v>gpcx</v>
      </c>
      <c r="C5211" s="3" t="str">
        <f>IFERROR(__xludf.DUMMYFUNCTION("""COMPUTED_VALUE"""),"Good Person Coin")</f>
        <v>Good Person Coin</v>
      </c>
    </row>
    <row r="5212">
      <c r="A5212" s="3" t="str">
        <f>IFERROR(__xludf.DUMMYFUNCTION("""COMPUTED_VALUE"""),"gooeys")</f>
        <v>gooeys</v>
      </c>
      <c r="B5212" s="3" t="str">
        <f>IFERROR(__xludf.DUMMYFUNCTION("""COMPUTED_VALUE"""),"goo")</f>
        <v>goo</v>
      </c>
      <c r="C5212" s="3" t="str">
        <f>IFERROR(__xludf.DUMMYFUNCTION("""COMPUTED_VALUE"""),"Gooeys")</f>
        <v>Gooeys</v>
      </c>
    </row>
    <row r="5213">
      <c r="A5213" s="3" t="str">
        <f>IFERROR(__xludf.DUMMYFUNCTION("""COMPUTED_VALUE"""),"goofydoge")</f>
        <v>goofydoge</v>
      </c>
      <c r="B5213" s="3" t="str">
        <f>IFERROR(__xludf.DUMMYFUNCTION("""COMPUTED_VALUE"""),"goofydoge")</f>
        <v>goofydoge</v>
      </c>
      <c r="C5213" s="3" t="str">
        <f>IFERROR(__xludf.DUMMYFUNCTION("""COMPUTED_VALUE"""),"GoofyDoge")</f>
        <v>GoofyDoge</v>
      </c>
    </row>
    <row r="5214">
      <c r="A5214" s="3" t="str">
        <f>IFERROR(__xludf.DUMMYFUNCTION("""COMPUTED_VALUE"""),"google-tokenized-stock-defichain")</f>
        <v>google-tokenized-stock-defichain</v>
      </c>
      <c r="B5214" s="3" t="str">
        <f>IFERROR(__xludf.DUMMYFUNCTION("""COMPUTED_VALUE"""),"dgoogl")</f>
        <v>dgoogl</v>
      </c>
      <c r="C5214" s="3" t="str">
        <f>IFERROR(__xludf.DUMMYFUNCTION("""COMPUTED_VALUE"""),"Google Tokenized Stock Defichain")</f>
        <v>Google Tokenized Stock Defichain</v>
      </c>
    </row>
    <row r="5215">
      <c r="A5215" s="3" t="str">
        <f>IFERROR(__xludf.DUMMYFUNCTION("""COMPUTED_VALUE"""),"goons-of-balatroon")</f>
        <v>goons-of-balatroon</v>
      </c>
      <c r="B5215" s="3" t="str">
        <f>IFERROR(__xludf.DUMMYFUNCTION("""COMPUTED_VALUE"""),"gob")</f>
        <v>gob</v>
      </c>
      <c r="C5215" s="3" t="str">
        <f>IFERROR(__xludf.DUMMYFUNCTION("""COMPUTED_VALUE"""),"Goons of Balatroon")</f>
        <v>Goons of Balatroon</v>
      </c>
    </row>
    <row r="5216">
      <c r="A5216" s="3" t="str">
        <f>IFERROR(__xludf.DUMMYFUNCTION("""COMPUTED_VALUE"""),"goose-finance")</f>
        <v>goose-finance</v>
      </c>
      <c r="B5216" s="3" t="str">
        <f>IFERROR(__xludf.DUMMYFUNCTION("""COMPUTED_VALUE"""),"egg")</f>
        <v>egg</v>
      </c>
      <c r="C5216" s="3" t="str">
        <f>IFERROR(__xludf.DUMMYFUNCTION("""COMPUTED_VALUE"""),"Goose Finance")</f>
        <v>Goose Finance</v>
      </c>
    </row>
    <row r="5217">
      <c r="A5217" s="3" t="str">
        <f>IFERROR(__xludf.DUMMYFUNCTION("""COMPUTED_VALUE"""),"goosefx")</f>
        <v>goosefx</v>
      </c>
      <c r="B5217" s="3" t="str">
        <f>IFERROR(__xludf.DUMMYFUNCTION("""COMPUTED_VALUE"""),"gofx")</f>
        <v>gofx</v>
      </c>
      <c r="C5217" s="3" t="str">
        <f>IFERROR(__xludf.DUMMYFUNCTION("""COMPUTED_VALUE"""),"GooseFX")</f>
        <v>GooseFX</v>
      </c>
    </row>
    <row r="5218">
      <c r="A5218" s="3" t="str">
        <f>IFERROR(__xludf.DUMMYFUNCTION("""COMPUTED_VALUE"""),"go-out-now")</f>
        <v>go-out-now</v>
      </c>
      <c r="B5218" s="3" t="str">
        <f>IFERROR(__xludf.DUMMYFUNCTION("""COMPUTED_VALUE"""),"gon")</f>
        <v>gon</v>
      </c>
      <c r="C5218" s="3" t="str">
        <f>IFERROR(__xludf.DUMMYFUNCTION("""COMPUTED_VALUE"""),"Go Out Now")</f>
        <v>Go Out Now</v>
      </c>
    </row>
    <row r="5219">
      <c r="A5219" s="3" t="str">
        <f>IFERROR(__xludf.DUMMYFUNCTION("""COMPUTED_VALUE"""),"gorgeous")</f>
        <v>gorgeous</v>
      </c>
      <c r="B5219" s="3" t="str">
        <f>IFERROR(__xludf.DUMMYFUNCTION("""COMPUTED_VALUE"""),"gorgeous")</f>
        <v>gorgeous</v>
      </c>
      <c r="C5219" s="3" t="str">
        <f>IFERROR(__xludf.DUMMYFUNCTION("""COMPUTED_VALUE"""),"Gorgeous")</f>
        <v>Gorgeous</v>
      </c>
    </row>
    <row r="5220">
      <c r="A5220" s="3" t="str">
        <f>IFERROR(__xludf.DUMMYFUNCTION("""COMPUTED_VALUE"""),"gorilla-diamond")</f>
        <v>gorilla-diamond</v>
      </c>
      <c r="B5220" s="3" t="str">
        <f>IFERROR(__xludf.DUMMYFUNCTION("""COMPUTED_VALUE"""),"gdt")</f>
        <v>gdt</v>
      </c>
      <c r="C5220" s="3" t="str">
        <f>IFERROR(__xludf.DUMMYFUNCTION("""COMPUTED_VALUE"""),"Gorilla Diamond")</f>
        <v>Gorilla Diamond</v>
      </c>
    </row>
    <row r="5221">
      <c r="A5221" s="3" t="str">
        <f>IFERROR(__xludf.DUMMYFUNCTION("""COMPUTED_VALUE"""),"gorilla-inu")</f>
        <v>gorilla-inu</v>
      </c>
      <c r="B5221" s="3" t="str">
        <f>IFERROR(__xludf.DUMMYFUNCTION("""COMPUTED_VALUE"""),"gorilla inu")</f>
        <v>gorilla inu</v>
      </c>
      <c r="C5221" s="3" t="str">
        <f>IFERROR(__xludf.DUMMYFUNCTION("""COMPUTED_VALUE"""),"Gorilla Inu")</f>
        <v>Gorilla Inu</v>
      </c>
    </row>
    <row r="5222">
      <c r="A5222" s="3" t="str">
        <f>IFERROR(__xludf.DUMMYFUNCTION("""COMPUTED_VALUE"""),"gorilla-nodes")</f>
        <v>gorilla-nodes</v>
      </c>
      <c r="B5222" s="3" t="str">
        <f>IFERROR(__xludf.DUMMYFUNCTION("""COMPUTED_VALUE"""),"banana")</f>
        <v>banana</v>
      </c>
      <c r="C5222" s="3" t="str">
        <f>IFERROR(__xludf.DUMMYFUNCTION("""COMPUTED_VALUE"""),"Gorilla Nodes")</f>
        <v>Gorilla Nodes</v>
      </c>
    </row>
    <row r="5223">
      <c r="A5223" s="3" t="str">
        <f>IFERROR(__xludf.DUMMYFUNCTION("""COMPUTED_VALUE"""),"gosh-realm")</f>
        <v>gosh-realm</v>
      </c>
      <c r="B5223" s="3" t="str">
        <f>IFERROR(__xludf.DUMMYFUNCTION("""COMPUTED_VALUE"""),"gosh")</f>
        <v>gosh</v>
      </c>
      <c r="C5223" s="3" t="str">
        <f>IFERROR(__xludf.DUMMYFUNCTION("""COMPUTED_VALUE"""),"GOSH Realm")</f>
        <v>GOSH Realm</v>
      </c>
    </row>
    <row r="5224">
      <c r="A5224" s="3" t="str">
        <f>IFERROR(__xludf.DUMMYFUNCTION("""COMPUTED_VALUE"""),"gotem")</f>
        <v>gotem</v>
      </c>
      <c r="B5224" s="3" t="str">
        <f>IFERROR(__xludf.DUMMYFUNCTION("""COMPUTED_VALUE"""),"gotem")</f>
        <v>gotem</v>
      </c>
      <c r="C5224" s="3" t="str">
        <f>IFERROR(__xludf.DUMMYFUNCTION("""COMPUTED_VALUE"""),"gotEM")</f>
        <v>gotEM</v>
      </c>
    </row>
    <row r="5225">
      <c r="A5225" s="3" t="str">
        <f>IFERROR(__xludf.DUMMYFUNCTION("""COMPUTED_VALUE"""),"got-guaranteed")</f>
        <v>got-guaranteed</v>
      </c>
      <c r="B5225" s="3" t="str">
        <f>IFERROR(__xludf.DUMMYFUNCTION("""COMPUTED_VALUE"""),"gotg")</f>
        <v>gotg</v>
      </c>
      <c r="C5225" s="3" t="str">
        <f>IFERROR(__xludf.DUMMYFUNCTION("""COMPUTED_VALUE"""),"Got Guaranteed")</f>
        <v>Got Guaranteed</v>
      </c>
    </row>
    <row r="5226">
      <c r="A5226" s="3" t="str">
        <f>IFERROR(__xludf.DUMMYFUNCTION("""COMPUTED_VALUE"""),"gourmetgalaxy")</f>
        <v>gourmetgalaxy</v>
      </c>
      <c r="B5226" s="3" t="str">
        <f>IFERROR(__xludf.DUMMYFUNCTION("""COMPUTED_VALUE"""),"gum")</f>
        <v>gum</v>
      </c>
      <c r="C5226" s="3" t="str">
        <f>IFERROR(__xludf.DUMMYFUNCTION("""COMPUTED_VALUE"""),"Gourmet Galaxy")</f>
        <v>Gourmet Galaxy</v>
      </c>
    </row>
    <row r="5227">
      <c r="A5227" s="3" t="str">
        <f>IFERROR(__xludf.DUMMYFUNCTION("""COMPUTED_VALUE"""),"governance-algo")</f>
        <v>governance-algo</v>
      </c>
      <c r="B5227" s="3" t="str">
        <f>IFERROR(__xludf.DUMMYFUNCTION("""COMPUTED_VALUE"""),"galgo")</f>
        <v>galgo</v>
      </c>
      <c r="C5227" s="3" t="str">
        <f>IFERROR(__xludf.DUMMYFUNCTION("""COMPUTED_VALUE"""),"Governance Algo")</f>
        <v>Governance Algo</v>
      </c>
    </row>
    <row r="5228">
      <c r="A5228" s="3" t="str">
        <f>IFERROR(__xludf.DUMMYFUNCTION("""COMPUTED_VALUE"""),"governance-ohm")</f>
        <v>governance-ohm</v>
      </c>
      <c r="B5228" s="3" t="str">
        <f>IFERROR(__xludf.DUMMYFUNCTION("""COMPUTED_VALUE"""),"gohm")</f>
        <v>gohm</v>
      </c>
      <c r="C5228" s="3" t="str">
        <f>IFERROR(__xludf.DUMMYFUNCTION("""COMPUTED_VALUE"""),"Governance OHM")</f>
        <v>Governance OHM</v>
      </c>
    </row>
    <row r="5229">
      <c r="A5229" s="3" t="str">
        <f>IFERROR(__xludf.DUMMYFUNCTION("""COMPUTED_VALUE"""),"governance-zil")</f>
        <v>governance-zil</v>
      </c>
      <c r="B5229" s="3" t="str">
        <f>IFERROR(__xludf.DUMMYFUNCTION("""COMPUTED_VALUE"""),"gzil")</f>
        <v>gzil</v>
      </c>
      <c r="C5229" s="3" t="str">
        <f>IFERROR(__xludf.DUMMYFUNCTION("""COMPUTED_VALUE"""),"governance ZIL")</f>
        <v>governance ZIL</v>
      </c>
    </row>
    <row r="5230">
      <c r="A5230" s="3" t="str">
        <f>IFERROR(__xludf.DUMMYFUNCTION("""COMPUTED_VALUE"""),"governor-dao")</f>
        <v>governor-dao</v>
      </c>
      <c r="B5230" s="3" t="str">
        <f>IFERROR(__xludf.DUMMYFUNCTION("""COMPUTED_VALUE"""),"gdao")</f>
        <v>gdao</v>
      </c>
      <c r="C5230" s="3" t="str">
        <f>IFERROR(__xludf.DUMMYFUNCTION("""COMPUTED_VALUE"""),"Governor DAO")</f>
        <v>Governor DAO</v>
      </c>
    </row>
    <row r="5231">
      <c r="A5231" s="3" t="str">
        <f>IFERROR(__xludf.DUMMYFUNCTION("""COMPUTED_VALUE"""),"govi")</f>
        <v>govi</v>
      </c>
      <c r="B5231" s="3" t="str">
        <f>IFERROR(__xludf.DUMMYFUNCTION("""COMPUTED_VALUE"""),"govi")</f>
        <v>govi</v>
      </c>
      <c r="C5231" s="3" t="str">
        <f>IFERROR(__xludf.DUMMYFUNCTION("""COMPUTED_VALUE"""),"CVI")</f>
        <v>CVI</v>
      </c>
    </row>
    <row r="5232">
      <c r="A5232" s="3" t="str">
        <f>IFERROR(__xludf.DUMMYFUNCTION("""COMPUTED_VALUE"""),"govworld")</f>
        <v>govworld</v>
      </c>
      <c r="B5232" s="3" t="str">
        <f>IFERROR(__xludf.DUMMYFUNCTION("""COMPUTED_VALUE"""),"gov")</f>
        <v>gov</v>
      </c>
      <c r="C5232" s="3" t="str">
        <f>IFERROR(__xludf.DUMMYFUNCTION("""COMPUTED_VALUE"""),"GovWorld")</f>
        <v>GovWorld</v>
      </c>
    </row>
    <row r="5233">
      <c r="A5233" s="3" t="str">
        <f>IFERROR(__xludf.DUMMYFUNCTION("""COMPUTED_VALUE"""),"gowithmi")</f>
        <v>gowithmi</v>
      </c>
      <c r="B5233" s="3" t="str">
        <f>IFERROR(__xludf.DUMMYFUNCTION("""COMPUTED_VALUE"""),"gmat")</f>
        <v>gmat</v>
      </c>
      <c r="C5233" s="3" t="str">
        <f>IFERROR(__xludf.DUMMYFUNCTION("""COMPUTED_VALUE"""),"GoWithMi")</f>
        <v>GoWithMi</v>
      </c>
    </row>
    <row r="5234">
      <c r="A5234" s="3" t="str">
        <f>IFERROR(__xludf.DUMMYFUNCTION("""COMPUTED_VALUE"""),"goztepe-s-k-fan-token")</f>
        <v>goztepe-s-k-fan-token</v>
      </c>
      <c r="B5234" s="3" t="str">
        <f>IFERROR(__xludf.DUMMYFUNCTION("""COMPUTED_VALUE"""),"goz")</f>
        <v>goz</v>
      </c>
      <c r="C5234" s="3" t="str">
        <f>IFERROR(__xludf.DUMMYFUNCTION("""COMPUTED_VALUE"""),"Göztepe S.K. Fan Token")</f>
        <v>Göztepe S.K. Fan Token</v>
      </c>
    </row>
    <row r="5235">
      <c r="A5235" s="3" t="str">
        <f>IFERROR(__xludf.DUMMYFUNCTION("""COMPUTED_VALUE"""),"gp-coin")</f>
        <v>gp-coin</v>
      </c>
      <c r="B5235" s="3" t="str">
        <f>IFERROR(__xludf.DUMMYFUNCTION("""COMPUTED_VALUE"""),"xgp")</f>
        <v>xgp</v>
      </c>
      <c r="C5235" s="3" t="str">
        <f>IFERROR(__xludf.DUMMYFUNCTION("""COMPUTED_VALUE"""),"GP Coin")</f>
        <v>GP Coin</v>
      </c>
    </row>
    <row r="5236">
      <c r="A5236" s="3" t="str">
        <f>IFERROR(__xludf.DUMMYFUNCTION("""COMPUTED_VALUE"""),"gpex")</f>
        <v>gpex</v>
      </c>
      <c r="B5236" s="3" t="str">
        <f>IFERROR(__xludf.DUMMYFUNCTION("""COMPUTED_VALUE"""),"gpx")</f>
        <v>gpx</v>
      </c>
      <c r="C5236" s="3" t="str">
        <f>IFERROR(__xludf.DUMMYFUNCTION("""COMPUTED_VALUE"""),"GPEX")</f>
        <v>GPEX</v>
      </c>
    </row>
    <row r="5237">
      <c r="A5237" s="3" t="str">
        <f>IFERROR(__xludf.DUMMYFUNCTION("""COMPUTED_VALUE"""),"gps-ecosystem")</f>
        <v>gps-ecosystem</v>
      </c>
      <c r="B5237" s="3" t="str">
        <f>IFERROR(__xludf.DUMMYFUNCTION("""COMPUTED_VALUE"""),"gps")</f>
        <v>gps</v>
      </c>
      <c r="C5237" s="3" t="str">
        <f>IFERROR(__xludf.DUMMYFUNCTION("""COMPUTED_VALUE"""),"GPS Ecosystem")</f>
        <v>GPS Ecosystem</v>
      </c>
    </row>
    <row r="5238">
      <c r="A5238" s="3" t="str">
        <f>IFERROR(__xludf.DUMMYFUNCTION("""COMPUTED_VALUE"""),"gr33n")</f>
        <v>gr33n</v>
      </c>
      <c r="B5238" s="3" t="str">
        <f>IFERROR(__xludf.DUMMYFUNCTION("""COMPUTED_VALUE"""),"build")</f>
        <v>build</v>
      </c>
      <c r="C5238" s="3" t="str">
        <f>IFERROR(__xludf.DUMMYFUNCTION("""COMPUTED_VALUE"""),"Gr33n")</f>
        <v>Gr33n</v>
      </c>
    </row>
    <row r="5239">
      <c r="A5239" s="3" t="str">
        <f>IFERROR(__xludf.DUMMYFUNCTION("""COMPUTED_VALUE"""),"grafenocoin-2")</f>
        <v>grafenocoin-2</v>
      </c>
      <c r="B5239" s="3" t="str">
        <f>IFERROR(__xludf.DUMMYFUNCTION("""COMPUTED_VALUE"""),"gfnc")</f>
        <v>gfnc</v>
      </c>
      <c r="C5239" s="3" t="str">
        <f>IFERROR(__xludf.DUMMYFUNCTION("""COMPUTED_VALUE"""),"GrafenoCoin")</f>
        <v>GrafenoCoin</v>
      </c>
    </row>
    <row r="5240">
      <c r="A5240" s="3" t="str">
        <f>IFERROR(__xludf.DUMMYFUNCTION("""COMPUTED_VALUE"""),"graft-blockchain")</f>
        <v>graft-blockchain</v>
      </c>
      <c r="B5240" s="3" t="str">
        <f>IFERROR(__xludf.DUMMYFUNCTION("""COMPUTED_VALUE"""),"grft")</f>
        <v>grft</v>
      </c>
      <c r="C5240" s="3" t="str">
        <f>IFERROR(__xludf.DUMMYFUNCTION("""COMPUTED_VALUE"""),"Graft Blockchain")</f>
        <v>Graft Blockchain</v>
      </c>
    </row>
    <row r="5241">
      <c r="A5241" s="3" t="str">
        <f>IFERROR(__xludf.DUMMYFUNCTION("""COMPUTED_VALUE"""),"grail")</f>
        <v>grail</v>
      </c>
      <c r="B5241" s="3" t="str">
        <f>IFERROR(__xludf.DUMMYFUNCTION("""COMPUTED_VALUE"""),"grail")</f>
        <v>grail</v>
      </c>
      <c r="C5241" s="3" t="str">
        <f>IFERROR(__xludf.DUMMYFUNCTION("""COMPUTED_VALUE"""),"Grail")</f>
        <v>Grail</v>
      </c>
    </row>
    <row r="5242">
      <c r="A5242" s="3" t="str">
        <f>IFERROR(__xludf.DUMMYFUNCTION("""COMPUTED_VALUE"""),"grain-token")</f>
        <v>grain-token</v>
      </c>
      <c r="B5242" s="3" t="str">
        <f>IFERROR(__xludf.DUMMYFUNCTION("""COMPUTED_VALUE"""),"grain")</f>
        <v>grain</v>
      </c>
      <c r="C5242" s="3" t="str">
        <f>IFERROR(__xludf.DUMMYFUNCTION("""COMPUTED_VALUE"""),"Grain")</f>
        <v>Grain</v>
      </c>
    </row>
    <row r="5243">
      <c r="A5243" s="3" t="str">
        <f>IFERROR(__xludf.DUMMYFUNCTION("""COMPUTED_VALUE"""),"gram")</f>
        <v>gram</v>
      </c>
      <c r="B5243" s="3" t="str">
        <f>IFERROR(__xludf.DUMMYFUNCTION("""COMPUTED_VALUE"""),"gram")</f>
        <v>gram</v>
      </c>
      <c r="C5243" s="3" t="str">
        <f>IFERROR(__xludf.DUMMYFUNCTION("""COMPUTED_VALUE"""),"OpenGram")</f>
        <v>OpenGram</v>
      </c>
    </row>
    <row r="5244">
      <c r="A5244" s="3" t="str">
        <f>IFERROR(__xludf.DUMMYFUNCTION("""COMPUTED_VALUE"""),"grape-2")</f>
        <v>grape-2</v>
      </c>
      <c r="B5244" s="3" t="str">
        <f>IFERROR(__xludf.DUMMYFUNCTION("""COMPUTED_VALUE"""),"grape")</f>
        <v>grape</v>
      </c>
      <c r="C5244" s="3" t="str">
        <f>IFERROR(__xludf.DUMMYFUNCTION("""COMPUTED_VALUE"""),"Grape Protocol")</f>
        <v>Grape Protocol</v>
      </c>
    </row>
    <row r="5245">
      <c r="A5245" s="3" t="str">
        <f>IFERROR(__xludf.DUMMYFUNCTION("""COMPUTED_VALUE"""),"grape-finance")</f>
        <v>grape-finance</v>
      </c>
      <c r="B5245" s="3" t="str">
        <f>IFERROR(__xludf.DUMMYFUNCTION("""COMPUTED_VALUE"""),"grape")</f>
        <v>grape</v>
      </c>
      <c r="C5245" s="3" t="str">
        <f>IFERROR(__xludf.DUMMYFUNCTION("""COMPUTED_VALUE"""),"Grape Finance")</f>
        <v>Grape Finance</v>
      </c>
    </row>
    <row r="5246">
      <c r="A5246" s="3" t="str">
        <f>IFERROR(__xludf.DUMMYFUNCTION("""COMPUTED_VALUE"""),"grapefruit-coin")</f>
        <v>grapefruit-coin</v>
      </c>
      <c r="B5246" s="3" t="str">
        <f>IFERROR(__xludf.DUMMYFUNCTION("""COMPUTED_VALUE"""),"grpft")</f>
        <v>grpft</v>
      </c>
      <c r="C5246" s="3" t="str">
        <f>IFERROR(__xludf.DUMMYFUNCTION("""COMPUTED_VALUE"""),"Grapefruit Coin")</f>
        <v>Grapefruit Coin</v>
      </c>
    </row>
    <row r="5247">
      <c r="A5247" s="3" t="str">
        <f>IFERROR(__xludf.DUMMYFUNCTION("""COMPUTED_VALUE"""),"grapeswap-finance")</f>
        <v>grapeswap-finance</v>
      </c>
      <c r="B5247" s="3" t="str">
        <f>IFERROR(__xludf.DUMMYFUNCTION("""COMPUTED_VALUE"""),"grape")</f>
        <v>grape</v>
      </c>
      <c r="C5247" s="3" t="str">
        <f>IFERROR(__xludf.DUMMYFUNCTION("""COMPUTED_VALUE"""),"GrapeSwap Finance")</f>
        <v>GrapeSwap Finance</v>
      </c>
    </row>
    <row r="5248">
      <c r="A5248" s="3" t="str">
        <f>IFERROR(__xludf.DUMMYFUNCTION("""COMPUTED_VALUE"""),"grape-token")</f>
        <v>grape-token</v>
      </c>
      <c r="B5248" s="3" t="str">
        <f>IFERROR(__xludf.DUMMYFUNCTION("""COMPUTED_VALUE"""),"grape")</f>
        <v>grape</v>
      </c>
      <c r="C5248" s="3" t="str">
        <f>IFERROR(__xludf.DUMMYFUNCTION("""COMPUTED_VALUE"""),"Grape")</f>
        <v>Grape</v>
      </c>
    </row>
    <row r="5249">
      <c r="A5249" s="3" t="str">
        <f>IFERROR(__xludf.DUMMYFUNCTION("""COMPUTED_VALUE"""),"grapevine")</f>
        <v>grapevine</v>
      </c>
      <c r="B5249" s="3" t="str">
        <f>IFERROR(__xludf.DUMMYFUNCTION("""COMPUTED_VALUE"""),"xgrape")</f>
        <v>xgrape</v>
      </c>
      <c r="C5249" s="3" t="str">
        <f>IFERROR(__xludf.DUMMYFUNCTION("""COMPUTED_VALUE"""),"GrapeVine")</f>
        <v>GrapeVine</v>
      </c>
    </row>
    <row r="5250">
      <c r="A5250" s="3" t="str">
        <f>IFERROR(__xludf.DUMMYFUNCTION("""COMPUTED_VALUE"""),"graphen")</f>
        <v>graphen</v>
      </c>
      <c r="B5250" s="3" t="str">
        <f>IFERROR(__xludf.DUMMYFUNCTION("""COMPUTED_VALUE"""),"eltg")</f>
        <v>eltg</v>
      </c>
      <c r="C5250" s="3" t="str">
        <f>IFERROR(__xludf.DUMMYFUNCTION("""COMPUTED_VALUE"""),"Graphen")</f>
        <v>Graphen</v>
      </c>
    </row>
    <row r="5251">
      <c r="A5251" s="3" t="str">
        <f>IFERROR(__xludf.DUMMYFUNCTION("""COMPUTED_VALUE"""),"graphene")</f>
        <v>graphene</v>
      </c>
      <c r="B5251" s="3" t="str">
        <f>IFERROR(__xludf.DUMMYFUNCTION("""COMPUTED_VALUE"""),"gfn")</f>
        <v>gfn</v>
      </c>
      <c r="C5251" s="3" t="str">
        <f>IFERROR(__xludf.DUMMYFUNCTION("""COMPUTED_VALUE"""),"Graphene")</f>
        <v>Graphene</v>
      </c>
    </row>
    <row r="5252">
      <c r="A5252" s="3" t="str">
        <f>IFERROR(__xludf.DUMMYFUNCTION("""COMPUTED_VALUE"""),"graphlinq-protocol")</f>
        <v>graphlinq-protocol</v>
      </c>
      <c r="B5252" s="3" t="str">
        <f>IFERROR(__xludf.DUMMYFUNCTION("""COMPUTED_VALUE"""),"glq")</f>
        <v>glq</v>
      </c>
      <c r="C5252" s="3" t="str">
        <f>IFERROR(__xludf.DUMMYFUNCTION("""COMPUTED_VALUE"""),"GraphLinq Protocol")</f>
        <v>GraphLinq Protocol</v>
      </c>
    </row>
    <row r="5253">
      <c r="A5253" s="3" t="str">
        <f>IFERROR(__xludf.DUMMYFUNCTION("""COMPUTED_VALUE"""),"grave")</f>
        <v>grave</v>
      </c>
      <c r="B5253" s="3" t="str">
        <f>IFERROR(__xludf.DUMMYFUNCTION("""COMPUTED_VALUE"""),"grve")</f>
        <v>grve</v>
      </c>
      <c r="C5253" s="3" t="str">
        <f>IFERROR(__xludf.DUMMYFUNCTION("""COMPUTED_VALUE"""),"Grave")</f>
        <v>Grave</v>
      </c>
    </row>
    <row r="5254">
      <c r="A5254" s="3" t="str">
        <f>IFERROR(__xludf.DUMMYFUNCTION("""COMPUTED_VALUE"""),"graviocoin")</f>
        <v>graviocoin</v>
      </c>
      <c r="B5254" s="3" t="str">
        <f>IFERROR(__xludf.DUMMYFUNCTION("""COMPUTED_VALUE"""),"gio")</f>
        <v>gio</v>
      </c>
      <c r="C5254" s="3" t="str">
        <f>IFERROR(__xludf.DUMMYFUNCTION("""COMPUTED_VALUE"""),"Graviocoin")</f>
        <v>Graviocoin</v>
      </c>
    </row>
    <row r="5255">
      <c r="A5255" s="3" t="str">
        <f>IFERROR(__xludf.DUMMYFUNCTION("""COMPUTED_VALUE"""),"gravitationally-bound-aura")</f>
        <v>gravitationally-bound-aura</v>
      </c>
      <c r="B5255" s="3" t="str">
        <f>IFERROR(__xludf.DUMMYFUNCTION("""COMPUTED_VALUE"""),"graviaura")</f>
        <v>graviaura</v>
      </c>
      <c r="C5255" s="3" t="str">
        <f>IFERROR(__xludf.DUMMYFUNCTION("""COMPUTED_VALUE"""),"Gravitationally Bound AURA")</f>
        <v>Gravitationally Bound AURA</v>
      </c>
    </row>
    <row r="5256">
      <c r="A5256" s="3" t="str">
        <f>IFERROR(__xludf.DUMMYFUNCTION("""COMPUTED_VALUE"""),"graviton")</f>
        <v>graviton</v>
      </c>
      <c r="B5256" s="3" t="str">
        <f>IFERROR(__xludf.DUMMYFUNCTION("""COMPUTED_VALUE"""),"grav")</f>
        <v>grav</v>
      </c>
      <c r="C5256" s="3" t="str">
        <f>IFERROR(__xludf.DUMMYFUNCTION("""COMPUTED_VALUE"""),"Graviton")</f>
        <v>Graviton</v>
      </c>
    </row>
    <row r="5257">
      <c r="A5257" s="3" t="str">
        <f>IFERROR(__xludf.DUMMYFUNCTION("""COMPUTED_VALUE"""),"graviton-zero")</f>
        <v>graviton-zero</v>
      </c>
      <c r="B5257" s="3" t="str">
        <f>IFERROR(__xludf.DUMMYFUNCTION("""COMPUTED_VALUE"""),"grav")</f>
        <v>grav</v>
      </c>
      <c r="C5257" s="3" t="str">
        <f>IFERROR(__xludf.DUMMYFUNCTION("""COMPUTED_VALUE"""),"Graviton Zero")</f>
        <v>Graviton Zero</v>
      </c>
    </row>
    <row r="5258">
      <c r="A5258" s="3" t="str">
        <f>IFERROR(__xludf.DUMMYFUNCTION("""COMPUTED_VALUE"""),"gravitx")</f>
        <v>gravitx</v>
      </c>
      <c r="B5258" s="3" t="str">
        <f>IFERROR(__xludf.DUMMYFUNCTION("""COMPUTED_VALUE"""),"grx")</f>
        <v>grx</v>
      </c>
      <c r="C5258" s="3" t="str">
        <f>IFERROR(__xludf.DUMMYFUNCTION("""COMPUTED_VALUE"""),"GravitX")</f>
        <v>GravitX</v>
      </c>
    </row>
    <row r="5259">
      <c r="A5259" s="3" t="str">
        <f>IFERROR(__xludf.DUMMYFUNCTION("""COMPUTED_VALUE"""),"gravity-bridge-dai")</f>
        <v>gravity-bridge-dai</v>
      </c>
      <c r="B5259" s="3" t="str">
        <f>IFERROR(__xludf.DUMMYFUNCTION("""COMPUTED_VALUE"""),"g-dai")</f>
        <v>g-dai</v>
      </c>
      <c r="C5259" s="3" t="str">
        <f>IFERROR(__xludf.DUMMYFUNCTION("""COMPUTED_VALUE"""),"Gravity Bridge DAI")</f>
        <v>Gravity Bridge DAI</v>
      </c>
    </row>
    <row r="5260">
      <c r="A5260" s="3" t="str">
        <f>IFERROR(__xludf.DUMMYFUNCTION("""COMPUTED_VALUE"""),"gravity-bridge-tether")</f>
        <v>gravity-bridge-tether</v>
      </c>
      <c r="B5260" s="3" t="str">
        <f>IFERROR(__xludf.DUMMYFUNCTION("""COMPUTED_VALUE"""),"g-usdt")</f>
        <v>g-usdt</v>
      </c>
      <c r="C5260" s="3" t="str">
        <f>IFERROR(__xludf.DUMMYFUNCTION("""COMPUTED_VALUE"""),"Gravity Bridge Tether")</f>
        <v>Gravity Bridge Tether</v>
      </c>
    </row>
    <row r="5261">
      <c r="A5261" s="3" t="str">
        <f>IFERROR(__xludf.DUMMYFUNCTION("""COMPUTED_VALUE"""),"gravity-bridge-usdc")</f>
        <v>gravity-bridge-usdc</v>
      </c>
      <c r="B5261" s="3" t="str">
        <f>IFERROR(__xludf.DUMMYFUNCTION("""COMPUTED_VALUE"""),"g-usdc")</f>
        <v>g-usdc</v>
      </c>
      <c r="C5261" s="3" t="str">
        <f>IFERROR(__xludf.DUMMYFUNCTION("""COMPUTED_VALUE"""),"Gravity Bridge USDC")</f>
        <v>Gravity Bridge USDC</v>
      </c>
    </row>
    <row r="5262">
      <c r="A5262" s="3" t="str">
        <f>IFERROR(__xludf.DUMMYFUNCTION("""COMPUTED_VALUE"""),"gravity-bridge-wbtc")</f>
        <v>gravity-bridge-wbtc</v>
      </c>
      <c r="B5262" s="3" t="str">
        <f>IFERROR(__xludf.DUMMYFUNCTION("""COMPUTED_VALUE"""),"g-wbtc")</f>
        <v>g-wbtc</v>
      </c>
      <c r="C5262" s="3" t="str">
        <f>IFERROR(__xludf.DUMMYFUNCTION("""COMPUTED_VALUE"""),"Gravity Bridge WBTC")</f>
        <v>Gravity Bridge WBTC</v>
      </c>
    </row>
    <row r="5263">
      <c r="A5263" s="3" t="str">
        <f>IFERROR(__xludf.DUMMYFUNCTION("""COMPUTED_VALUE"""),"gravity-bridge-weth")</f>
        <v>gravity-bridge-weth</v>
      </c>
      <c r="B5263" s="3" t="str">
        <f>IFERROR(__xludf.DUMMYFUNCTION("""COMPUTED_VALUE"""),"g-weth")</f>
        <v>g-weth</v>
      </c>
      <c r="C5263" s="3" t="str">
        <f>IFERROR(__xludf.DUMMYFUNCTION("""COMPUTED_VALUE"""),"Gravity Bridge WETH")</f>
        <v>Gravity Bridge WETH</v>
      </c>
    </row>
    <row r="5264">
      <c r="A5264" s="3" t="str">
        <f>IFERROR(__xludf.DUMMYFUNCTION("""COMPUTED_VALUE"""),"gravity-finance")</f>
        <v>gravity-finance</v>
      </c>
      <c r="B5264" s="3" t="str">
        <f>IFERROR(__xludf.DUMMYFUNCTION("""COMPUTED_VALUE"""),"gfi")</f>
        <v>gfi</v>
      </c>
      <c r="C5264" s="3" t="str">
        <f>IFERROR(__xludf.DUMMYFUNCTION("""COMPUTED_VALUE"""),"Gravity Finance")</f>
        <v>Gravity Finance</v>
      </c>
    </row>
    <row r="5265">
      <c r="A5265" s="3" t="str">
        <f>IFERROR(__xludf.DUMMYFUNCTION("""COMPUTED_VALUE"""),"grearn")</f>
        <v>grearn</v>
      </c>
      <c r="B5265" s="3" t="str">
        <f>IFERROR(__xludf.DUMMYFUNCTION("""COMPUTED_VALUE"""),"gst")</f>
        <v>gst</v>
      </c>
      <c r="C5265" s="3" t="str">
        <f>IFERROR(__xludf.DUMMYFUNCTION("""COMPUTED_VALUE"""),"GrEarn")</f>
        <v>GrEarn</v>
      </c>
    </row>
    <row r="5266">
      <c r="A5266" s="3" t="str">
        <f>IFERROR(__xludf.DUMMYFUNCTION("""COMPUTED_VALUE"""),"great-ape")</f>
        <v>great-ape</v>
      </c>
      <c r="B5266" s="3" t="str">
        <f>IFERROR(__xludf.DUMMYFUNCTION("""COMPUTED_VALUE"""),"greatape")</f>
        <v>greatape</v>
      </c>
      <c r="C5266" s="3" t="str">
        <f>IFERROR(__xludf.DUMMYFUNCTION("""COMPUTED_VALUE"""),"Great Ape")</f>
        <v>Great Ape</v>
      </c>
    </row>
    <row r="5267">
      <c r="A5267" s="3" t="str">
        <f>IFERROR(__xludf.DUMMYFUNCTION("""COMPUTED_VALUE"""),"great-bounty-dealer")</f>
        <v>great-bounty-dealer</v>
      </c>
      <c r="B5267" s="3" t="str">
        <f>IFERROR(__xludf.DUMMYFUNCTION("""COMPUTED_VALUE"""),"gbd")</f>
        <v>gbd</v>
      </c>
      <c r="C5267" s="3" t="str">
        <f>IFERROR(__xludf.DUMMYFUNCTION("""COMPUTED_VALUE"""),"Great Bounty Dealer")</f>
        <v>Great Bounty Dealer</v>
      </c>
    </row>
    <row r="5268">
      <c r="A5268" s="3" t="str">
        <f>IFERROR(__xludf.DUMMYFUNCTION("""COMPUTED_VALUE"""),"greatdane")</f>
        <v>greatdane</v>
      </c>
      <c r="B5268" s="3" t="str">
        <f>IFERROR(__xludf.DUMMYFUNCTION("""COMPUTED_VALUE"""),"greatdane")</f>
        <v>greatdane</v>
      </c>
      <c r="C5268" s="3" t="str">
        <f>IFERROR(__xludf.DUMMYFUNCTION("""COMPUTED_VALUE"""),"GreatDane")</f>
        <v>GreatDane</v>
      </c>
    </row>
    <row r="5269">
      <c r="A5269" s="3" t="str">
        <f>IFERROR(__xludf.DUMMYFUNCTION("""COMPUTED_VALUE"""),"greed")</f>
        <v>greed</v>
      </c>
      <c r="B5269" s="3" t="str">
        <f>IFERROR(__xludf.DUMMYFUNCTION("""COMPUTED_VALUE"""),"$greed")</f>
        <v>$greed</v>
      </c>
      <c r="C5269" s="3" t="str">
        <f>IFERROR(__xludf.DUMMYFUNCTION("""COMPUTED_VALUE"""),"Greed")</f>
        <v>Greed</v>
      </c>
    </row>
    <row r="5270">
      <c r="A5270" s="3" t="str">
        <f>IFERROR(__xludf.DUMMYFUNCTION("""COMPUTED_VALUE"""),"greekmythology")</f>
        <v>greekmythology</v>
      </c>
      <c r="B5270" s="3" t="str">
        <f>IFERROR(__xludf.DUMMYFUNCTION("""COMPUTED_VALUE"""),"gmt")</f>
        <v>gmt</v>
      </c>
      <c r="C5270" s="3" t="str">
        <f>IFERROR(__xludf.DUMMYFUNCTION("""COMPUTED_VALUE"""),"GreekMythology")</f>
        <v>GreekMythology</v>
      </c>
    </row>
    <row r="5271">
      <c r="A5271" s="3" t="str">
        <f>IFERROR(__xludf.DUMMYFUNCTION("""COMPUTED_VALUE"""),"greenair")</f>
        <v>greenair</v>
      </c>
      <c r="B5271" s="3" t="str">
        <f>IFERROR(__xludf.DUMMYFUNCTION("""COMPUTED_VALUE"""),"green")</f>
        <v>green</v>
      </c>
      <c r="C5271" s="3" t="str">
        <f>IFERROR(__xludf.DUMMYFUNCTION("""COMPUTED_VALUE"""),"GreenAir")</f>
        <v>GreenAir</v>
      </c>
    </row>
    <row r="5272">
      <c r="A5272" s="3" t="str">
        <f>IFERROR(__xludf.DUMMYFUNCTION("""COMPUTED_VALUE"""),"green-beli")</f>
        <v>green-beli</v>
      </c>
      <c r="B5272" s="3" t="str">
        <f>IFERROR(__xludf.DUMMYFUNCTION("""COMPUTED_VALUE"""),"grbe")</f>
        <v>grbe</v>
      </c>
      <c r="C5272" s="3" t="str">
        <f>IFERROR(__xludf.DUMMYFUNCTION("""COMPUTED_VALUE"""),"Green Beli")</f>
        <v>Green Beli</v>
      </c>
    </row>
    <row r="5273">
      <c r="A5273" s="3" t="str">
        <f>IFERROR(__xludf.DUMMYFUNCTION("""COMPUTED_VALUE"""),"green-ben")</f>
        <v>green-ben</v>
      </c>
      <c r="B5273" s="3" t="str">
        <f>IFERROR(__xludf.DUMMYFUNCTION("""COMPUTED_VALUE"""),"eben")</f>
        <v>eben</v>
      </c>
      <c r="C5273" s="3" t="str">
        <f>IFERROR(__xludf.DUMMYFUNCTION("""COMPUTED_VALUE"""),"Green Ben")</f>
        <v>Green Ben</v>
      </c>
    </row>
    <row r="5274">
      <c r="A5274" s="3" t="str">
        <f>IFERROR(__xludf.DUMMYFUNCTION("""COMPUTED_VALUE"""),"green-chart")</f>
        <v>green-chart</v>
      </c>
      <c r="B5274" s="3" t="str">
        <f>IFERROR(__xludf.DUMMYFUNCTION("""COMPUTED_VALUE"""),"green")</f>
        <v>green</v>
      </c>
      <c r="C5274" s="3" t="str">
        <f>IFERROR(__xludf.DUMMYFUNCTION("""COMPUTED_VALUE"""),"Green Chart")</f>
        <v>Green Chart</v>
      </c>
    </row>
    <row r="5275">
      <c r="A5275" s="3" t="str">
        <f>IFERROR(__xludf.DUMMYFUNCTION("""COMPUTED_VALUE"""),"green-climate-world")</f>
        <v>green-climate-world</v>
      </c>
      <c r="B5275" s="3" t="str">
        <f>IFERROR(__xludf.DUMMYFUNCTION("""COMPUTED_VALUE"""),"wgc")</f>
        <v>wgc</v>
      </c>
      <c r="C5275" s="3" t="str">
        <f>IFERROR(__xludf.DUMMYFUNCTION("""COMPUTED_VALUE"""),"Green Climate World")</f>
        <v>Green Climate World</v>
      </c>
    </row>
    <row r="5276">
      <c r="A5276" s="3" t="str">
        <f>IFERROR(__xludf.DUMMYFUNCTION("""COMPUTED_VALUE"""),"greencoin")</f>
        <v>greencoin</v>
      </c>
      <c r="B5276" s="3" t="str">
        <f>IFERROR(__xludf.DUMMYFUNCTION("""COMPUTED_VALUE"""),"gre")</f>
        <v>gre</v>
      </c>
      <c r="C5276" s="3" t="str">
        <f>IFERROR(__xludf.DUMMYFUNCTION("""COMPUTED_VALUE"""),"Greencoin")</f>
        <v>Greencoin</v>
      </c>
    </row>
    <row r="5277">
      <c r="A5277" s="3" t="str">
        <f>IFERROR(__xludf.DUMMYFUNCTION("""COMPUTED_VALUE"""),"green-cycgo")</f>
        <v>green-cycgo</v>
      </c>
      <c r="B5277" s="3" t="str">
        <f>IFERROR(__xludf.DUMMYFUNCTION("""COMPUTED_VALUE"""),"gct")</f>
        <v>gct</v>
      </c>
      <c r="C5277" s="3" t="str">
        <f>IFERROR(__xludf.DUMMYFUNCTION("""COMPUTED_VALUE"""),"Green CycGo")</f>
        <v>Green CycGo</v>
      </c>
    </row>
    <row r="5278">
      <c r="A5278" s="3" t="str">
        <f>IFERROR(__xludf.DUMMYFUNCTION("""COMPUTED_VALUE"""),"green-dildo-finance")</f>
        <v>green-dildo-finance</v>
      </c>
      <c r="B5278" s="3" t="str">
        <f>IFERROR(__xludf.DUMMYFUNCTION("""COMPUTED_VALUE"""),"gdildo")</f>
        <v>gdildo</v>
      </c>
      <c r="C5278" s="3" t="str">
        <f>IFERROR(__xludf.DUMMYFUNCTION("""COMPUTED_VALUE"""),"Green Dildo Finance")</f>
        <v>Green Dildo Finance</v>
      </c>
    </row>
    <row r="5279">
      <c r="A5279" s="3" t="str">
        <f>IFERROR(__xludf.DUMMYFUNCTION("""COMPUTED_VALUE"""),"green-energy-coin")</f>
        <v>green-energy-coin</v>
      </c>
      <c r="B5279" s="3" t="str">
        <f>IFERROR(__xludf.DUMMYFUNCTION("""COMPUTED_VALUE"""),"gec")</f>
        <v>gec</v>
      </c>
      <c r="C5279" s="3" t="str">
        <f>IFERROR(__xludf.DUMMYFUNCTION("""COMPUTED_VALUE"""),"Green Energy Coin")</f>
        <v>Green Energy Coin</v>
      </c>
    </row>
    <row r="5280">
      <c r="A5280" s="3" t="str">
        <f>IFERROR(__xludf.DUMMYFUNCTION("""COMPUTED_VALUE"""),"greeneum-network")</f>
        <v>greeneum-network</v>
      </c>
      <c r="B5280" s="3" t="str">
        <f>IFERROR(__xludf.DUMMYFUNCTION("""COMPUTED_VALUE"""),"green")</f>
        <v>green</v>
      </c>
      <c r="C5280" s="3" t="str">
        <f>IFERROR(__xludf.DUMMYFUNCTION("""COMPUTED_VALUE"""),"Greeneum Network")</f>
        <v>Greeneum Network</v>
      </c>
    </row>
    <row r="5281">
      <c r="A5281" s="3" t="str">
        <f>IFERROR(__xludf.DUMMYFUNCTION("""COMPUTED_VALUE"""),"green-flow")</f>
        <v>green-flow</v>
      </c>
      <c r="B5281" s="3" t="str">
        <f>IFERROR(__xludf.DUMMYFUNCTION("""COMPUTED_VALUE"""),"grc")</f>
        <v>grc</v>
      </c>
      <c r="C5281" s="4" t="str">
        <f>IFERROR(__xludf.DUMMYFUNCTION("""COMPUTED_VALUE"""),"GreenCoin.AI")</f>
        <v>GreenCoin.AI</v>
      </c>
    </row>
    <row r="5282">
      <c r="A5282" s="3" t="str">
        <f>IFERROR(__xludf.DUMMYFUNCTION("""COMPUTED_VALUE"""),"greenfuel")</f>
        <v>greenfuel</v>
      </c>
      <c r="B5282" s="3" t="str">
        <f>IFERROR(__xludf.DUMMYFUNCTION("""COMPUTED_VALUE"""),"greenfuel")</f>
        <v>greenfuel</v>
      </c>
      <c r="C5282" s="3" t="str">
        <f>IFERROR(__xludf.DUMMYFUNCTION("""COMPUTED_VALUE"""),"Greenfuel")</f>
        <v>Greenfuel</v>
      </c>
    </row>
    <row r="5283">
      <c r="A5283" s="3" t="str">
        <f>IFERROR(__xludf.DUMMYFUNCTION("""COMPUTED_VALUE"""),"greenheart-cbd")</f>
        <v>greenheart-cbd</v>
      </c>
      <c r="B5283" s="3" t="str">
        <f>IFERROR(__xludf.DUMMYFUNCTION("""COMPUTED_VALUE"""),"cbd")</f>
        <v>cbd</v>
      </c>
      <c r="C5283" s="3" t="str">
        <f>IFERROR(__xludf.DUMMYFUNCTION("""COMPUTED_VALUE"""),"Greenheart CBD")</f>
        <v>Greenheart CBD</v>
      </c>
    </row>
    <row r="5284">
      <c r="A5284" s="3" t="str">
        <f>IFERROR(__xludf.DUMMYFUNCTION("""COMPUTED_VALUE"""),"greenhouse")</f>
        <v>greenhouse</v>
      </c>
      <c r="B5284" s="3" t="str">
        <f>IFERROR(__xludf.DUMMYFUNCTION("""COMPUTED_VALUE"""),"green")</f>
        <v>green</v>
      </c>
      <c r="C5284" s="3" t="str">
        <f>IFERROR(__xludf.DUMMYFUNCTION("""COMPUTED_VALUE"""),"Greenhouse")</f>
        <v>Greenhouse</v>
      </c>
    </row>
    <row r="5285">
      <c r="A5285" s="3" t="str">
        <f>IFERROR(__xludf.DUMMYFUNCTION("""COMPUTED_VALUE"""),"green-life-energy")</f>
        <v>green-life-energy</v>
      </c>
      <c r="B5285" s="3" t="str">
        <f>IFERROR(__xludf.DUMMYFUNCTION("""COMPUTED_VALUE"""),"gnl")</f>
        <v>gnl</v>
      </c>
      <c r="C5285" s="3" t="str">
        <f>IFERROR(__xludf.DUMMYFUNCTION("""COMPUTED_VALUE"""),"Green Life Energy")</f>
        <v>Green Life Energy</v>
      </c>
    </row>
    <row r="5286">
      <c r="A5286" s="3" t="str">
        <f>IFERROR(__xludf.DUMMYFUNCTION("""COMPUTED_VALUE"""),"green-light")</f>
        <v>green-light</v>
      </c>
      <c r="B5286" s="3" t="str">
        <f>IFERROR(__xludf.DUMMYFUNCTION("""COMPUTED_VALUE"""),"gl")</f>
        <v>gl</v>
      </c>
      <c r="C5286" s="3" t="str">
        <f>IFERROR(__xludf.DUMMYFUNCTION("""COMPUTED_VALUE"""),"Green Light")</f>
        <v>Green Light</v>
      </c>
    </row>
    <row r="5287">
      <c r="A5287" s="3" t="str">
        <f>IFERROR(__xludf.DUMMYFUNCTION("""COMPUTED_VALUE"""),"green-meta")</f>
        <v>green-meta</v>
      </c>
      <c r="B5287" s="3" t="str">
        <f>IFERROR(__xludf.DUMMYFUNCTION("""COMPUTED_VALUE"""),"gmeta")</f>
        <v>gmeta</v>
      </c>
      <c r="C5287" s="3" t="str">
        <f>IFERROR(__xludf.DUMMYFUNCTION("""COMPUTED_VALUE"""),"Green Meta")</f>
        <v>Green Meta</v>
      </c>
    </row>
    <row r="5288">
      <c r="A5288" s="3" t="str">
        <f>IFERROR(__xludf.DUMMYFUNCTION("""COMPUTED_VALUE"""),"greenpay-coin")</f>
        <v>greenpay-coin</v>
      </c>
      <c r="B5288" s="3" t="str">
        <f>IFERROR(__xludf.DUMMYFUNCTION("""COMPUTED_VALUE"""),"gpc")</f>
        <v>gpc</v>
      </c>
      <c r="C5288" s="3" t="str">
        <f>IFERROR(__xludf.DUMMYFUNCTION("""COMPUTED_VALUE"""),"GreenPay Coin")</f>
        <v>GreenPay Coin</v>
      </c>
    </row>
    <row r="5289">
      <c r="A5289" s="3" t="str">
        <f>IFERROR(__xludf.DUMMYFUNCTION("""COMPUTED_VALUE"""),"green-pet-egg")</f>
        <v>green-pet-egg</v>
      </c>
      <c r="B5289" s="3" t="str">
        <f>IFERROR(__xludf.DUMMYFUNCTION("""COMPUTED_VALUE"""),"dfkgreenegg")</f>
        <v>dfkgreenegg</v>
      </c>
      <c r="C5289" s="3" t="str">
        <f>IFERROR(__xludf.DUMMYFUNCTION("""COMPUTED_VALUE"""),"Green Pet Egg")</f>
        <v>Green Pet Egg</v>
      </c>
    </row>
    <row r="5290">
      <c r="A5290" s="3" t="str">
        <f>IFERROR(__xludf.DUMMYFUNCTION("""COMPUTED_VALUE"""),"green-planet")</f>
        <v>green-planet</v>
      </c>
      <c r="B5290" s="3" t="str">
        <f>IFERROR(__xludf.DUMMYFUNCTION("""COMPUTED_VALUE"""),"gamma")</f>
        <v>gamma</v>
      </c>
      <c r="C5290" s="3" t="str">
        <f>IFERROR(__xludf.DUMMYFUNCTION("""COMPUTED_VALUE"""),"Green Planet")</f>
        <v>Green Planet</v>
      </c>
    </row>
    <row r="5291">
      <c r="A5291" s="3" t="str">
        <f>IFERROR(__xludf.DUMMYFUNCTION("""COMPUTED_VALUE"""),"green-ride-token")</f>
        <v>green-ride-token</v>
      </c>
      <c r="B5291" s="3" t="str">
        <f>IFERROR(__xludf.DUMMYFUNCTION("""COMPUTED_VALUE"""),"grt")</f>
        <v>grt</v>
      </c>
      <c r="C5291" s="3" t="str">
        <f>IFERROR(__xludf.DUMMYFUNCTION("""COMPUTED_VALUE"""),"Green Ride")</f>
        <v>Green Ride</v>
      </c>
    </row>
    <row r="5292">
      <c r="A5292" s="3" t="str">
        <f>IFERROR(__xludf.DUMMYFUNCTION("""COMPUTED_VALUE"""),"greens")</f>
        <v>greens</v>
      </c>
      <c r="B5292" s="3" t="str">
        <f>IFERROR(__xludf.DUMMYFUNCTION("""COMPUTED_VALUE"""),"greens")</f>
        <v>greens</v>
      </c>
      <c r="C5292" s="3" t="str">
        <f>IFERROR(__xludf.DUMMYFUNCTION("""COMPUTED_VALUE"""),"Greens")</f>
        <v>Greens</v>
      </c>
    </row>
    <row r="5293">
      <c r="A5293" s="3" t="str">
        <f>IFERROR(__xludf.DUMMYFUNCTION("""COMPUTED_VALUE"""),"green-satoshi-token")</f>
        <v>green-satoshi-token</v>
      </c>
      <c r="B5293" s="3" t="str">
        <f>IFERROR(__xludf.DUMMYFUNCTION("""COMPUTED_VALUE"""),"gst-sol")</f>
        <v>gst-sol</v>
      </c>
      <c r="C5293" s="3" t="str">
        <f>IFERROR(__xludf.DUMMYFUNCTION("""COMPUTED_VALUE"""),"STEPN Green Satoshi Token on Solana")</f>
        <v>STEPN Green Satoshi Token on Solana</v>
      </c>
    </row>
    <row r="5294">
      <c r="A5294" s="3" t="str">
        <f>IFERROR(__xludf.DUMMYFUNCTION("""COMPUTED_VALUE"""),"green-satoshi-token-bsc")</f>
        <v>green-satoshi-token-bsc</v>
      </c>
      <c r="B5294" s="3" t="str">
        <f>IFERROR(__xludf.DUMMYFUNCTION("""COMPUTED_VALUE"""),"gst-bsc")</f>
        <v>gst-bsc</v>
      </c>
      <c r="C5294" s="3" t="str">
        <f>IFERROR(__xludf.DUMMYFUNCTION("""COMPUTED_VALUE"""),"STEPN Green Satoshi Token on BSC")</f>
        <v>STEPN Green Satoshi Token on BSC</v>
      </c>
    </row>
    <row r="5295">
      <c r="A5295" s="3" t="str">
        <f>IFERROR(__xludf.DUMMYFUNCTION("""COMPUTED_VALUE"""),"green-satoshi-token-on-eth")</f>
        <v>green-satoshi-token-on-eth</v>
      </c>
      <c r="B5295" s="3" t="str">
        <f>IFERROR(__xludf.DUMMYFUNCTION("""COMPUTED_VALUE"""),"gst-eth")</f>
        <v>gst-eth</v>
      </c>
      <c r="C5295" s="3" t="str">
        <f>IFERROR(__xludf.DUMMYFUNCTION("""COMPUTED_VALUE"""),"STEPN Green Satoshi Token on ETH")</f>
        <v>STEPN Green Satoshi Token on ETH</v>
      </c>
    </row>
    <row r="5296">
      <c r="A5296" s="3" t="str">
        <f>IFERROR(__xludf.DUMMYFUNCTION("""COMPUTED_VALUE"""),"green-shiba-inu")</f>
        <v>green-shiba-inu</v>
      </c>
      <c r="B5296" s="3" t="str">
        <f>IFERROR(__xludf.DUMMYFUNCTION("""COMPUTED_VALUE"""),"ginux")</f>
        <v>ginux</v>
      </c>
      <c r="C5296" s="3" t="str">
        <f>IFERROR(__xludf.DUMMYFUNCTION("""COMPUTED_VALUE"""),"Green Shiba Inu")</f>
        <v>Green Shiba Inu</v>
      </c>
    </row>
    <row r="5297">
      <c r="A5297" s="3" t="str">
        <f>IFERROR(__xludf.DUMMYFUNCTION("""COMPUTED_VALUE"""),"green-star")</f>
        <v>green-star</v>
      </c>
      <c r="B5297" s="3" t="str">
        <f>IFERROR(__xludf.DUMMYFUNCTION("""COMPUTED_VALUE"""),"grcc")</f>
        <v>grcc</v>
      </c>
      <c r="C5297" s="3" t="str">
        <f>IFERROR(__xludf.DUMMYFUNCTION("""COMPUTED_VALUE"""),"Green Star")</f>
        <v>Green Star</v>
      </c>
    </row>
    <row r="5298">
      <c r="A5298" s="3" t="str">
        <f>IFERROR(__xludf.DUMMYFUNCTION("""COMPUTED_VALUE"""),"greentek")</f>
        <v>greentek</v>
      </c>
      <c r="B5298" s="3" t="str">
        <f>IFERROR(__xludf.DUMMYFUNCTION("""COMPUTED_VALUE"""),"gte")</f>
        <v>gte</v>
      </c>
      <c r="C5298" s="3" t="str">
        <f>IFERROR(__xludf.DUMMYFUNCTION("""COMPUTED_VALUE"""),"GreenTek")</f>
        <v>GreenTek</v>
      </c>
    </row>
    <row r="5299">
      <c r="A5299" s="3" t="str">
        <f>IFERROR(__xludf.DUMMYFUNCTION("""COMPUTED_VALUE"""),"greentrust")</f>
        <v>greentrust</v>
      </c>
      <c r="B5299" s="3" t="str">
        <f>IFERROR(__xludf.DUMMYFUNCTION("""COMPUTED_VALUE"""),"gnt")</f>
        <v>gnt</v>
      </c>
      <c r="C5299" s="3" t="str">
        <f>IFERROR(__xludf.DUMMYFUNCTION("""COMPUTED_VALUE"""),"GreenTrust")</f>
        <v>GreenTrust</v>
      </c>
    </row>
    <row r="5300">
      <c r="A5300" s="3" t="str">
        <f>IFERROR(__xludf.DUMMYFUNCTION("""COMPUTED_VALUE"""),"greenworld")</f>
        <v>greenworld</v>
      </c>
      <c r="B5300" s="3" t="str">
        <f>IFERROR(__xludf.DUMMYFUNCTION("""COMPUTED_VALUE"""),"gwd")</f>
        <v>gwd</v>
      </c>
      <c r="C5300" s="3" t="str">
        <f>IFERROR(__xludf.DUMMYFUNCTION("""COMPUTED_VALUE"""),"GreenWorld")</f>
        <v>GreenWorld</v>
      </c>
    </row>
    <row r="5301">
      <c r="A5301" s="3" t="str">
        <f>IFERROR(__xludf.DUMMYFUNCTION("""COMPUTED_VALUE"""),"greenzonex")</f>
        <v>greenzonex</v>
      </c>
      <c r="B5301" s="3" t="str">
        <f>IFERROR(__xludf.DUMMYFUNCTION("""COMPUTED_VALUE"""),"gzx")</f>
        <v>gzx</v>
      </c>
      <c r="C5301" s="3" t="str">
        <f>IFERROR(__xludf.DUMMYFUNCTION("""COMPUTED_VALUE"""),"GreenZoneX")</f>
        <v>GreenZoneX</v>
      </c>
    </row>
    <row r="5302">
      <c r="A5302" s="3" t="str">
        <f>IFERROR(__xludf.DUMMYFUNCTION("""COMPUTED_VALUE"""),"greyhound")</f>
        <v>greyhound</v>
      </c>
      <c r="B5302" s="3" t="str">
        <f>IFERROR(__xludf.DUMMYFUNCTION("""COMPUTED_VALUE"""),"greyhound")</f>
        <v>greyhound</v>
      </c>
      <c r="C5302" s="3" t="str">
        <f>IFERROR(__xludf.DUMMYFUNCTION("""COMPUTED_VALUE"""),"Greyhound")</f>
        <v>Greyhound</v>
      </c>
    </row>
    <row r="5303">
      <c r="A5303" s="3" t="str">
        <f>IFERROR(__xludf.DUMMYFUNCTION("""COMPUTED_VALUE"""),"grey-pet-egg")</f>
        <v>grey-pet-egg</v>
      </c>
      <c r="B5303" s="3" t="str">
        <f>IFERROR(__xludf.DUMMYFUNCTION("""COMPUTED_VALUE"""),"dfkgregg")</f>
        <v>dfkgregg</v>
      </c>
      <c r="C5303" s="3" t="str">
        <f>IFERROR(__xludf.DUMMYFUNCTION("""COMPUTED_VALUE"""),"Grey Pet Egg")</f>
        <v>Grey Pet Egg</v>
      </c>
    </row>
    <row r="5304">
      <c r="A5304" s="3" t="str">
        <f>IFERROR(__xludf.DUMMYFUNCTION("""COMPUTED_VALUE"""),"gric")</f>
        <v>gric</v>
      </c>
      <c r="B5304" s="3" t="str">
        <f>IFERROR(__xludf.DUMMYFUNCTION("""COMPUTED_VALUE"""),"gc")</f>
        <v>gc</v>
      </c>
      <c r="C5304" s="3" t="str">
        <f>IFERROR(__xludf.DUMMYFUNCTION("""COMPUTED_VALUE"""),"Gric Coin")</f>
        <v>Gric Coin</v>
      </c>
    </row>
    <row r="5305">
      <c r="A5305" s="3" t="str">
        <f>IFERROR(__xludf.DUMMYFUNCTION("""COMPUTED_VALUE"""),"grid")</f>
        <v>grid</v>
      </c>
      <c r="B5305" s="3" t="str">
        <f>IFERROR(__xludf.DUMMYFUNCTION("""COMPUTED_VALUE"""),"grid")</f>
        <v>grid</v>
      </c>
      <c r="C5305" s="3" t="str">
        <f>IFERROR(__xludf.DUMMYFUNCTION("""COMPUTED_VALUE"""),"GridPlus [OLD]")</f>
        <v>GridPlus [OLD]</v>
      </c>
    </row>
    <row r="5306">
      <c r="A5306" s="3" t="str">
        <f>IFERROR(__xludf.DUMMYFUNCTION("""COMPUTED_VALUE"""),"gridcoin-research")</f>
        <v>gridcoin-research</v>
      </c>
      <c r="B5306" s="3" t="str">
        <f>IFERROR(__xludf.DUMMYFUNCTION("""COMPUTED_VALUE"""),"grc")</f>
        <v>grc</v>
      </c>
      <c r="C5306" s="3" t="str">
        <f>IFERROR(__xludf.DUMMYFUNCTION("""COMPUTED_VALUE"""),"Gridcoin")</f>
        <v>Gridcoin</v>
      </c>
    </row>
    <row r="5307">
      <c r="A5307" s="3" t="str">
        <f>IFERROR(__xludf.DUMMYFUNCTION("""COMPUTED_VALUE"""),"gridzone")</f>
        <v>gridzone</v>
      </c>
      <c r="B5307" s="3" t="str">
        <f>IFERROR(__xludf.DUMMYFUNCTION("""COMPUTED_VALUE"""),"zone")</f>
        <v>zone</v>
      </c>
      <c r="C5307" s="4" t="str">
        <f>IFERROR(__xludf.DUMMYFUNCTION("""COMPUTED_VALUE"""),"GridZone.io")</f>
        <v>GridZone.io</v>
      </c>
    </row>
    <row r="5308">
      <c r="A5308" s="3" t="str">
        <f>IFERROR(__xludf.DUMMYFUNCTION("""COMPUTED_VALUE"""),"griffin")</f>
        <v>griffin</v>
      </c>
      <c r="B5308" s="3" t="str">
        <f>IFERROR(__xludf.DUMMYFUNCTION("""COMPUTED_VALUE"""),"griffin")</f>
        <v>griffin</v>
      </c>
      <c r="C5308" s="3" t="str">
        <f>IFERROR(__xludf.DUMMYFUNCTION("""COMPUTED_VALUE"""),"Griffin")</f>
        <v>Griffin</v>
      </c>
    </row>
    <row r="5309">
      <c r="A5309" s="3" t="str">
        <f>IFERROR(__xludf.DUMMYFUNCTION("""COMPUTED_VALUE"""),"griffin-art")</f>
        <v>griffin-art</v>
      </c>
      <c r="B5309" s="3" t="str">
        <f>IFERROR(__xludf.DUMMYFUNCTION("""COMPUTED_VALUE"""),"gart")</f>
        <v>gart</v>
      </c>
      <c r="C5309" s="3" t="str">
        <f>IFERROR(__xludf.DUMMYFUNCTION("""COMPUTED_VALUE"""),"Griffin Art")</f>
        <v>Griffin Art</v>
      </c>
    </row>
    <row r="5310">
      <c r="A5310" s="3" t="str">
        <f>IFERROR(__xludf.DUMMYFUNCTION("""COMPUTED_VALUE"""),"griffin-land")</f>
        <v>griffin-land</v>
      </c>
      <c r="B5310" s="3" t="str">
        <f>IFERROR(__xludf.DUMMYFUNCTION("""COMPUTED_VALUE"""),"gland")</f>
        <v>gland</v>
      </c>
      <c r="C5310" s="3" t="str">
        <f>IFERROR(__xludf.DUMMYFUNCTION("""COMPUTED_VALUE"""),"Griffin Land")</f>
        <v>Griffin Land</v>
      </c>
    </row>
    <row r="5311">
      <c r="A5311" s="3" t="str">
        <f>IFERROR(__xludf.DUMMYFUNCTION("""COMPUTED_VALUE"""),"grimace-coin")</f>
        <v>grimace-coin</v>
      </c>
      <c r="B5311" s="3" t="str">
        <f>IFERROR(__xludf.DUMMYFUNCTION("""COMPUTED_VALUE"""),"grimace")</f>
        <v>grimace</v>
      </c>
      <c r="C5311" s="3" t="str">
        <f>IFERROR(__xludf.DUMMYFUNCTION("""COMPUTED_VALUE"""),"Grimace Coin")</f>
        <v>Grimace Coin</v>
      </c>
    </row>
    <row r="5312">
      <c r="A5312" s="3" t="str">
        <f>IFERROR(__xludf.DUMMYFUNCTION("""COMPUTED_VALUE"""),"grim-evo")</f>
        <v>grim-evo</v>
      </c>
      <c r="B5312" s="3" t="str">
        <f>IFERROR(__xludf.DUMMYFUNCTION("""COMPUTED_VALUE"""),"grim evo")</f>
        <v>grim evo</v>
      </c>
      <c r="C5312" s="3" t="str">
        <f>IFERROR(__xludf.DUMMYFUNCTION("""COMPUTED_VALUE"""),"Grim EVO")</f>
        <v>Grim EVO</v>
      </c>
    </row>
    <row r="5313">
      <c r="A5313" s="3" t="str">
        <f>IFERROR(__xludf.DUMMYFUNCTION("""COMPUTED_VALUE"""),"grimm")</f>
        <v>grimm</v>
      </c>
      <c r="B5313" s="3" t="str">
        <f>IFERROR(__xludf.DUMMYFUNCTION("""COMPUTED_VALUE"""),"grimm")</f>
        <v>grimm</v>
      </c>
      <c r="C5313" s="3" t="str">
        <f>IFERROR(__xludf.DUMMYFUNCTION("""COMPUTED_VALUE"""),"Grimm")</f>
        <v>Grimm</v>
      </c>
    </row>
    <row r="5314">
      <c r="A5314" s="3" t="str">
        <f>IFERROR(__xludf.DUMMYFUNCTION("""COMPUTED_VALUE"""),"grimtoken")</f>
        <v>grimtoken</v>
      </c>
      <c r="B5314" s="3" t="str">
        <f>IFERROR(__xludf.DUMMYFUNCTION("""COMPUTED_VALUE"""),"grim")</f>
        <v>grim</v>
      </c>
      <c r="C5314" s="3" t="str">
        <f>IFERROR(__xludf.DUMMYFUNCTION("""COMPUTED_VALUE"""),"Grim")</f>
        <v>Grim</v>
      </c>
    </row>
    <row r="5315">
      <c r="A5315" s="3" t="str">
        <f>IFERROR(__xludf.DUMMYFUNCTION("""COMPUTED_VALUE"""),"grin")</f>
        <v>grin</v>
      </c>
      <c r="B5315" s="3" t="str">
        <f>IFERROR(__xludf.DUMMYFUNCTION("""COMPUTED_VALUE"""),"grin")</f>
        <v>grin</v>
      </c>
      <c r="C5315" s="3" t="str">
        <f>IFERROR(__xludf.DUMMYFUNCTION("""COMPUTED_VALUE"""),"Grin")</f>
        <v>Grin</v>
      </c>
    </row>
    <row r="5316">
      <c r="A5316" s="3" t="str">
        <f>IFERROR(__xludf.DUMMYFUNCTION("""COMPUTED_VALUE"""),"grinbit")</f>
        <v>grinbit</v>
      </c>
      <c r="B5316" s="3" t="str">
        <f>IFERROR(__xludf.DUMMYFUNCTION("""COMPUTED_VALUE"""),"grbt")</f>
        <v>grbt</v>
      </c>
      <c r="C5316" s="3" t="str">
        <f>IFERROR(__xludf.DUMMYFUNCTION("""COMPUTED_VALUE"""),"Grinbit")</f>
        <v>Grinbit</v>
      </c>
    </row>
    <row r="5317">
      <c r="A5317" s="3" t="str">
        <f>IFERROR(__xludf.DUMMYFUNCTION("""COMPUTED_VALUE"""),"grizzly-honey")</f>
        <v>grizzly-honey</v>
      </c>
      <c r="B5317" s="3" t="str">
        <f>IFERROR(__xludf.DUMMYFUNCTION("""COMPUTED_VALUE"""),"ghny")</f>
        <v>ghny</v>
      </c>
      <c r="C5317" s="3" t="str">
        <f>IFERROR(__xludf.DUMMYFUNCTION("""COMPUTED_VALUE"""),"Grizzly Honey")</f>
        <v>Grizzly Honey</v>
      </c>
    </row>
    <row r="5318">
      <c r="A5318" s="3" t="str">
        <f>IFERROR(__xludf.DUMMYFUNCTION("""COMPUTED_VALUE"""),"grn-grid")</f>
        <v>grn-grid</v>
      </c>
      <c r="B5318" s="3" t="str">
        <f>IFERROR(__xludf.DUMMYFUNCTION("""COMPUTED_VALUE"""),"g")</f>
        <v>g</v>
      </c>
      <c r="C5318" s="3" t="str">
        <f>IFERROR(__xludf.DUMMYFUNCTION("""COMPUTED_VALUE"""),"GRN Grid")</f>
        <v>GRN Grid</v>
      </c>
    </row>
    <row r="5319">
      <c r="A5319" s="3" t="str">
        <f>IFERROR(__xludf.DUMMYFUNCTION("""COMPUTED_VALUE"""),"gro-dao-token")</f>
        <v>gro-dao-token</v>
      </c>
      <c r="B5319" s="3" t="str">
        <f>IFERROR(__xludf.DUMMYFUNCTION("""COMPUTED_VALUE"""),"gro")</f>
        <v>gro</v>
      </c>
      <c r="C5319" s="3" t="str">
        <f>IFERROR(__xludf.DUMMYFUNCTION("""COMPUTED_VALUE"""),"Gro DAO")</f>
        <v>Gro DAO</v>
      </c>
    </row>
    <row r="5320">
      <c r="A5320" s="3" t="str">
        <f>IFERROR(__xludf.DUMMYFUNCTION("""COMPUTED_VALUE"""),"groestlcoin")</f>
        <v>groestlcoin</v>
      </c>
      <c r="B5320" s="3" t="str">
        <f>IFERROR(__xludf.DUMMYFUNCTION("""COMPUTED_VALUE"""),"grs")</f>
        <v>grs</v>
      </c>
      <c r="C5320" s="3" t="str">
        <f>IFERROR(__xludf.DUMMYFUNCTION("""COMPUTED_VALUE"""),"Groestlcoin")</f>
        <v>Groestlcoin</v>
      </c>
    </row>
    <row r="5321">
      <c r="A5321" s="3" t="str">
        <f>IFERROR(__xludf.DUMMYFUNCTION("""COMPUTED_VALUE"""),"grok")</f>
        <v>grok</v>
      </c>
      <c r="B5321" s="3" t="str">
        <f>IFERROR(__xludf.DUMMYFUNCTION("""COMPUTED_VALUE"""),"grok")</f>
        <v>grok</v>
      </c>
      <c r="C5321" s="3" t="str">
        <f>IFERROR(__xludf.DUMMYFUNCTION("""COMPUTED_VALUE"""),"Grok")</f>
        <v>Grok</v>
      </c>
    </row>
    <row r="5322">
      <c r="A5322" s="3" t="str">
        <f>IFERROR(__xludf.DUMMYFUNCTION("""COMPUTED_VALUE"""),"grom")</f>
        <v>grom</v>
      </c>
      <c r="B5322" s="3" t="str">
        <f>IFERROR(__xludf.DUMMYFUNCTION("""COMPUTED_VALUE"""),"gr")</f>
        <v>gr</v>
      </c>
      <c r="C5322" s="3" t="str">
        <f>IFERROR(__xludf.DUMMYFUNCTION("""COMPUTED_VALUE"""),"GROM")</f>
        <v>GROM</v>
      </c>
    </row>
    <row r="5323">
      <c r="A5323" s="3" t="str">
        <f>IFERROR(__xludf.DUMMYFUNCTION("""COMPUTED_VALUE"""),"groupdao")</f>
        <v>groupdao</v>
      </c>
      <c r="B5323" s="3" t="str">
        <f>IFERROR(__xludf.DUMMYFUNCTION("""COMPUTED_VALUE"""),"gdo")</f>
        <v>gdo</v>
      </c>
      <c r="C5323" s="3" t="str">
        <f>IFERROR(__xludf.DUMMYFUNCTION("""COMPUTED_VALUE"""),"GroupDao")</f>
        <v>GroupDao</v>
      </c>
    </row>
    <row r="5324">
      <c r="A5324" s="3" t="str">
        <f>IFERROR(__xludf.DUMMYFUNCTION("""COMPUTED_VALUE"""),"gro-vault-token")</f>
        <v>gro-vault-token</v>
      </c>
      <c r="B5324" s="3" t="str">
        <f>IFERROR(__xludf.DUMMYFUNCTION("""COMPUTED_VALUE"""),"gvt")</f>
        <v>gvt</v>
      </c>
      <c r="C5324" s="3" t="str">
        <f>IFERROR(__xludf.DUMMYFUNCTION("""COMPUTED_VALUE"""),"Gro Vault")</f>
        <v>Gro Vault</v>
      </c>
    </row>
    <row r="5325">
      <c r="A5325" s="3" t="str">
        <f>IFERROR(__xludf.DUMMYFUNCTION("""COMPUTED_VALUE"""),"grove")</f>
        <v>grove</v>
      </c>
      <c r="B5325" s="3" t="str">
        <f>IFERROR(__xludf.DUMMYFUNCTION("""COMPUTED_VALUE"""),"gvr")</f>
        <v>gvr</v>
      </c>
      <c r="C5325" s="3" t="str">
        <f>IFERROR(__xludf.DUMMYFUNCTION("""COMPUTED_VALUE"""),"Grove")</f>
        <v>Grove</v>
      </c>
    </row>
    <row r="5326">
      <c r="A5326" s="3" t="str">
        <f>IFERROR(__xludf.DUMMYFUNCTION("""COMPUTED_VALUE"""),"growing-fi")</f>
        <v>growing-fi</v>
      </c>
      <c r="B5326" s="3" t="str">
        <f>IFERROR(__xludf.DUMMYFUNCTION("""COMPUTED_VALUE"""),"grow")</f>
        <v>grow</v>
      </c>
      <c r="C5326" s="4" t="str">
        <f>IFERROR(__xludf.DUMMYFUNCTION("""COMPUTED_VALUE"""),"Growing.fi")</f>
        <v>Growing.fi</v>
      </c>
    </row>
    <row r="5327">
      <c r="A5327" s="3" t="str">
        <f>IFERROR(__xludf.DUMMYFUNCTION("""COMPUTED_VALUE"""),"growmoon")</f>
        <v>growmoon</v>
      </c>
      <c r="B5327" s="3" t="str">
        <f>IFERROR(__xludf.DUMMYFUNCTION("""COMPUTED_VALUE"""),"gm")</f>
        <v>gm</v>
      </c>
      <c r="C5327" s="3" t="str">
        <f>IFERROR(__xludf.DUMMYFUNCTION("""COMPUTED_VALUE"""),"GrowMoon")</f>
        <v>GrowMoon</v>
      </c>
    </row>
    <row r="5328">
      <c r="A5328" s="3" t="str">
        <f>IFERROR(__xludf.DUMMYFUNCTION("""COMPUTED_VALUE"""),"growth-defi")</f>
        <v>growth-defi</v>
      </c>
      <c r="B5328" s="3" t="str">
        <f>IFERROR(__xludf.DUMMYFUNCTION("""COMPUTED_VALUE"""),"xgro")</f>
        <v>xgro</v>
      </c>
      <c r="C5328" s="3" t="str">
        <f>IFERROR(__xludf.DUMMYFUNCTION("""COMPUTED_VALUE"""),"GROWTH DeFi")</f>
        <v>GROWTH DeFi</v>
      </c>
    </row>
    <row r="5329">
      <c r="A5329" s="3" t="str">
        <f>IFERROR(__xludf.DUMMYFUNCTION("""COMPUTED_VALUE"""),"grow-token-2")</f>
        <v>grow-token-2</v>
      </c>
      <c r="B5329" s="3" t="str">
        <f>IFERROR(__xludf.DUMMYFUNCTION("""COMPUTED_VALUE"""),"grow")</f>
        <v>grow</v>
      </c>
      <c r="C5329" s="3" t="str">
        <f>IFERROR(__xludf.DUMMYFUNCTION("""COMPUTED_VALUE"""),"Grow")</f>
        <v>Grow</v>
      </c>
    </row>
    <row r="5330">
      <c r="A5330" s="3" t="str">
        <f>IFERROR(__xludf.DUMMYFUNCTION("""COMPUTED_VALUE"""),"gscarab")</f>
        <v>gscarab</v>
      </c>
      <c r="B5330" s="3" t="str">
        <f>IFERROR(__xludf.DUMMYFUNCTION("""COMPUTED_VALUE"""),"gscarab")</f>
        <v>gscarab</v>
      </c>
      <c r="C5330" s="3" t="str">
        <f>IFERROR(__xludf.DUMMYFUNCTION("""COMPUTED_VALUE"""),"GScarab")</f>
        <v>GScarab</v>
      </c>
    </row>
    <row r="5331">
      <c r="A5331" s="3" t="str">
        <f>IFERROR(__xludf.DUMMYFUNCTION("""COMPUTED_VALUE"""),"gsenetwork")</f>
        <v>gsenetwork</v>
      </c>
      <c r="B5331" s="3" t="str">
        <f>IFERROR(__xludf.DUMMYFUNCTION("""COMPUTED_VALUE"""),"gse")</f>
        <v>gse</v>
      </c>
      <c r="C5331" s="3" t="str">
        <f>IFERROR(__xludf.DUMMYFUNCTION("""COMPUTED_VALUE"""),"GSENetwork")</f>
        <v>GSENetwork</v>
      </c>
    </row>
    <row r="5332">
      <c r="A5332" s="3" t="str">
        <f>IFERROR(__xludf.DUMMYFUNCTION("""COMPUTED_VALUE"""),"gsmcoin")</f>
        <v>gsmcoin</v>
      </c>
      <c r="B5332" s="3" t="str">
        <f>IFERROR(__xludf.DUMMYFUNCTION("""COMPUTED_VALUE"""),"gsm")</f>
        <v>gsm</v>
      </c>
      <c r="C5332" s="3" t="str">
        <f>IFERROR(__xludf.DUMMYFUNCTION("""COMPUTED_VALUE"""),"GSMcoin")</f>
        <v>GSMcoin</v>
      </c>
    </row>
    <row r="5333">
      <c r="A5333" s="3" t="str">
        <f>IFERROR(__xludf.DUMMYFUNCTION("""COMPUTED_VALUE"""),"gstcoin")</f>
        <v>gstcoin</v>
      </c>
      <c r="B5333" s="3" t="str">
        <f>IFERROR(__xludf.DUMMYFUNCTION("""COMPUTED_VALUE"""),"gst")</f>
        <v>gst</v>
      </c>
      <c r="C5333" s="3" t="str">
        <f>IFERROR(__xludf.DUMMYFUNCTION("""COMPUTED_VALUE"""),"GSTCOIN")</f>
        <v>GSTCOIN</v>
      </c>
    </row>
    <row r="5334">
      <c r="A5334" s="3" t="str">
        <f>IFERROR(__xludf.DUMMYFUNCTION("""COMPUTED_VALUE"""),"gti-token")</f>
        <v>gti-token</v>
      </c>
      <c r="B5334" s="3" t="str">
        <f>IFERROR(__xludf.DUMMYFUNCTION("""COMPUTED_VALUE"""),"gti")</f>
        <v>gti</v>
      </c>
      <c r="C5334" s="3" t="str">
        <f>IFERROR(__xludf.DUMMYFUNCTION("""COMPUTED_VALUE"""),"GTI Token")</f>
        <v>GTI Token</v>
      </c>
    </row>
    <row r="5335">
      <c r="A5335" s="3" t="str">
        <f>IFERROR(__xludf.DUMMYFUNCTION("""COMPUTED_VALUE"""),"gton-capital")</f>
        <v>gton-capital</v>
      </c>
      <c r="B5335" s="3" t="str">
        <f>IFERROR(__xludf.DUMMYFUNCTION("""COMPUTED_VALUE"""),"gton")</f>
        <v>gton</v>
      </c>
      <c r="C5335" s="3" t="str">
        <f>IFERROR(__xludf.DUMMYFUNCTION("""COMPUTED_VALUE"""),"GTON CAPITAL")</f>
        <v>GTON CAPITAL</v>
      </c>
    </row>
    <row r="5336">
      <c r="A5336" s="3" t="str">
        <f>IFERROR(__xludf.DUMMYFUNCTION("""COMPUTED_VALUE"""),"gtrax")</f>
        <v>gtrax</v>
      </c>
      <c r="B5336" s="3" t="str">
        <f>IFERROR(__xludf.DUMMYFUNCTION("""COMPUTED_VALUE"""),"gtrx")</f>
        <v>gtrx</v>
      </c>
      <c r="C5336" s="3" t="str">
        <f>IFERROR(__xludf.DUMMYFUNCTION("""COMPUTED_VALUE"""),"GTraX")</f>
        <v>GTraX</v>
      </c>
    </row>
    <row r="5337">
      <c r="A5337" s="3" t="str">
        <f>IFERROR(__xludf.DUMMYFUNCTION("""COMPUTED_VALUE"""),"gu")</f>
        <v>gu</v>
      </c>
      <c r="B5337" s="3" t="str">
        <f>IFERROR(__xludf.DUMMYFUNCTION("""COMPUTED_VALUE"""),"gu")</f>
        <v>gu</v>
      </c>
      <c r="C5337" s="3" t="str">
        <f>IFERROR(__xludf.DUMMYFUNCTION("""COMPUTED_VALUE"""),"Kugle GU")</f>
        <v>Kugle GU</v>
      </c>
    </row>
    <row r="5338">
      <c r="A5338" s="3" t="str">
        <f>IFERROR(__xludf.DUMMYFUNCTION("""COMPUTED_VALUE"""),"guapcoin")</f>
        <v>guapcoin</v>
      </c>
      <c r="B5338" s="3" t="str">
        <f>IFERROR(__xludf.DUMMYFUNCTION("""COMPUTED_VALUE"""),"guap")</f>
        <v>guap</v>
      </c>
      <c r="C5338" s="3" t="str">
        <f>IFERROR(__xludf.DUMMYFUNCTION("""COMPUTED_VALUE"""),"Guapcoin")</f>
        <v>Guapcoin</v>
      </c>
    </row>
    <row r="5339">
      <c r="A5339" s="3" t="str">
        <f>IFERROR(__xludf.DUMMYFUNCTION("""COMPUTED_VALUE"""),"guarded-ether")</f>
        <v>guarded-ether</v>
      </c>
      <c r="B5339" s="3" t="str">
        <f>IFERROR(__xludf.DUMMYFUNCTION("""COMPUTED_VALUE"""),"geth")</f>
        <v>geth</v>
      </c>
      <c r="C5339" s="3" t="str">
        <f>IFERROR(__xludf.DUMMYFUNCTION("""COMPUTED_VALUE"""),"Guarded Ether")</f>
        <v>Guarded Ether</v>
      </c>
    </row>
    <row r="5340">
      <c r="A5340" s="3" t="str">
        <f>IFERROR(__xludf.DUMMYFUNCTION("""COMPUTED_VALUE"""),"guardian-token")</f>
        <v>guardian-token</v>
      </c>
      <c r="B5340" s="3" t="str">
        <f>IFERROR(__xludf.DUMMYFUNCTION("""COMPUTED_VALUE"""),"guard")</f>
        <v>guard</v>
      </c>
      <c r="C5340" s="3" t="str">
        <f>IFERROR(__xludf.DUMMYFUNCTION("""COMPUTED_VALUE"""),"Guardian GUARD")</f>
        <v>Guardian GUARD</v>
      </c>
    </row>
    <row r="5341">
      <c r="A5341" s="3" t="str">
        <f>IFERROR(__xludf.DUMMYFUNCTION("""COMPUTED_VALUE"""),"guider")</f>
        <v>guider</v>
      </c>
      <c r="B5341" s="3" t="str">
        <f>IFERROR(__xludf.DUMMYFUNCTION("""COMPUTED_VALUE"""),"gdr")</f>
        <v>gdr</v>
      </c>
      <c r="C5341" s="3" t="str">
        <f>IFERROR(__xludf.DUMMYFUNCTION("""COMPUTED_VALUE"""),"Guider")</f>
        <v>Guider</v>
      </c>
    </row>
    <row r="5342">
      <c r="A5342" s="3" t="str">
        <f>IFERROR(__xludf.DUMMYFUNCTION("""COMPUTED_VALUE"""),"guildfi")</f>
        <v>guildfi</v>
      </c>
      <c r="B5342" s="3" t="str">
        <f>IFERROR(__xludf.DUMMYFUNCTION("""COMPUTED_VALUE"""),"gf")</f>
        <v>gf</v>
      </c>
      <c r="C5342" s="3" t="str">
        <f>IFERROR(__xludf.DUMMYFUNCTION("""COMPUTED_VALUE"""),"GuildFi")</f>
        <v>GuildFi</v>
      </c>
    </row>
    <row r="5343">
      <c r="A5343" s="3" t="str">
        <f>IFERROR(__xludf.DUMMYFUNCTION("""COMPUTED_VALUE"""),"guild-of-guardians")</f>
        <v>guild-of-guardians</v>
      </c>
      <c r="B5343" s="3" t="str">
        <f>IFERROR(__xludf.DUMMYFUNCTION("""COMPUTED_VALUE"""),"gog")</f>
        <v>gog</v>
      </c>
      <c r="C5343" s="3" t="str">
        <f>IFERROR(__xludf.DUMMYFUNCTION("""COMPUTED_VALUE"""),"Guild of Guardians")</f>
        <v>Guild of Guardians</v>
      </c>
    </row>
    <row r="5344">
      <c r="A5344" s="3" t="str">
        <f>IFERROR(__xludf.DUMMYFUNCTION("""COMPUTED_VALUE"""),"guitarswap")</f>
        <v>guitarswap</v>
      </c>
      <c r="B5344" s="3" t="str">
        <f>IFERROR(__xludf.DUMMYFUNCTION("""COMPUTED_VALUE"""),"gut")</f>
        <v>gut</v>
      </c>
      <c r="C5344" s="3" t="str">
        <f>IFERROR(__xludf.DUMMYFUNCTION("""COMPUTED_VALUE"""),"GuitarSwap")</f>
        <v>GuitarSwap</v>
      </c>
    </row>
    <row r="5345">
      <c r="A5345" s="3" t="str">
        <f>IFERROR(__xludf.DUMMYFUNCTION("""COMPUTED_VALUE"""),"gulden")</f>
        <v>gulden</v>
      </c>
      <c r="B5345" s="3" t="str">
        <f>IFERROR(__xludf.DUMMYFUNCTION("""COMPUTED_VALUE"""),"munt")</f>
        <v>munt</v>
      </c>
      <c r="C5345" s="3" t="str">
        <f>IFERROR(__xludf.DUMMYFUNCTION("""COMPUTED_VALUE"""),"Munt")</f>
        <v>Munt</v>
      </c>
    </row>
    <row r="5346">
      <c r="A5346" s="3" t="str">
        <f>IFERROR(__xludf.DUMMYFUNCTION("""COMPUTED_VALUE"""),"gulfcoin-2")</f>
        <v>gulfcoin-2</v>
      </c>
      <c r="B5346" s="3" t="str">
        <f>IFERROR(__xludf.DUMMYFUNCTION("""COMPUTED_VALUE"""),"gulf")</f>
        <v>gulf</v>
      </c>
      <c r="C5346" s="3" t="str">
        <f>IFERROR(__xludf.DUMMYFUNCTION("""COMPUTED_VALUE"""),"GulfCoin")</f>
        <v>GulfCoin</v>
      </c>
    </row>
    <row r="5347">
      <c r="A5347" s="3" t="str">
        <f>IFERROR(__xludf.DUMMYFUNCTION("""COMPUTED_VALUE"""),"gummy-beans")</f>
        <v>gummy-beans</v>
      </c>
      <c r="B5347" s="3" t="str">
        <f>IFERROR(__xludf.DUMMYFUNCTION("""COMPUTED_VALUE"""),"gummie")</f>
        <v>gummie</v>
      </c>
      <c r="C5347" s="3" t="str">
        <f>IFERROR(__xludf.DUMMYFUNCTION("""COMPUTED_VALUE"""),"Gummy Beans")</f>
        <v>Gummy Beans</v>
      </c>
    </row>
    <row r="5348">
      <c r="A5348" s="3" t="str">
        <f>IFERROR(__xludf.DUMMYFUNCTION("""COMPUTED_VALUE"""),"guncoin")</f>
        <v>guncoin</v>
      </c>
      <c r="B5348" s="3" t="str">
        <f>IFERROR(__xludf.DUMMYFUNCTION("""COMPUTED_VALUE"""),"gun")</f>
        <v>gun</v>
      </c>
      <c r="C5348" s="3" t="str">
        <f>IFERROR(__xludf.DUMMYFUNCTION("""COMPUTED_VALUE"""),"Guncoin")</f>
        <v>Guncoin</v>
      </c>
    </row>
    <row r="5349">
      <c r="A5349" s="3" t="str">
        <f>IFERROR(__xludf.DUMMYFUNCTION("""COMPUTED_VALUE"""),"gunstar-metaverse")</f>
        <v>gunstar-metaverse</v>
      </c>
      <c r="B5349" s="3" t="str">
        <f>IFERROR(__xludf.DUMMYFUNCTION("""COMPUTED_VALUE"""),"gsts")</f>
        <v>gsts</v>
      </c>
      <c r="C5349" s="3" t="str">
        <f>IFERROR(__xludf.DUMMYFUNCTION("""COMPUTED_VALUE"""),"Gunstar Metaverse")</f>
        <v>Gunstar Metaverse</v>
      </c>
    </row>
    <row r="5350">
      <c r="A5350" s="3" t="str">
        <f>IFERROR(__xludf.DUMMYFUNCTION("""COMPUTED_VALUE"""),"gunstar-metaverse-currency")</f>
        <v>gunstar-metaverse-currency</v>
      </c>
      <c r="B5350" s="3" t="str">
        <f>IFERROR(__xludf.DUMMYFUNCTION("""COMPUTED_VALUE"""),"gsc")</f>
        <v>gsc</v>
      </c>
      <c r="C5350" s="3" t="str">
        <f>IFERROR(__xludf.DUMMYFUNCTION("""COMPUTED_VALUE"""),"Gunstar Metaverse Currency")</f>
        <v>Gunstar Metaverse Currency</v>
      </c>
    </row>
    <row r="5351">
      <c r="A5351" s="3" t="str">
        <f>IFERROR(__xludf.DUMMYFUNCTION("""COMPUTED_VALUE"""),"gunthy")</f>
        <v>gunthy</v>
      </c>
      <c r="B5351" s="3" t="str">
        <f>IFERROR(__xludf.DUMMYFUNCTION("""COMPUTED_VALUE"""),"gunthy")</f>
        <v>gunthy</v>
      </c>
      <c r="C5351" s="3" t="str">
        <f>IFERROR(__xludf.DUMMYFUNCTION("""COMPUTED_VALUE"""),"GUNTHY")</f>
        <v>GUNTHY</v>
      </c>
    </row>
    <row r="5352">
      <c r="A5352" s="3" t="str">
        <f>IFERROR(__xludf.DUMMYFUNCTION("""COMPUTED_VALUE"""),"guss-one")</f>
        <v>guss-one</v>
      </c>
      <c r="B5352" s="3" t="str">
        <f>IFERROR(__xludf.DUMMYFUNCTION("""COMPUTED_VALUE"""),"guss")</f>
        <v>guss</v>
      </c>
      <c r="C5352" s="3" t="str">
        <f>IFERROR(__xludf.DUMMYFUNCTION("""COMPUTED_VALUE"""),"GUSS.ONE")</f>
        <v>GUSS.ONE</v>
      </c>
    </row>
    <row r="5353">
      <c r="A5353" s="3" t="str">
        <f>IFERROR(__xludf.DUMMYFUNCTION("""COMPUTED_VALUE"""),"guzzler")</f>
        <v>guzzler</v>
      </c>
      <c r="B5353" s="3" t="str">
        <f>IFERROR(__xludf.DUMMYFUNCTION("""COMPUTED_VALUE"""),"gzlr")</f>
        <v>gzlr</v>
      </c>
      <c r="C5353" s="3" t="str">
        <f>IFERROR(__xludf.DUMMYFUNCTION("""COMPUTED_VALUE"""),"Guzzler")</f>
        <v>Guzzler</v>
      </c>
    </row>
    <row r="5354">
      <c r="A5354" s="3" t="str">
        <f>IFERROR(__xludf.DUMMYFUNCTION("""COMPUTED_VALUE"""),"gxchain")</f>
        <v>gxchain</v>
      </c>
      <c r="B5354" s="3" t="str">
        <f>IFERROR(__xludf.DUMMYFUNCTION("""COMPUTED_VALUE"""),"gxc")</f>
        <v>gxc</v>
      </c>
      <c r="C5354" s="3" t="str">
        <f>IFERROR(__xludf.DUMMYFUNCTION("""COMPUTED_VALUE"""),"GXChain")</f>
        <v>GXChain</v>
      </c>
    </row>
    <row r="5355">
      <c r="A5355" s="3" t="str">
        <f>IFERROR(__xludf.DUMMYFUNCTION("""COMPUTED_VALUE"""),"gyen")</f>
        <v>gyen</v>
      </c>
      <c r="B5355" s="3" t="str">
        <f>IFERROR(__xludf.DUMMYFUNCTION("""COMPUTED_VALUE"""),"gyen")</f>
        <v>gyen</v>
      </c>
      <c r="C5355" s="3" t="str">
        <f>IFERROR(__xludf.DUMMYFUNCTION("""COMPUTED_VALUE"""),"GYEN")</f>
        <v>GYEN</v>
      </c>
    </row>
    <row r="5356">
      <c r="A5356" s="3" t="str">
        <f>IFERROR(__xludf.DUMMYFUNCTION("""COMPUTED_VALUE"""),"gym-network")</f>
        <v>gym-network</v>
      </c>
      <c r="B5356" s="3" t="str">
        <f>IFERROR(__xludf.DUMMYFUNCTION("""COMPUTED_VALUE"""),"gymnet")</f>
        <v>gymnet</v>
      </c>
      <c r="C5356" s="3" t="str">
        <f>IFERROR(__xludf.DUMMYFUNCTION("""COMPUTED_VALUE"""),"Gym Network")</f>
        <v>Gym Network</v>
      </c>
    </row>
    <row r="5357">
      <c r="A5357" s="3" t="str">
        <f>IFERROR(__xludf.DUMMYFUNCTION("""COMPUTED_VALUE"""),"gyro")</f>
        <v>gyro</v>
      </c>
      <c r="B5357" s="3" t="str">
        <f>IFERROR(__xludf.DUMMYFUNCTION("""COMPUTED_VALUE"""),"gyro")</f>
        <v>gyro</v>
      </c>
      <c r="C5357" s="3" t="str">
        <f>IFERROR(__xludf.DUMMYFUNCTION("""COMPUTED_VALUE"""),"Gyro")</f>
        <v>Gyro</v>
      </c>
    </row>
    <row r="5358">
      <c r="A5358" s="3" t="str">
        <f>IFERROR(__xludf.DUMMYFUNCTION("""COMPUTED_VALUE"""),"h2finance")</f>
        <v>h2finance</v>
      </c>
      <c r="B5358" s="3" t="str">
        <f>IFERROR(__xludf.DUMMYFUNCTION("""COMPUTED_VALUE"""),"yfih2")</f>
        <v>yfih2</v>
      </c>
      <c r="C5358" s="3" t="str">
        <f>IFERROR(__xludf.DUMMYFUNCTION("""COMPUTED_VALUE"""),"H2Finance")</f>
        <v>H2Finance</v>
      </c>
    </row>
    <row r="5359">
      <c r="A5359" s="3" t="str">
        <f>IFERROR(__xludf.DUMMYFUNCTION("""COMPUTED_VALUE"""),"h2o")</f>
        <v>h2o</v>
      </c>
      <c r="B5359" s="3" t="str">
        <f>IFERROR(__xludf.DUMMYFUNCTION("""COMPUTED_VALUE"""),"h2o")</f>
        <v>h2o</v>
      </c>
      <c r="C5359" s="3" t="str">
        <f>IFERROR(__xludf.DUMMYFUNCTION("""COMPUTED_VALUE"""),"H2O")</f>
        <v>H2O</v>
      </c>
    </row>
    <row r="5360">
      <c r="A5360" s="3" t="str">
        <f>IFERROR(__xludf.DUMMYFUNCTION("""COMPUTED_VALUE"""),"h2o-dao")</f>
        <v>h2o-dao</v>
      </c>
      <c r="B5360" s="3" t="str">
        <f>IFERROR(__xludf.DUMMYFUNCTION("""COMPUTED_VALUE"""),"h2o")</f>
        <v>h2o</v>
      </c>
      <c r="C5360" s="3" t="str">
        <f>IFERROR(__xludf.DUMMYFUNCTION("""COMPUTED_VALUE"""),"H2O Dao")</f>
        <v>H2O Dao</v>
      </c>
    </row>
    <row r="5361">
      <c r="A5361" s="3" t="str">
        <f>IFERROR(__xludf.DUMMYFUNCTION("""COMPUTED_VALUE"""),"h2o-securities")</f>
        <v>h2o-securities</v>
      </c>
      <c r="B5361" s="3" t="str">
        <f>IFERROR(__xludf.DUMMYFUNCTION("""COMPUTED_VALUE"""),"h2on")</f>
        <v>h2on</v>
      </c>
      <c r="C5361" s="3" t="str">
        <f>IFERROR(__xludf.DUMMYFUNCTION("""COMPUTED_VALUE"""),"H2O Securities")</f>
        <v>H2O Securities</v>
      </c>
    </row>
    <row r="5362">
      <c r="A5362" s="3" t="str">
        <f>IFERROR(__xludf.DUMMYFUNCTION("""COMPUTED_VALUE"""),"h3ro3s")</f>
        <v>h3ro3s</v>
      </c>
      <c r="B5362" s="3" t="str">
        <f>IFERROR(__xludf.DUMMYFUNCTION("""COMPUTED_VALUE"""),"h3ro3s")</f>
        <v>h3ro3s</v>
      </c>
      <c r="C5362" s="3" t="str">
        <f>IFERROR(__xludf.DUMMYFUNCTION("""COMPUTED_VALUE"""),"H3RO3S")</f>
        <v>H3RO3S</v>
      </c>
    </row>
    <row r="5363">
      <c r="A5363" s="3" t="str">
        <f>IFERROR(__xludf.DUMMYFUNCTION("""COMPUTED_VALUE"""),"habitat")</f>
        <v>habitat</v>
      </c>
      <c r="B5363" s="3" t="str">
        <f>IFERROR(__xludf.DUMMYFUNCTION("""COMPUTED_VALUE"""),"hbt")</f>
        <v>hbt</v>
      </c>
      <c r="C5363" s="3" t="str">
        <f>IFERROR(__xludf.DUMMYFUNCTION("""COMPUTED_VALUE"""),"Habitat")</f>
        <v>Habitat</v>
      </c>
    </row>
    <row r="5364">
      <c r="A5364" s="3" t="str">
        <f>IFERROR(__xludf.DUMMYFUNCTION("""COMPUTED_VALUE"""),"habits")</f>
        <v>habits</v>
      </c>
      <c r="B5364" s="3" t="str">
        <f>IFERROR(__xludf.DUMMYFUNCTION("""COMPUTED_VALUE"""),"hbx")</f>
        <v>hbx</v>
      </c>
      <c r="C5364" s="3" t="str">
        <f>IFERROR(__xludf.DUMMYFUNCTION("""COMPUTED_VALUE"""),"Habits")</f>
        <v>Habits</v>
      </c>
    </row>
    <row r="5365">
      <c r="A5365" s="3" t="str">
        <f>IFERROR(__xludf.DUMMYFUNCTION("""COMPUTED_VALUE"""),"hacash")</f>
        <v>hacash</v>
      </c>
      <c r="B5365" s="3" t="str">
        <f>IFERROR(__xludf.DUMMYFUNCTION("""COMPUTED_VALUE"""),"hac")</f>
        <v>hac</v>
      </c>
      <c r="C5365" s="3" t="str">
        <f>IFERROR(__xludf.DUMMYFUNCTION("""COMPUTED_VALUE"""),"Hacash")</f>
        <v>Hacash</v>
      </c>
    </row>
    <row r="5366">
      <c r="A5366" s="3" t="str">
        <f>IFERROR(__xludf.DUMMYFUNCTION("""COMPUTED_VALUE"""),"hachiko-charity")</f>
        <v>hachiko-charity</v>
      </c>
      <c r="B5366" s="3" t="str">
        <f>IFERROR(__xludf.DUMMYFUNCTION("""COMPUTED_VALUE"""),"hkc")</f>
        <v>hkc</v>
      </c>
      <c r="C5366" s="3" t="str">
        <f>IFERROR(__xludf.DUMMYFUNCTION("""COMPUTED_VALUE"""),"Hachiko Charity")</f>
        <v>Hachiko Charity</v>
      </c>
    </row>
    <row r="5367">
      <c r="A5367" s="3" t="str">
        <f>IFERROR(__xludf.DUMMYFUNCTION("""COMPUTED_VALUE"""),"hachikoinu")</f>
        <v>hachikoinu</v>
      </c>
      <c r="B5367" s="3" t="str">
        <f>IFERROR(__xludf.DUMMYFUNCTION("""COMPUTED_VALUE"""),"inu")</f>
        <v>inu</v>
      </c>
      <c r="C5367" s="3" t="str">
        <f>IFERROR(__xludf.DUMMYFUNCTION("""COMPUTED_VALUE"""),"HachikoInu")</f>
        <v>HachikoInu</v>
      </c>
    </row>
    <row r="5368">
      <c r="A5368" s="3" t="str">
        <f>IFERROR(__xludf.DUMMYFUNCTION("""COMPUTED_VALUE"""),"hackenai")</f>
        <v>hackenai</v>
      </c>
      <c r="B5368" s="3" t="str">
        <f>IFERROR(__xludf.DUMMYFUNCTION("""COMPUTED_VALUE"""),"hai")</f>
        <v>hai</v>
      </c>
      <c r="C5368" s="3" t="str">
        <f>IFERROR(__xludf.DUMMYFUNCTION("""COMPUTED_VALUE"""),"Hacken HAI")</f>
        <v>Hacken HAI</v>
      </c>
    </row>
    <row r="5369">
      <c r="A5369" s="3" t="str">
        <f>IFERROR(__xludf.DUMMYFUNCTION("""COMPUTED_VALUE"""),"hackerlabs-dao")</f>
        <v>hackerlabs-dao</v>
      </c>
      <c r="B5369" s="3" t="str">
        <f>IFERROR(__xludf.DUMMYFUNCTION("""COMPUTED_VALUE"""),"hld")</f>
        <v>hld</v>
      </c>
      <c r="C5369" s="3" t="str">
        <f>IFERROR(__xludf.DUMMYFUNCTION("""COMPUTED_VALUE"""),"Hackerlabs DAO")</f>
        <v>Hackerlabs DAO</v>
      </c>
    </row>
    <row r="5370">
      <c r="A5370" s="3" t="str">
        <f>IFERROR(__xludf.DUMMYFUNCTION("""COMPUTED_VALUE"""),"hackspace-capital")</f>
        <v>hackspace-capital</v>
      </c>
      <c r="B5370" s="3" t="str">
        <f>IFERROR(__xludf.DUMMYFUNCTION("""COMPUTED_VALUE"""),"hac")</f>
        <v>hac</v>
      </c>
      <c r="C5370" s="3" t="str">
        <f>IFERROR(__xludf.DUMMYFUNCTION("""COMPUTED_VALUE"""),"Hackspace Capital")</f>
        <v>Hackspace Capital</v>
      </c>
    </row>
    <row r="5371">
      <c r="A5371" s="3" t="str">
        <f>IFERROR(__xludf.DUMMYFUNCTION("""COMPUTED_VALUE"""),"hai-governence-token")</f>
        <v>hai-governence-token</v>
      </c>
      <c r="B5371" s="3" t="str">
        <f>IFERROR(__xludf.DUMMYFUNCTION("""COMPUTED_VALUE"""),"damo")</f>
        <v>damo</v>
      </c>
      <c r="C5371" s="3" t="str">
        <f>IFERROR(__xludf.DUMMYFUNCTION("""COMPUTED_VALUE"""),"Hai DAMO")</f>
        <v>Hai DAMO</v>
      </c>
    </row>
    <row r="5372">
      <c r="A5372" s="3" t="str">
        <f>IFERROR(__xludf.DUMMYFUNCTION("""COMPUTED_VALUE"""),"haino-2")</f>
        <v>haino-2</v>
      </c>
      <c r="B5372" s="3" t="str">
        <f>IFERROR(__xludf.DUMMYFUNCTION("""COMPUTED_VALUE"""),"he")</f>
        <v>he</v>
      </c>
      <c r="C5372" s="3" t="str">
        <f>IFERROR(__xludf.DUMMYFUNCTION("""COMPUTED_VALUE"""),"Haino")</f>
        <v>Haino</v>
      </c>
    </row>
    <row r="5373">
      <c r="A5373" s="3" t="str">
        <f>IFERROR(__xludf.DUMMYFUNCTION("""COMPUTED_VALUE"""),"haki-token")</f>
        <v>haki-token</v>
      </c>
      <c r="B5373" s="3" t="str">
        <f>IFERROR(__xludf.DUMMYFUNCTION("""COMPUTED_VALUE"""),"haki")</f>
        <v>haki</v>
      </c>
      <c r="C5373" s="3" t="str">
        <f>IFERROR(__xludf.DUMMYFUNCTION("""COMPUTED_VALUE"""),"HAKI Token")</f>
        <v>HAKI Token</v>
      </c>
    </row>
    <row r="5374">
      <c r="A5374" s="3" t="str">
        <f>IFERROR(__xludf.DUMMYFUNCTION("""COMPUTED_VALUE"""),"hakka-finance")</f>
        <v>hakka-finance</v>
      </c>
      <c r="B5374" s="3" t="str">
        <f>IFERROR(__xludf.DUMMYFUNCTION("""COMPUTED_VALUE"""),"hakka")</f>
        <v>hakka</v>
      </c>
      <c r="C5374" s="3" t="str">
        <f>IFERROR(__xludf.DUMMYFUNCTION("""COMPUTED_VALUE"""),"Hakka Finance")</f>
        <v>Hakka Finance</v>
      </c>
    </row>
    <row r="5375">
      <c r="A5375" s="3" t="str">
        <f>IFERROR(__xludf.DUMMYFUNCTION("""COMPUTED_VALUE"""),"hakuna-metata")</f>
        <v>hakuna-metata</v>
      </c>
      <c r="B5375" s="3" t="str">
        <f>IFERROR(__xludf.DUMMYFUNCTION("""COMPUTED_VALUE"""),"tata")</f>
        <v>tata</v>
      </c>
      <c r="C5375" s="3" t="str">
        <f>IFERROR(__xludf.DUMMYFUNCTION("""COMPUTED_VALUE"""),"HakunaMatata (old)")</f>
        <v>HakunaMatata (old)</v>
      </c>
    </row>
    <row r="5376">
      <c r="A5376" s="3" t="str">
        <f>IFERROR(__xludf.DUMMYFUNCTION("""COMPUTED_VALUE"""),"hakuswap")</f>
        <v>hakuswap</v>
      </c>
      <c r="B5376" s="3" t="str">
        <f>IFERROR(__xludf.DUMMYFUNCTION("""COMPUTED_VALUE"""),"haku")</f>
        <v>haku</v>
      </c>
      <c r="C5376" s="3" t="str">
        <f>IFERROR(__xludf.DUMMYFUNCTION("""COMPUTED_VALUE"""),"HakuSwap")</f>
        <v>HakuSwap</v>
      </c>
    </row>
    <row r="5377">
      <c r="A5377" s="3" t="str">
        <f>IFERROR(__xludf.DUMMYFUNCTION("""COMPUTED_VALUE"""),"halcyon")</f>
        <v>halcyon</v>
      </c>
      <c r="B5377" s="3" t="str">
        <f>IFERROR(__xludf.DUMMYFUNCTION("""COMPUTED_VALUE"""),"hal")</f>
        <v>hal</v>
      </c>
      <c r="C5377" s="3" t="str">
        <f>IFERROR(__xludf.DUMMYFUNCTION("""COMPUTED_VALUE"""),"Halcyon")</f>
        <v>Halcyon</v>
      </c>
    </row>
    <row r="5378">
      <c r="A5378" s="3" t="str">
        <f>IFERROR(__xludf.DUMMYFUNCTION("""COMPUTED_VALUE"""),"halfpizza")</f>
        <v>halfpizza</v>
      </c>
      <c r="B5378" s="3" t="str">
        <f>IFERROR(__xludf.DUMMYFUNCTION("""COMPUTED_VALUE"""),"piza")</f>
        <v>piza</v>
      </c>
      <c r="C5378" s="3" t="str">
        <f>IFERROR(__xludf.DUMMYFUNCTION("""COMPUTED_VALUE"""),"Half Pizza")</f>
        <v>Half Pizza</v>
      </c>
    </row>
    <row r="5379">
      <c r="A5379" s="3" t="str">
        <f>IFERROR(__xludf.DUMMYFUNCTION("""COMPUTED_VALUE"""),"halloween-crows")</f>
        <v>halloween-crows</v>
      </c>
      <c r="B5379" s="3" t="str">
        <f>IFERROR(__xludf.DUMMYFUNCTION("""COMPUTED_VALUE"""),"scary")</f>
        <v>scary</v>
      </c>
      <c r="C5379" s="3" t="str">
        <f>IFERROR(__xludf.DUMMYFUNCTION("""COMPUTED_VALUE"""),"Halloween Crows")</f>
        <v>Halloween Crows</v>
      </c>
    </row>
    <row r="5380">
      <c r="A5380" s="3" t="str">
        <f>IFERROR(__xludf.DUMMYFUNCTION("""COMPUTED_VALUE"""),"halloween-floki")</f>
        <v>halloween-floki</v>
      </c>
      <c r="B5380" s="3" t="str">
        <f>IFERROR(__xludf.DUMMYFUNCTION("""COMPUTED_VALUE"""),"floh")</f>
        <v>floh</v>
      </c>
      <c r="C5380" s="3" t="str">
        <f>IFERROR(__xludf.DUMMYFUNCTION("""COMPUTED_VALUE"""),"Halloween Floki")</f>
        <v>Halloween Floki</v>
      </c>
    </row>
    <row r="5381">
      <c r="A5381" s="3" t="str">
        <f>IFERROR(__xludf.DUMMYFUNCTION("""COMPUTED_VALUE"""),"halo-coin")</f>
        <v>halo-coin</v>
      </c>
      <c r="B5381" s="3" t="str">
        <f>IFERROR(__xludf.DUMMYFUNCTION("""COMPUTED_VALUE"""),"halo")</f>
        <v>halo</v>
      </c>
      <c r="C5381" s="3" t="str">
        <f>IFERROR(__xludf.DUMMYFUNCTION("""COMPUTED_VALUE"""),"Halo Coin")</f>
        <v>Halo Coin</v>
      </c>
    </row>
    <row r="5382">
      <c r="A5382" s="3" t="str">
        <f>IFERROR(__xludf.DUMMYFUNCTION("""COMPUTED_VALUE"""),"halo-network")</f>
        <v>halo-network</v>
      </c>
      <c r="B5382" s="3" t="str">
        <f>IFERROR(__xludf.DUMMYFUNCTION("""COMPUTED_VALUE"""),"ho")</f>
        <v>ho</v>
      </c>
      <c r="C5382" s="3" t="str">
        <f>IFERROR(__xludf.DUMMYFUNCTION("""COMPUTED_VALUE"""),"HALO Network")</f>
        <v>HALO Network</v>
      </c>
    </row>
    <row r="5383">
      <c r="A5383" s="3" t="str">
        <f>IFERROR(__xludf.DUMMYFUNCTION("""COMPUTED_VALUE"""),"halving-coin")</f>
        <v>halving-coin</v>
      </c>
      <c r="B5383" s="3" t="str">
        <f>IFERROR(__xludf.DUMMYFUNCTION("""COMPUTED_VALUE"""),"halv")</f>
        <v>halv</v>
      </c>
      <c r="C5383" s="3" t="str">
        <f>IFERROR(__xludf.DUMMYFUNCTION("""COMPUTED_VALUE"""),"Halving")</f>
        <v>Halving</v>
      </c>
    </row>
    <row r="5384">
      <c r="A5384" s="3" t="str">
        <f>IFERROR(__xludf.DUMMYFUNCTION("""COMPUTED_VALUE"""),"hamdan-coin")</f>
        <v>hamdan-coin</v>
      </c>
      <c r="B5384" s="3" t="str">
        <f>IFERROR(__xludf.DUMMYFUNCTION("""COMPUTED_VALUE"""),"hmc")</f>
        <v>hmc</v>
      </c>
      <c r="C5384" s="3" t="str">
        <f>IFERROR(__xludf.DUMMYFUNCTION("""COMPUTED_VALUE"""),"Hamdan Coin")</f>
        <v>Hamdan Coin</v>
      </c>
    </row>
    <row r="5385">
      <c r="A5385" s="3" t="str">
        <f>IFERROR(__xludf.DUMMYFUNCTION("""COMPUTED_VALUE"""),"hamster")</f>
        <v>hamster</v>
      </c>
      <c r="B5385" s="3" t="str">
        <f>IFERROR(__xludf.DUMMYFUNCTION("""COMPUTED_VALUE"""),"ham")</f>
        <v>ham</v>
      </c>
      <c r="C5385" s="3" t="str">
        <f>IFERROR(__xludf.DUMMYFUNCTION("""COMPUTED_VALUE"""),"Hamster")</f>
        <v>Hamster</v>
      </c>
    </row>
    <row r="5386">
      <c r="A5386" s="3" t="str">
        <f>IFERROR(__xludf.DUMMYFUNCTION("""COMPUTED_VALUE"""),"hanagold-token")</f>
        <v>hanagold-token</v>
      </c>
      <c r="B5386" s="3" t="str">
        <f>IFERROR(__xludf.DUMMYFUNCTION("""COMPUTED_VALUE"""),"hng")</f>
        <v>hng</v>
      </c>
      <c r="C5386" s="3" t="str">
        <f>IFERROR(__xludf.DUMMYFUNCTION("""COMPUTED_VALUE"""),"HanaGold")</f>
        <v>HanaGold</v>
      </c>
    </row>
    <row r="5387">
      <c r="A5387" s="3" t="str">
        <f>IFERROR(__xludf.DUMMYFUNCTION("""COMPUTED_VALUE"""),"hanchain")</f>
        <v>hanchain</v>
      </c>
      <c r="B5387" s="3" t="str">
        <f>IFERROR(__xludf.DUMMYFUNCTION("""COMPUTED_VALUE"""),"han")</f>
        <v>han</v>
      </c>
      <c r="C5387" s="3" t="str">
        <f>IFERROR(__xludf.DUMMYFUNCTION("""COMPUTED_VALUE"""),"HanChain")</f>
        <v>HanChain</v>
      </c>
    </row>
    <row r="5388">
      <c r="A5388" s="3" t="str">
        <f>IFERROR(__xludf.DUMMYFUNCTION("""COMPUTED_VALUE"""),"handle-fi")</f>
        <v>handle-fi</v>
      </c>
      <c r="B5388" s="3" t="str">
        <f>IFERROR(__xludf.DUMMYFUNCTION("""COMPUTED_VALUE"""),"forex")</f>
        <v>forex</v>
      </c>
      <c r="C5388" s="4" t="str">
        <f>IFERROR(__xludf.DUMMYFUNCTION("""COMPUTED_VALUE"""),"handle.fi")</f>
        <v>handle.fi</v>
      </c>
    </row>
    <row r="5389">
      <c r="A5389" s="3" t="str">
        <f>IFERROR(__xludf.DUMMYFUNCTION("""COMPUTED_VALUE"""),"handleusd")</f>
        <v>handleusd</v>
      </c>
      <c r="B5389" s="3" t="str">
        <f>IFERROR(__xludf.DUMMYFUNCTION("""COMPUTED_VALUE"""),"fxusd")</f>
        <v>fxusd</v>
      </c>
      <c r="C5389" s="3" t="str">
        <f>IFERROR(__xludf.DUMMYFUNCTION("""COMPUTED_VALUE"""),"handleUSD")</f>
        <v>handleUSD</v>
      </c>
    </row>
    <row r="5390">
      <c r="A5390" s="3" t="str">
        <f>IFERROR(__xludf.DUMMYFUNCTION("""COMPUTED_VALUE"""),"handshake")</f>
        <v>handshake</v>
      </c>
      <c r="B5390" s="3" t="str">
        <f>IFERROR(__xludf.DUMMYFUNCTION("""COMPUTED_VALUE"""),"hns")</f>
        <v>hns</v>
      </c>
      <c r="C5390" s="3" t="str">
        <f>IFERROR(__xludf.DUMMYFUNCTION("""COMPUTED_VALUE"""),"Handshake")</f>
        <v>Handshake</v>
      </c>
    </row>
    <row r="5391">
      <c r="A5391" s="3" t="str">
        <f>IFERROR(__xludf.DUMMYFUNCTION("""COMPUTED_VALUE"""),"handy")</f>
        <v>handy</v>
      </c>
      <c r="B5391" s="3" t="str">
        <f>IFERROR(__xludf.DUMMYFUNCTION("""COMPUTED_VALUE"""),"handy")</f>
        <v>handy</v>
      </c>
      <c r="C5391" s="3" t="str">
        <f>IFERROR(__xludf.DUMMYFUNCTION("""COMPUTED_VALUE"""),"Handy")</f>
        <v>Handy</v>
      </c>
    </row>
    <row r="5392">
      <c r="A5392" s="3" t="str">
        <f>IFERROR(__xludf.DUMMYFUNCTION("""COMPUTED_VALUE"""),"hanu-yokia")</f>
        <v>hanu-yokia</v>
      </c>
      <c r="B5392" s="3" t="str">
        <f>IFERROR(__xludf.DUMMYFUNCTION("""COMPUTED_VALUE"""),"hanu")</f>
        <v>hanu</v>
      </c>
      <c r="C5392" s="3" t="str">
        <f>IFERROR(__xludf.DUMMYFUNCTION("""COMPUTED_VALUE"""),"Hanu Yokia")</f>
        <v>Hanu Yokia</v>
      </c>
    </row>
    <row r="5393">
      <c r="A5393" s="3" t="str">
        <f>IFERROR(__xludf.DUMMYFUNCTION("""COMPUTED_VALUE"""),"hanzo-inu")</f>
        <v>hanzo-inu</v>
      </c>
      <c r="B5393" s="3" t="str">
        <f>IFERROR(__xludf.DUMMYFUNCTION("""COMPUTED_VALUE"""),"hanzo")</f>
        <v>hanzo</v>
      </c>
      <c r="C5393" s="3" t="str">
        <f>IFERROR(__xludf.DUMMYFUNCTION("""COMPUTED_VALUE"""),"Hanzo")</f>
        <v>Hanzo</v>
      </c>
    </row>
    <row r="5394">
      <c r="A5394" s="3" t="str">
        <f>IFERROR(__xludf.DUMMYFUNCTION("""COMPUTED_VALUE"""),"hapi")</f>
        <v>hapi</v>
      </c>
      <c r="B5394" s="3" t="str">
        <f>IFERROR(__xludf.DUMMYFUNCTION("""COMPUTED_VALUE"""),"hapi")</f>
        <v>hapi</v>
      </c>
      <c r="C5394" s="3" t="str">
        <f>IFERROR(__xludf.DUMMYFUNCTION("""COMPUTED_VALUE"""),"HAPI")</f>
        <v>HAPI</v>
      </c>
    </row>
    <row r="5395">
      <c r="A5395" s="3" t="str">
        <f>IFERROR(__xludf.DUMMYFUNCTION("""COMPUTED_VALUE"""),"happy-birthday-coin")</f>
        <v>happy-birthday-coin</v>
      </c>
      <c r="B5395" s="3" t="str">
        <f>IFERROR(__xludf.DUMMYFUNCTION("""COMPUTED_VALUE"""),"hbdc")</f>
        <v>hbdc</v>
      </c>
      <c r="C5395" s="3" t="str">
        <f>IFERROR(__xludf.DUMMYFUNCTION("""COMPUTED_VALUE"""),"Happy Birthday Coin")</f>
        <v>Happy Birthday Coin</v>
      </c>
    </row>
    <row r="5396">
      <c r="A5396" s="3" t="str">
        <f>IFERROR(__xludf.DUMMYFUNCTION("""COMPUTED_VALUE"""),"happyfans")</f>
        <v>happyfans</v>
      </c>
      <c r="B5396" s="3" t="str">
        <f>IFERROR(__xludf.DUMMYFUNCTION("""COMPUTED_VALUE"""),"happy")</f>
        <v>happy</v>
      </c>
      <c r="C5396" s="3" t="str">
        <f>IFERROR(__xludf.DUMMYFUNCTION("""COMPUTED_VALUE"""),"HappyFans")</f>
        <v>HappyFans</v>
      </c>
    </row>
    <row r="5397">
      <c r="A5397" s="3" t="str">
        <f>IFERROR(__xludf.DUMMYFUNCTION("""COMPUTED_VALUE"""),"happyland")</f>
        <v>happyland</v>
      </c>
      <c r="B5397" s="3" t="str">
        <f>IFERROR(__xludf.DUMMYFUNCTION("""COMPUTED_VALUE"""),"hpl")</f>
        <v>hpl</v>
      </c>
      <c r="C5397" s="3" t="str">
        <f>IFERROR(__xludf.DUMMYFUNCTION("""COMPUTED_VALUE"""),"HappyLand")</f>
        <v>HappyLand</v>
      </c>
    </row>
    <row r="5398">
      <c r="A5398" s="3" t="str">
        <f>IFERROR(__xludf.DUMMYFUNCTION("""COMPUTED_VALUE"""),"happyland-reward-token")</f>
        <v>happyland-reward-token</v>
      </c>
      <c r="B5398" s="3" t="str">
        <f>IFERROR(__xludf.DUMMYFUNCTION("""COMPUTED_VALUE"""),"hpw")</f>
        <v>hpw</v>
      </c>
      <c r="C5398" s="3" t="str">
        <f>IFERROR(__xludf.DUMMYFUNCTION("""COMPUTED_VALUE"""),"HappyLand Reward")</f>
        <v>HappyLand Reward</v>
      </c>
    </row>
    <row r="5399">
      <c r="A5399" s="3" t="str">
        <f>IFERROR(__xludf.DUMMYFUNCTION("""COMPUTED_VALUE"""),"harambe")</f>
        <v>harambe</v>
      </c>
      <c r="B5399" s="3" t="str">
        <f>IFERROR(__xludf.DUMMYFUNCTION("""COMPUTED_VALUE"""),"harambe")</f>
        <v>harambe</v>
      </c>
      <c r="C5399" s="3" t="str">
        <f>IFERROR(__xludf.DUMMYFUNCTION("""COMPUTED_VALUE"""),"Harambe")</f>
        <v>Harambe</v>
      </c>
    </row>
    <row r="5400">
      <c r="A5400" s="3" t="str">
        <f>IFERROR(__xludf.DUMMYFUNCTION("""COMPUTED_VALUE"""),"harambe-protocol")</f>
        <v>harambe-protocol</v>
      </c>
      <c r="B5400" s="3" t="str">
        <f>IFERROR(__xludf.DUMMYFUNCTION("""COMPUTED_VALUE"""),"riph")</f>
        <v>riph</v>
      </c>
      <c r="C5400" s="3" t="str">
        <f>IFERROR(__xludf.DUMMYFUNCTION("""COMPUTED_VALUE"""),"Harambe Protocol")</f>
        <v>Harambe Protocol</v>
      </c>
    </row>
    <row r="5401">
      <c r="A5401" s="3" t="str">
        <f>IFERROR(__xludf.DUMMYFUNCTION("""COMPUTED_VALUE"""),"hara-token")</f>
        <v>hara-token</v>
      </c>
      <c r="B5401" s="3" t="str">
        <f>IFERROR(__xludf.DUMMYFUNCTION("""COMPUTED_VALUE"""),"hart")</f>
        <v>hart</v>
      </c>
      <c r="C5401" s="3" t="str">
        <f>IFERROR(__xludf.DUMMYFUNCTION("""COMPUTED_VALUE"""),"Hara")</f>
        <v>Hara</v>
      </c>
    </row>
    <row r="5402">
      <c r="A5402" s="3" t="str">
        <f>IFERROR(__xludf.DUMMYFUNCTION("""COMPUTED_VALUE"""),"hare")</f>
        <v>hare</v>
      </c>
      <c r="B5402" s="3" t="str">
        <f>IFERROR(__xludf.DUMMYFUNCTION("""COMPUTED_VALUE"""),"hare")</f>
        <v>hare</v>
      </c>
      <c r="C5402" s="3" t="str">
        <f>IFERROR(__xludf.DUMMYFUNCTION("""COMPUTED_VALUE"""),"Hare")</f>
        <v>Hare</v>
      </c>
    </row>
    <row r="5403">
      <c r="A5403" s="3" t="str">
        <f>IFERROR(__xludf.DUMMYFUNCTION("""COMPUTED_VALUE"""),"hare-chain")</f>
        <v>hare-chain</v>
      </c>
      <c r="B5403" s="3" t="str">
        <f>IFERROR(__xludf.DUMMYFUNCTION("""COMPUTED_VALUE"""),"harec")</f>
        <v>harec</v>
      </c>
      <c r="C5403" s="3" t="str">
        <f>IFERROR(__xludf.DUMMYFUNCTION("""COMPUTED_VALUE"""),"Hare Chain")</f>
        <v>Hare Chain</v>
      </c>
    </row>
    <row r="5404">
      <c r="A5404" s="3" t="str">
        <f>IFERROR(__xludf.DUMMYFUNCTION("""COMPUTED_VALUE"""),"hare-plus")</f>
        <v>hare-plus</v>
      </c>
      <c r="B5404" s="3" t="str">
        <f>IFERROR(__xludf.DUMMYFUNCTION("""COMPUTED_VALUE"""),"hare plus")</f>
        <v>hare plus</v>
      </c>
      <c r="C5404" s="3" t="str">
        <f>IFERROR(__xludf.DUMMYFUNCTION("""COMPUTED_VALUE"""),"Hare Plus")</f>
        <v>Hare Plus</v>
      </c>
    </row>
    <row r="5405">
      <c r="A5405" s="3" t="str">
        <f>IFERROR(__xludf.DUMMYFUNCTION("""COMPUTED_VALUE"""),"hare-token")</f>
        <v>hare-token</v>
      </c>
      <c r="B5405" s="3" t="str">
        <f>IFERROR(__xludf.DUMMYFUNCTION("""COMPUTED_VALUE"""),"hare")</f>
        <v>hare</v>
      </c>
      <c r="C5405" s="3" t="str">
        <f>IFERROR(__xludf.DUMMYFUNCTION("""COMPUTED_VALUE"""),"Hare [OLD]")</f>
        <v>Hare [OLD]</v>
      </c>
    </row>
    <row r="5406">
      <c r="A5406" s="3" t="str">
        <f>IFERROR(__xludf.DUMMYFUNCTION("""COMPUTED_VALUE"""),"harmes-shares")</f>
        <v>harmes-shares</v>
      </c>
      <c r="B5406" s="3" t="str">
        <f>IFERROR(__xludf.DUMMYFUNCTION("""COMPUTED_VALUE"""),"hshares")</f>
        <v>hshares</v>
      </c>
      <c r="C5406" s="3" t="str">
        <f>IFERROR(__xludf.DUMMYFUNCTION("""COMPUTED_VALUE"""),"Hermes Shares")</f>
        <v>Hermes Shares</v>
      </c>
    </row>
    <row r="5407">
      <c r="A5407" s="3" t="str">
        <f>IFERROR(__xludf.DUMMYFUNCTION("""COMPUTED_VALUE"""),"harmomized-app")</f>
        <v>harmomized-app</v>
      </c>
      <c r="B5407" s="3" t="str">
        <f>IFERROR(__xludf.DUMMYFUNCTION("""COMPUTED_VALUE"""),"hmz")</f>
        <v>hmz</v>
      </c>
      <c r="C5407" s="3" t="str">
        <f>IFERROR(__xludf.DUMMYFUNCTION("""COMPUTED_VALUE"""),"Harmonized App")</f>
        <v>Harmonized App</v>
      </c>
    </row>
    <row r="5408">
      <c r="A5408" s="3" t="str">
        <f>IFERROR(__xludf.DUMMYFUNCTION("""COMPUTED_VALUE"""),"harmony")</f>
        <v>harmony</v>
      </c>
      <c r="B5408" s="3" t="str">
        <f>IFERROR(__xludf.DUMMYFUNCTION("""COMPUTED_VALUE"""),"one")</f>
        <v>one</v>
      </c>
      <c r="C5408" s="3" t="str">
        <f>IFERROR(__xludf.DUMMYFUNCTION("""COMPUTED_VALUE"""),"Harmony")</f>
        <v>Harmony</v>
      </c>
    </row>
    <row r="5409">
      <c r="A5409" s="3" t="str">
        <f>IFERROR(__xludf.DUMMYFUNCTION("""COMPUTED_VALUE"""),"harmonycoin")</f>
        <v>harmonycoin</v>
      </c>
      <c r="B5409" s="3" t="str">
        <f>IFERROR(__xludf.DUMMYFUNCTION("""COMPUTED_VALUE"""),"hmc")</f>
        <v>hmc</v>
      </c>
      <c r="C5409" s="3" t="str">
        <f>IFERROR(__xludf.DUMMYFUNCTION("""COMPUTED_VALUE"""),"HarmonyCoin")</f>
        <v>HarmonyCoin</v>
      </c>
    </row>
    <row r="5410">
      <c r="A5410" s="3" t="str">
        <f>IFERROR(__xludf.DUMMYFUNCTION("""COMPUTED_VALUE"""),"harmonylauncher")</f>
        <v>harmonylauncher</v>
      </c>
      <c r="B5410" s="3" t="str">
        <f>IFERROR(__xludf.DUMMYFUNCTION("""COMPUTED_VALUE"""),"harl")</f>
        <v>harl</v>
      </c>
      <c r="C5410" s="3" t="str">
        <f>IFERROR(__xludf.DUMMYFUNCTION("""COMPUTED_VALUE"""),"HarmonyLauncher")</f>
        <v>HarmonyLauncher</v>
      </c>
    </row>
    <row r="5411">
      <c r="A5411" s="3" t="str">
        <f>IFERROR(__xludf.DUMMYFUNCTION("""COMPUTED_VALUE"""),"harmony-play")</f>
        <v>harmony-play</v>
      </c>
      <c r="B5411" s="3" t="str">
        <f>IFERROR(__xludf.DUMMYFUNCTION("""COMPUTED_VALUE"""),"hplay")</f>
        <v>hplay</v>
      </c>
      <c r="C5411" s="3" t="str">
        <f>IFERROR(__xludf.DUMMYFUNCTION("""COMPUTED_VALUE"""),"Harmony Play")</f>
        <v>Harmony Play</v>
      </c>
    </row>
    <row r="5412">
      <c r="A5412" s="3" t="str">
        <f>IFERROR(__xludf.DUMMYFUNCTION("""COMPUTED_VALUE"""),"harmony-token")</f>
        <v>harmony-token</v>
      </c>
      <c r="B5412" s="3" t="str">
        <f>IFERROR(__xludf.DUMMYFUNCTION("""COMPUTED_VALUE"""),"harm")</f>
        <v>harm</v>
      </c>
      <c r="C5412" s="3" t="str">
        <f>IFERROR(__xludf.DUMMYFUNCTION("""COMPUTED_VALUE"""),"Harmony Token")</f>
        <v>Harmony Token</v>
      </c>
    </row>
    <row r="5413">
      <c r="A5413" s="3" t="str">
        <f>IFERROR(__xludf.DUMMYFUNCTION("""COMPUTED_VALUE"""),"harmonyville")</f>
        <v>harmonyville</v>
      </c>
      <c r="B5413" s="3" t="str">
        <f>IFERROR(__xludf.DUMMYFUNCTION("""COMPUTED_VALUE"""),"hville")</f>
        <v>hville</v>
      </c>
      <c r="C5413" s="3" t="str">
        <f>IFERROR(__xludf.DUMMYFUNCTION("""COMPUTED_VALUE"""),"Harmonyville")</f>
        <v>Harmonyville</v>
      </c>
    </row>
    <row r="5414">
      <c r="A5414" s="3" t="str">
        <f>IFERROR(__xludf.DUMMYFUNCTION("""COMPUTED_VALUE"""),"haroldcoin")</f>
        <v>haroldcoin</v>
      </c>
      <c r="B5414" s="3" t="str">
        <f>IFERROR(__xludf.DUMMYFUNCTION("""COMPUTED_VALUE"""),"hrld")</f>
        <v>hrld</v>
      </c>
      <c r="C5414" s="3" t="str">
        <f>IFERROR(__xludf.DUMMYFUNCTION("""COMPUTED_VALUE"""),"Haroldcoin")</f>
        <v>Haroldcoin</v>
      </c>
    </row>
    <row r="5415">
      <c r="A5415" s="3" t="str">
        <f>IFERROR(__xludf.DUMMYFUNCTION("""COMPUTED_VALUE"""),"harrison-first")</f>
        <v>harrison-first</v>
      </c>
      <c r="B5415" s="3" t="str">
        <f>IFERROR(__xludf.DUMMYFUNCTION("""COMPUTED_VALUE"""),"first")</f>
        <v>first</v>
      </c>
      <c r="C5415" s="3" t="str">
        <f>IFERROR(__xludf.DUMMYFUNCTION("""COMPUTED_VALUE"""),"Harrison First")</f>
        <v>Harrison First</v>
      </c>
    </row>
    <row r="5416">
      <c r="A5416" s="3" t="str">
        <f>IFERROR(__xludf.DUMMYFUNCTION("""COMPUTED_VALUE"""),"harrypotterobamasonic10inu")</f>
        <v>harrypotterobamasonic10inu</v>
      </c>
      <c r="B5416" s="3" t="str">
        <f>IFERROR(__xludf.DUMMYFUNCTION("""COMPUTED_VALUE"""),"bitcoin")</f>
        <v>bitcoin</v>
      </c>
      <c r="C5416" s="3" t="str">
        <f>IFERROR(__xludf.DUMMYFUNCTION("""COMPUTED_VALUE"""),"HarryPotterObamaSonic10Inu")</f>
        <v>HarryPotterObamaSonic10Inu</v>
      </c>
    </row>
    <row r="5417">
      <c r="A5417" s="3" t="str">
        <f>IFERROR(__xludf.DUMMYFUNCTION("""COMPUTED_VALUE"""),"haru")</f>
        <v>haru</v>
      </c>
      <c r="B5417" s="3" t="str">
        <f>IFERROR(__xludf.DUMMYFUNCTION("""COMPUTED_VALUE"""),"haru")</f>
        <v>haru</v>
      </c>
      <c r="C5417" s="3" t="str">
        <f>IFERROR(__xludf.DUMMYFUNCTION("""COMPUTED_VALUE"""),"HARU")</f>
        <v>HARU</v>
      </c>
    </row>
    <row r="5418">
      <c r="A5418" s="3" t="str">
        <f>IFERROR(__xludf.DUMMYFUNCTION("""COMPUTED_VALUE"""),"harvest-finance")</f>
        <v>harvest-finance</v>
      </c>
      <c r="B5418" s="3" t="str">
        <f>IFERROR(__xludf.DUMMYFUNCTION("""COMPUTED_VALUE"""),"farm")</f>
        <v>farm</v>
      </c>
      <c r="C5418" s="3" t="str">
        <f>IFERROR(__xludf.DUMMYFUNCTION("""COMPUTED_VALUE"""),"Harvest Finance")</f>
        <v>Harvest Finance</v>
      </c>
    </row>
    <row r="5419">
      <c r="A5419" s="3" t="str">
        <f>IFERROR(__xludf.DUMMYFUNCTION("""COMPUTED_VALUE"""),"hash2o")</f>
        <v>hash2o</v>
      </c>
      <c r="B5419" s="3" t="str">
        <f>IFERROR(__xludf.DUMMYFUNCTION("""COMPUTED_VALUE"""),"h2o")</f>
        <v>h2o</v>
      </c>
      <c r="C5419" s="3" t="str">
        <f>IFERROR(__xludf.DUMMYFUNCTION("""COMPUTED_VALUE"""),"Hash2O")</f>
        <v>Hash2O</v>
      </c>
    </row>
    <row r="5420">
      <c r="A5420" s="3" t="str">
        <f>IFERROR(__xludf.DUMMYFUNCTION("""COMPUTED_VALUE"""),"hashbit")</f>
        <v>hashbit</v>
      </c>
      <c r="B5420" s="3" t="str">
        <f>IFERROR(__xludf.DUMMYFUNCTION("""COMPUTED_VALUE"""),"hbit")</f>
        <v>hbit</v>
      </c>
      <c r="C5420" s="3" t="str">
        <f>IFERROR(__xludf.DUMMYFUNCTION("""COMPUTED_VALUE"""),"HashBit")</f>
        <v>HashBit</v>
      </c>
    </row>
    <row r="5421">
      <c r="A5421" s="3" t="str">
        <f>IFERROR(__xludf.DUMMYFUNCTION("""COMPUTED_VALUE"""),"hash-bridge-oracle")</f>
        <v>hash-bridge-oracle</v>
      </c>
      <c r="B5421" s="3" t="str">
        <f>IFERROR(__xludf.DUMMYFUNCTION("""COMPUTED_VALUE"""),"hbo")</f>
        <v>hbo</v>
      </c>
      <c r="C5421" s="3" t="str">
        <f>IFERROR(__xludf.DUMMYFUNCTION("""COMPUTED_VALUE"""),"Hash Bridge Oracle")</f>
        <v>Hash Bridge Oracle</v>
      </c>
    </row>
    <row r="5422">
      <c r="A5422" s="3" t="str">
        <f>IFERROR(__xludf.DUMMYFUNCTION("""COMPUTED_VALUE"""),"hashbx")</f>
        <v>hashbx</v>
      </c>
      <c r="B5422" s="3" t="str">
        <f>IFERROR(__xludf.DUMMYFUNCTION("""COMPUTED_VALUE"""),"hbx")</f>
        <v>hbx</v>
      </c>
      <c r="C5422" s="3" t="str">
        <f>IFERROR(__xludf.DUMMYFUNCTION("""COMPUTED_VALUE"""),"HashBX")</f>
        <v>HashBX</v>
      </c>
    </row>
    <row r="5423">
      <c r="A5423" s="3" t="str">
        <f>IFERROR(__xludf.DUMMYFUNCTION("""COMPUTED_VALUE"""),"hashcoin")</f>
        <v>hashcoin</v>
      </c>
      <c r="B5423" s="3" t="str">
        <f>IFERROR(__xludf.DUMMYFUNCTION("""COMPUTED_VALUE"""),"hsc")</f>
        <v>hsc</v>
      </c>
      <c r="C5423" s="3" t="str">
        <f>IFERROR(__xludf.DUMMYFUNCTION("""COMPUTED_VALUE"""),"HashCoin")</f>
        <v>HashCoin</v>
      </c>
    </row>
    <row r="5424">
      <c r="A5424" s="3" t="str">
        <f>IFERROR(__xludf.DUMMYFUNCTION("""COMPUTED_VALUE"""),"hashflow")</f>
        <v>hashflow</v>
      </c>
      <c r="B5424" s="3" t="str">
        <f>IFERROR(__xludf.DUMMYFUNCTION("""COMPUTED_VALUE"""),"hft")</f>
        <v>hft</v>
      </c>
      <c r="C5424" s="3" t="str">
        <f>IFERROR(__xludf.DUMMYFUNCTION("""COMPUTED_VALUE"""),"Hashflow")</f>
        <v>Hashflow</v>
      </c>
    </row>
    <row r="5425">
      <c r="A5425" s="3" t="str">
        <f>IFERROR(__xludf.DUMMYFUNCTION("""COMPUTED_VALUE"""),"hashgard")</f>
        <v>hashgard</v>
      </c>
      <c r="B5425" s="3" t="str">
        <f>IFERROR(__xludf.DUMMYFUNCTION("""COMPUTED_VALUE"""),"gard")</f>
        <v>gard</v>
      </c>
      <c r="C5425" s="3" t="str">
        <f>IFERROR(__xludf.DUMMYFUNCTION("""COMPUTED_VALUE"""),"Hashgard")</f>
        <v>Hashgard</v>
      </c>
    </row>
    <row r="5426">
      <c r="A5426" s="3" t="str">
        <f>IFERROR(__xludf.DUMMYFUNCTION("""COMPUTED_VALUE"""),"hashland-coin")</f>
        <v>hashland-coin</v>
      </c>
      <c r="B5426" s="3" t="str">
        <f>IFERROR(__xludf.DUMMYFUNCTION("""COMPUTED_VALUE"""),"hc")</f>
        <v>hc</v>
      </c>
      <c r="C5426" s="3" t="str">
        <f>IFERROR(__xludf.DUMMYFUNCTION("""COMPUTED_VALUE"""),"HashLand Coin")</f>
        <v>HashLand Coin</v>
      </c>
    </row>
    <row r="5427">
      <c r="A5427" s="3" t="str">
        <f>IFERROR(__xludf.DUMMYFUNCTION("""COMPUTED_VALUE"""),"hashmasks")</f>
        <v>hashmasks</v>
      </c>
      <c r="B5427" s="3" t="str">
        <f>IFERROR(__xludf.DUMMYFUNCTION("""COMPUTED_VALUE"""),"mask20")</f>
        <v>mask20</v>
      </c>
      <c r="C5427" s="3" t="str">
        <f>IFERROR(__xludf.DUMMYFUNCTION("""COMPUTED_VALUE"""),"Hashmasks")</f>
        <v>Hashmasks</v>
      </c>
    </row>
    <row r="5428">
      <c r="A5428" s="3" t="str">
        <f>IFERROR(__xludf.DUMMYFUNCTION("""COMPUTED_VALUE"""),"hashnet-biteco")</f>
        <v>hashnet-biteco</v>
      </c>
      <c r="B5428" s="3" t="str">
        <f>IFERROR(__xludf.DUMMYFUNCTION("""COMPUTED_VALUE"""),"hnb")</f>
        <v>hnb</v>
      </c>
      <c r="C5428" s="3" t="str">
        <f>IFERROR(__xludf.DUMMYFUNCTION("""COMPUTED_VALUE"""),"HashNet BitEco")</f>
        <v>HashNet BitEco</v>
      </c>
    </row>
    <row r="5429">
      <c r="A5429" s="3" t="str">
        <f>IFERROR(__xludf.DUMMYFUNCTION("""COMPUTED_VALUE"""),"hashpanda")</f>
        <v>hashpanda</v>
      </c>
      <c r="B5429" s="3" t="str">
        <f>IFERROR(__xludf.DUMMYFUNCTION("""COMPUTED_VALUE"""),"panda")</f>
        <v>panda</v>
      </c>
      <c r="C5429" s="3" t="str">
        <f>IFERROR(__xludf.DUMMYFUNCTION("""COMPUTED_VALUE"""),"HashPanda")</f>
        <v>HashPanda</v>
      </c>
    </row>
    <row r="5430">
      <c r="A5430" s="3" t="str">
        <f>IFERROR(__xludf.DUMMYFUNCTION("""COMPUTED_VALUE"""),"hashrush")</f>
        <v>hashrush</v>
      </c>
      <c r="B5430" s="3" t="str">
        <f>IFERROR(__xludf.DUMMYFUNCTION("""COMPUTED_VALUE"""),"rush")</f>
        <v>rush</v>
      </c>
      <c r="C5430" s="3" t="str">
        <f>IFERROR(__xludf.DUMMYFUNCTION("""COMPUTED_VALUE"""),"HashRush")</f>
        <v>HashRush</v>
      </c>
    </row>
    <row r="5431">
      <c r="A5431" s="3" t="str">
        <f>IFERROR(__xludf.DUMMYFUNCTION("""COMPUTED_VALUE"""),"hashshare")</f>
        <v>hashshare</v>
      </c>
      <c r="B5431" s="3" t="str">
        <f>IFERROR(__xludf.DUMMYFUNCTION("""COMPUTED_VALUE"""),"hss")</f>
        <v>hss</v>
      </c>
      <c r="C5431" s="3" t="str">
        <f>IFERROR(__xludf.DUMMYFUNCTION("""COMPUTED_VALUE"""),"Hashshare")</f>
        <v>Hashshare</v>
      </c>
    </row>
    <row r="5432">
      <c r="A5432" s="3" t="str">
        <f>IFERROR(__xludf.DUMMYFUNCTION("""COMPUTED_VALUE"""),"hashtagger")</f>
        <v>hashtagger</v>
      </c>
      <c r="B5432" s="3" t="str">
        <f>IFERROR(__xludf.DUMMYFUNCTION("""COMPUTED_VALUE"""),"mooo")</f>
        <v>mooo</v>
      </c>
      <c r="C5432" s="3" t="str">
        <f>IFERROR(__xludf.DUMMYFUNCTION("""COMPUTED_VALUE"""),"Hashtagger")</f>
        <v>Hashtagger</v>
      </c>
    </row>
    <row r="5433">
      <c r="A5433" s="3" t="str">
        <f>IFERROR(__xludf.DUMMYFUNCTION("""COMPUTED_VALUE"""),"hatayspor-token")</f>
        <v>hatayspor-token</v>
      </c>
      <c r="B5433" s="3" t="str">
        <f>IFERROR(__xludf.DUMMYFUNCTION("""COMPUTED_VALUE"""),"hatay")</f>
        <v>hatay</v>
      </c>
      <c r="C5433" s="3" t="str">
        <f>IFERROR(__xludf.DUMMYFUNCTION("""COMPUTED_VALUE"""),"Hatayspor Token")</f>
        <v>Hatayspor Token</v>
      </c>
    </row>
    <row r="5434">
      <c r="A5434" s="3" t="str">
        <f>IFERROR(__xludf.DUMMYFUNCTION("""COMPUTED_VALUE"""),"hatch-dao")</f>
        <v>hatch-dao</v>
      </c>
      <c r="B5434" s="3" t="str">
        <f>IFERROR(__xludf.DUMMYFUNCTION("""COMPUTED_VALUE"""),"hatch")</f>
        <v>hatch</v>
      </c>
      <c r="C5434" s="3" t="str">
        <f>IFERROR(__xludf.DUMMYFUNCTION("""COMPUTED_VALUE"""),"Hatch DAO")</f>
        <v>Hatch DAO</v>
      </c>
    </row>
    <row r="5435">
      <c r="A5435" s="3" t="str">
        <f>IFERROR(__xludf.DUMMYFUNCTION("""COMPUTED_VALUE"""),"hatchypocket")</f>
        <v>hatchypocket</v>
      </c>
      <c r="B5435" s="3" t="str">
        <f>IFERROR(__xludf.DUMMYFUNCTION("""COMPUTED_VALUE"""),"hatchy")</f>
        <v>hatchy</v>
      </c>
      <c r="C5435" s="3" t="str">
        <f>IFERROR(__xludf.DUMMYFUNCTION("""COMPUTED_VALUE"""),"HatchyPocket")</f>
        <v>HatchyPocket</v>
      </c>
    </row>
    <row r="5436">
      <c r="A5436" s="3" t="str">
        <f>IFERROR(__xludf.DUMMYFUNCTION("""COMPUTED_VALUE"""),"hathor")</f>
        <v>hathor</v>
      </c>
      <c r="B5436" s="3" t="str">
        <f>IFERROR(__xludf.DUMMYFUNCTION("""COMPUTED_VALUE"""),"htr")</f>
        <v>htr</v>
      </c>
      <c r="C5436" s="3" t="str">
        <f>IFERROR(__xludf.DUMMYFUNCTION("""COMPUTED_VALUE"""),"Hathor")</f>
        <v>Hathor</v>
      </c>
    </row>
    <row r="5437">
      <c r="A5437" s="3" t="str">
        <f>IFERROR(__xludf.DUMMYFUNCTION("""COMPUTED_VALUE"""),"hati")</f>
        <v>hati</v>
      </c>
      <c r="B5437" s="3" t="str">
        <f>IFERROR(__xludf.DUMMYFUNCTION("""COMPUTED_VALUE"""),"hati")</f>
        <v>hati</v>
      </c>
      <c r="C5437" s="3" t="str">
        <f>IFERROR(__xludf.DUMMYFUNCTION("""COMPUTED_VALUE"""),"Hati")</f>
        <v>Hati</v>
      </c>
    </row>
    <row r="5438">
      <c r="A5438" s="3" t="str">
        <f>IFERROR(__xludf.DUMMYFUNCTION("""COMPUTED_VALUE"""),"hat-swap-city")</f>
        <v>hat-swap-city</v>
      </c>
      <c r="B5438" s="3" t="str">
        <f>IFERROR(__xludf.DUMMYFUNCTION("""COMPUTED_VALUE"""),"htc")</f>
        <v>htc</v>
      </c>
      <c r="C5438" s="3" t="str">
        <f>IFERROR(__xludf.DUMMYFUNCTION("""COMPUTED_VALUE"""),"Hat Swap City")</f>
        <v>Hat Swap City</v>
      </c>
    </row>
    <row r="5439">
      <c r="A5439" s="3" t="str">
        <f>IFERROR(__xludf.DUMMYFUNCTION("""COMPUTED_VALUE"""),"haven")</f>
        <v>haven</v>
      </c>
      <c r="B5439" s="3" t="str">
        <f>IFERROR(__xludf.DUMMYFUNCTION("""COMPUTED_VALUE"""),"xhv")</f>
        <v>xhv</v>
      </c>
      <c r="C5439" s="3" t="str">
        <f>IFERROR(__xludf.DUMMYFUNCTION("""COMPUTED_VALUE"""),"Haven")</f>
        <v>Haven</v>
      </c>
    </row>
    <row r="5440">
      <c r="A5440" s="3" t="str">
        <f>IFERROR(__xludf.DUMMYFUNCTION("""COMPUTED_VALUE"""),"havens-nook")</f>
        <v>havens-nook</v>
      </c>
      <c r="B5440" s="3" t="str">
        <f>IFERROR(__xludf.DUMMYFUNCTION("""COMPUTED_VALUE"""),"hxn")</f>
        <v>hxn</v>
      </c>
      <c r="C5440" s="3" t="str">
        <f>IFERROR(__xludf.DUMMYFUNCTION("""COMPUTED_VALUE"""),"Havens Nook")</f>
        <v>Havens Nook</v>
      </c>
    </row>
    <row r="5441">
      <c r="A5441" s="3" t="str">
        <f>IFERROR(__xludf.DUMMYFUNCTION("""COMPUTED_VALUE"""),"haven-token")</f>
        <v>haven-token</v>
      </c>
      <c r="B5441" s="3" t="str">
        <f>IFERROR(__xludf.DUMMYFUNCTION("""COMPUTED_VALUE"""),"haven")</f>
        <v>haven</v>
      </c>
      <c r="C5441" s="3" t="str">
        <f>IFERROR(__xludf.DUMMYFUNCTION("""COMPUTED_VALUE"""),"Safehaven DeFi")</f>
        <v>Safehaven DeFi</v>
      </c>
    </row>
    <row r="5442">
      <c r="A5442" s="3" t="str">
        <f>IFERROR(__xludf.DUMMYFUNCTION("""COMPUTED_VALUE"""),"havven")</f>
        <v>havven</v>
      </c>
      <c r="B5442" s="3" t="str">
        <f>IFERROR(__xludf.DUMMYFUNCTION("""COMPUTED_VALUE"""),"snx")</f>
        <v>snx</v>
      </c>
      <c r="C5442" s="3" t="str">
        <f>IFERROR(__xludf.DUMMYFUNCTION("""COMPUTED_VALUE"""),"Synthetix Network")</f>
        <v>Synthetix Network</v>
      </c>
    </row>
    <row r="5443">
      <c r="A5443" s="3" t="str">
        <f>IFERROR(__xludf.DUMMYFUNCTION("""COMPUTED_VALUE"""),"havy-2")</f>
        <v>havy-2</v>
      </c>
      <c r="B5443" s="3" t="str">
        <f>IFERROR(__xludf.DUMMYFUNCTION("""COMPUTED_VALUE"""),"havy")</f>
        <v>havy</v>
      </c>
      <c r="C5443" s="3" t="str">
        <f>IFERROR(__xludf.DUMMYFUNCTION("""COMPUTED_VALUE"""),"Havy")</f>
        <v>Havy</v>
      </c>
    </row>
    <row r="5444">
      <c r="A5444" s="3" t="str">
        <f>IFERROR(__xludf.DUMMYFUNCTION("""COMPUTED_VALUE"""),"hawaii-coin")</f>
        <v>hawaii-coin</v>
      </c>
      <c r="B5444" s="3" t="str">
        <f>IFERROR(__xludf.DUMMYFUNCTION("""COMPUTED_VALUE"""),"hwi")</f>
        <v>hwi</v>
      </c>
      <c r="C5444" s="3" t="str">
        <f>IFERROR(__xludf.DUMMYFUNCTION("""COMPUTED_VALUE"""),"Hawaii Coin")</f>
        <v>Hawaii Coin</v>
      </c>
    </row>
    <row r="5445">
      <c r="A5445" s="3" t="str">
        <f>IFERROR(__xludf.DUMMYFUNCTION("""COMPUTED_VALUE"""),"hawkdex")</f>
        <v>hawkdex</v>
      </c>
      <c r="B5445" s="3" t="str">
        <f>IFERROR(__xludf.DUMMYFUNCTION("""COMPUTED_VALUE"""),"hawk")</f>
        <v>hawk</v>
      </c>
      <c r="C5445" s="3" t="str">
        <f>IFERROR(__xludf.DUMMYFUNCTION("""COMPUTED_VALUE"""),"HawkDex")</f>
        <v>HawkDex</v>
      </c>
    </row>
    <row r="5446">
      <c r="A5446" s="3" t="str">
        <f>IFERROR(__xludf.DUMMYFUNCTION("""COMPUTED_VALUE"""),"hawksight")</f>
        <v>hawksight</v>
      </c>
      <c r="B5446" s="3" t="str">
        <f>IFERROR(__xludf.DUMMYFUNCTION("""COMPUTED_VALUE"""),"hawk")</f>
        <v>hawk</v>
      </c>
      <c r="C5446" s="3" t="str">
        <f>IFERROR(__xludf.DUMMYFUNCTION("""COMPUTED_VALUE"""),"Hawksight")</f>
        <v>Hawksight</v>
      </c>
    </row>
    <row r="5447">
      <c r="A5447" s="3" t="str">
        <f>IFERROR(__xludf.DUMMYFUNCTION("""COMPUTED_VALUE"""),"hayfever")</f>
        <v>hayfever</v>
      </c>
      <c r="B5447" s="3" t="str">
        <f>IFERROR(__xludf.DUMMYFUNCTION("""COMPUTED_VALUE"""),"hay")</f>
        <v>hay</v>
      </c>
      <c r="C5447" s="3" t="str">
        <f>IFERROR(__xludf.DUMMYFUNCTION("""COMPUTED_VALUE"""),"Hayfever")</f>
        <v>Hayfever</v>
      </c>
    </row>
    <row r="5448">
      <c r="A5448" s="3" t="str">
        <f>IFERROR(__xludf.DUMMYFUNCTION("""COMPUTED_VALUE"""),"hbarpad")</f>
        <v>hbarpad</v>
      </c>
      <c r="B5448" s="3" t="str">
        <f>IFERROR(__xludf.DUMMYFUNCTION("""COMPUTED_VALUE"""),"hbarp")</f>
        <v>hbarp</v>
      </c>
      <c r="C5448" s="3" t="str">
        <f>IFERROR(__xludf.DUMMYFUNCTION("""COMPUTED_VALUE"""),"HbarPad")</f>
        <v>HbarPad</v>
      </c>
    </row>
    <row r="5449">
      <c r="A5449" s="3" t="str">
        <f>IFERROR(__xludf.DUMMYFUNCTION("""COMPUTED_VALUE"""),"hdpunk-vault-nftx")</f>
        <v>hdpunk-vault-nftx</v>
      </c>
      <c r="B5449" s="3" t="str">
        <f>IFERROR(__xludf.DUMMYFUNCTION("""COMPUTED_VALUE"""),"hdpunk")</f>
        <v>hdpunk</v>
      </c>
      <c r="C5449" s="3" t="str">
        <f>IFERROR(__xludf.DUMMYFUNCTION("""COMPUTED_VALUE"""),"HDPUNK Vault (NFTX)")</f>
        <v>HDPUNK Vault (NFTX)</v>
      </c>
    </row>
    <row r="5450">
      <c r="A5450" s="3" t="str">
        <f>IFERROR(__xludf.DUMMYFUNCTION("""COMPUTED_VALUE"""),"headline")</f>
        <v>headline</v>
      </c>
      <c r="B5450" s="3" t="str">
        <f>IFERROR(__xludf.DUMMYFUNCTION("""COMPUTED_VALUE"""),"hdl")</f>
        <v>hdl</v>
      </c>
      <c r="C5450" s="3" t="str">
        <f>IFERROR(__xludf.DUMMYFUNCTION("""COMPUTED_VALUE"""),"Headline")</f>
        <v>Headline</v>
      </c>
    </row>
    <row r="5451">
      <c r="A5451" s="3" t="str">
        <f>IFERROR(__xludf.DUMMYFUNCTION("""COMPUTED_VALUE"""),"headstarter")</f>
        <v>headstarter</v>
      </c>
      <c r="B5451" s="3" t="str">
        <f>IFERROR(__xludf.DUMMYFUNCTION("""COMPUTED_VALUE"""),"hst")</f>
        <v>hst</v>
      </c>
      <c r="C5451" s="3" t="str">
        <f>IFERROR(__xludf.DUMMYFUNCTION("""COMPUTED_VALUE"""),"HeadStarter")</f>
        <v>HeadStarter</v>
      </c>
    </row>
    <row r="5452">
      <c r="A5452" s="3" t="str">
        <f>IFERROR(__xludf.DUMMYFUNCTION("""COMPUTED_VALUE"""),"healing-potion")</f>
        <v>healing-potion</v>
      </c>
      <c r="B5452" s="3" t="str">
        <f>IFERROR(__xludf.DUMMYFUNCTION("""COMPUTED_VALUE"""),"hppot")</f>
        <v>hppot</v>
      </c>
      <c r="C5452" s="3" t="str">
        <f>IFERROR(__xludf.DUMMYFUNCTION("""COMPUTED_VALUE"""),"Healing Potion")</f>
        <v>Healing Potion</v>
      </c>
    </row>
    <row r="5453">
      <c r="A5453" s="3" t="str">
        <f>IFERROR(__xludf.DUMMYFUNCTION("""COMPUTED_VALUE"""),"heal-the-world")</f>
        <v>heal-the-world</v>
      </c>
      <c r="B5453" s="3" t="str">
        <f>IFERROR(__xludf.DUMMYFUNCTION("""COMPUTED_VALUE"""),"heal")</f>
        <v>heal</v>
      </c>
      <c r="C5453" s="3" t="str">
        <f>IFERROR(__xludf.DUMMYFUNCTION("""COMPUTED_VALUE"""),"Heal The World")</f>
        <v>Heal The World</v>
      </c>
    </row>
    <row r="5454">
      <c r="A5454" s="3" t="str">
        <f>IFERROR(__xludf.DUMMYFUNCTION("""COMPUTED_VALUE"""),"healthfi-app")</f>
        <v>healthfi-app</v>
      </c>
      <c r="B5454" s="3" t="str">
        <f>IFERROR(__xludf.DUMMYFUNCTION("""COMPUTED_VALUE"""),"hefi")</f>
        <v>hefi</v>
      </c>
      <c r="C5454" s="3" t="str">
        <f>IFERROR(__xludf.DUMMYFUNCTION("""COMPUTED_VALUE"""),"HealthFi App")</f>
        <v>HealthFi App</v>
      </c>
    </row>
    <row r="5455">
      <c r="A5455" s="3" t="str">
        <f>IFERROR(__xludf.DUMMYFUNCTION("""COMPUTED_VALUE"""),"healthify")</f>
        <v>healthify</v>
      </c>
      <c r="B5455" s="3" t="str">
        <f>IFERROR(__xludf.DUMMYFUNCTION("""COMPUTED_VALUE"""),"htf")</f>
        <v>htf</v>
      </c>
      <c r="C5455" s="3" t="str">
        <f>IFERROR(__xludf.DUMMYFUNCTION("""COMPUTED_VALUE"""),"Healthify")</f>
        <v>Healthify</v>
      </c>
    </row>
    <row r="5456">
      <c r="A5456" s="3" t="str">
        <f>IFERROR(__xludf.DUMMYFUNCTION("""COMPUTED_VALUE"""),"health-potion")</f>
        <v>health-potion</v>
      </c>
      <c r="B5456" s="3" t="str">
        <f>IFERROR(__xludf.DUMMYFUNCTION("""COMPUTED_VALUE"""),"hep")</f>
        <v>hep</v>
      </c>
      <c r="C5456" s="3" t="str">
        <f>IFERROR(__xludf.DUMMYFUNCTION("""COMPUTED_VALUE"""),"Health Potion")</f>
        <v>Health Potion</v>
      </c>
    </row>
    <row r="5457">
      <c r="A5457" s="3" t="str">
        <f>IFERROR(__xludf.DUMMYFUNCTION("""COMPUTED_VALUE"""),"hearn-fi")</f>
        <v>hearn-fi</v>
      </c>
      <c r="B5457" s="3" t="str">
        <f>IFERROR(__xludf.DUMMYFUNCTION("""COMPUTED_VALUE"""),"hearn")</f>
        <v>hearn</v>
      </c>
      <c r="C5457" s="4" t="str">
        <f>IFERROR(__xludf.DUMMYFUNCTION("""COMPUTED_VALUE"""),"Hearn.fi")</f>
        <v>Hearn.fi</v>
      </c>
    </row>
    <row r="5458">
      <c r="A5458" s="3" t="str">
        <f>IFERROR(__xludf.DUMMYFUNCTION("""COMPUTED_VALUE"""),"heartnumber")</f>
        <v>heartnumber</v>
      </c>
      <c r="B5458" s="3" t="str">
        <f>IFERROR(__xludf.DUMMYFUNCTION("""COMPUTED_VALUE"""),"htn")</f>
        <v>htn</v>
      </c>
      <c r="C5458" s="3" t="str">
        <f>IFERROR(__xludf.DUMMYFUNCTION("""COMPUTED_VALUE"""),"Heart Number")</f>
        <v>Heart Number</v>
      </c>
    </row>
    <row r="5459">
      <c r="A5459" s="3" t="str">
        <f>IFERROR(__xludf.DUMMYFUNCTION("""COMPUTED_VALUE"""),"heart-rate")</f>
        <v>heart-rate</v>
      </c>
      <c r="B5459" s="3" t="str">
        <f>IFERROR(__xludf.DUMMYFUNCTION("""COMPUTED_VALUE"""),"htr")</f>
        <v>htr</v>
      </c>
      <c r="C5459" s="3" t="str">
        <f>IFERROR(__xludf.DUMMYFUNCTION("""COMPUTED_VALUE"""),"Heart Rate")</f>
        <v>Heart Rate</v>
      </c>
    </row>
    <row r="5460">
      <c r="A5460" s="3" t="str">
        <f>IFERROR(__xludf.DUMMYFUNCTION("""COMPUTED_VALUE"""),"hearts")</f>
        <v>hearts</v>
      </c>
      <c r="B5460" s="3" t="str">
        <f>IFERROR(__xludf.DUMMYFUNCTION("""COMPUTED_VALUE"""),"heart")</f>
        <v>heart</v>
      </c>
      <c r="C5460" s="3" t="str">
        <f>IFERROR(__xludf.DUMMYFUNCTION("""COMPUTED_VALUE"""),"Hearts")</f>
        <v>Hearts</v>
      </c>
    </row>
    <row r="5461">
      <c r="A5461" s="3" t="str">
        <f>IFERROR(__xludf.DUMMYFUNCTION("""COMPUTED_VALUE"""),"heavenland-hto")</f>
        <v>heavenland-hto</v>
      </c>
      <c r="B5461" s="3" t="str">
        <f>IFERROR(__xludf.DUMMYFUNCTION("""COMPUTED_VALUE"""),"hto")</f>
        <v>hto</v>
      </c>
      <c r="C5461" s="3" t="str">
        <f>IFERROR(__xludf.DUMMYFUNCTION("""COMPUTED_VALUE"""),"Heavenland HTO")</f>
        <v>Heavenland HTO</v>
      </c>
    </row>
    <row r="5462">
      <c r="A5462" s="3" t="str">
        <f>IFERROR(__xludf.DUMMYFUNCTION("""COMPUTED_VALUE"""),"hebeblock")</f>
        <v>hebeblock</v>
      </c>
      <c r="B5462" s="3" t="str">
        <f>IFERROR(__xludf.DUMMYFUNCTION("""COMPUTED_VALUE"""),"hebe")</f>
        <v>hebe</v>
      </c>
      <c r="C5462" s="3" t="str">
        <f>IFERROR(__xludf.DUMMYFUNCTION("""COMPUTED_VALUE"""),"HebeBlock")</f>
        <v>HebeBlock</v>
      </c>
    </row>
    <row r="5463">
      <c r="A5463" s="3" t="str">
        <f>IFERROR(__xludf.DUMMYFUNCTION("""COMPUTED_VALUE"""),"hecofi")</f>
        <v>hecofi</v>
      </c>
      <c r="B5463" s="3" t="str">
        <f>IFERROR(__xludf.DUMMYFUNCTION("""COMPUTED_VALUE"""),"hfi")</f>
        <v>hfi</v>
      </c>
      <c r="C5463" s="3" t="str">
        <f>IFERROR(__xludf.DUMMYFUNCTION("""COMPUTED_VALUE"""),"HecoFi")</f>
        <v>HecoFi</v>
      </c>
    </row>
    <row r="5464">
      <c r="A5464" s="3" t="str">
        <f>IFERROR(__xludf.DUMMYFUNCTION("""COMPUTED_VALUE"""),"heco-origin-token")</f>
        <v>heco-origin-token</v>
      </c>
      <c r="B5464" s="3" t="str">
        <f>IFERROR(__xludf.DUMMYFUNCTION("""COMPUTED_VALUE"""),"hogt")</f>
        <v>hogt</v>
      </c>
      <c r="C5464" s="3" t="str">
        <f>IFERROR(__xludf.DUMMYFUNCTION("""COMPUTED_VALUE"""),"Heco Origin")</f>
        <v>Heco Origin</v>
      </c>
    </row>
    <row r="5465">
      <c r="A5465" s="3" t="str">
        <f>IFERROR(__xludf.DUMMYFUNCTION("""COMPUTED_VALUE"""),"heco-peg-bnb")</f>
        <v>heco-peg-bnb</v>
      </c>
      <c r="B5465" s="3" t="str">
        <f>IFERROR(__xludf.DUMMYFUNCTION("""COMPUTED_VALUE"""),"bnb")</f>
        <v>bnb</v>
      </c>
      <c r="C5465" s="3" t="str">
        <f>IFERROR(__xludf.DUMMYFUNCTION("""COMPUTED_VALUE"""),"Heco-Peg Binance Coin")</f>
        <v>Heco-Peg Binance Coin</v>
      </c>
    </row>
    <row r="5466">
      <c r="A5466" s="3" t="str">
        <f>IFERROR(__xludf.DUMMYFUNCTION("""COMPUTED_VALUE"""),"heco-peg-xrp")</f>
        <v>heco-peg-xrp</v>
      </c>
      <c r="B5466" s="3" t="str">
        <f>IFERROR(__xludf.DUMMYFUNCTION("""COMPUTED_VALUE"""),"xrp")</f>
        <v>xrp</v>
      </c>
      <c r="C5466" s="3" t="str">
        <f>IFERROR(__xludf.DUMMYFUNCTION("""COMPUTED_VALUE"""),"Heco-Peg XRP")</f>
        <v>Heco-Peg XRP</v>
      </c>
    </row>
    <row r="5467">
      <c r="A5467" s="3" t="str">
        <f>IFERROR(__xludf.DUMMYFUNCTION("""COMPUTED_VALUE"""),"hectagon")</f>
        <v>hectagon</v>
      </c>
      <c r="B5467" s="3" t="str">
        <f>IFERROR(__xludf.DUMMYFUNCTION("""COMPUTED_VALUE"""),"hecta")</f>
        <v>hecta</v>
      </c>
      <c r="C5467" s="3" t="str">
        <f>IFERROR(__xludf.DUMMYFUNCTION("""COMPUTED_VALUE"""),"Hectagon")</f>
        <v>Hectagon</v>
      </c>
    </row>
    <row r="5468">
      <c r="A5468" s="3" t="str">
        <f>IFERROR(__xludf.DUMMYFUNCTION("""COMPUTED_VALUE"""),"hector-dao")</f>
        <v>hector-dao</v>
      </c>
      <c r="B5468" s="3" t="str">
        <f>IFERROR(__xludf.DUMMYFUNCTION("""COMPUTED_VALUE"""),"hec")</f>
        <v>hec</v>
      </c>
      <c r="C5468" s="3" t="str">
        <f>IFERROR(__xludf.DUMMYFUNCTION("""COMPUTED_VALUE"""),"Hector Network")</f>
        <v>Hector Network</v>
      </c>
    </row>
    <row r="5469">
      <c r="A5469" s="3" t="str">
        <f>IFERROR(__xludf.DUMMYFUNCTION("""COMPUTED_VALUE"""),"hedera-hashgraph")</f>
        <v>hedera-hashgraph</v>
      </c>
      <c r="B5469" s="3" t="str">
        <f>IFERROR(__xludf.DUMMYFUNCTION("""COMPUTED_VALUE"""),"hbar")</f>
        <v>hbar</v>
      </c>
      <c r="C5469" s="3" t="str">
        <f>IFERROR(__xludf.DUMMYFUNCTION("""COMPUTED_VALUE"""),"Hedera")</f>
        <v>Hedera</v>
      </c>
    </row>
    <row r="5470">
      <c r="A5470" s="3" t="str">
        <f>IFERROR(__xludf.DUMMYFUNCTION("""COMPUTED_VALUE"""),"hedgepay")</f>
        <v>hedgepay</v>
      </c>
      <c r="B5470" s="3" t="str">
        <f>IFERROR(__xludf.DUMMYFUNCTION("""COMPUTED_VALUE"""),"hpay")</f>
        <v>hpay</v>
      </c>
      <c r="C5470" s="3" t="str">
        <f>IFERROR(__xludf.DUMMYFUNCTION("""COMPUTED_VALUE"""),"HedgePay")</f>
        <v>HedgePay</v>
      </c>
    </row>
    <row r="5471">
      <c r="A5471" s="3" t="str">
        <f>IFERROR(__xludf.DUMMYFUNCTION("""COMPUTED_VALUE"""),"hedge-protocol")</f>
        <v>hedge-protocol</v>
      </c>
      <c r="B5471" s="3" t="str">
        <f>IFERROR(__xludf.DUMMYFUNCTION("""COMPUTED_VALUE"""),"hdg")</f>
        <v>hdg</v>
      </c>
      <c r="C5471" s="3" t="str">
        <f>IFERROR(__xludf.DUMMYFUNCTION("""COMPUTED_VALUE"""),"Hedge Protocol")</f>
        <v>Hedge Protocol</v>
      </c>
    </row>
    <row r="5472">
      <c r="A5472" s="3" t="str">
        <f>IFERROR(__xludf.DUMMYFUNCTION("""COMPUTED_VALUE"""),"hedget")</f>
        <v>hedget</v>
      </c>
      <c r="B5472" s="3" t="str">
        <f>IFERROR(__xludf.DUMMYFUNCTION("""COMPUTED_VALUE"""),"hget")</f>
        <v>hget</v>
      </c>
      <c r="C5472" s="3" t="str">
        <f>IFERROR(__xludf.DUMMYFUNCTION("""COMPUTED_VALUE"""),"Hedget")</f>
        <v>Hedget</v>
      </c>
    </row>
    <row r="5473">
      <c r="A5473" s="3" t="str">
        <f>IFERROR(__xludf.DUMMYFUNCTION("""COMPUTED_VALUE"""),"hedgetrade")</f>
        <v>hedgetrade</v>
      </c>
      <c r="B5473" s="3" t="str">
        <f>IFERROR(__xludf.DUMMYFUNCTION("""COMPUTED_VALUE"""),"hedg")</f>
        <v>hedg</v>
      </c>
      <c r="C5473" s="3" t="str">
        <f>IFERROR(__xludf.DUMMYFUNCTION("""COMPUTED_VALUE"""),"HedgeTrade")</f>
        <v>HedgeTrade</v>
      </c>
    </row>
    <row r="5474">
      <c r="A5474" s="3" t="str">
        <f>IFERROR(__xludf.DUMMYFUNCTION("""COMPUTED_VALUE"""),"hedge-usd")</f>
        <v>hedge-usd</v>
      </c>
      <c r="B5474" s="3" t="str">
        <f>IFERROR(__xludf.DUMMYFUNCTION("""COMPUTED_VALUE"""),"ush")</f>
        <v>ush</v>
      </c>
      <c r="C5474" s="3" t="str">
        <f>IFERROR(__xludf.DUMMYFUNCTION("""COMPUTED_VALUE"""),"Hedge USD")</f>
        <v>Hedge USD</v>
      </c>
    </row>
    <row r="5475">
      <c r="A5475" s="3" t="str">
        <f>IFERROR(__xludf.DUMMYFUNCTION("""COMPUTED_VALUE"""),"hedpay")</f>
        <v>hedpay</v>
      </c>
      <c r="B5475" s="3" t="str">
        <f>IFERROR(__xludf.DUMMYFUNCTION("""COMPUTED_VALUE"""),"hdp.ф")</f>
        <v>hdp.ф</v>
      </c>
      <c r="C5475" s="3" t="str">
        <f>IFERROR(__xludf.DUMMYFUNCTION("""COMPUTED_VALUE"""),"HEdpAY")</f>
        <v>HEdpAY</v>
      </c>
    </row>
    <row r="5476">
      <c r="A5476" s="3" t="str">
        <f>IFERROR(__xludf.DUMMYFUNCTION("""COMPUTED_VALUE"""),"hedron")</f>
        <v>hedron</v>
      </c>
      <c r="B5476" s="3" t="str">
        <f>IFERROR(__xludf.DUMMYFUNCTION("""COMPUTED_VALUE"""),"hdrn")</f>
        <v>hdrn</v>
      </c>
      <c r="C5476" s="3" t="str">
        <f>IFERROR(__xludf.DUMMYFUNCTION("""COMPUTED_VALUE"""),"Hedron")</f>
        <v>Hedron</v>
      </c>
    </row>
    <row r="5477">
      <c r="A5477" s="3" t="str">
        <f>IFERROR(__xludf.DUMMYFUNCTION("""COMPUTED_VALUE"""),"hedron-ethw")</f>
        <v>hedron-ethw</v>
      </c>
      <c r="B5477" s="3" t="str">
        <f>IFERROR(__xludf.DUMMYFUNCTION("""COMPUTED_VALUE"""),"hdrn")</f>
        <v>hdrn</v>
      </c>
      <c r="C5477" s="3" t="str">
        <f>IFERROR(__xludf.DUMMYFUNCTION("""COMPUTED_VALUE"""),"Hedron ETHW")</f>
        <v>Hedron ETHW</v>
      </c>
    </row>
    <row r="5478">
      <c r="A5478" s="3" t="str">
        <f>IFERROR(__xludf.DUMMYFUNCTION("""COMPUTED_VALUE"""),"hegic")</f>
        <v>hegic</v>
      </c>
      <c r="B5478" s="3" t="str">
        <f>IFERROR(__xludf.DUMMYFUNCTION("""COMPUTED_VALUE"""),"hegic")</f>
        <v>hegic</v>
      </c>
      <c r="C5478" s="3" t="str">
        <f>IFERROR(__xludf.DUMMYFUNCTION("""COMPUTED_VALUE"""),"Hegic")</f>
        <v>Hegic</v>
      </c>
    </row>
    <row r="5479">
      <c r="A5479" s="3" t="str">
        <f>IFERROR(__xludf.DUMMYFUNCTION("""COMPUTED_VALUE"""),"hel-games")</f>
        <v>hel-games</v>
      </c>
      <c r="B5479" s="3" t="str">
        <f>IFERROR(__xludf.DUMMYFUNCTION("""COMPUTED_VALUE"""),"hel")</f>
        <v>hel</v>
      </c>
      <c r="C5479" s="3" t="str">
        <f>IFERROR(__xludf.DUMMYFUNCTION("""COMPUTED_VALUE"""),"Hel Games")</f>
        <v>Hel Games</v>
      </c>
    </row>
    <row r="5480">
      <c r="A5480" s="3" t="str">
        <f>IFERROR(__xludf.DUMMYFUNCTION("""COMPUTED_VALUE"""),"helicopter-finance")</f>
        <v>helicopter-finance</v>
      </c>
      <c r="B5480" s="3" t="str">
        <f>IFERROR(__xludf.DUMMYFUNCTION("""COMPUTED_VALUE"""),"copter")</f>
        <v>copter</v>
      </c>
      <c r="C5480" s="3" t="str">
        <f>IFERROR(__xludf.DUMMYFUNCTION("""COMPUTED_VALUE"""),"Helicopter Finance")</f>
        <v>Helicopter Finance</v>
      </c>
    </row>
    <row r="5481">
      <c r="A5481" s="3" t="str">
        <f>IFERROR(__xludf.DUMMYFUNCTION("""COMPUTED_VALUE"""),"helio-protocol-hay")</f>
        <v>helio-protocol-hay</v>
      </c>
      <c r="B5481" s="3" t="str">
        <f>IFERROR(__xludf.DUMMYFUNCTION("""COMPUTED_VALUE"""),"hay")</f>
        <v>hay</v>
      </c>
      <c r="C5481" s="3" t="str">
        <f>IFERROR(__xludf.DUMMYFUNCTION("""COMPUTED_VALUE"""),"Destablecoin HAY")</f>
        <v>Destablecoin HAY</v>
      </c>
    </row>
    <row r="5482">
      <c r="A5482" s="3" t="str">
        <f>IFERROR(__xludf.DUMMYFUNCTION("""COMPUTED_VALUE"""),"helium")</f>
        <v>helium</v>
      </c>
      <c r="B5482" s="3" t="str">
        <f>IFERROR(__xludf.DUMMYFUNCTION("""COMPUTED_VALUE"""),"hnt")</f>
        <v>hnt</v>
      </c>
      <c r="C5482" s="3" t="str">
        <f>IFERROR(__xludf.DUMMYFUNCTION("""COMPUTED_VALUE"""),"Helium")</f>
        <v>Helium</v>
      </c>
    </row>
    <row r="5483">
      <c r="A5483" s="3" t="str">
        <f>IFERROR(__xludf.DUMMYFUNCTION("""COMPUTED_VALUE"""),"helix")</f>
        <v>helix</v>
      </c>
      <c r="B5483" s="3" t="str">
        <f>IFERROR(__xludf.DUMMYFUNCTION("""COMPUTED_VALUE"""),"hlix")</f>
        <v>hlix</v>
      </c>
      <c r="C5483" s="3" t="str">
        <f>IFERROR(__xludf.DUMMYFUNCTION("""COMPUTED_VALUE"""),"Helix")</f>
        <v>Helix</v>
      </c>
    </row>
    <row r="5484">
      <c r="A5484" s="3" t="str">
        <f>IFERROR(__xludf.DUMMYFUNCTION("""COMPUTED_VALUE"""),"helkin")</f>
        <v>helkin</v>
      </c>
      <c r="B5484" s="3" t="str">
        <f>IFERROR(__xludf.DUMMYFUNCTION("""COMPUTED_VALUE"""),"hk")</f>
        <v>hk</v>
      </c>
      <c r="C5484" s="3" t="str">
        <f>IFERROR(__xludf.DUMMYFUNCTION("""COMPUTED_VALUE"""),"Helkin")</f>
        <v>Helkin</v>
      </c>
    </row>
    <row r="5485">
      <c r="A5485" s="3" t="str">
        <f>IFERROR(__xludf.DUMMYFUNCTION("""COMPUTED_VALUE"""),"helleniccoin")</f>
        <v>helleniccoin</v>
      </c>
      <c r="B5485" s="3" t="str">
        <f>IFERROR(__xludf.DUMMYFUNCTION("""COMPUTED_VALUE"""),"hnc")</f>
        <v>hnc</v>
      </c>
      <c r="C5485" s="3" t="str">
        <f>IFERROR(__xludf.DUMMYFUNCTION("""COMPUTED_VALUE"""),"HNC Coin")</f>
        <v>HNC Coin</v>
      </c>
    </row>
    <row r="5486">
      <c r="A5486" s="3" t="str">
        <f>IFERROR(__xludf.DUMMYFUNCTION("""COMPUTED_VALUE"""),"hell-hounds")</f>
        <v>hell-hounds</v>
      </c>
      <c r="B5486" s="3" t="str">
        <f>IFERROR(__xludf.DUMMYFUNCTION("""COMPUTED_VALUE"""),"soul")</f>
        <v>soul</v>
      </c>
      <c r="C5486" s="3" t="str">
        <f>IFERROR(__xludf.DUMMYFUNCTION("""COMPUTED_VALUE"""),"HELL HOUNDS")</f>
        <v>HELL HOUNDS</v>
      </c>
    </row>
    <row r="5487">
      <c r="A5487" s="3" t="str">
        <f>IFERROR(__xludf.DUMMYFUNCTION("""COMPUTED_VALUE"""),"hellmoon")</f>
        <v>hellmoon</v>
      </c>
      <c r="B5487" s="3" t="str">
        <f>IFERROR(__xludf.DUMMYFUNCTION("""COMPUTED_VALUE"""),"hmoon")</f>
        <v>hmoon</v>
      </c>
      <c r="C5487" s="3" t="str">
        <f>IFERROR(__xludf.DUMMYFUNCTION("""COMPUTED_VALUE"""),"HELLMOON")</f>
        <v>HELLMOON</v>
      </c>
    </row>
    <row r="5488">
      <c r="A5488" s="3" t="str">
        <f>IFERROR(__xludf.DUMMYFUNCTION("""COMPUTED_VALUE"""),"hello-art")</f>
        <v>hello-art</v>
      </c>
      <c r="B5488" s="3" t="str">
        <f>IFERROR(__xludf.DUMMYFUNCTION("""COMPUTED_VALUE"""),"htt")</f>
        <v>htt</v>
      </c>
      <c r="C5488" s="3" t="str">
        <f>IFERROR(__xludf.DUMMYFUNCTION("""COMPUTED_VALUE"""),"Hello Art")</f>
        <v>Hello Art</v>
      </c>
    </row>
    <row r="5489">
      <c r="A5489" s="3" t="str">
        <f>IFERROR(__xludf.DUMMYFUNCTION("""COMPUTED_VALUE"""),"hello-labs")</f>
        <v>hello-labs</v>
      </c>
      <c r="B5489" s="3" t="str">
        <f>IFERROR(__xludf.DUMMYFUNCTION("""COMPUTED_VALUE"""),"hello")</f>
        <v>hello</v>
      </c>
      <c r="C5489" s="3" t="str">
        <f>IFERROR(__xludf.DUMMYFUNCTION("""COMPUTED_VALUE"""),"HELLO")</f>
        <v>HELLO</v>
      </c>
    </row>
    <row r="5490">
      <c r="A5490" s="3" t="str">
        <f>IFERROR(__xludf.DUMMYFUNCTION("""COMPUTED_VALUE"""),"hellsing-inu")</f>
        <v>hellsing-inu</v>
      </c>
      <c r="B5490" s="3" t="str">
        <f>IFERROR(__xludf.DUMMYFUNCTION("""COMPUTED_VALUE"""),"hellsing")</f>
        <v>hellsing</v>
      </c>
      <c r="C5490" s="3" t="str">
        <f>IFERROR(__xludf.DUMMYFUNCTION("""COMPUTED_VALUE"""),"Hellsing Inu")</f>
        <v>Hellsing Inu</v>
      </c>
    </row>
    <row r="5491">
      <c r="A5491" s="3" t="str">
        <f>IFERROR(__xludf.DUMMYFUNCTION("""COMPUTED_VALUE"""),"helmet-insure")</f>
        <v>helmet-insure</v>
      </c>
      <c r="B5491" s="3" t="str">
        <f>IFERROR(__xludf.DUMMYFUNCTION("""COMPUTED_VALUE"""),"helmet")</f>
        <v>helmet</v>
      </c>
      <c r="C5491" s="3" t="str">
        <f>IFERROR(__xludf.DUMMYFUNCTION("""COMPUTED_VALUE"""),"Helmet Insure")</f>
        <v>Helmet Insure</v>
      </c>
    </row>
    <row r="5492">
      <c r="A5492" s="3" t="str">
        <f>IFERROR(__xludf.DUMMYFUNCTION("""COMPUTED_VALUE"""),"help-coin")</f>
        <v>help-coin</v>
      </c>
      <c r="B5492" s="3" t="str">
        <f>IFERROR(__xludf.DUMMYFUNCTION("""COMPUTED_VALUE"""),"hlp")</f>
        <v>hlp</v>
      </c>
      <c r="C5492" s="3" t="str">
        <f>IFERROR(__xludf.DUMMYFUNCTION("""COMPUTED_VALUE"""),"HLP")</f>
        <v>HLP</v>
      </c>
    </row>
    <row r="5493">
      <c r="A5493" s="3" t="str">
        <f>IFERROR(__xludf.DUMMYFUNCTION("""COMPUTED_VALUE"""),"helper-search-token")</f>
        <v>helper-search-token</v>
      </c>
      <c r="B5493" s="3" t="str">
        <f>IFERROR(__xludf.DUMMYFUNCTION("""COMPUTED_VALUE"""),"hsn")</f>
        <v>hsn</v>
      </c>
      <c r="C5493" s="3" t="str">
        <f>IFERROR(__xludf.DUMMYFUNCTION("""COMPUTED_VALUE"""),"Helper Search")</f>
        <v>Helper Search</v>
      </c>
    </row>
    <row r="5494">
      <c r="A5494" s="3" t="str">
        <f>IFERROR(__xludf.DUMMYFUNCTION("""COMPUTED_VALUE"""),"helpico")</f>
        <v>helpico</v>
      </c>
      <c r="B5494" s="3" t="str">
        <f>IFERROR(__xludf.DUMMYFUNCTION("""COMPUTED_VALUE"""),"help")</f>
        <v>help</v>
      </c>
      <c r="C5494" s="3" t="str">
        <f>IFERROR(__xludf.DUMMYFUNCTION("""COMPUTED_VALUE"""),"Helpico")</f>
        <v>Helpico</v>
      </c>
    </row>
    <row r="5495">
      <c r="A5495" s="3" t="str">
        <f>IFERROR(__xludf.DUMMYFUNCTION("""COMPUTED_VALUE"""),"helpkidz-coin")</f>
        <v>helpkidz-coin</v>
      </c>
      <c r="B5495" s="3" t="str">
        <f>IFERROR(__xludf.DUMMYFUNCTION("""COMPUTED_VALUE"""),"hkc")</f>
        <v>hkc</v>
      </c>
      <c r="C5495" s="3" t="str">
        <f>IFERROR(__xludf.DUMMYFUNCTION("""COMPUTED_VALUE"""),"HelpKidz Coin")</f>
        <v>HelpKidz Coin</v>
      </c>
    </row>
    <row r="5496">
      <c r="A5496" s="3" t="str">
        <f>IFERROR(__xludf.DUMMYFUNCTION("""COMPUTED_VALUE"""),"helpseed")</f>
        <v>helpseed</v>
      </c>
      <c r="B5496" s="3" t="str">
        <f>IFERROR(__xludf.DUMMYFUNCTION("""COMPUTED_VALUE"""),"helps")</f>
        <v>helps</v>
      </c>
      <c r="C5496" s="3" t="str">
        <f>IFERROR(__xludf.DUMMYFUNCTION("""COMPUTED_VALUE"""),"HelpSeed")</f>
        <v>HelpSeed</v>
      </c>
    </row>
    <row r="5497">
      <c r="A5497" s="3" t="str">
        <f>IFERROR(__xludf.DUMMYFUNCTION("""COMPUTED_VALUE"""),"help-the-homeless-coin")</f>
        <v>help-the-homeless-coin</v>
      </c>
      <c r="B5497" s="3" t="str">
        <f>IFERROR(__xludf.DUMMYFUNCTION("""COMPUTED_VALUE"""),"hth")</f>
        <v>hth</v>
      </c>
      <c r="C5497" s="3" t="str">
        <f>IFERROR(__xludf.DUMMYFUNCTION("""COMPUTED_VALUE"""),"Help The Homeless Coin")</f>
        <v>Help The Homeless Coin</v>
      </c>
    </row>
    <row r="5498">
      <c r="A5498" s="3" t="str">
        <f>IFERROR(__xludf.DUMMYFUNCTION("""COMPUTED_VALUE"""),"hempcoin-thc")</f>
        <v>hempcoin-thc</v>
      </c>
      <c r="B5498" s="3" t="str">
        <f>IFERROR(__xludf.DUMMYFUNCTION("""COMPUTED_VALUE"""),"thc")</f>
        <v>thc</v>
      </c>
      <c r="C5498" s="3" t="str">
        <f>IFERROR(__xludf.DUMMYFUNCTION("""COMPUTED_VALUE"""),"Hempcoin")</f>
        <v>Hempcoin</v>
      </c>
    </row>
    <row r="5499">
      <c r="A5499" s="3" t="str">
        <f>IFERROR(__xludf.DUMMYFUNCTION("""COMPUTED_VALUE"""),"heptafranc")</f>
        <v>heptafranc</v>
      </c>
      <c r="B5499" s="3" t="str">
        <f>IFERROR(__xludf.DUMMYFUNCTION("""COMPUTED_VALUE"""),"hptf")</f>
        <v>hptf</v>
      </c>
      <c r="C5499" s="3" t="str">
        <f>IFERROR(__xludf.DUMMYFUNCTION("""COMPUTED_VALUE"""),"HEPTAFRANC")</f>
        <v>HEPTAFRANC</v>
      </c>
    </row>
    <row r="5500">
      <c r="A5500" s="3" t="str">
        <f>IFERROR(__xludf.DUMMYFUNCTION("""COMPUTED_VALUE"""),"hera-finance")</f>
        <v>hera-finance</v>
      </c>
      <c r="B5500" s="3" t="str">
        <f>IFERROR(__xludf.DUMMYFUNCTION("""COMPUTED_VALUE"""),"hera")</f>
        <v>hera</v>
      </c>
      <c r="C5500" s="3" t="str">
        <f>IFERROR(__xludf.DUMMYFUNCTION("""COMPUTED_VALUE"""),"Hera Finance")</f>
        <v>Hera Finance</v>
      </c>
    </row>
    <row r="5501">
      <c r="A5501" s="3" t="str">
        <f>IFERROR(__xludf.DUMMYFUNCTION("""COMPUTED_VALUE"""),"herbalist-token")</f>
        <v>herbalist-token</v>
      </c>
      <c r="B5501" s="3" t="str">
        <f>IFERROR(__xludf.DUMMYFUNCTION("""COMPUTED_VALUE"""),"herb")</f>
        <v>herb</v>
      </c>
      <c r="C5501" s="3" t="str">
        <f>IFERROR(__xludf.DUMMYFUNCTION("""COMPUTED_VALUE"""),"Herbalist")</f>
        <v>Herbalist</v>
      </c>
    </row>
    <row r="5502">
      <c r="A5502" s="3" t="str">
        <f>IFERROR(__xludf.DUMMYFUNCTION("""COMPUTED_VALUE"""),"heres")</f>
        <v>heres</v>
      </c>
      <c r="B5502" s="3" t="str">
        <f>IFERROR(__xludf.DUMMYFUNCTION("""COMPUTED_VALUE"""),"hrs")</f>
        <v>hrs</v>
      </c>
      <c r="C5502" s="3" t="str">
        <f>IFERROR(__xludf.DUMMYFUNCTION("""COMPUTED_VALUE"""),"Heres")</f>
        <v>Heres</v>
      </c>
    </row>
    <row r="5503">
      <c r="A5503" s="3" t="str">
        <f>IFERROR(__xludf.DUMMYFUNCTION("""COMPUTED_VALUE"""),"herity-network")</f>
        <v>herity-network</v>
      </c>
      <c r="B5503" s="3" t="str">
        <f>IFERROR(__xludf.DUMMYFUNCTION("""COMPUTED_VALUE"""),"her")</f>
        <v>her</v>
      </c>
      <c r="C5503" s="3" t="str">
        <f>IFERROR(__xludf.DUMMYFUNCTION("""COMPUTED_VALUE"""),"Herity Network")</f>
        <v>Herity Network</v>
      </c>
    </row>
    <row r="5504">
      <c r="A5504" s="3" t="str">
        <f>IFERROR(__xludf.DUMMYFUNCTION("""COMPUTED_VALUE"""),"hermes")</f>
        <v>hermes</v>
      </c>
      <c r="B5504" s="3" t="str">
        <f>IFERROR(__xludf.DUMMYFUNCTION("""COMPUTED_VALUE"""),"hermes")</f>
        <v>hermes</v>
      </c>
      <c r="C5504" s="3" t="str">
        <f>IFERROR(__xludf.DUMMYFUNCTION("""COMPUTED_VALUE"""),"HERMES")</f>
        <v>HERMES</v>
      </c>
    </row>
    <row r="5505">
      <c r="A5505" s="3" t="str">
        <f>IFERROR(__xludf.DUMMYFUNCTION("""COMPUTED_VALUE"""),"hermes-protocol")</f>
        <v>hermes-protocol</v>
      </c>
      <c r="B5505" s="3" t="str">
        <f>IFERROR(__xludf.DUMMYFUNCTION("""COMPUTED_VALUE"""),"hermes")</f>
        <v>hermes</v>
      </c>
      <c r="C5505" s="3" t="str">
        <f>IFERROR(__xludf.DUMMYFUNCTION("""COMPUTED_VALUE"""),"Hermes Protocol")</f>
        <v>Hermes Protocol</v>
      </c>
    </row>
    <row r="5506">
      <c r="A5506" s="3" t="str">
        <f>IFERROR(__xludf.DUMMYFUNCTION("""COMPUTED_VALUE"""),"hermez-network-token")</f>
        <v>hermez-network-token</v>
      </c>
      <c r="B5506" s="3" t="str">
        <f>IFERROR(__xludf.DUMMYFUNCTION("""COMPUTED_VALUE"""),"hez")</f>
        <v>hez</v>
      </c>
      <c r="C5506" s="3" t="str">
        <f>IFERROR(__xludf.DUMMYFUNCTION("""COMPUTED_VALUE"""),"Hermez Network")</f>
        <v>Hermez Network</v>
      </c>
    </row>
    <row r="5507">
      <c r="A5507" s="3" t="str">
        <f>IFERROR(__xludf.DUMMYFUNCTION("""COMPUTED_VALUE"""),"hero")</f>
        <v>hero</v>
      </c>
      <c r="B5507" s="3" t="str">
        <f>IFERROR(__xludf.DUMMYFUNCTION("""COMPUTED_VALUE"""),"hero")</f>
        <v>hero</v>
      </c>
      <c r="C5507" s="3" t="str">
        <f>IFERROR(__xludf.DUMMYFUNCTION("""COMPUTED_VALUE"""),"HERO")</f>
        <v>HERO</v>
      </c>
    </row>
    <row r="5508">
      <c r="A5508" s="3" t="str">
        <f>IFERROR(__xludf.DUMMYFUNCTION("""COMPUTED_VALUE"""),"hero-arena")</f>
        <v>hero-arena</v>
      </c>
      <c r="B5508" s="3" t="str">
        <f>IFERROR(__xludf.DUMMYFUNCTION("""COMPUTED_VALUE"""),"hera")</f>
        <v>hera</v>
      </c>
      <c r="C5508" s="3" t="str">
        <f>IFERROR(__xludf.DUMMYFUNCTION("""COMPUTED_VALUE"""),"Hero Arena")</f>
        <v>Hero Arena</v>
      </c>
    </row>
    <row r="5509">
      <c r="A5509" s="3" t="str">
        <f>IFERROR(__xludf.DUMMYFUNCTION("""COMPUTED_VALUE"""),"hero-blaze-three-kingdoms")</f>
        <v>hero-blaze-three-kingdoms</v>
      </c>
      <c r="B5509" s="3" t="str">
        <f>IFERROR(__xludf.DUMMYFUNCTION("""COMPUTED_VALUE"""),"mudol2")</f>
        <v>mudol2</v>
      </c>
      <c r="C5509" s="3" t="str">
        <f>IFERROR(__xludf.DUMMYFUNCTION("""COMPUTED_VALUE"""),"Hero Blaze: Three Kingdoms")</f>
        <v>Hero Blaze: Three Kingdoms</v>
      </c>
    </row>
    <row r="5510">
      <c r="A5510" s="3" t="str">
        <f>IFERROR(__xludf.DUMMYFUNCTION("""COMPUTED_VALUE"""),"herobook")</f>
        <v>herobook</v>
      </c>
      <c r="B5510" s="3" t="str">
        <f>IFERROR(__xludf.DUMMYFUNCTION("""COMPUTED_VALUE"""),"hbg")</f>
        <v>hbg</v>
      </c>
      <c r="C5510" s="3" t="str">
        <f>IFERROR(__xludf.DUMMYFUNCTION("""COMPUTED_VALUE"""),"HeroBook")</f>
        <v>HeroBook</v>
      </c>
    </row>
    <row r="5511">
      <c r="A5511" s="3" t="str">
        <f>IFERROR(__xludf.DUMMYFUNCTION("""COMPUTED_VALUE"""),"hero-cat-key")</f>
        <v>hero-cat-key</v>
      </c>
      <c r="B5511" s="3" t="str">
        <f>IFERROR(__xludf.DUMMYFUNCTION("""COMPUTED_VALUE"""),"hck")</f>
        <v>hck</v>
      </c>
      <c r="C5511" s="3" t="str">
        <f>IFERROR(__xludf.DUMMYFUNCTION("""COMPUTED_VALUE"""),"Hero Cat Key")</f>
        <v>Hero Cat Key</v>
      </c>
    </row>
    <row r="5512">
      <c r="A5512" s="3" t="str">
        <f>IFERROR(__xludf.DUMMYFUNCTION("""COMPUTED_VALUE"""),"hero-cat-token")</f>
        <v>hero-cat-token</v>
      </c>
      <c r="B5512" s="3" t="str">
        <f>IFERROR(__xludf.DUMMYFUNCTION("""COMPUTED_VALUE"""),"hct")</f>
        <v>hct</v>
      </c>
      <c r="C5512" s="3" t="str">
        <f>IFERROR(__xludf.DUMMYFUNCTION("""COMPUTED_VALUE"""),"Hero Cat")</f>
        <v>Hero Cat</v>
      </c>
    </row>
    <row r="5513">
      <c r="A5513" s="3" t="str">
        <f>IFERROR(__xludf.DUMMYFUNCTION("""COMPUTED_VALUE"""),"herocoin")</f>
        <v>herocoin</v>
      </c>
      <c r="B5513" s="3" t="str">
        <f>IFERROR(__xludf.DUMMYFUNCTION("""COMPUTED_VALUE"""),"play")</f>
        <v>play</v>
      </c>
      <c r="C5513" s="3" t="str">
        <f>IFERROR(__xludf.DUMMYFUNCTION("""COMPUTED_VALUE"""),"HEROcoin")</f>
        <v>HEROcoin</v>
      </c>
    </row>
    <row r="5514">
      <c r="A5514" s="3" t="str">
        <f>IFERROR(__xludf.DUMMYFUNCTION("""COMPUTED_VALUE"""),"heroeschained")</f>
        <v>heroeschained</v>
      </c>
      <c r="B5514" s="3" t="str">
        <f>IFERROR(__xludf.DUMMYFUNCTION("""COMPUTED_VALUE"""),"hec")</f>
        <v>hec</v>
      </c>
      <c r="C5514" s="3" t="str">
        <f>IFERROR(__xludf.DUMMYFUNCTION("""COMPUTED_VALUE"""),"HeroesChained")</f>
        <v>HeroesChained</v>
      </c>
    </row>
    <row r="5515">
      <c r="A5515" s="3" t="str">
        <f>IFERROR(__xludf.DUMMYFUNCTION("""COMPUTED_VALUE"""),"heroes-empires")</f>
        <v>heroes-empires</v>
      </c>
      <c r="B5515" s="3" t="str">
        <f>IFERROR(__xludf.DUMMYFUNCTION("""COMPUTED_VALUE"""),"he")</f>
        <v>he</v>
      </c>
      <c r="C5515" s="3" t="str">
        <f>IFERROR(__xludf.DUMMYFUNCTION("""COMPUTED_VALUE"""),"Heroes &amp; Empires")</f>
        <v>Heroes &amp; Empires</v>
      </c>
    </row>
    <row r="5516">
      <c r="A5516" s="3" t="str">
        <f>IFERROR(__xludf.DUMMYFUNCTION("""COMPUTED_VALUE"""),"heroes-of-nft")</f>
        <v>heroes-of-nft</v>
      </c>
      <c r="B5516" s="3" t="str">
        <f>IFERROR(__xludf.DUMMYFUNCTION("""COMPUTED_VALUE"""),"hon")</f>
        <v>hon</v>
      </c>
      <c r="C5516" s="3" t="str">
        <f>IFERROR(__xludf.DUMMYFUNCTION("""COMPUTED_VALUE"""),"Heroes of NFT")</f>
        <v>Heroes of NFT</v>
      </c>
    </row>
    <row r="5517">
      <c r="A5517" s="3" t="str">
        <f>IFERROR(__xludf.DUMMYFUNCTION("""COMPUTED_VALUE"""),"hero-essence")</f>
        <v>hero-essence</v>
      </c>
      <c r="B5517" s="3" t="str">
        <f>IFERROR(__xludf.DUMMYFUNCTION("""COMPUTED_VALUE"""),"hes")</f>
        <v>hes</v>
      </c>
      <c r="C5517" s="3" t="str">
        <f>IFERROR(__xludf.DUMMYFUNCTION("""COMPUTED_VALUE"""),"Hero Essence")</f>
        <v>Hero Essence</v>
      </c>
    </row>
    <row r="5518">
      <c r="A5518" s="3" t="str">
        <f>IFERROR(__xludf.DUMMYFUNCTION("""COMPUTED_VALUE"""),"heroes-td")</f>
        <v>heroes-td</v>
      </c>
      <c r="B5518" s="3" t="str">
        <f>IFERROR(__xludf.DUMMYFUNCTION("""COMPUTED_VALUE"""),"htd")</f>
        <v>htd</v>
      </c>
      <c r="C5518" s="3" t="str">
        <f>IFERROR(__xludf.DUMMYFUNCTION("""COMPUTED_VALUE"""),"Heroes TD")</f>
        <v>Heroes TD</v>
      </c>
    </row>
    <row r="5519">
      <c r="A5519" s="3" t="str">
        <f>IFERROR(__xludf.DUMMYFUNCTION("""COMPUTED_VALUE"""),"heroestd-cgc")</f>
        <v>heroestd-cgc</v>
      </c>
      <c r="B5519" s="3" t="str">
        <f>IFERROR(__xludf.DUMMYFUNCTION("""COMPUTED_VALUE"""),"cgc")</f>
        <v>cgc</v>
      </c>
      <c r="C5519" s="3" t="str">
        <f>IFERROR(__xludf.DUMMYFUNCTION("""COMPUTED_VALUE"""),"HeroesTD CGC")</f>
        <v>HeroesTD CGC</v>
      </c>
    </row>
    <row r="5520">
      <c r="A5520" s="3" t="str">
        <f>IFERROR(__xludf.DUMMYFUNCTION("""COMPUTED_VALUE"""),"herofi")</f>
        <v>herofi</v>
      </c>
      <c r="B5520" s="3" t="str">
        <f>IFERROR(__xludf.DUMMYFUNCTION("""COMPUTED_VALUE"""),"heroegg")</f>
        <v>heroegg</v>
      </c>
      <c r="C5520" s="3" t="str">
        <f>IFERROR(__xludf.DUMMYFUNCTION("""COMPUTED_VALUE"""),"HeroFi")</f>
        <v>HeroFi</v>
      </c>
    </row>
    <row r="5521">
      <c r="A5521" s="3" t="str">
        <f>IFERROR(__xludf.DUMMYFUNCTION("""COMPUTED_VALUE"""),"herofi-token-2")</f>
        <v>herofi-token-2</v>
      </c>
      <c r="B5521" s="3" t="str">
        <f>IFERROR(__xludf.DUMMYFUNCTION("""COMPUTED_VALUE"""),"rofi")</f>
        <v>rofi</v>
      </c>
      <c r="C5521" s="3" t="str">
        <f>IFERROR(__xludf.DUMMYFUNCTION("""COMPUTED_VALUE"""),"HeroFi ROFI")</f>
        <v>HeroFi ROFI</v>
      </c>
    </row>
    <row r="5522">
      <c r="A5522" s="3" t="str">
        <f>IFERROR(__xludf.DUMMYFUNCTION("""COMPUTED_VALUE"""),"hero-inu")</f>
        <v>hero-inu</v>
      </c>
      <c r="B5522" s="3" t="str">
        <f>IFERROR(__xludf.DUMMYFUNCTION("""COMPUTED_VALUE"""),"heros")</f>
        <v>heros</v>
      </c>
      <c r="C5522" s="3" t="str">
        <f>IFERROR(__xludf.DUMMYFUNCTION("""COMPUTED_VALUE"""),"Heros")</f>
        <v>Heros</v>
      </c>
    </row>
    <row r="5523">
      <c r="A5523" s="3" t="str">
        <f>IFERROR(__xludf.DUMMYFUNCTION("""COMPUTED_VALUE"""),"heropark")</f>
        <v>heropark</v>
      </c>
      <c r="B5523" s="3" t="str">
        <f>IFERROR(__xludf.DUMMYFUNCTION("""COMPUTED_VALUE"""),"hp")</f>
        <v>hp</v>
      </c>
      <c r="C5523" s="3" t="str">
        <f>IFERROR(__xludf.DUMMYFUNCTION("""COMPUTED_VALUE"""),"HeroPark")</f>
        <v>HeroPark</v>
      </c>
    </row>
    <row r="5524">
      <c r="A5524" s="3" t="str">
        <f>IFERROR(__xludf.DUMMYFUNCTION("""COMPUTED_VALUE"""),"hero-token")</f>
        <v>hero-token</v>
      </c>
      <c r="B5524" s="3" t="str">
        <f>IFERROR(__xludf.DUMMYFUNCTION("""COMPUTED_VALUE"""),"raise")</f>
        <v>raise</v>
      </c>
      <c r="C5524" s="3" t="str">
        <f>IFERROR(__xludf.DUMMYFUNCTION("""COMPUTED_VALUE"""),"Raise")</f>
        <v>Raise</v>
      </c>
    </row>
    <row r="5525">
      <c r="A5525" s="3" t="str">
        <f>IFERROR(__xludf.DUMMYFUNCTION("""COMPUTED_VALUE"""),"heroverse")</f>
        <v>heroverse</v>
      </c>
      <c r="B5525" s="3" t="str">
        <f>IFERROR(__xludf.DUMMYFUNCTION("""COMPUTED_VALUE"""),"her")</f>
        <v>her</v>
      </c>
      <c r="C5525" s="3" t="str">
        <f>IFERROR(__xludf.DUMMYFUNCTION("""COMPUTED_VALUE"""),"HeroVerse")</f>
        <v>HeroVerse</v>
      </c>
    </row>
    <row r="5526">
      <c r="A5526" s="3" t="str">
        <f>IFERROR(__xludf.DUMMYFUNCTION("""COMPUTED_VALUE"""),"hertz-network")</f>
        <v>hertz-network</v>
      </c>
      <c r="B5526" s="3" t="str">
        <f>IFERROR(__xludf.DUMMYFUNCTION("""COMPUTED_VALUE"""),"htz")</f>
        <v>htz</v>
      </c>
      <c r="C5526" s="3" t="str">
        <f>IFERROR(__xludf.DUMMYFUNCTION("""COMPUTED_VALUE"""),"Hertz Network")</f>
        <v>Hertz Network</v>
      </c>
    </row>
    <row r="5527">
      <c r="A5527" s="3" t="str">
        <f>IFERROR(__xludf.DUMMYFUNCTION("""COMPUTED_VALUE"""),"heruka-tsangnyon")</f>
        <v>heruka-tsangnyon</v>
      </c>
      <c r="B5527" s="3" t="str">
        <f>IFERROR(__xludf.DUMMYFUNCTION("""COMPUTED_VALUE"""),"tsangnyon")</f>
        <v>tsangnyon</v>
      </c>
      <c r="C5527" s="3" t="str">
        <f>IFERROR(__xludf.DUMMYFUNCTION("""COMPUTED_VALUE"""),"HERUKA TSANGNYON")</f>
        <v>HERUKA TSANGNYON</v>
      </c>
    </row>
    <row r="5528">
      <c r="A5528" s="3" t="str">
        <f>IFERROR(__xludf.DUMMYFUNCTION("""COMPUTED_VALUE"""),"herum")</f>
        <v>herum</v>
      </c>
      <c r="B5528" s="3" t="str">
        <f>IFERROR(__xludf.DUMMYFUNCTION("""COMPUTED_VALUE"""),"ram")</f>
        <v>ram</v>
      </c>
      <c r="C5528" s="3" t="str">
        <f>IFERROR(__xludf.DUMMYFUNCTION("""COMPUTED_VALUE"""),"Herum")</f>
        <v>Herum</v>
      </c>
    </row>
    <row r="5529">
      <c r="A5529" s="3" t="str">
        <f>IFERROR(__xludf.DUMMYFUNCTION("""COMPUTED_VALUE"""),"hesman-shard")</f>
        <v>hesman-shard</v>
      </c>
      <c r="B5529" s="3" t="str">
        <f>IFERROR(__xludf.DUMMYFUNCTION("""COMPUTED_VALUE"""),"hes")</f>
        <v>hes</v>
      </c>
      <c r="C5529" s="3" t="str">
        <f>IFERROR(__xludf.DUMMYFUNCTION("""COMPUTED_VALUE"""),"Hesman Shard")</f>
        <v>Hesman Shard</v>
      </c>
    </row>
    <row r="5530">
      <c r="A5530" s="3" t="str">
        <f>IFERROR(__xludf.DUMMYFUNCTION("""COMPUTED_VALUE"""),"hex")</f>
        <v>hex</v>
      </c>
      <c r="B5530" s="3" t="str">
        <f>IFERROR(__xludf.DUMMYFUNCTION("""COMPUTED_VALUE"""),"hex")</f>
        <v>hex</v>
      </c>
      <c r="C5530" s="3" t="str">
        <f>IFERROR(__xludf.DUMMYFUNCTION("""COMPUTED_VALUE"""),"HEX")</f>
        <v>HEX</v>
      </c>
    </row>
    <row r="5531">
      <c r="A5531" s="3" t="str">
        <f>IFERROR(__xludf.DUMMYFUNCTION("""COMPUTED_VALUE"""),"hexanfts")</f>
        <v>hexanfts</v>
      </c>
      <c r="B5531" s="3" t="str">
        <f>IFERROR(__xludf.DUMMYFUNCTION("""COMPUTED_VALUE"""),"hnft")</f>
        <v>hnft</v>
      </c>
      <c r="C5531" s="3" t="str">
        <f>IFERROR(__xludf.DUMMYFUNCTION("""COMPUTED_VALUE"""),"HexaNFTs")</f>
        <v>HexaNFTs</v>
      </c>
    </row>
    <row r="5532">
      <c r="A5532" s="3" t="str">
        <f>IFERROR(__xludf.DUMMYFUNCTION("""COMPUTED_VALUE"""),"hex-ethw")</f>
        <v>hex-ethw</v>
      </c>
      <c r="B5532" s="3" t="str">
        <f>IFERROR(__xludf.DUMMYFUNCTION("""COMPUTED_VALUE"""),"hex")</f>
        <v>hex</v>
      </c>
      <c r="C5532" s="3" t="str">
        <f>IFERROR(__xludf.DUMMYFUNCTION("""COMPUTED_VALUE"""),"HEX ETHW")</f>
        <v>HEX ETHW</v>
      </c>
    </row>
    <row r="5533">
      <c r="A5533" s="3" t="str">
        <f>IFERROR(__xludf.DUMMYFUNCTION("""COMPUTED_VALUE"""),"hex-money")</f>
        <v>hex-money</v>
      </c>
      <c r="B5533" s="3" t="str">
        <f>IFERROR(__xludf.DUMMYFUNCTION("""COMPUTED_VALUE"""),"hxy")</f>
        <v>hxy</v>
      </c>
      <c r="C5533" s="3" t="str">
        <f>IFERROR(__xludf.DUMMYFUNCTION("""COMPUTED_VALUE"""),"HXY Money")</f>
        <v>HXY Money</v>
      </c>
    </row>
    <row r="5534">
      <c r="A5534" s="3" t="str">
        <f>IFERROR(__xludf.DUMMYFUNCTION("""COMPUTED_VALUE"""),"hey")</f>
        <v>hey</v>
      </c>
      <c r="B5534" s="3" t="str">
        <f>IFERROR(__xludf.DUMMYFUNCTION("""COMPUTED_VALUE"""),"hey")</f>
        <v>hey</v>
      </c>
      <c r="C5534" s="3" t="str">
        <f>IFERROR(__xludf.DUMMYFUNCTION("""COMPUTED_VALUE"""),"Hey")</f>
        <v>Hey</v>
      </c>
    </row>
    <row r="5535">
      <c r="A5535" s="3" t="str">
        <f>IFERROR(__xludf.DUMMYFUNCTION("""COMPUTED_VALUE"""),"hibayc")</f>
        <v>hibayc</v>
      </c>
      <c r="B5535" s="3" t="str">
        <f>IFERROR(__xludf.DUMMYFUNCTION("""COMPUTED_VALUE"""),"hibayc")</f>
        <v>hibayc</v>
      </c>
      <c r="C5535" s="3" t="str">
        <f>IFERROR(__xludf.DUMMYFUNCTION("""COMPUTED_VALUE"""),"hiBAYC")</f>
        <v>hiBAYC</v>
      </c>
    </row>
    <row r="5536">
      <c r="A5536" s="3" t="str">
        <f>IFERROR(__xludf.DUMMYFUNCTION("""COMPUTED_VALUE"""),"hibiki-finance")</f>
        <v>hibiki-finance</v>
      </c>
      <c r="B5536" s="3" t="str">
        <f>IFERROR(__xludf.DUMMYFUNCTION("""COMPUTED_VALUE"""),"hibiki")</f>
        <v>hibiki</v>
      </c>
      <c r="C5536" s="3" t="str">
        <f>IFERROR(__xludf.DUMMYFUNCTION("""COMPUTED_VALUE"""),"Hibiki Finance")</f>
        <v>Hibiki Finance</v>
      </c>
    </row>
    <row r="5537">
      <c r="A5537" s="3" t="str">
        <f>IFERROR(__xludf.DUMMYFUNCTION("""COMPUTED_VALUE"""),"hiblocks")</f>
        <v>hiblocks</v>
      </c>
      <c r="B5537" s="3" t="str">
        <f>IFERROR(__xludf.DUMMYFUNCTION("""COMPUTED_VALUE"""),"hibs")</f>
        <v>hibs</v>
      </c>
      <c r="C5537" s="3" t="str">
        <f>IFERROR(__xludf.DUMMYFUNCTION("""COMPUTED_VALUE"""),"Hiblocks")</f>
        <v>Hiblocks</v>
      </c>
    </row>
    <row r="5538">
      <c r="A5538" s="3" t="str">
        <f>IFERROR(__xludf.DUMMYFUNCTION("""COMPUTED_VALUE"""),"hic-et-nunc-dao")</f>
        <v>hic-et-nunc-dao</v>
      </c>
      <c r="B5538" s="3" t="str">
        <f>IFERROR(__xludf.DUMMYFUNCTION("""COMPUTED_VALUE"""),"hdao")</f>
        <v>hdao</v>
      </c>
      <c r="C5538" s="3" t="str">
        <f>IFERROR(__xludf.DUMMYFUNCTION("""COMPUTED_VALUE"""),"Hic et nunc DAO")</f>
        <v>Hic et nunc DAO</v>
      </c>
    </row>
    <row r="5539">
      <c r="A5539" s="3" t="str">
        <f>IFERROR(__xludf.DUMMYFUNCTION("""COMPUTED_VALUE"""),"hicoin")</f>
        <v>hicoin</v>
      </c>
      <c r="B5539" s="3" t="str">
        <f>IFERROR(__xludf.DUMMYFUNCTION("""COMPUTED_VALUE"""),"xhi")</f>
        <v>xhi</v>
      </c>
      <c r="C5539" s="3" t="str">
        <f>IFERROR(__xludf.DUMMYFUNCTION("""COMPUTED_VALUE"""),"HiCoin")</f>
        <v>HiCoin</v>
      </c>
    </row>
    <row r="5540">
      <c r="A5540" s="3" t="str">
        <f>IFERROR(__xludf.DUMMYFUNCTION("""COMPUTED_VALUE"""),"hidden-coin")</f>
        <v>hidden-coin</v>
      </c>
      <c r="B5540" s="3" t="str">
        <f>IFERROR(__xludf.DUMMYFUNCTION("""COMPUTED_VALUE"""),"hdn")</f>
        <v>hdn</v>
      </c>
      <c r="C5540" s="3" t="str">
        <f>IFERROR(__xludf.DUMMYFUNCTION("""COMPUTED_VALUE"""),"Hidden Coin")</f>
        <v>Hidden Coin</v>
      </c>
    </row>
    <row r="5541">
      <c r="A5541" s="3" t="str">
        <f>IFERROR(__xludf.DUMMYFUNCTION("""COMPUTED_VALUE"""),"hideous-coin")</f>
        <v>hideous-coin</v>
      </c>
      <c r="B5541" s="3" t="str">
        <f>IFERROR(__xludf.DUMMYFUNCTION("""COMPUTED_VALUE"""),"hideous")</f>
        <v>hideous</v>
      </c>
      <c r="C5541" s="3" t="str">
        <f>IFERROR(__xludf.DUMMYFUNCTION("""COMPUTED_VALUE"""),"Hideous Finance")</f>
        <v>Hideous Finance</v>
      </c>
    </row>
    <row r="5542">
      <c r="A5542" s="3" t="str">
        <f>IFERROR(__xludf.DUMMYFUNCTION("""COMPUTED_VALUE"""),"hidigital-btc")</f>
        <v>hidigital-btc</v>
      </c>
      <c r="B5542" s="3" t="str">
        <f>IFERROR(__xludf.DUMMYFUNCTION("""COMPUTED_VALUE"""),"hdbtc")</f>
        <v>hdbtc</v>
      </c>
      <c r="C5542" s="3" t="str">
        <f>IFERROR(__xludf.DUMMYFUNCTION("""COMPUTED_VALUE"""),"Hidigital btc")</f>
        <v>Hidigital btc</v>
      </c>
    </row>
    <row r="5543">
      <c r="A5543" s="3" t="str">
        <f>IFERROR(__xludf.DUMMYFUNCTION("""COMPUTED_VALUE"""),"hi-dollar")</f>
        <v>hi-dollar</v>
      </c>
      <c r="B5543" s="3" t="str">
        <f>IFERROR(__xludf.DUMMYFUNCTION("""COMPUTED_VALUE"""),"hi")</f>
        <v>hi</v>
      </c>
      <c r="C5543" s="3" t="str">
        <f>IFERROR(__xludf.DUMMYFUNCTION("""COMPUTED_VALUE"""),"hi Dollar")</f>
        <v>hi Dollar</v>
      </c>
    </row>
    <row r="5544">
      <c r="A5544" s="3" t="str">
        <f>IFERROR(__xludf.DUMMYFUNCTION("""COMPUTED_VALUE"""),"hidoodles")</f>
        <v>hidoodles</v>
      </c>
      <c r="B5544" s="3" t="str">
        <f>IFERROR(__xludf.DUMMYFUNCTION("""COMPUTED_VALUE"""),"hidoodles")</f>
        <v>hidoodles</v>
      </c>
      <c r="C5544" s="3" t="str">
        <f>IFERROR(__xludf.DUMMYFUNCTION("""COMPUTED_VALUE"""),"hiDOODLES")</f>
        <v>hiDOODLES</v>
      </c>
    </row>
    <row r="5545">
      <c r="A5545" s="3" t="str">
        <f>IFERROR(__xludf.DUMMYFUNCTION("""COMPUTED_VALUE"""),"hiens3")</f>
        <v>hiens3</v>
      </c>
      <c r="B5545" s="3" t="str">
        <f>IFERROR(__xludf.DUMMYFUNCTION("""COMPUTED_VALUE"""),"hiens3")</f>
        <v>hiens3</v>
      </c>
      <c r="C5545" s="3" t="str">
        <f>IFERROR(__xludf.DUMMYFUNCTION("""COMPUTED_VALUE"""),"hiENS3")</f>
        <v>hiENS3</v>
      </c>
    </row>
    <row r="5546">
      <c r="A5546" s="3" t="str">
        <f>IFERROR(__xludf.DUMMYFUNCTION("""COMPUTED_VALUE"""),"hiens4")</f>
        <v>hiens4</v>
      </c>
      <c r="B5546" s="3" t="str">
        <f>IFERROR(__xludf.DUMMYFUNCTION("""COMPUTED_VALUE"""),"hiens4")</f>
        <v>hiens4</v>
      </c>
      <c r="C5546" s="3" t="str">
        <f>IFERROR(__xludf.DUMMYFUNCTION("""COMPUTED_VALUE"""),"hiENS4")</f>
        <v>hiENS4</v>
      </c>
    </row>
    <row r="5547">
      <c r="A5547" s="3" t="str">
        <f>IFERROR(__xludf.DUMMYFUNCTION("""COMPUTED_VALUE"""),"hierocoin")</f>
        <v>hierocoin</v>
      </c>
      <c r="B5547" s="3" t="str">
        <f>IFERROR(__xludf.DUMMYFUNCTION("""COMPUTED_VALUE"""),"bar")</f>
        <v>bar</v>
      </c>
      <c r="C5547" s="3" t="str">
        <f>IFERROR(__xludf.DUMMYFUNCTION("""COMPUTED_VALUE"""),"Hierocoin")</f>
        <v>Hierocoin</v>
      </c>
    </row>
    <row r="5548">
      <c r="A5548" s="3" t="str">
        <f>IFERROR(__xludf.DUMMYFUNCTION("""COMPUTED_VALUE"""),"hifi-gaming-society")</f>
        <v>hifi-gaming-society</v>
      </c>
      <c r="B5548" s="3" t="str">
        <f>IFERROR(__xludf.DUMMYFUNCTION("""COMPUTED_VALUE"""),"hifi")</f>
        <v>hifi</v>
      </c>
      <c r="C5548" s="3" t="str">
        <f>IFERROR(__xludf.DUMMYFUNCTION("""COMPUTED_VALUE"""),"HiFi Gaming Society")</f>
        <v>HiFi Gaming Society</v>
      </c>
    </row>
    <row r="5549">
      <c r="A5549" s="3" t="str">
        <f>IFERROR(__xludf.DUMMYFUNCTION("""COMPUTED_VALUE"""),"highest-yield-savings-service")</f>
        <v>highest-yield-savings-service</v>
      </c>
      <c r="B5549" s="3" t="str">
        <f>IFERROR(__xludf.DUMMYFUNCTION("""COMPUTED_VALUE"""),"hyss")</f>
        <v>hyss</v>
      </c>
      <c r="C5549" s="3" t="str">
        <f>IFERROR(__xludf.DUMMYFUNCTION("""COMPUTED_VALUE"""),"Highest Yield Savings Service")</f>
        <v>Highest Yield Savings Service</v>
      </c>
    </row>
    <row r="5550">
      <c r="A5550" s="3" t="str">
        <f>IFERROR(__xludf.DUMMYFUNCTION("""COMPUTED_VALUE"""),"high-performance-blockchain")</f>
        <v>high-performance-blockchain</v>
      </c>
      <c r="B5550" s="3" t="str">
        <f>IFERROR(__xludf.DUMMYFUNCTION("""COMPUTED_VALUE"""),"hpb")</f>
        <v>hpb</v>
      </c>
      <c r="C5550" s="3" t="str">
        <f>IFERROR(__xludf.DUMMYFUNCTION("""COMPUTED_VALUE"""),"High Performance Blockchain")</f>
        <v>High Performance Blockchain</v>
      </c>
    </row>
    <row r="5551">
      <c r="A5551" s="3" t="str">
        <f>IFERROR(__xludf.DUMMYFUNCTION("""COMPUTED_VALUE"""),"high-roller-hippo-clique")</f>
        <v>high-roller-hippo-clique</v>
      </c>
      <c r="B5551" s="3" t="str">
        <f>IFERROR(__xludf.DUMMYFUNCTION("""COMPUTED_VALUE"""),"roll")</f>
        <v>roll</v>
      </c>
      <c r="C5551" s="3" t="str">
        <f>IFERROR(__xludf.DUMMYFUNCTION("""COMPUTED_VALUE"""),"High Roller Hippo Clique")</f>
        <v>High Roller Hippo Clique</v>
      </c>
    </row>
    <row r="5552">
      <c r="A5552" s="3" t="str">
        <f>IFERROR(__xludf.DUMMYFUNCTION("""COMPUTED_VALUE"""),"highstreet")</f>
        <v>highstreet</v>
      </c>
      <c r="B5552" s="3" t="str">
        <f>IFERROR(__xludf.DUMMYFUNCTION("""COMPUTED_VALUE"""),"high")</f>
        <v>high</v>
      </c>
      <c r="C5552" s="3" t="str">
        <f>IFERROR(__xludf.DUMMYFUNCTION("""COMPUTED_VALUE"""),"Highstreet")</f>
        <v>Highstreet</v>
      </c>
    </row>
    <row r="5553">
      <c r="A5553" s="3" t="str">
        <f>IFERROR(__xludf.DUMMYFUNCTION("""COMPUTED_VALUE"""),"hillstone")</f>
        <v>hillstone</v>
      </c>
      <c r="B5553" s="3" t="str">
        <f>IFERROR(__xludf.DUMMYFUNCTION("""COMPUTED_VALUE"""),"hsf")</f>
        <v>hsf</v>
      </c>
      <c r="C5553" s="3" t="str">
        <f>IFERROR(__xludf.DUMMYFUNCTION("""COMPUTED_VALUE"""),"Hillstone Finance")</f>
        <v>Hillstone Finance</v>
      </c>
    </row>
    <row r="5554">
      <c r="A5554" s="3" t="str">
        <f>IFERROR(__xludf.DUMMYFUNCTION("""COMPUTED_VALUE"""),"himalayan-cat-coin")</f>
        <v>himalayan-cat-coin</v>
      </c>
      <c r="B5554" s="3" t="str">
        <f>IFERROR(__xludf.DUMMYFUNCTION("""COMPUTED_VALUE"""),"hima")</f>
        <v>hima</v>
      </c>
      <c r="C5554" s="3" t="str">
        <f>IFERROR(__xludf.DUMMYFUNCTION("""COMPUTED_VALUE"""),"Himalayan Cat Coin")</f>
        <v>Himalayan Cat Coin</v>
      </c>
    </row>
    <row r="5555">
      <c r="A5555" s="3" t="str">
        <f>IFERROR(__xludf.DUMMYFUNCTION("""COMPUTED_VALUE"""),"himayc")</f>
        <v>himayc</v>
      </c>
      <c r="B5555" s="3" t="str">
        <f>IFERROR(__xludf.DUMMYFUNCTION("""COMPUTED_VALUE"""),"himayc")</f>
        <v>himayc</v>
      </c>
      <c r="C5555" s="3" t="str">
        <f>IFERROR(__xludf.DUMMYFUNCTION("""COMPUTED_VALUE"""),"hiMAYC")</f>
        <v>hiMAYC</v>
      </c>
    </row>
    <row r="5556">
      <c r="A5556" s="3" t="str">
        <f>IFERROR(__xludf.DUMMYFUNCTION("""COMPUTED_VALUE"""),"himeebits")</f>
        <v>himeebits</v>
      </c>
      <c r="B5556" s="3" t="str">
        <f>IFERROR(__xludf.DUMMYFUNCTION("""COMPUTED_VALUE"""),"himeebits")</f>
        <v>himeebits</v>
      </c>
      <c r="C5556" s="3" t="str">
        <f>IFERROR(__xludf.DUMMYFUNCTION("""COMPUTED_VALUE"""),"hiMEEBITS")</f>
        <v>hiMEEBITS</v>
      </c>
    </row>
    <row r="5557">
      <c r="A5557" s="3" t="str">
        <f>IFERROR(__xludf.DUMMYFUNCTION("""COMPUTED_VALUE"""),"himo-world")</f>
        <v>himo-world</v>
      </c>
      <c r="B5557" s="3" t="str">
        <f>IFERROR(__xludf.DUMMYFUNCTION("""COMPUTED_VALUE"""),"himo")</f>
        <v>himo</v>
      </c>
      <c r="C5557" s="3" t="str">
        <f>IFERROR(__xludf.DUMMYFUNCTION("""COMPUTED_VALUE"""),"Himo World")</f>
        <v>Himo World</v>
      </c>
    </row>
    <row r="5558">
      <c r="A5558" s="3" t="str">
        <f>IFERROR(__xludf.DUMMYFUNCTION("""COMPUTED_VALUE"""),"hina-inu")</f>
        <v>hina-inu</v>
      </c>
      <c r="B5558" s="3" t="str">
        <f>IFERROR(__xludf.DUMMYFUNCTION("""COMPUTED_VALUE"""),"hina")</f>
        <v>hina</v>
      </c>
      <c r="C5558" s="3" t="str">
        <f>IFERROR(__xludf.DUMMYFUNCTION("""COMPUTED_VALUE"""),"Hina Inu")</f>
        <v>Hina Inu</v>
      </c>
    </row>
    <row r="5559">
      <c r="A5559" s="3" t="str">
        <f>IFERROR(__xludf.DUMMYFUNCTION("""COMPUTED_VALUE"""),"hintchain")</f>
        <v>hintchain</v>
      </c>
      <c r="B5559" s="3" t="str">
        <f>IFERROR(__xludf.DUMMYFUNCTION("""COMPUTED_VALUE"""),"hint")</f>
        <v>hint</v>
      </c>
      <c r="C5559" s="3" t="str">
        <f>IFERROR(__xludf.DUMMYFUNCTION("""COMPUTED_VALUE"""),"Hintchain")</f>
        <v>Hintchain</v>
      </c>
    </row>
    <row r="5560">
      <c r="A5560" s="3" t="str">
        <f>IFERROR(__xludf.DUMMYFUNCTION("""COMPUTED_VALUE"""),"hiodbs")</f>
        <v>hiodbs</v>
      </c>
      <c r="B5560" s="3" t="str">
        <f>IFERROR(__xludf.DUMMYFUNCTION("""COMPUTED_VALUE"""),"hiodbs")</f>
        <v>hiodbs</v>
      </c>
      <c r="C5560" s="3" t="str">
        <f>IFERROR(__xludf.DUMMYFUNCTION("""COMPUTED_VALUE"""),"hiODBS")</f>
        <v>hiODBS</v>
      </c>
    </row>
    <row r="5561">
      <c r="A5561" s="3" t="str">
        <f>IFERROR(__xludf.DUMMYFUNCTION("""COMPUTED_VALUE"""),"hippo-coin")</f>
        <v>hippo-coin</v>
      </c>
      <c r="B5561" s="3" t="str">
        <f>IFERROR(__xludf.DUMMYFUNCTION("""COMPUTED_VALUE"""),"$hippo")</f>
        <v>$hippo</v>
      </c>
      <c r="C5561" s="3" t="str">
        <f>IFERROR(__xludf.DUMMYFUNCTION("""COMPUTED_VALUE"""),"Hippo Coin")</f>
        <v>Hippo Coin</v>
      </c>
    </row>
    <row r="5562">
      <c r="A5562" s="3" t="str">
        <f>IFERROR(__xludf.DUMMYFUNCTION("""COMPUTED_VALUE"""),"hippo-inu")</f>
        <v>hippo-inu</v>
      </c>
      <c r="B5562" s="3" t="str">
        <f>IFERROR(__xludf.DUMMYFUNCTION("""COMPUTED_VALUE"""),"hippo")</f>
        <v>hippo</v>
      </c>
      <c r="C5562" s="3" t="str">
        <f>IFERROR(__xludf.DUMMYFUNCTION("""COMPUTED_VALUE"""),"Hippo Inu")</f>
        <v>Hippo Inu</v>
      </c>
    </row>
    <row r="5563">
      <c r="A5563" s="3" t="str">
        <f>IFERROR(__xludf.DUMMYFUNCTION("""COMPUTED_VALUE"""),"hippopotamus")</f>
        <v>hippopotamus</v>
      </c>
      <c r="B5563" s="3" t="str">
        <f>IFERROR(__xludf.DUMMYFUNCTION("""COMPUTED_VALUE"""),"hpo")</f>
        <v>hpo</v>
      </c>
      <c r="C5563" s="3" t="str">
        <f>IFERROR(__xludf.DUMMYFUNCTION("""COMPUTED_VALUE"""),"Hippo Wallet")</f>
        <v>Hippo Wallet</v>
      </c>
    </row>
    <row r="5564">
      <c r="A5564" s="3" t="str">
        <f>IFERROR(__xludf.DUMMYFUNCTION("""COMPUTED_VALUE"""),"hippo-token")</f>
        <v>hippo-token</v>
      </c>
      <c r="B5564" s="3" t="str">
        <f>IFERROR(__xludf.DUMMYFUNCTION("""COMPUTED_VALUE"""),"hip")</f>
        <v>hip</v>
      </c>
      <c r="C5564" s="3" t="str">
        <f>IFERROR(__xludf.DUMMYFUNCTION("""COMPUTED_VALUE"""),"Hippo")</f>
        <v>Hippo</v>
      </c>
    </row>
    <row r="5565">
      <c r="A5565" s="3" t="str">
        <f>IFERROR(__xludf.DUMMYFUNCTION("""COMPUTED_VALUE"""),"hippowswap")</f>
        <v>hippowswap</v>
      </c>
      <c r="B5565" s="3" t="str">
        <f>IFERROR(__xludf.DUMMYFUNCTION("""COMPUTED_VALUE"""),"hswap")</f>
        <v>hswap</v>
      </c>
      <c r="C5565" s="3" t="str">
        <f>IFERROR(__xludf.DUMMYFUNCTION("""COMPUTED_VALUE"""),"HippowSwap")</f>
        <v>HippowSwap</v>
      </c>
    </row>
    <row r="5566">
      <c r="A5566" s="3" t="str">
        <f>IFERROR(__xludf.DUMMYFUNCTION("""COMPUTED_VALUE"""),"hipunks")</f>
        <v>hipunks</v>
      </c>
      <c r="B5566" s="3" t="str">
        <f>IFERROR(__xludf.DUMMYFUNCTION("""COMPUTED_VALUE"""),"hipunks")</f>
        <v>hipunks</v>
      </c>
      <c r="C5566" s="3" t="str">
        <f>IFERROR(__xludf.DUMMYFUNCTION("""COMPUTED_VALUE"""),"hiPunks")</f>
        <v>hiPunks</v>
      </c>
    </row>
    <row r="5567">
      <c r="A5567" s="3" t="str">
        <f>IFERROR(__xludf.DUMMYFUNCTION("""COMPUTED_VALUE"""),"hiram")</f>
        <v>hiram</v>
      </c>
      <c r="B5567" s="3" t="str">
        <f>IFERROR(__xludf.DUMMYFUNCTION("""COMPUTED_VALUE"""),"hiram")</f>
        <v>hiram</v>
      </c>
      <c r="C5567" s="3" t="str">
        <f>IFERROR(__xludf.DUMMYFUNCTION("""COMPUTED_VALUE"""),"Hiram")</f>
        <v>Hiram</v>
      </c>
    </row>
    <row r="5568">
      <c r="A5568" s="3" t="str">
        <f>IFERROR(__xludf.DUMMYFUNCTION("""COMPUTED_VALUE"""),"hirevibes")</f>
        <v>hirevibes</v>
      </c>
      <c r="B5568" s="3" t="str">
        <f>IFERROR(__xludf.DUMMYFUNCTION("""COMPUTED_VALUE"""),"hvt")</f>
        <v>hvt</v>
      </c>
      <c r="C5568" s="3" t="str">
        <f>IFERROR(__xludf.DUMMYFUNCTION("""COMPUTED_VALUE"""),"HireVibes")</f>
        <v>HireVibes</v>
      </c>
    </row>
    <row r="5569">
      <c r="A5569" s="3" t="str">
        <f>IFERROR(__xludf.DUMMYFUNCTION("""COMPUTED_VALUE"""),"hiroki")</f>
        <v>hiroki</v>
      </c>
      <c r="B5569" s="3" t="str">
        <f>IFERROR(__xludf.DUMMYFUNCTION("""COMPUTED_VALUE"""),"hiro")</f>
        <v>hiro</v>
      </c>
      <c r="C5569" s="3" t="str">
        <f>IFERROR(__xludf.DUMMYFUNCTION("""COMPUTED_VALUE"""),"Hiroki")</f>
        <v>Hiroki</v>
      </c>
    </row>
    <row r="5570">
      <c r="A5570" s="3" t="str">
        <f>IFERROR(__xludf.DUMMYFUNCTION("""COMPUTED_VALUE"""),"hisand33")</f>
        <v>hisand33</v>
      </c>
      <c r="B5570" s="3" t="str">
        <f>IFERROR(__xludf.DUMMYFUNCTION("""COMPUTED_VALUE"""),"hisand33")</f>
        <v>hisand33</v>
      </c>
      <c r="C5570" s="3" t="str">
        <f>IFERROR(__xludf.DUMMYFUNCTION("""COMPUTED_VALUE"""),"hiSAND33")</f>
        <v>hiSAND33</v>
      </c>
    </row>
    <row r="5571">
      <c r="A5571" s="3" t="str">
        <f>IFERROR(__xludf.DUMMYFUNCTION("""COMPUTED_VALUE"""),"hisquiggle")</f>
        <v>hisquiggle</v>
      </c>
      <c r="B5571" s="3" t="str">
        <f>IFERROR(__xludf.DUMMYFUNCTION("""COMPUTED_VALUE"""),"hisquiggle")</f>
        <v>hisquiggle</v>
      </c>
      <c r="C5571" s="3" t="str">
        <f>IFERROR(__xludf.DUMMYFUNCTION("""COMPUTED_VALUE"""),"hiSQUIGGLE")</f>
        <v>hiSQUIGGLE</v>
      </c>
    </row>
    <row r="5572">
      <c r="A5572" s="3" t="str">
        <f>IFERROR(__xludf.DUMMYFUNCTION("""COMPUTED_VALUE"""),"historia")</f>
        <v>historia</v>
      </c>
      <c r="B5572" s="3" t="str">
        <f>IFERROR(__xludf.DUMMYFUNCTION("""COMPUTED_VALUE"""),"hta")</f>
        <v>hta</v>
      </c>
      <c r="C5572" s="3" t="str">
        <f>IFERROR(__xludf.DUMMYFUNCTION("""COMPUTED_VALUE"""),"Historia")</f>
        <v>Historia</v>
      </c>
    </row>
    <row r="5573">
      <c r="A5573" s="3" t="str">
        <f>IFERROR(__xludf.DUMMYFUNCTION("""COMPUTED_VALUE"""),"historydao")</f>
        <v>historydao</v>
      </c>
      <c r="B5573" s="3" t="str">
        <f>IFERROR(__xludf.DUMMYFUNCTION("""COMPUTED_VALUE"""),"hao")</f>
        <v>hao</v>
      </c>
      <c r="C5573" s="3" t="str">
        <f>IFERROR(__xludf.DUMMYFUNCTION("""COMPUTED_VALUE"""),"HistoryDAO")</f>
        <v>HistoryDAO</v>
      </c>
    </row>
    <row r="5574">
      <c r="A5574" s="3" t="str">
        <f>IFERROR(__xludf.DUMMYFUNCTION("""COMPUTED_VALUE"""),"hitbtc-token")</f>
        <v>hitbtc-token</v>
      </c>
      <c r="B5574" s="3" t="str">
        <f>IFERROR(__xludf.DUMMYFUNCTION("""COMPUTED_VALUE"""),"hit")</f>
        <v>hit</v>
      </c>
      <c r="C5574" s="3" t="str">
        <f>IFERROR(__xludf.DUMMYFUNCTION("""COMPUTED_VALUE"""),"HitBTC")</f>
        <v>HitBTC</v>
      </c>
    </row>
    <row r="5575">
      <c r="A5575" s="3" t="str">
        <f>IFERROR(__xludf.DUMMYFUNCTION("""COMPUTED_VALUE"""),"hitchain")</f>
        <v>hitchain</v>
      </c>
      <c r="B5575" s="3" t="str">
        <f>IFERROR(__xludf.DUMMYFUNCTION("""COMPUTED_VALUE"""),"hit")</f>
        <v>hit</v>
      </c>
      <c r="C5575" s="3" t="str">
        <f>IFERROR(__xludf.DUMMYFUNCTION("""COMPUTED_VALUE"""),"HitChain")</f>
        <v>HitChain</v>
      </c>
    </row>
    <row r="5576">
      <c r="A5576" s="3" t="str">
        <f>IFERROR(__xludf.DUMMYFUNCTION("""COMPUTED_VALUE"""),"hitcoin")</f>
        <v>hitcoin</v>
      </c>
      <c r="B5576" s="3" t="str">
        <f>IFERROR(__xludf.DUMMYFUNCTION("""COMPUTED_VALUE"""),"htc")</f>
        <v>htc</v>
      </c>
      <c r="C5576" s="3" t="str">
        <f>IFERROR(__xludf.DUMMYFUNCTION("""COMPUTED_VALUE"""),"Hitcoin")</f>
        <v>Hitcoin</v>
      </c>
    </row>
    <row r="5577">
      <c r="A5577" s="3" t="str">
        <f>IFERROR(__xludf.DUMMYFUNCTION("""COMPUTED_VALUE"""),"hitop")</f>
        <v>hitop</v>
      </c>
      <c r="B5577" s="3" t="str">
        <f>IFERROR(__xludf.DUMMYFUNCTION("""COMPUTED_VALUE"""),"hitop")</f>
        <v>hitop</v>
      </c>
      <c r="C5577" s="3" t="str">
        <f>IFERROR(__xludf.DUMMYFUNCTION("""COMPUTED_VALUE"""),"Hitop")</f>
        <v>Hitop</v>
      </c>
    </row>
    <row r="5578">
      <c r="A5578" s="3" t="str">
        <f>IFERROR(__xludf.DUMMYFUNCTION("""COMPUTED_VALUE"""),"hive")</f>
        <v>hive</v>
      </c>
      <c r="B5578" s="3" t="str">
        <f>IFERROR(__xludf.DUMMYFUNCTION("""COMPUTED_VALUE"""),"hive")</f>
        <v>hive</v>
      </c>
      <c r="C5578" s="3" t="str">
        <f>IFERROR(__xludf.DUMMYFUNCTION("""COMPUTED_VALUE"""),"Hive")</f>
        <v>Hive</v>
      </c>
    </row>
    <row r="5579">
      <c r="A5579" s="3" t="str">
        <f>IFERROR(__xludf.DUMMYFUNCTION("""COMPUTED_VALUE"""),"hive_dollar")</f>
        <v>hive_dollar</v>
      </c>
      <c r="B5579" s="3" t="str">
        <f>IFERROR(__xludf.DUMMYFUNCTION("""COMPUTED_VALUE"""),"hbd")</f>
        <v>hbd</v>
      </c>
      <c r="C5579" s="3" t="str">
        <f>IFERROR(__xludf.DUMMYFUNCTION("""COMPUTED_VALUE"""),"Hive Dollar")</f>
        <v>Hive Dollar</v>
      </c>
    </row>
    <row r="5580">
      <c r="A5580" s="3" t="str">
        <f>IFERROR(__xludf.DUMMYFUNCTION("""COMPUTED_VALUE"""),"hive-investments-honey")</f>
        <v>hive-investments-honey</v>
      </c>
      <c r="B5580" s="3" t="str">
        <f>IFERROR(__xludf.DUMMYFUNCTION("""COMPUTED_VALUE"""),"hny")</f>
        <v>hny</v>
      </c>
      <c r="C5580" s="3" t="str">
        <f>IFERROR(__xludf.DUMMYFUNCTION("""COMPUTED_VALUE"""),"Hive.Investments HONEY")</f>
        <v>Hive.Investments HONEY</v>
      </c>
    </row>
    <row r="5581">
      <c r="A5581" s="3" t="str">
        <f>IFERROR(__xludf.DUMMYFUNCTION("""COMPUTED_VALUE"""),"hiveterminal")</f>
        <v>hiveterminal</v>
      </c>
      <c r="B5581" s="3" t="str">
        <f>IFERROR(__xludf.DUMMYFUNCTION("""COMPUTED_VALUE"""),"hvn")</f>
        <v>hvn</v>
      </c>
      <c r="C5581" s="3" t="str">
        <f>IFERROR(__xludf.DUMMYFUNCTION("""COMPUTED_VALUE"""),"Hiveterminal")</f>
        <v>Hiveterminal</v>
      </c>
    </row>
    <row r="5582">
      <c r="A5582" s="3" t="str">
        <f>IFERROR(__xludf.DUMMYFUNCTION("""COMPUTED_VALUE"""),"hive-vault")</f>
        <v>hive-vault</v>
      </c>
      <c r="B5582" s="3" t="str">
        <f>IFERROR(__xludf.DUMMYFUNCTION("""COMPUTED_VALUE"""),"hiv")</f>
        <v>hiv</v>
      </c>
      <c r="C5582" s="3" t="str">
        <f>IFERROR(__xludf.DUMMYFUNCTION("""COMPUTED_VALUE"""),"Hive Vault")</f>
        <v>Hive Vault</v>
      </c>
    </row>
    <row r="5583">
      <c r="A5583" s="3" t="str">
        <f>IFERROR(__xludf.DUMMYFUNCTION("""COMPUTED_VALUE"""),"hiz-finance")</f>
        <v>hiz-finance</v>
      </c>
      <c r="B5583" s="3" t="str">
        <f>IFERROR(__xludf.DUMMYFUNCTION("""COMPUTED_VALUE"""),"hiz")</f>
        <v>hiz</v>
      </c>
      <c r="C5583" s="3" t="str">
        <f>IFERROR(__xludf.DUMMYFUNCTION("""COMPUTED_VALUE"""),"Hiz Finance")</f>
        <v>Hiz Finance</v>
      </c>
    </row>
    <row r="5584">
      <c r="A5584" s="3" t="str">
        <f>IFERROR(__xludf.DUMMYFUNCTION("""COMPUTED_VALUE"""),"hk-coin")</f>
        <v>hk-coin</v>
      </c>
      <c r="B5584" s="3" t="str">
        <f>IFERROR(__xludf.DUMMYFUNCTION("""COMPUTED_VALUE"""),"hkc")</f>
        <v>hkc</v>
      </c>
      <c r="C5584" s="3" t="str">
        <f>IFERROR(__xludf.DUMMYFUNCTION("""COMPUTED_VALUE"""),"HK Coin")</f>
        <v>HK Coin</v>
      </c>
    </row>
    <row r="5585">
      <c r="A5585" s="3" t="str">
        <f>IFERROR(__xludf.DUMMYFUNCTION("""COMPUTED_VALUE"""),"hnb-protocol")</f>
        <v>hnb-protocol</v>
      </c>
      <c r="B5585" s="3" t="str">
        <f>IFERROR(__xludf.DUMMYFUNCTION("""COMPUTED_VALUE"""),"hnb")</f>
        <v>hnb</v>
      </c>
      <c r="C5585" s="3" t="str">
        <f>IFERROR(__xludf.DUMMYFUNCTION("""COMPUTED_VALUE"""),"HNB Protocol")</f>
        <v>HNB Protocol</v>
      </c>
    </row>
    <row r="5586">
      <c r="A5586" s="3" t="str">
        <f>IFERROR(__xludf.DUMMYFUNCTION("""COMPUTED_VALUE"""),"hnk-orijent-1919-token")</f>
        <v>hnk-orijent-1919-token</v>
      </c>
      <c r="B5586" s="3" t="str">
        <f>IFERROR(__xludf.DUMMYFUNCTION("""COMPUTED_VALUE"""),"ori")</f>
        <v>ori</v>
      </c>
      <c r="C5586" s="3" t="str">
        <f>IFERROR(__xludf.DUMMYFUNCTION("""COMPUTED_VALUE"""),"HNK Orijent 1919")</f>
        <v>HNK Orijent 1919</v>
      </c>
    </row>
    <row r="5587">
      <c r="A5587" s="3" t="str">
        <f>IFERROR(__xludf.DUMMYFUNCTION("""COMPUTED_VALUE"""),"hoard")</f>
        <v>hoard</v>
      </c>
      <c r="B5587" s="3" t="str">
        <f>IFERROR(__xludf.DUMMYFUNCTION("""COMPUTED_VALUE"""),"hrd")</f>
        <v>hrd</v>
      </c>
      <c r="C5587" s="3" t="str">
        <f>IFERROR(__xludf.DUMMYFUNCTION("""COMPUTED_VALUE"""),"Hoard")</f>
        <v>Hoard</v>
      </c>
    </row>
    <row r="5588">
      <c r="A5588" s="3" t="str">
        <f>IFERROR(__xludf.DUMMYFUNCTION("""COMPUTED_VALUE"""),"hobbs-networking")</f>
        <v>hobbs-networking</v>
      </c>
      <c r="B5588" s="3" t="str">
        <f>IFERROR(__xludf.DUMMYFUNCTION("""COMPUTED_VALUE"""),"hnw")</f>
        <v>hnw</v>
      </c>
      <c r="C5588" s="3" t="str">
        <f>IFERROR(__xludf.DUMMYFUNCTION("""COMPUTED_VALUE"""),"Hobbs Networking")</f>
        <v>Hobbs Networking</v>
      </c>
    </row>
    <row r="5589">
      <c r="A5589" s="3" t="str">
        <f>IFERROR(__xludf.DUMMYFUNCTION("""COMPUTED_VALUE"""),"hobonickels")</f>
        <v>hobonickels</v>
      </c>
      <c r="B5589" s="3" t="str">
        <f>IFERROR(__xludf.DUMMYFUNCTION("""COMPUTED_VALUE"""),"hbn")</f>
        <v>hbn</v>
      </c>
      <c r="C5589" s="3" t="str">
        <f>IFERROR(__xludf.DUMMYFUNCTION("""COMPUTED_VALUE"""),"Hobonickels")</f>
        <v>Hobonickels</v>
      </c>
    </row>
    <row r="5590">
      <c r="A5590" s="3" t="str">
        <f>IFERROR(__xludf.DUMMYFUNCTION("""COMPUTED_VALUE"""),"hodlassets")</f>
        <v>hodlassets</v>
      </c>
      <c r="B5590" s="3" t="str">
        <f>IFERROR(__xludf.DUMMYFUNCTION("""COMPUTED_VALUE"""),"hodl")</f>
        <v>hodl</v>
      </c>
      <c r="C5590" s="3" t="str">
        <f>IFERROR(__xludf.DUMMYFUNCTION("""COMPUTED_VALUE"""),"HodlAssets")</f>
        <v>HodlAssets</v>
      </c>
    </row>
    <row r="5591">
      <c r="A5591" s="3" t="str">
        <f>IFERROR(__xludf.DUMMYFUNCTION("""COMPUTED_VALUE"""),"hodlcoin")</f>
        <v>hodlcoin</v>
      </c>
      <c r="B5591" s="3" t="str">
        <f>IFERROR(__xludf.DUMMYFUNCTION("""COMPUTED_VALUE"""),"hodl")</f>
        <v>hodl</v>
      </c>
      <c r="C5591" s="3" t="str">
        <f>IFERROR(__xludf.DUMMYFUNCTION("""COMPUTED_VALUE"""),"HOdlcoin")</f>
        <v>HOdlcoin</v>
      </c>
    </row>
    <row r="5592">
      <c r="A5592" s="3" t="str">
        <f>IFERROR(__xludf.DUMMYFUNCTION("""COMPUTED_VALUE"""),"hodl-eth")</f>
        <v>hodl-eth</v>
      </c>
      <c r="B5592" s="3" t="str">
        <f>IFERROR(__xludf.DUMMYFUNCTION("""COMPUTED_VALUE"""),"heth")</f>
        <v>heth</v>
      </c>
      <c r="C5592" s="3" t="str">
        <f>IFERROR(__xludf.DUMMYFUNCTION("""COMPUTED_VALUE"""),"Hodl ETH")</f>
        <v>Hodl ETH</v>
      </c>
    </row>
    <row r="5593">
      <c r="A5593" s="3" t="str">
        <f>IFERROR(__xludf.DUMMYFUNCTION("""COMPUTED_VALUE"""),"hodl-finance")</f>
        <v>hodl-finance</v>
      </c>
      <c r="B5593" s="3" t="str">
        <f>IFERROR(__xludf.DUMMYFUNCTION("""COMPUTED_VALUE"""),"hft")</f>
        <v>hft</v>
      </c>
      <c r="C5593" s="3" t="str">
        <f>IFERROR(__xludf.DUMMYFUNCTION("""COMPUTED_VALUE"""),"Hodl Finance")</f>
        <v>Hodl Finance</v>
      </c>
    </row>
    <row r="5594">
      <c r="A5594" s="3" t="str">
        <f>IFERROR(__xludf.DUMMYFUNCTION("""COMPUTED_VALUE"""),"hodl-token")</f>
        <v>hodl-token</v>
      </c>
      <c r="B5594" s="3" t="str">
        <f>IFERROR(__xludf.DUMMYFUNCTION("""COMPUTED_VALUE"""),"hodl")</f>
        <v>hodl</v>
      </c>
      <c r="C5594" s="3" t="str">
        <f>IFERROR(__xludf.DUMMYFUNCTION("""COMPUTED_VALUE"""),"HODL")</f>
        <v>HODL</v>
      </c>
    </row>
    <row r="5595">
      <c r="A5595" s="3" t="str">
        <f>IFERROR(__xludf.DUMMYFUNCTION("""COMPUTED_VALUE"""),"hodltree")</f>
        <v>hodltree</v>
      </c>
      <c r="B5595" s="3" t="str">
        <f>IFERROR(__xludf.DUMMYFUNCTION("""COMPUTED_VALUE"""),"htre")</f>
        <v>htre</v>
      </c>
      <c r="C5595" s="3" t="str">
        <f>IFERROR(__xludf.DUMMYFUNCTION("""COMPUTED_VALUE"""),"HodlTree")</f>
        <v>HodlTree</v>
      </c>
    </row>
    <row r="5596">
      <c r="A5596" s="3" t="str">
        <f>IFERROR(__xludf.DUMMYFUNCTION("""COMPUTED_VALUE"""),"hodooi-com")</f>
        <v>hodooi-com</v>
      </c>
      <c r="B5596" s="3" t="str">
        <f>IFERROR(__xludf.DUMMYFUNCTION("""COMPUTED_VALUE"""),"hod")</f>
        <v>hod</v>
      </c>
      <c r="C5596" s="4" t="str">
        <f>IFERROR(__xludf.DUMMYFUNCTION("""COMPUTED_VALUE"""),"HoDooi.com")</f>
        <v>HoDooi.com</v>
      </c>
    </row>
    <row r="5597">
      <c r="A5597" s="3" t="str">
        <f>IFERROR(__xludf.DUMMYFUNCTION("""COMPUTED_VALUE"""),"hoge-finance")</f>
        <v>hoge-finance</v>
      </c>
      <c r="B5597" s="3" t="str">
        <f>IFERROR(__xludf.DUMMYFUNCTION("""COMPUTED_VALUE"""),"hoge")</f>
        <v>hoge</v>
      </c>
      <c r="C5597" s="3" t="str">
        <f>IFERROR(__xludf.DUMMYFUNCTION("""COMPUTED_VALUE"""),"Hoge Finance")</f>
        <v>Hoge Finance</v>
      </c>
    </row>
    <row r="5598">
      <c r="A5598" s="3" t="str">
        <f>IFERROR(__xludf.DUMMYFUNCTION("""COMPUTED_VALUE"""),"hoichi")</f>
        <v>hoichi</v>
      </c>
      <c r="B5598" s="3" t="str">
        <f>IFERROR(__xludf.DUMMYFUNCTION("""COMPUTED_VALUE"""),"hoichi")</f>
        <v>hoichi</v>
      </c>
      <c r="C5598" s="3" t="str">
        <f>IFERROR(__xludf.DUMMYFUNCTION("""COMPUTED_VALUE"""),"Hoichi")</f>
        <v>Hoichi</v>
      </c>
    </row>
    <row r="5599">
      <c r="A5599" s="3" t="str">
        <f>IFERROR(__xludf.DUMMYFUNCTION("""COMPUTED_VALUE"""),"hokkaidu-inu")</f>
        <v>hokkaidu-inu</v>
      </c>
      <c r="B5599" s="3" t="str">
        <f>IFERROR(__xludf.DUMMYFUNCTION("""COMPUTED_VALUE"""),"hokk")</f>
        <v>hokk</v>
      </c>
      <c r="C5599" s="3" t="str">
        <f>IFERROR(__xludf.DUMMYFUNCTION("""COMPUTED_VALUE"""),"Hokkaido Inu")</f>
        <v>Hokkaido Inu</v>
      </c>
    </row>
    <row r="5600">
      <c r="A5600" s="3" t="str">
        <f>IFERROR(__xludf.DUMMYFUNCTION("""COMPUTED_VALUE"""),"hold2earn")</f>
        <v>hold2earn</v>
      </c>
      <c r="B5600" s="3" t="str">
        <f>IFERROR(__xludf.DUMMYFUNCTION("""COMPUTED_VALUE"""),"h2e")</f>
        <v>h2e</v>
      </c>
      <c r="C5600" s="3" t="str">
        <f>IFERROR(__xludf.DUMMYFUNCTION("""COMPUTED_VALUE"""),"Hold2Earn")</f>
        <v>Hold2Earn</v>
      </c>
    </row>
    <row r="5601">
      <c r="A5601" s="3" t="str">
        <f>IFERROR(__xludf.DUMMYFUNCTION("""COMPUTED_VALUE"""),"holdex-finance")</f>
        <v>holdex-finance</v>
      </c>
      <c r="B5601" s="3" t="str">
        <f>IFERROR(__xludf.DUMMYFUNCTION("""COMPUTED_VALUE"""),"holdex")</f>
        <v>holdex</v>
      </c>
      <c r="C5601" s="3" t="str">
        <f>IFERROR(__xludf.DUMMYFUNCTION("""COMPUTED_VALUE"""),"Holdex Finance")</f>
        <v>Holdex Finance</v>
      </c>
    </row>
    <row r="5602">
      <c r="A5602" s="3" t="str">
        <f>IFERROR(__xludf.DUMMYFUNCTION("""COMPUTED_VALUE"""),"holiday-token")</f>
        <v>holiday-token</v>
      </c>
      <c r="B5602" s="3" t="str">
        <f>IFERROR(__xludf.DUMMYFUNCTION("""COMPUTED_VALUE"""),"hol")</f>
        <v>hol</v>
      </c>
      <c r="C5602" s="3" t="str">
        <f>IFERROR(__xludf.DUMMYFUNCTION("""COMPUTED_VALUE"""),"Holiday")</f>
        <v>Holiday</v>
      </c>
    </row>
    <row r="5603">
      <c r="A5603" s="3" t="str">
        <f>IFERROR(__xludf.DUMMYFUNCTION("""COMPUTED_VALUE"""),"hollaex-token")</f>
        <v>hollaex-token</v>
      </c>
      <c r="B5603" s="3" t="str">
        <f>IFERROR(__xludf.DUMMYFUNCTION("""COMPUTED_VALUE"""),"xht")</f>
        <v>xht</v>
      </c>
      <c r="C5603" s="3" t="str">
        <f>IFERROR(__xludf.DUMMYFUNCTION("""COMPUTED_VALUE"""),"HollaEx")</f>
        <v>HollaEx</v>
      </c>
    </row>
    <row r="5604">
      <c r="A5604" s="3" t="str">
        <f>IFERROR(__xludf.DUMMYFUNCTION("""COMPUTED_VALUE"""),"hollygold")</f>
        <v>hollygold</v>
      </c>
      <c r="B5604" s="3" t="str">
        <f>IFERROR(__xludf.DUMMYFUNCTION("""COMPUTED_VALUE"""),"hgold")</f>
        <v>hgold</v>
      </c>
      <c r="C5604" s="3" t="str">
        <f>IFERROR(__xludf.DUMMYFUNCTION("""COMPUTED_VALUE"""),"HollyGold")</f>
        <v>HollyGold</v>
      </c>
    </row>
    <row r="5605">
      <c r="A5605" s="3" t="str">
        <f>IFERROR(__xludf.DUMMYFUNCTION("""COMPUTED_VALUE"""),"holoclear")</f>
        <v>holoclear</v>
      </c>
      <c r="B5605" s="3" t="str">
        <f>IFERROR(__xludf.DUMMYFUNCTION("""COMPUTED_VALUE"""),"holo")</f>
        <v>holo</v>
      </c>
      <c r="C5605" s="3" t="str">
        <f>IFERROR(__xludf.DUMMYFUNCTION("""COMPUTED_VALUE"""),"HOLOCLEAR")</f>
        <v>HOLOCLEAR</v>
      </c>
    </row>
    <row r="5606">
      <c r="A5606" s="3" t="str">
        <f>IFERROR(__xludf.DUMMYFUNCTION("""COMPUTED_VALUE"""),"hololoot")</f>
        <v>hololoot</v>
      </c>
      <c r="B5606" s="3" t="str">
        <f>IFERROR(__xludf.DUMMYFUNCTION("""COMPUTED_VALUE"""),"hol")</f>
        <v>hol</v>
      </c>
      <c r="C5606" s="3" t="str">
        <f>IFERROR(__xludf.DUMMYFUNCTION("""COMPUTED_VALUE"""),"Hololoot")</f>
        <v>Hololoot</v>
      </c>
    </row>
    <row r="5607">
      <c r="A5607" s="3" t="str">
        <f>IFERROR(__xludf.DUMMYFUNCTION("""COMPUTED_VALUE"""),"holoride")</f>
        <v>holoride</v>
      </c>
      <c r="B5607" s="3" t="str">
        <f>IFERROR(__xludf.DUMMYFUNCTION("""COMPUTED_VALUE"""),"ride")</f>
        <v>ride</v>
      </c>
      <c r="C5607" s="3" t="str">
        <f>IFERROR(__xludf.DUMMYFUNCTION("""COMPUTED_VALUE"""),"holoride")</f>
        <v>holoride</v>
      </c>
    </row>
    <row r="5608">
      <c r="A5608" s="3" t="str">
        <f>IFERROR(__xludf.DUMMYFUNCTION("""COMPUTED_VALUE"""),"holotoken")</f>
        <v>holotoken</v>
      </c>
      <c r="B5608" s="3" t="str">
        <f>IFERROR(__xludf.DUMMYFUNCTION("""COMPUTED_VALUE"""),"hot")</f>
        <v>hot</v>
      </c>
      <c r="C5608" s="3" t="str">
        <f>IFERROR(__xludf.DUMMYFUNCTION("""COMPUTED_VALUE"""),"Holo")</f>
        <v>Holo</v>
      </c>
    </row>
    <row r="5609">
      <c r="A5609" s="3" t="str">
        <f>IFERROR(__xludf.DUMMYFUNCTION("""COMPUTED_VALUE"""),"holydoge")</f>
        <v>holydoge</v>
      </c>
      <c r="B5609" s="3" t="str">
        <f>IFERROR(__xludf.DUMMYFUNCTION("""COMPUTED_VALUE"""),"hdoge")</f>
        <v>hdoge</v>
      </c>
      <c r="C5609" s="3" t="str">
        <f>IFERROR(__xludf.DUMMYFUNCTION("""COMPUTED_VALUE"""),"HolyDoge")</f>
        <v>HolyDoge</v>
      </c>
    </row>
    <row r="5610">
      <c r="A5610" s="3" t="str">
        <f>IFERROR(__xludf.DUMMYFUNCTION("""COMPUTED_VALUE"""),"holygrail")</f>
        <v>holygrail</v>
      </c>
      <c r="B5610" s="3" t="str">
        <f>IFERROR(__xludf.DUMMYFUNCTION("""COMPUTED_VALUE"""),"hly")</f>
        <v>hly</v>
      </c>
      <c r="C5610" s="3" t="str">
        <f>IFERROR(__xludf.DUMMYFUNCTION("""COMPUTED_VALUE"""),"HolyGrail")</f>
        <v>HolyGrail</v>
      </c>
    </row>
    <row r="5611">
      <c r="A5611" s="3" t="str">
        <f>IFERROR(__xludf.DUMMYFUNCTION("""COMPUTED_VALUE"""),"holyheld-2")</f>
        <v>holyheld-2</v>
      </c>
      <c r="B5611" s="3" t="str">
        <f>IFERROR(__xludf.DUMMYFUNCTION("""COMPUTED_VALUE"""),"move")</f>
        <v>move</v>
      </c>
      <c r="C5611" s="3" t="str">
        <f>IFERROR(__xludf.DUMMYFUNCTION("""COMPUTED_VALUE"""),"Mover")</f>
        <v>Mover</v>
      </c>
    </row>
    <row r="5612">
      <c r="A5612" s="3" t="str">
        <f>IFERROR(__xludf.DUMMYFUNCTION("""COMPUTED_VALUE"""),"holy-trinity")</f>
        <v>holy-trinity</v>
      </c>
      <c r="B5612" s="3" t="str">
        <f>IFERROR(__xludf.DUMMYFUNCTION("""COMPUTED_VALUE"""),"holy")</f>
        <v>holy</v>
      </c>
      <c r="C5612" s="3" t="str">
        <f>IFERROR(__xludf.DUMMYFUNCTION("""COMPUTED_VALUE"""),"Holy Trinity")</f>
        <v>Holy Trinity</v>
      </c>
    </row>
    <row r="5613">
      <c r="A5613" s="3" t="str">
        <f>IFERROR(__xludf.DUMMYFUNCTION("""COMPUTED_VALUE"""),"home-coin")</f>
        <v>home-coin</v>
      </c>
      <c r="B5613" s="3" t="str">
        <f>IFERROR(__xludf.DUMMYFUNCTION("""COMPUTED_VALUE"""),"home")</f>
        <v>home</v>
      </c>
      <c r="C5613" s="3" t="str">
        <f>IFERROR(__xludf.DUMMYFUNCTION("""COMPUTED_VALUE"""),"Home Coin")</f>
        <v>Home Coin</v>
      </c>
    </row>
    <row r="5614">
      <c r="A5614" s="3" t="str">
        <f>IFERROR(__xludf.DUMMYFUNCTION("""COMPUTED_VALUE"""),"homeros")</f>
        <v>homeros</v>
      </c>
      <c r="B5614" s="3" t="str">
        <f>IFERROR(__xludf.DUMMYFUNCTION("""COMPUTED_VALUE"""),"hmr")</f>
        <v>hmr</v>
      </c>
      <c r="C5614" s="3" t="str">
        <f>IFERROR(__xludf.DUMMYFUNCTION("""COMPUTED_VALUE"""),"Homeros")</f>
        <v>Homeros</v>
      </c>
    </row>
    <row r="5615">
      <c r="A5615" s="3" t="str">
        <f>IFERROR(__xludf.DUMMYFUNCTION("""COMPUTED_VALUE"""),"homerun")</f>
        <v>homerun</v>
      </c>
      <c r="B5615" s="3" t="str">
        <f>IFERROR(__xludf.DUMMYFUNCTION("""COMPUTED_VALUE"""),"hmrn")</f>
        <v>hmrn</v>
      </c>
      <c r="C5615" s="3" t="str">
        <f>IFERROR(__xludf.DUMMYFUNCTION("""COMPUTED_VALUE"""),"Homerun")</f>
        <v>Homerun</v>
      </c>
    </row>
    <row r="5616">
      <c r="A5616" s="3" t="str">
        <f>IFERROR(__xludf.DUMMYFUNCTION("""COMPUTED_VALUE"""),"hom-token")</f>
        <v>hom-token</v>
      </c>
      <c r="B5616" s="3" t="str">
        <f>IFERROR(__xludf.DUMMYFUNCTION("""COMPUTED_VALUE"""),"homt")</f>
        <v>homt</v>
      </c>
      <c r="C5616" s="3" t="str">
        <f>IFERROR(__xludf.DUMMYFUNCTION("""COMPUTED_VALUE"""),"HOMT")</f>
        <v>HOMT</v>
      </c>
    </row>
    <row r="5617">
      <c r="A5617" s="3" t="str">
        <f>IFERROR(__xludf.DUMMYFUNCTION("""COMPUTED_VALUE"""),"hondaiscoin")</f>
        <v>hondaiscoin</v>
      </c>
      <c r="B5617" s="3" t="str">
        <f>IFERROR(__xludf.DUMMYFUNCTION("""COMPUTED_VALUE"""),"hndc")</f>
        <v>hndc</v>
      </c>
      <c r="C5617" s="3" t="str">
        <f>IFERROR(__xludf.DUMMYFUNCTION("""COMPUTED_VALUE"""),"HondaisCoin")</f>
        <v>HondaisCoin</v>
      </c>
    </row>
    <row r="5618">
      <c r="A5618" s="3" t="str">
        <f>IFERROR(__xludf.DUMMYFUNCTION("""COMPUTED_VALUE"""),"honest-mining")</f>
        <v>honest-mining</v>
      </c>
      <c r="B5618" s="3" t="str">
        <f>IFERROR(__xludf.DUMMYFUNCTION("""COMPUTED_VALUE"""),"hnst")</f>
        <v>hnst</v>
      </c>
      <c r="C5618" s="3" t="str">
        <f>IFERROR(__xludf.DUMMYFUNCTION("""COMPUTED_VALUE"""),"Honest")</f>
        <v>Honest</v>
      </c>
    </row>
    <row r="5619">
      <c r="A5619" s="3" t="str">
        <f>IFERROR(__xludf.DUMMYFUNCTION("""COMPUTED_VALUE"""),"honey")</f>
        <v>honey</v>
      </c>
      <c r="B5619" s="3" t="str">
        <f>IFERROR(__xludf.DUMMYFUNCTION("""COMPUTED_VALUE"""),"hny")</f>
        <v>hny</v>
      </c>
      <c r="C5619" s="3" t="str">
        <f>IFERROR(__xludf.DUMMYFUNCTION("""COMPUTED_VALUE"""),"Honey")</f>
        <v>Honey</v>
      </c>
    </row>
    <row r="5620">
      <c r="A5620" s="3" t="str">
        <f>IFERROR(__xludf.DUMMYFUNCTION("""COMPUTED_VALUE"""),"honey-badger")</f>
        <v>honey-badger</v>
      </c>
      <c r="B5620" s="3" t="str">
        <f>IFERROR(__xludf.DUMMYFUNCTION("""COMPUTED_VALUE"""),"honeybadger")</f>
        <v>honeybadger</v>
      </c>
      <c r="C5620" s="3" t="str">
        <f>IFERROR(__xludf.DUMMYFUNCTION("""COMPUTED_VALUE"""),"Honey Badger")</f>
        <v>Honey Badger</v>
      </c>
    </row>
    <row r="5621">
      <c r="A5621" s="3" t="str">
        <f>IFERROR(__xludf.DUMMYFUNCTION("""COMPUTED_VALUE"""),"honeybee")</f>
        <v>honeybee</v>
      </c>
      <c r="B5621" s="3" t="str">
        <f>IFERROR(__xludf.DUMMYFUNCTION("""COMPUTED_VALUE"""),"bee")</f>
        <v>bee</v>
      </c>
      <c r="C5621" s="3" t="str">
        <f>IFERROR(__xludf.DUMMYFUNCTION("""COMPUTED_VALUE"""),"HoneyBee")</f>
        <v>HoneyBee</v>
      </c>
    </row>
    <row r="5622">
      <c r="A5622" s="3" t="str">
        <f>IFERROR(__xludf.DUMMYFUNCTION("""COMPUTED_VALUE"""),"honeycomb-2")</f>
        <v>honeycomb-2</v>
      </c>
      <c r="B5622" s="3" t="str">
        <f>IFERROR(__xludf.DUMMYFUNCTION("""COMPUTED_VALUE"""),"honey")</f>
        <v>honey</v>
      </c>
      <c r="C5622" s="3" t="str">
        <f>IFERROR(__xludf.DUMMYFUNCTION("""COMPUTED_VALUE"""),"Honeycomb")</f>
        <v>Honeycomb</v>
      </c>
    </row>
    <row r="5623">
      <c r="A5623" s="3" t="str">
        <f>IFERROR(__xludf.DUMMYFUNCTION("""COMPUTED_VALUE"""),"honey-deluxe")</f>
        <v>honey-deluxe</v>
      </c>
      <c r="B5623" s="3" t="str">
        <f>IFERROR(__xludf.DUMMYFUNCTION("""COMPUTED_VALUE"""),"honeyd")</f>
        <v>honeyd</v>
      </c>
      <c r="C5623" s="3" t="str">
        <f>IFERROR(__xludf.DUMMYFUNCTION("""COMPUTED_VALUE"""),"Honey Deluxe")</f>
        <v>Honey Deluxe</v>
      </c>
    </row>
    <row r="5624">
      <c r="A5624" s="3" t="str">
        <f>IFERROR(__xludf.DUMMYFUNCTION("""COMPUTED_VALUE"""),"honeyfarm-finance")</f>
        <v>honeyfarm-finance</v>
      </c>
      <c r="B5624" s="3" t="str">
        <f>IFERROR(__xludf.DUMMYFUNCTION("""COMPUTED_VALUE"""),"honey")</f>
        <v>honey</v>
      </c>
      <c r="C5624" s="3" t="str">
        <f>IFERROR(__xludf.DUMMYFUNCTION("""COMPUTED_VALUE"""),"HoneyFarm Finance")</f>
        <v>HoneyFarm Finance</v>
      </c>
    </row>
    <row r="5625">
      <c r="A5625" s="3" t="str">
        <f>IFERROR(__xludf.DUMMYFUNCTION("""COMPUTED_VALUE"""),"honey-finance")</f>
        <v>honey-finance</v>
      </c>
      <c r="B5625" s="3" t="str">
        <f>IFERROR(__xludf.DUMMYFUNCTION("""COMPUTED_VALUE"""),"honey")</f>
        <v>honey</v>
      </c>
      <c r="C5625" s="3" t="str">
        <f>IFERROR(__xludf.DUMMYFUNCTION("""COMPUTED_VALUE"""),"Honey Finance")</f>
        <v>Honey Finance</v>
      </c>
    </row>
    <row r="5626">
      <c r="A5626" s="3" t="str">
        <f>IFERROR(__xludf.DUMMYFUNCTION("""COMPUTED_VALUE"""),"honeymoon-token")</f>
        <v>honeymoon-token</v>
      </c>
      <c r="B5626" s="3" t="str">
        <f>IFERROR(__xludf.DUMMYFUNCTION("""COMPUTED_VALUE"""),"moon")</f>
        <v>moon</v>
      </c>
      <c r="C5626" s="3" t="str">
        <f>IFERROR(__xludf.DUMMYFUNCTION("""COMPUTED_VALUE"""),"HoneyMOON")</f>
        <v>HoneyMOON</v>
      </c>
    </row>
    <row r="5627">
      <c r="A5627" s="3" t="str">
        <f>IFERROR(__xludf.DUMMYFUNCTION("""COMPUTED_VALUE"""),"honeypad")</f>
        <v>honeypad</v>
      </c>
      <c r="B5627" s="3" t="str">
        <f>IFERROR(__xludf.DUMMYFUNCTION("""COMPUTED_VALUE"""),"honey")</f>
        <v>honey</v>
      </c>
      <c r="C5627" s="3" t="str">
        <f>IFERROR(__xludf.DUMMYFUNCTION("""COMPUTED_VALUE"""),"HONEYPAD")</f>
        <v>HONEYPAD</v>
      </c>
    </row>
    <row r="5628">
      <c r="A5628" s="3" t="str">
        <f>IFERROR(__xludf.DUMMYFUNCTION("""COMPUTED_VALUE"""),"honey-pot-beekeepers")</f>
        <v>honey-pot-beekeepers</v>
      </c>
      <c r="B5628" s="3" t="str">
        <f>IFERROR(__xludf.DUMMYFUNCTION("""COMPUTED_VALUE"""),"honey")</f>
        <v>honey</v>
      </c>
      <c r="C5628" s="3" t="str">
        <f>IFERROR(__xludf.DUMMYFUNCTION("""COMPUTED_VALUE"""),"Honey Pot BeeKeepers")</f>
        <v>Honey Pot BeeKeepers</v>
      </c>
    </row>
    <row r="5629">
      <c r="A5629" s="3" t="str">
        <f>IFERROR(__xludf.DUMMYFUNCTION("""COMPUTED_VALUE"""),"hono")</f>
        <v>hono</v>
      </c>
      <c r="B5629" s="3" t="str">
        <f>IFERROR(__xludf.DUMMYFUNCTION("""COMPUTED_VALUE"""),"hono")</f>
        <v>hono</v>
      </c>
      <c r="C5629" s="3" t="str">
        <f>IFERROR(__xludf.DUMMYFUNCTION("""COMPUTED_VALUE"""),"Hono")</f>
        <v>Hono</v>
      </c>
    </row>
    <row r="5630">
      <c r="A5630" s="3" t="str">
        <f>IFERROR(__xludf.DUMMYFUNCTION("""COMPUTED_VALUE"""),"honorland")</f>
        <v>honorland</v>
      </c>
      <c r="B5630" s="3" t="str">
        <f>IFERROR(__xludf.DUMMYFUNCTION("""COMPUTED_VALUE"""),"honor")</f>
        <v>honor</v>
      </c>
      <c r="C5630" s="3" t="str">
        <f>IFERROR(__xludf.DUMMYFUNCTION("""COMPUTED_VALUE"""),"HonorLand")</f>
        <v>HonorLand</v>
      </c>
    </row>
    <row r="5631">
      <c r="A5631" s="3" t="str">
        <f>IFERROR(__xludf.DUMMYFUNCTION("""COMPUTED_VALUE"""),"honor-token")</f>
        <v>honor-token</v>
      </c>
      <c r="B5631" s="3" t="str">
        <f>IFERROR(__xludf.DUMMYFUNCTION("""COMPUTED_VALUE"""),"honor")</f>
        <v>honor</v>
      </c>
      <c r="C5631" s="3" t="str">
        <f>IFERROR(__xludf.DUMMYFUNCTION("""COMPUTED_VALUE"""),"Honor")</f>
        <v>Honor</v>
      </c>
    </row>
    <row r="5632">
      <c r="A5632" s="3" t="str">
        <f>IFERROR(__xludf.DUMMYFUNCTION("""COMPUTED_VALUE"""),"hoop")</f>
        <v>hoop</v>
      </c>
      <c r="B5632" s="3" t="str">
        <f>IFERROR(__xludf.DUMMYFUNCTION("""COMPUTED_VALUE"""),"hoop")</f>
        <v>hoop</v>
      </c>
      <c r="C5632" s="3" t="str">
        <f>IFERROR(__xludf.DUMMYFUNCTION("""COMPUTED_VALUE"""),"Primal Hoop")</f>
        <v>Primal Hoop</v>
      </c>
    </row>
    <row r="5633">
      <c r="A5633" s="3" t="str">
        <f>IFERROR(__xludf.DUMMYFUNCTION("""COMPUTED_VALUE"""),"hoo-token")</f>
        <v>hoo-token</v>
      </c>
      <c r="B5633" s="3" t="str">
        <f>IFERROR(__xludf.DUMMYFUNCTION("""COMPUTED_VALUE"""),"hoo")</f>
        <v>hoo</v>
      </c>
      <c r="C5633" s="3" t="str">
        <f>IFERROR(__xludf.DUMMYFUNCTION("""COMPUTED_VALUE"""),"Hoo")</f>
        <v>Hoo</v>
      </c>
    </row>
    <row r="5634">
      <c r="A5634" s="3" t="str">
        <f>IFERROR(__xludf.DUMMYFUNCTION("""COMPUTED_VALUE"""),"hope-galaxy")</f>
        <v>hope-galaxy</v>
      </c>
      <c r="B5634" s="3" t="str">
        <f>IFERROR(__xludf.DUMMYFUNCTION("""COMPUTED_VALUE"""),"hope")</f>
        <v>hope</v>
      </c>
      <c r="C5634" s="3" t="str">
        <f>IFERROR(__xludf.DUMMYFUNCTION("""COMPUTED_VALUE"""),"HOPE Galaxy")</f>
        <v>HOPE Galaxy</v>
      </c>
    </row>
    <row r="5635">
      <c r="A5635" s="3" t="str">
        <f>IFERROR(__xludf.DUMMYFUNCTION("""COMPUTED_VALUE"""),"hope-token")</f>
        <v>hope-token</v>
      </c>
      <c r="B5635" s="3" t="str">
        <f>IFERROR(__xludf.DUMMYFUNCTION("""COMPUTED_VALUE"""),"hope")</f>
        <v>hope</v>
      </c>
      <c r="C5635" s="3" t="str">
        <f>IFERROR(__xludf.DUMMYFUNCTION("""COMPUTED_VALUE"""),"Hope")</f>
        <v>Hope</v>
      </c>
    </row>
    <row r="5636">
      <c r="A5636" s="3" t="str">
        <f>IFERROR(__xludf.DUMMYFUNCTION("""COMPUTED_VALUE"""),"hoppers-game")</f>
        <v>hoppers-game</v>
      </c>
      <c r="B5636" s="3" t="str">
        <f>IFERROR(__xludf.DUMMYFUNCTION("""COMPUTED_VALUE"""),"fly")</f>
        <v>fly</v>
      </c>
      <c r="C5636" s="3" t="str">
        <f>IFERROR(__xludf.DUMMYFUNCTION("""COMPUTED_VALUE"""),"Hoppers Game")</f>
        <v>Hoppers Game</v>
      </c>
    </row>
    <row r="5637">
      <c r="A5637" s="3" t="str">
        <f>IFERROR(__xludf.DUMMYFUNCTION("""COMPUTED_VALUE"""),"hop-protocol")</f>
        <v>hop-protocol</v>
      </c>
      <c r="B5637" s="3" t="str">
        <f>IFERROR(__xludf.DUMMYFUNCTION("""COMPUTED_VALUE"""),"hop")</f>
        <v>hop</v>
      </c>
      <c r="C5637" s="3" t="str">
        <f>IFERROR(__xludf.DUMMYFUNCTION("""COMPUTED_VALUE"""),"Hop Protocol")</f>
        <v>Hop Protocol</v>
      </c>
    </row>
    <row r="5638">
      <c r="A5638" s="3" t="str">
        <f>IFERROR(__xludf.DUMMYFUNCTION("""COMPUTED_VALUE"""),"hoppy")</f>
        <v>hoppy</v>
      </c>
      <c r="B5638" s="3" t="str">
        <f>IFERROR(__xludf.DUMMYFUNCTION("""COMPUTED_VALUE"""),"hop")</f>
        <v>hop</v>
      </c>
      <c r="C5638" s="3" t="str">
        <f>IFERROR(__xludf.DUMMYFUNCTION("""COMPUTED_VALUE"""),"HOPPY")</f>
        <v>HOPPY</v>
      </c>
    </row>
    <row r="5639">
      <c r="A5639" s="3" t="str">
        <f>IFERROR(__xludf.DUMMYFUNCTION("""COMPUTED_VALUE"""),"hopr")</f>
        <v>hopr</v>
      </c>
      <c r="B5639" s="3" t="str">
        <f>IFERROR(__xludf.DUMMYFUNCTION("""COMPUTED_VALUE"""),"hopr")</f>
        <v>hopr</v>
      </c>
      <c r="C5639" s="3" t="str">
        <f>IFERROR(__xludf.DUMMYFUNCTION("""COMPUTED_VALUE"""),"HOPR")</f>
        <v>HOPR</v>
      </c>
    </row>
    <row r="5640">
      <c r="A5640" s="3" t="str">
        <f>IFERROR(__xludf.DUMMYFUNCTION("""COMPUTED_VALUE"""),"hoqu")</f>
        <v>hoqu</v>
      </c>
      <c r="B5640" s="3" t="str">
        <f>IFERROR(__xludf.DUMMYFUNCTION("""COMPUTED_VALUE"""),"hqx")</f>
        <v>hqx</v>
      </c>
      <c r="C5640" s="3" t="str">
        <f>IFERROR(__xludf.DUMMYFUNCTION("""COMPUTED_VALUE"""),"HOQU")</f>
        <v>HOQU</v>
      </c>
    </row>
    <row r="5641">
      <c r="A5641" s="3" t="str">
        <f>IFERROR(__xludf.DUMMYFUNCTION("""COMPUTED_VALUE"""),"hord")</f>
        <v>hord</v>
      </c>
      <c r="B5641" s="3" t="str">
        <f>IFERROR(__xludf.DUMMYFUNCTION("""COMPUTED_VALUE"""),"hord")</f>
        <v>hord</v>
      </c>
      <c r="C5641" s="3" t="str">
        <f>IFERROR(__xludf.DUMMYFUNCTION("""COMPUTED_VALUE"""),"Hord")</f>
        <v>Hord</v>
      </c>
    </row>
    <row r="5642">
      <c r="A5642" s="3" t="str">
        <f>IFERROR(__xludf.DUMMYFUNCTION("""COMPUTED_VALUE"""),"horde")</f>
        <v>horde</v>
      </c>
      <c r="B5642" s="3" t="str">
        <f>IFERROR(__xludf.DUMMYFUNCTION("""COMPUTED_VALUE"""),"hor")</f>
        <v>hor</v>
      </c>
      <c r="C5642" s="3" t="str">
        <f>IFERROR(__xludf.DUMMYFUNCTION("""COMPUTED_VALUE"""),"Last Horde")</f>
        <v>Last Horde</v>
      </c>
    </row>
    <row r="5643">
      <c r="A5643" s="3" t="str">
        <f>IFERROR(__xludf.DUMMYFUNCTION("""COMPUTED_VALUE"""),"horde-token")</f>
        <v>horde-token</v>
      </c>
      <c r="B5643" s="3" t="str">
        <f>IFERROR(__xludf.DUMMYFUNCTION("""COMPUTED_VALUE"""),"$horde")</f>
        <v>$horde</v>
      </c>
      <c r="C5643" s="3" t="str">
        <f>IFERROR(__xludf.DUMMYFUNCTION("""COMPUTED_VALUE"""),"Horde")</f>
        <v>Horde</v>
      </c>
    </row>
    <row r="5644">
      <c r="A5644" s="3" t="str">
        <f>IFERROR(__xludf.DUMMYFUNCTION("""COMPUTED_VALUE"""),"horgi")</f>
        <v>horgi</v>
      </c>
      <c r="B5644" s="3" t="str">
        <f>IFERROR(__xludf.DUMMYFUNCTION("""COMPUTED_VALUE"""),"horgi")</f>
        <v>horgi</v>
      </c>
      <c r="C5644" s="3" t="str">
        <f>IFERROR(__xludf.DUMMYFUNCTION("""COMPUTED_VALUE"""),"Horgi")</f>
        <v>Horgi</v>
      </c>
    </row>
    <row r="5645">
      <c r="A5645" s="3" t="str">
        <f>IFERROR(__xludf.DUMMYFUNCTION("""COMPUTED_VALUE"""),"horizondollar")</f>
        <v>horizondollar</v>
      </c>
      <c r="B5645" s="3" t="str">
        <f>IFERROR(__xludf.DUMMYFUNCTION("""COMPUTED_VALUE"""),"hzd")</f>
        <v>hzd</v>
      </c>
      <c r="C5645" s="3" t="str">
        <f>IFERROR(__xludf.DUMMYFUNCTION("""COMPUTED_VALUE"""),"Horizon Dollar")</f>
        <v>Horizon Dollar</v>
      </c>
    </row>
    <row r="5646">
      <c r="A5646" s="3" t="str">
        <f>IFERROR(__xludf.DUMMYFUNCTION("""COMPUTED_VALUE"""),"horizon-protocol")</f>
        <v>horizon-protocol</v>
      </c>
      <c r="B5646" s="3" t="str">
        <f>IFERROR(__xludf.DUMMYFUNCTION("""COMPUTED_VALUE"""),"hzn")</f>
        <v>hzn</v>
      </c>
      <c r="C5646" s="3" t="str">
        <f>IFERROR(__xludf.DUMMYFUNCTION("""COMPUTED_VALUE"""),"Horizon Protocol")</f>
        <v>Horizon Protocol</v>
      </c>
    </row>
    <row r="5647">
      <c r="A5647" s="3" t="str">
        <f>IFERROR(__xludf.DUMMYFUNCTION("""COMPUTED_VALUE"""),"horsedrace")</f>
        <v>horsedrace</v>
      </c>
      <c r="B5647" s="3" t="str">
        <f>IFERROR(__xludf.DUMMYFUNCTION("""COMPUTED_VALUE"""),"horsedrace")</f>
        <v>horsedrace</v>
      </c>
      <c r="C5647" s="3" t="str">
        <f>IFERROR(__xludf.DUMMYFUNCTION("""COMPUTED_VALUE"""),"HorseDrace")</f>
        <v>HorseDrace</v>
      </c>
    </row>
    <row r="5648">
      <c r="A5648" s="3" t="str">
        <f>IFERROR(__xludf.DUMMYFUNCTION("""COMPUTED_VALUE"""),"horuspay")</f>
        <v>horuspay</v>
      </c>
      <c r="B5648" s="3" t="str">
        <f>IFERROR(__xludf.DUMMYFUNCTION("""COMPUTED_VALUE"""),"horus")</f>
        <v>horus</v>
      </c>
      <c r="C5648" s="3" t="str">
        <f>IFERROR(__xludf.DUMMYFUNCTION("""COMPUTED_VALUE"""),"HorusPay")</f>
        <v>HorusPay</v>
      </c>
    </row>
    <row r="5649">
      <c r="A5649" s="3" t="str">
        <f>IFERROR(__xludf.DUMMYFUNCTION("""COMPUTED_VALUE"""),"hosky")</f>
        <v>hosky</v>
      </c>
      <c r="B5649" s="3" t="str">
        <f>IFERROR(__xludf.DUMMYFUNCTION("""COMPUTED_VALUE"""),"hosky")</f>
        <v>hosky</v>
      </c>
      <c r="C5649" s="3" t="str">
        <f>IFERROR(__xludf.DUMMYFUNCTION("""COMPUTED_VALUE"""),"Hosky")</f>
        <v>Hosky</v>
      </c>
    </row>
    <row r="5650">
      <c r="A5650" s="3" t="str">
        <f>IFERROR(__xludf.DUMMYFUNCTION("""COMPUTED_VALUE"""),"hospital-coin")</f>
        <v>hospital-coin</v>
      </c>
      <c r="B5650" s="3" t="str">
        <f>IFERROR(__xludf.DUMMYFUNCTION("""COMPUTED_VALUE"""),"hosp")</f>
        <v>hosp</v>
      </c>
      <c r="C5650" s="3" t="str">
        <f>IFERROR(__xludf.DUMMYFUNCTION("""COMPUTED_VALUE"""),"Hospital Coin")</f>
        <v>Hospital Coin</v>
      </c>
    </row>
    <row r="5651">
      <c r="A5651" s="3" t="str">
        <f>IFERROR(__xludf.DUMMYFUNCTION("""COMPUTED_VALUE"""),"hotbit-token")</f>
        <v>hotbit-token</v>
      </c>
      <c r="B5651" s="3" t="str">
        <f>IFERROR(__xludf.DUMMYFUNCTION("""COMPUTED_VALUE"""),"htb")</f>
        <v>htb</v>
      </c>
      <c r="C5651" s="3" t="str">
        <f>IFERROR(__xludf.DUMMYFUNCTION("""COMPUTED_VALUE"""),"Hotbit")</f>
        <v>Hotbit</v>
      </c>
    </row>
    <row r="5652">
      <c r="A5652" s="3" t="str">
        <f>IFERROR(__xludf.DUMMYFUNCTION("""COMPUTED_VALUE"""),"hot-cross")</f>
        <v>hot-cross</v>
      </c>
      <c r="B5652" s="3" t="str">
        <f>IFERROR(__xludf.DUMMYFUNCTION("""COMPUTED_VALUE"""),"hotcross")</f>
        <v>hotcross</v>
      </c>
      <c r="C5652" s="3" t="str">
        <f>IFERROR(__xludf.DUMMYFUNCTION("""COMPUTED_VALUE"""),"Hot Cross")</f>
        <v>Hot Cross</v>
      </c>
    </row>
    <row r="5653">
      <c r="A5653" s="3" t="str">
        <f>IFERROR(__xludf.DUMMYFUNCTION("""COMPUTED_VALUE"""),"hot-doge")</f>
        <v>hot-doge</v>
      </c>
      <c r="B5653" s="3" t="str">
        <f>IFERROR(__xludf.DUMMYFUNCTION("""COMPUTED_VALUE"""),"hotdoge")</f>
        <v>hotdoge</v>
      </c>
      <c r="C5653" s="3" t="str">
        <f>IFERROR(__xludf.DUMMYFUNCTION("""COMPUTED_VALUE"""),"HotDoge [OLD]")</f>
        <v>HotDoge [OLD]</v>
      </c>
    </row>
    <row r="5654">
      <c r="A5654" s="3" t="str">
        <f>IFERROR(__xludf.DUMMYFUNCTION("""COMPUTED_VALUE"""),"hotdollars-token")</f>
        <v>hotdollars-token</v>
      </c>
      <c r="B5654" s="3" t="str">
        <f>IFERROR(__xludf.DUMMYFUNCTION("""COMPUTED_VALUE"""),"hds")</f>
        <v>hds</v>
      </c>
      <c r="C5654" s="3" t="str">
        <f>IFERROR(__xludf.DUMMYFUNCTION("""COMPUTED_VALUE"""),"HotDollars")</f>
        <v>HotDollars</v>
      </c>
    </row>
    <row r="5655">
      <c r="A5655" s="3" t="str">
        <f>IFERROR(__xludf.DUMMYFUNCTION("""COMPUTED_VALUE"""),"hotelium")</f>
        <v>hotelium</v>
      </c>
      <c r="B5655" s="3" t="str">
        <f>IFERROR(__xludf.DUMMYFUNCTION("""COMPUTED_VALUE"""),"htl")</f>
        <v>htl</v>
      </c>
      <c r="C5655" s="3" t="str">
        <f>IFERROR(__xludf.DUMMYFUNCTION("""COMPUTED_VALUE"""),"Hotelium")</f>
        <v>Hotelium</v>
      </c>
    </row>
    <row r="5656">
      <c r="A5656" s="3" t="str">
        <f>IFERROR(__xludf.DUMMYFUNCTION("""COMPUTED_VALUE"""),"hotmoon")</f>
        <v>hotmoon</v>
      </c>
      <c r="B5656" s="3" t="str">
        <f>IFERROR(__xludf.DUMMYFUNCTION("""COMPUTED_VALUE"""),"hotmoon")</f>
        <v>hotmoon</v>
      </c>
      <c r="C5656" s="3" t="str">
        <f>IFERROR(__xludf.DUMMYFUNCTION("""COMPUTED_VALUE"""),"HotMoon")</f>
        <v>HotMoon</v>
      </c>
    </row>
    <row r="5657">
      <c r="A5657" s="3" t="str">
        <f>IFERROR(__xludf.DUMMYFUNCTION("""COMPUTED_VALUE"""),"hotzilla")</f>
        <v>hotzilla</v>
      </c>
      <c r="B5657" s="3" t="str">
        <f>IFERROR(__xludf.DUMMYFUNCTION("""COMPUTED_VALUE"""),"hotzilla")</f>
        <v>hotzilla</v>
      </c>
      <c r="C5657" s="3" t="str">
        <f>IFERROR(__xludf.DUMMYFUNCTION("""COMPUTED_VALUE"""),"HotZilla")</f>
        <v>HotZilla</v>
      </c>
    </row>
    <row r="5658">
      <c r="A5658" s="3" t="str">
        <f>IFERROR(__xludf.DUMMYFUNCTION("""COMPUTED_VALUE"""),"hound")</f>
        <v>hound</v>
      </c>
      <c r="B5658" s="3" t="str">
        <f>IFERROR(__xludf.DUMMYFUNCTION("""COMPUTED_VALUE"""),"hound")</f>
        <v>hound</v>
      </c>
      <c r="C5658" s="3" t="str">
        <f>IFERROR(__xludf.DUMMYFUNCTION("""COMPUTED_VALUE"""),"Hound")</f>
        <v>Hound</v>
      </c>
    </row>
    <row r="5659">
      <c r="A5659" s="3" t="str">
        <f>IFERROR(__xludf.DUMMYFUNCTION("""COMPUTED_VALUE"""),"hourglass")</f>
        <v>hourglass</v>
      </c>
      <c r="B5659" s="3" t="str">
        <f>IFERROR(__xludf.DUMMYFUNCTION("""COMPUTED_VALUE"""),"wait")</f>
        <v>wait</v>
      </c>
      <c r="C5659" s="3" t="str">
        <f>IFERROR(__xludf.DUMMYFUNCTION("""COMPUTED_VALUE"""),"Hourglass")</f>
        <v>Hourglass</v>
      </c>
    </row>
    <row r="5660">
      <c r="A5660" s="3" t="str">
        <f>IFERROR(__xludf.DUMMYFUNCTION("""COMPUTED_VALUE"""),"house-of-frenchies")</f>
        <v>house-of-frenchies</v>
      </c>
      <c r="B5660" s="3" t="str">
        <f>IFERROR(__xludf.DUMMYFUNCTION("""COMPUTED_VALUE"""),"hofr")</f>
        <v>hofr</v>
      </c>
      <c r="C5660" s="3" t="str">
        <f>IFERROR(__xludf.DUMMYFUNCTION("""COMPUTED_VALUE"""),"House of Frenchies")</f>
        <v>House of Frenchies</v>
      </c>
    </row>
    <row r="5661">
      <c r="A5661" s="3" t="str">
        <f>IFERROR(__xludf.DUMMYFUNCTION("""COMPUTED_VALUE"""),"howdoo")</f>
        <v>howdoo</v>
      </c>
      <c r="B5661" s="3" t="str">
        <f>IFERROR(__xludf.DUMMYFUNCTION("""COMPUTED_VALUE"""),"udoo")</f>
        <v>udoo</v>
      </c>
      <c r="C5661" s="3" t="str">
        <f>IFERROR(__xludf.DUMMYFUNCTION("""COMPUTED_VALUE"""),"Hyprr")</f>
        <v>Hyprr</v>
      </c>
    </row>
    <row r="5662">
      <c r="A5662" s="3" t="str">
        <f>IFERROR(__xludf.DUMMYFUNCTION("""COMPUTED_VALUE"""),"howl-city")</f>
        <v>howl-city</v>
      </c>
      <c r="B5662" s="3" t="str">
        <f>IFERROR(__xludf.DUMMYFUNCTION("""COMPUTED_VALUE"""),"hwl")</f>
        <v>hwl</v>
      </c>
      <c r="C5662" s="3" t="str">
        <f>IFERROR(__xludf.DUMMYFUNCTION("""COMPUTED_VALUE"""),"Howl City")</f>
        <v>Howl City</v>
      </c>
    </row>
    <row r="5663">
      <c r="A5663" s="3" t="str">
        <f>IFERROR(__xludf.DUMMYFUNCTION("""COMPUTED_VALUE"""),"hrdgcoin")</f>
        <v>hrdgcoin</v>
      </c>
      <c r="B5663" s="3" t="str">
        <f>IFERROR(__xludf.DUMMYFUNCTION("""COMPUTED_VALUE"""),"hrdg")</f>
        <v>hrdg</v>
      </c>
      <c r="C5663" s="3" t="str">
        <f>IFERROR(__xludf.DUMMYFUNCTION("""COMPUTED_VALUE"""),"HRDGCOIN")</f>
        <v>HRDGCOIN</v>
      </c>
    </row>
    <row r="5664">
      <c r="A5664" s="3" t="str">
        <f>IFERROR(__xludf.DUMMYFUNCTION("""COMPUTED_VALUE"""),"hshare")</f>
        <v>hshare</v>
      </c>
      <c r="B5664" s="3" t="str">
        <f>IFERROR(__xludf.DUMMYFUNCTION("""COMPUTED_VALUE"""),"hc")</f>
        <v>hc</v>
      </c>
      <c r="C5664" s="3" t="str">
        <f>IFERROR(__xludf.DUMMYFUNCTION("""COMPUTED_VALUE"""),"HyperCash")</f>
        <v>HyperCash</v>
      </c>
    </row>
    <row r="5665">
      <c r="A5665" s="3" t="str">
        <f>IFERROR(__xludf.DUMMYFUNCTION("""COMPUTED_VALUE"""),"h-space-metaverse")</f>
        <v>h-space-metaverse</v>
      </c>
      <c r="B5665" s="3" t="str">
        <f>IFERROR(__xludf.DUMMYFUNCTION("""COMPUTED_VALUE"""),"hksm")</f>
        <v>hksm</v>
      </c>
      <c r="C5665" s="3" t="str">
        <f>IFERROR(__xludf.DUMMYFUNCTION("""COMPUTED_VALUE"""),"H-Space Metaverse")</f>
        <v>H-Space Metaverse</v>
      </c>
    </row>
    <row r="5666">
      <c r="A5666" s="3" t="str">
        <f>IFERROR(__xludf.DUMMYFUNCTION("""COMPUTED_VALUE"""),"htm")</f>
        <v>htm</v>
      </c>
      <c r="B5666" s="3" t="str">
        <f>IFERROR(__xludf.DUMMYFUNCTION("""COMPUTED_VALUE"""),"htm")</f>
        <v>htm</v>
      </c>
      <c r="C5666" s="3" t="str">
        <f>IFERROR(__xludf.DUMMYFUNCTION("""COMPUTED_VALUE"""),"HTM")</f>
        <v>HTM</v>
      </c>
    </row>
    <row r="5667">
      <c r="A5667" s="3" t="str">
        <f>IFERROR(__xludf.DUMMYFUNCTION("""COMPUTED_VALUE"""),"htmlcoin")</f>
        <v>htmlcoin</v>
      </c>
      <c r="B5667" s="3" t="str">
        <f>IFERROR(__xludf.DUMMYFUNCTION("""COMPUTED_VALUE"""),"html")</f>
        <v>html</v>
      </c>
      <c r="C5667" s="3" t="str">
        <f>IFERROR(__xludf.DUMMYFUNCTION("""COMPUTED_VALUE"""),"HTMLCOIN")</f>
        <v>HTMLCOIN</v>
      </c>
    </row>
    <row r="5668">
      <c r="A5668" s="3" t="str">
        <f>IFERROR(__xludf.DUMMYFUNCTION("""COMPUTED_VALUE"""),"htmoon2-0")</f>
        <v>htmoon2-0</v>
      </c>
      <c r="B5668" s="3" t="str">
        <f>IFERROR(__xludf.DUMMYFUNCTION("""COMPUTED_VALUE"""),"htmoon2.0")</f>
        <v>htmoon2.0</v>
      </c>
      <c r="C5668" s="3" t="str">
        <f>IFERROR(__xludf.DUMMYFUNCTION("""COMPUTED_VALUE"""),"HTMOON2.0")</f>
        <v>HTMOON2.0</v>
      </c>
    </row>
    <row r="5669">
      <c r="A5669" s="3" t="str">
        <f>IFERROR(__xludf.DUMMYFUNCTION("""COMPUTED_VALUE"""),"hubble")</f>
        <v>hubble</v>
      </c>
      <c r="B5669" s="3" t="str">
        <f>IFERROR(__xludf.DUMMYFUNCTION("""COMPUTED_VALUE"""),"hbb")</f>
        <v>hbb</v>
      </c>
      <c r="C5669" s="3" t="str">
        <f>IFERROR(__xludf.DUMMYFUNCTION("""COMPUTED_VALUE"""),"Hubble")</f>
        <v>Hubble</v>
      </c>
    </row>
    <row r="5670">
      <c r="A5670" s="3" t="str">
        <f>IFERROR(__xludf.DUMMYFUNCTION("""COMPUTED_VALUE"""),"hubcoin-2")</f>
        <v>hubcoin-2</v>
      </c>
      <c r="B5670" s="3" t="str">
        <f>IFERROR(__xludf.DUMMYFUNCTION("""COMPUTED_VALUE"""),"hub")</f>
        <v>hub</v>
      </c>
      <c r="C5670" s="3" t="str">
        <f>IFERROR(__xludf.DUMMYFUNCTION("""COMPUTED_VALUE"""),"HubCoin")</f>
        <v>HubCoin</v>
      </c>
    </row>
    <row r="5671">
      <c r="A5671" s="3" t="str">
        <f>IFERROR(__xludf.DUMMYFUNCTION("""COMPUTED_VALUE"""),"hubgame")</f>
        <v>hubgame</v>
      </c>
      <c r="B5671" s="3" t="str">
        <f>IFERROR(__xludf.DUMMYFUNCTION("""COMPUTED_VALUE"""),"hub")</f>
        <v>hub</v>
      </c>
      <c r="C5671" s="3" t="str">
        <f>IFERROR(__xludf.DUMMYFUNCTION("""COMPUTED_VALUE"""),"HubGame")</f>
        <v>HubGame</v>
      </c>
    </row>
    <row r="5672">
      <c r="A5672" s="3" t="str">
        <f>IFERROR(__xludf.DUMMYFUNCTION("""COMPUTED_VALUE"""),"hub-token")</f>
        <v>hub-token</v>
      </c>
      <c r="B5672" s="3" t="str">
        <f>IFERROR(__xludf.DUMMYFUNCTION("""COMPUTED_VALUE"""),"hub")</f>
        <v>hub</v>
      </c>
      <c r="C5672" s="3" t="str">
        <f>IFERROR(__xludf.DUMMYFUNCTION("""COMPUTED_VALUE"""),"Hub")</f>
        <v>Hub</v>
      </c>
    </row>
    <row r="5673">
      <c r="A5673" s="3" t="str">
        <f>IFERROR(__xludf.DUMMYFUNCTION("""COMPUTED_VALUE"""),"huckleberry")</f>
        <v>huckleberry</v>
      </c>
      <c r="B5673" s="3" t="str">
        <f>IFERROR(__xludf.DUMMYFUNCTION("""COMPUTED_VALUE"""),"finn")</f>
        <v>finn</v>
      </c>
      <c r="C5673" s="3" t="str">
        <f>IFERROR(__xludf.DUMMYFUNCTION("""COMPUTED_VALUE"""),"Huckleberry")</f>
        <v>Huckleberry</v>
      </c>
    </row>
    <row r="5674">
      <c r="A5674" s="3" t="str">
        <f>IFERROR(__xludf.DUMMYFUNCTION("""COMPUTED_VALUE"""),"hudi")</f>
        <v>hudi</v>
      </c>
      <c r="B5674" s="3" t="str">
        <f>IFERROR(__xludf.DUMMYFUNCTION("""COMPUTED_VALUE"""),"hudi")</f>
        <v>hudi</v>
      </c>
      <c r="C5674" s="3" t="str">
        <f>IFERROR(__xludf.DUMMYFUNCTION("""COMPUTED_VALUE"""),"Hudi")</f>
        <v>Hudi</v>
      </c>
    </row>
    <row r="5675">
      <c r="A5675" s="3" t="str">
        <f>IFERROR(__xludf.DUMMYFUNCTION("""COMPUTED_VALUE"""),"hughug-coin")</f>
        <v>hughug-coin</v>
      </c>
      <c r="B5675" s="3" t="str">
        <f>IFERROR(__xludf.DUMMYFUNCTION("""COMPUTED_VALUE"""),"hghg")</f>
        <v>hghg</v>
      </c>
      <c r="C5675" s="3" t="str">
        <f>IFERROR(__xludf.DUMMYFUNCTION("""COMPUTED_VALUE"""),"HUGHUG")</f>
        <v>HUGHUG</v>
      </c>
    </row>
    <row r="5676">
      <c r="A5676" s="3" t="str">
        <f>IFERROR(__xludf.DUMMYFUNCTION("""COMPUTED_VALUE"""),"hugo-finance")</f>
        <v>hugo-finance</v>
      </c>
      <c r="B5676" s="3" t="str">
        <f>IFERROR(__xludf.DUMMYFUNCTION("""COMPUTED_VALUE"""),"hugo")</f>
        <v>hugo</v>
      </c>
      <c r="C5676" s="3" t="str">
        <f>IFERROR(__xludf.DUMMYFUNCTION("""COMPUTED_VALUE"""),"Hugo Game")</f>
        <v>Hugo Game</v>
      </c>
    </row>
    <row r="5677">
      <c r="A5677" s="3" t="str">
        <f>IFERROR(__xludf.DUMMYFUNCTION("""COMPUTED_VALUE"""),"huh")</f>
        <v>huh</v>
      </c>
      <c r="B5677" s="3" t="str">
        <f>IFERROR(__xludf.DUMMYFUNCTION("""COMPUTED_VALUE"""),"huh")</f>
        <v>huh</v>
      </c>
      <c r="C5677" s="3" t="str">
        <f>IFERROR(__xludf.DUMMYFUNCTION("""COMPUTED_VALUE"""),"HUH")</f>
        <v>HUH</v>
      </c>
    </row>
    <row r="5678">
      <c r="A5678" s="3" t="str">
        <f>IFERROR(__xludf.DUMMYFUNCTION("""COMPUTED_VALUE"""),"hulk-inu")</f>
        <v>hulk-inu</v>
      </c>
      <c r="B5678" s="3" t="str">
        <f>IFERROR(__xludf.DUMMYFUNCTION("""COMPUTED_VALUE"""),"hulk")</f>
        <v>hulk</v>
      </c>
      <c r="C5678" s="3" t="str">
        <f>IFERROR(__xludf.DUMMYFUNCTION("""COMPUTED_VALUE"""),"Hulk Inu")</f>
        <v>Hulk Inu</v>
      </c>
    </row>
    <row r="5679">
      <c r="A5679" s="3" t="str">
        <f>IFERROR(__xludf.DUMMYFUNCTION("""COMPUTED_VALUE"""),"humandao")</f>
        <v>humandao</v>
      </c>
      <c r="B5679" s="3" t="str">
        <f>IFERROR(__xludf.DUMMYFUNCTION("""COMPUTED_VALUE"""),"hdao")</f>
        <v>hdao</v>
      </c>
      <c r="C5679" s="3" t="str">
        <f>IFERROR(__xludf.DUMMYFUNCTION("""COMPUTED_VALUE"""),"humanDAO")</f>
        <v>humanDAO</v>
      </c>
    </row>
    <row r="5680">
      <c r="A5680" s="3" t="str">
        <f>IFERROR(__xludf.DUMMYFUNCTION("""COMPUTED_VALUE"""),"humaniq")</f>
        <v>humaniq</v>
      </c>
      <c r="B5680" s="3" t="str">
        <f>IFERROR(__xludf.DUMMYFUNCTION("""COMPUTED_VALUE"""),"hmq")</f>
        <v>hmq</v>
      </c>
      <c r="C5680" s="3" t="str">
        <f>IFERROR(__xludf.DUMMYFUNCTION("""COMPUTED_VALUE"""),"Humaniq")</f>
        <v>Humaniq</v>
      </c>
    </row>
    <row r="5681">
      <c r="A5681" s="3" t="str">
        <f>IFERROR(__xludf.DUMMYFUNCTION("""COMPUTED_VALUE"""),"humanize")</f>
        <v>humanize</v>
      </c>
      <c r="B5681" s="3" t="str">
        <f>IFERROR(__xludf.DUMMYFUNCTION("""COMPUTED_VALUE"""),"$hmt")</f>
        <v>$hmt</v>
      </c>
      <c r="C5681" s="3" t="str">
        <f>IFERROR(__xludf.DUMMYFUNCTION("""COMPUTED_VALUE"""),"Humanize")</f>
        <v>Humanize</v>
      </c>
    </row>
    <row r="5682">
      <c r="A5682" s="3" t="str">
        <f>IFERROR(__xludf.DUMMYFUNCTION("""COMPUTED_VALUE"""),"human-protocol")</f>
        <v>human-protocol</v>
      </c>
      <c r="B5682" s="3" t="str">
        <f>IFERROR(__xludf.DUMMYFUNCTION("""COMPUTED_VALUE"""),"hmt")</f>
        <v>hmt</v>
      </c>
      <c r="C5682" s="3" t="str">
        <f>IFERROR(__xludf.DUMMYFUNCTION("""COMPUTED_VALUE"""),"HUMAN Protocol")</f>
        <v>HUMAN Protocol</v>
      </c>
    </row>
    <row r="5683">
      <c r="A5683" s="3" t="str">
        <f>IFERROR(__xludf.DUMMYFUNCTION("""COMPUTED_VALUE"""),"humans-ai")</f>
        <v>humans-ai</v>
      </c>
      <c r="B5683" s="3" t="str">
        <f>IFERROR(__xludf.DUMMYFUNCTION("""COMPUTED_VALUE"""),"heart")</f>
        <v>heart</v>
      </c>
      <c r="C5683" s="4" t="str">
        <f>IFERROR(__xludf.DUMMYFUNCTION("""COMPUTED_VALUE"""),"Humans.ai")</f>
        <v>Humans.ai</v>
      </c>
    </row>
    <row r="5684">
      <c r="A5684" s="3" t="str">
        <f>IFERROR(__xludf.DUMMYFUNCTION("""COMPUTED_VALUE"""),"humanscape")</f>
        <v>humanscape</v>
      </c>
      <c r="B5684" s="3" t="str">
        <f>IFERROR(__xludf.DUMMYFUNCTION("""COMPUTED_VALUE"""),"hum")</f>
        <v>hum</v>
      </c>
      <c r="C5684" s="3" t="str">
        <f>IFERROR(__xludf.DUMMYFUNCTION("""COMPUTED_VALUE"""),"Humanscape")</f>
        <v>Humanscape</v>
      </c>
    </row>
    <row r="5685">
      <c r="A5685" s="3" t="str">
        <f>IFERROR(__xludf.DUMMYFUNCTION("""COMPUTED_VALUE"""),"human-world")</f>
        <v>human-world</v>
      </c>
      <c r="B5685" s="3" t="str">
        <f>IFERROR(__xludf.DUMMYFUNCTION("""COMPUTED_VALUE"""),"ssap")</f>
        <v>ssap</v>
      </c>
      <c r="C5685" s="3" t="str">
        <f>IFERROR(__xludf.DUMMYFUNCTION("""COMPUTED_VALUE"""),"Human World")</f>
        <v>Human World</v>
      </c>
    </row>
    <row r="5686">
      <c r="A5686" s="3" t="str">
        <f>IFERROR(__xludf.DUMMYFUNCTION("""COMPUTED_VALUE"""),"hummingbird-egg-token")</f>
        <v>hummingbird-egg-token</v>
      </c>
      <c r="B5686" s="3" t="str">
        <f>IFERROR(__xludf.DUMMYFUNCTION("""COMPUTED_VALUE"""),"hegg")</f>
        <v>hegg</v>
      </c>
      <c r="C5686" s="3" t="str">
        <f>IFERROR(__xludf.DUMMYFUNCTION("""COMPUTED_VALUE"""),"Hummingbird Egg")</f>
        <v>Hummingbird Egg</v>
      </c>
    </row>
    <row r="5687">
      <c r="A5687" s="3" t="str">
        <f>IFERROR(__xludf.DUMMYFUNCTION("""COMPUTED_VALUE"""),"hummingbird-finance")</f>
        <v>hummingbird-finance</v>
      </c>
      <c r="B5687" s="3" t="str">
        <f>IFERROR(__xludf.DUMMYFUNCTION("""COMPUTED_VALUE"""),"hmng")</f>
        <v>hmng</v>
      </c>
      <c r="C5687" s="3" t="str">
        <f>IFERROR(__xludf.DUMMYFUNCTION("""COMPUTED_VALUE"""),"Hummingbird Finance")</f>
        <v>Hummingbird Finance</v>
      </c>
    </row>
    <row r="5688">
      <c r="A5688" s="3" t="str">
        <f>IFERROR(__xludf.DUMMYFUNCTION("""COMPUTED_VALUE"""),"hummingbot")</f>
        <v>hummingbot</v>
      </c>
      <c r="B5688" s="3" t="str">
        <f>IFERROR(__xludf.DUMMYFUNCTION("""COMPUTED_VALUE"""),"hbot")</f>
        <v>hbot</v>
      </c>
      <c r="C5688" s="3" t="str">
        <f>IFERROR(__xludf.DUMMYFUNCTION("""COMPUTED_VALUE"""),"Hummingbot")</f>
        <v>Hummingbot</v>
      </c>
    </row>
    <row r="5689">
      <c r="A5689" s="3" t="str">
        <f>IFERROR(__xludf.DUMMYFUNCTION("""COMPUTED_VALUE"""),"hummus")</f>
        <v>hummus</v>
      </c>
      <c r="B5689" s="3" t="str">
        <f>IFERROR(__xludf.DUMMYFUNCTION("""COMPUTED_VALUE"""),"hum")</f>
        <v>hum</v>
      </c>
      <c r="C5689" s="3" t="str">
        <f>IFERROR(__xludf.DUMMYFUNCTION("""COMPUTED_VALUE"""),"Hummus")</f>
        <v>Hummus</v>
      </c>
    </row>
    <row r="5690">
      <c r="A5690" s="3" t="str">
        <f>IFERROR(__xludf.DUMMYFUNCTION("""COMPUTED_VALUE"""),"hundred-finance")</f>
        <v>hundred-finance</v>
      </c>
      <c r="B5690" s="3" t="str">
        <f>IFERROR(__xludf.DUMMYFUNCTION("""COMPUTED_VALUE"""),"hnd")</f>
        <v>hnd</v>
      </c>
      <c r="C5690" s="3" t="str">
        <f>IFERROR(__xludf.DUMMYFUNCTION("""COMPUTED_VALUE"""),"Hundred Finance")</f>
        <v>Hundred Finance</v>
      </c>
    </row>
    <row r="5691">
      <c r="A5691" s="3" t="str">
        <f>IFERROR(__xludf.DUMMYFUNCTION("""COMPUTED_VALUE"""),"hungarian-vizsla-inu")</f>
        <v>hungarian-vizsla-inu</v>
      </c>
      <c r="B5691" s="3" t="str">
        <f>IFERROR(__xludf.DUMMYFUNCTION("""COMPUTED_VALUE"""),"hvi")</f>
        <v>hvi</v>
      </c>
      <c r="C5691" s="3" t="str">
        <f>IFERROR(__xludf.DUMMYFUNCTION("""COMPUTED_VALUE"""),"Hungarian Vizsla Inu")</f>
        <v>Hungarian Vizsla Inu</v>
      </c>
    </row>
    <row r="5692">
      <c r="A5692" s="3" t="str">
        <f>IFERROR(__xludf.DUMMYFUNCTION("""COMPUTED_VALUE"""),"hunger-token")</f>
        <v>hunger-token</v>
      </c>
      <c r="B5692" s="3" t="str">
        <f>IFERROR(__xludf.DUMMYFUNCTION("""COMPUTED_VALUE"""),"hunger")</f>
        <v>hunger</v>
      </c>
      <c r="C5692" s="3" t="str">
        <f>IFERROR(__xludf.DUMMYFUNCTION("""COMPUTED_VALUE"""),"Hunger")</f>
        <v>Hunger</v>
      </c>
    </row>
    <row r="5693">
      <c r="A5693" s="3" t="str">
        <f>IFERROR(__xludf.DUMMYFUNCTION("""COMPUTED_VALUE"""),"hungrybear")</f>
        <v>hungrybear</v>
      </c>
      <c r="B5693" s="3" t="str">
        <f>IFERROR(__xludf.DUMMYFUNCTION("""COMPUTED_VALUE"""),"hungry")</f>
        <v>hungry</v>
      </c>
      <c r="C5693" s="3" t="str">
        <f>IFERROR(__xludf.DUMMYFUNCTION("""COMPUTED_VALUE"""),"HungryBear")</f>
        <v>HungryBear</v>
      </c>
    </row>
    <row r="5694">
      <c r="A5694" s="3" t="str">
        <f>IFERROR(__xludf.DUMMYFUNCTION("""COMPUTED_VALUE"""),"hungry-bees")</f>
        <v>hungry-bees</v>
      </c>
      <c r="B5694" s="3" t="str">
        <f>IFERROR(__xludf.DUMMYFUNCTION("""COMPUTED_VALUE"""),"hbee")</f>
        <v>hbee</v>
      </c>
      <c r="C5694" s="3" t="str">
        <f>IFERROR(__xludf.DUMMYFUNCTION("""COMPUTED_VALUE"""),"Hungry Bees")</f>
        <v>Hungry Bees</v>
      </c>
    </row>
    <row r="5695">
      <c r="A5695" s="3" t="str">
        <f>IFERROR(__xludf.DUMMYFUNCTION("""COMPUTED_VALUE"""),"hunny-love-token")</f>
        <v>hunny-love-token</v>
      </c>
      <c r="B5695" s="3" t="str">
        <f>IFERROR(__xludf.DUMMYFUNCTION("""COMPUTED_VALUE"""),"love")</f>
        <v>love</v>
      </c>
      <c r="C5695" s="3" t="str">
        <f>IFERROR(__xludf.DUMMYFUNCTION("""COMPUTED_VALUE"""),"HunnyDAO")</f>
        <v>HunnyDAO</v>
      </c>
    </row>
    <row r="5696">
      <c r="A5696" s="3" t="str">
        <f>IFERROR(__xludf.DUMMYFUNCTION("""COMPUTED_VALUE"""),"hunter")</f>
        <v>hunter</v>
      </c>
      <c r="B5696" s="3" t="str">
        <f>IFERROR(__xludf.DUMMYFUNCTION("""COMPUTED_VALUE"""),"hntr")</f>
        <v>hntr</v>
      </c>
      <c r="C5696" s="3" t="str">
        <f>IFERROR(__xludf.DUMMYFUNCTION("""COMPUTED_VALUE"""),"Hunter")</f>
        <v>Hunter</v>
      </c>
    </row>
    <row r="5697">
      <c r="A5697" s="3" t="str">
        <f>IFERROR(__xludf.DUMMYFUNCTION("""COMPUTED_VALUE"""),"hunter-crypto-coin")</f>
        <v>hunter-crypto-coin</v>
      </c>
      <c r="B5697" s="3" t="str">
        <f>IFERROR(__xludf.DUMMYFUNCTION("""COMPUTED_VALUE"""),"hcc")</f>
        <v>hcc</v>
      </c>
      <c r="C5697" s="3" t="str">
        <f>IFERROR(__xludf.DUMMYFUNCTION("""COMPUTED_VALUE"""),"Hunter Crypto Coin")</f>
        <v>Hunter Crypto Coin</v>
      </c>
    </row>
    <row r="5698">
      <c r="A5698" s="3" t="str">
        <f>IFERROR(__xludf.DUMMYFUNCTION("""COMPUTED_VALUE"""),"hunter-diamond")</f>
        <v>hunter-diamond</v>
      </c>
      <c r="B5698" s="3" t="str">
        <f>IFERROR(__xludf.DUMMYFUNCTION("""COMPUTED_VALUE"""),"hunt")</f>
        <v>hunt</v>
      </c>
      <c r="C5698" s="3" t="str">
        <f>IFERROR(__xludf.DUMMYFUNCTION("""COMPUTED_VALUE"""),"Hunter Diamond")</f>
        <v>Hunter Diamond</v>
      </c>
    </row>
    <row r="5699">
      <c r="A5699" s="3" t="str">
        <f>IFERROR(__xludf.DUMMYFUNCTION("""COMPUTED_VALUE"""),"hunt-token")</f>
        <v>hunt-token</v>
      </c>
      <c r="B5699" s="3" t="str">
        <f>IFERROR(__xludf.DUMMYFUNCTION("""COMPUTED_VALUE"""),"hunt")</f>
        <v>hunt</v>
      </c>
      <c r="C5699" s="3" t="str">
        <f>IFERROR(__xludf.DUMMYFUNCTION("""COMPUTED_VALUE"""),"Hunt")</f>
        <v>Hunt</v>
      </c>
    </row>
    <row r="5700">
      <c r="A5700" s="3" t="str">
        <f>IFERROR(__xludf.DUMMYFUNCTION("""COMPUTED_VALUE"""),"huny")</f>
        <v>huny</v>
      </c>
      <c r="B5700" s="3" t="str">
        <f>IFERROR(__xludf.DUMMYFUNCTION("""COMPUTED_VALUE"""),"huny")</f>
        <v>huny</v>
      </c>
      <c r="C5700" s="3" t="str">
        <f>IFERROR(__xludf.DUMMYFUNCTION("""COMPUTED_VALUE"""),"Huny")</f>
        <v>Huny</v>
      </c>
    </row>
    <row r="5701">
      <c r="A5701" s="3" t="str">
        <f>IFERROR(__xludf.DUMMYFUNCTION("""COMPUTED_VALUE"""),"huobi-bitcoin-cash")</f>
        <v>huobi-bitcoin-cash</v>
      </c>
      <c r="B5701" s="3" t="str">
        <f>IFERROR(__xludf.DUMMYFUNCTION("""COMPUTED_VALUE"""),"hbch")</f>
        <v>hbch</v>
      </c>
      <c r="C5701" s="3" t="str">
        <f>IFERROR(__xludf.DUMMYFUNCTION("""COMPUTED_VALUE"""),"Huobi Bitcoin Cash")</f>
        <v>Huobi Bitcoin Cash</v>
      </c>
    </row>
    <row r="5702">
      <c r="A5702" s="3" t="str">
        <f>IFERROR(__xludf.DUMMYFUNCTION("""COMPUTED_VALUE"""),"huobi-btc")</f>
        <v>huobi-btc</v>
      </c>
      <c r="B5702" s="3" t="str">
        <f>IFERROR(__xludf.DUMMYFUNCTION("""COMPUTED_VALUE"""),"hbtc")</f>
        <v>hbtc</v>
      </c>
      <c r="C5702" s="3" t="str">
        <f>IFERROR(__xludf.DUMMYFUNCTION("""COMPUTED_VALUE"""),"Huobi BTC")</f>
        <v>Huobi BTC</v>
      </c>
    </row>
    <row r="5703">
      <c r="A5703" s="3" t="str">
        <f>IFERROR(__xludf.DUMMYFUNCTION("""COMPUTED_VALUE"""),"huobi-ethereum")</f>
        <v>huobi-ethereum</v>
      </c>
      <c r="B5703" s="3" t="str">
        <f>IFERROR(__xludf.DUMMYFUNCTION("""COMPUTED_VALUE"""),"heth")</f>
        <v>heth</v>
      </c>
      <c r="C5703" s="3" t="str">
        <f>IFERROR(__xludf.DUMMYFUNCTION("""COMPUTED_VALUE"""),"Huobi Ethereum")</f>
        <v>Huobi Ethereum</v>
      </c>
    </row>
    <row r="5704">
      <c r="A5704" s="3" t="str">
        <f>IFERROR(__xludf.DUMMYFUNCTION("""COMPUTED_VALUE"""),"huobi-fil")</f>
        <v>huobi-fil</v>
      </c>
      <c r="B5704" s="3" t="str">
        <f>IFERROR(__xludf.DUMMYFUNCTION("""COMPUTED_VALUE"""),"hfil")</f>
        <v>hfil</v>
      </c>
      <c r="C5704" s="3" t="str">
        <f>IFERROR(__xludf.DUMMYFUNCTION("""COMPUTED_VALUE"""),"Huobi Fil")</f>
        <v>Huobi Fil</v>
      </c>
    </row>
    <row r="5705">
      <c r="A5705" s="3" t="str">
        <f>IFERROR(__xludf.DUMMYFUNCTION("""COMPUTED_VALUE"""),"huobi-litecoin")</f>
        <v>huobi-litecoin</v>
      </c>
      <c r="B5705" s="3" t="str">
        <f>IFERROR(__xludf.DUMMYFUNCTION("""COMPUTED_VALUE"""),"hltc")</f>
        <v>hltc</v>
      </c>
      <c r="C5705" s="3" t="str">
        <f>IFERROR(__xludf.DUMMYFUNCTION("""COMPUTED_VALUE"""),"Huobi Litecoin")</f>
        <v>Huobi Litecoin</v>
      </c>
    </row>
    <row r="5706">
      <c r="A5706" s="3" t="str">
        <f>IFERROR(__xludf.DUMMYFUNCTION("""COMPUTED_VALUE"""),"huobi-polkadot")</f>
        <v>huobi-polkadot</v>
      </c>
      <c r="B5706" s="3" t="str">
        <f>IFERROR(__xludf.DUMMYFUNCTION("""COMPUTED_VALUE"""),"hdot")</f>
        <v>hdot</v>
      </c>
      <c r="C5706" s="3" t="str">
        <f>IFERROR(__xludf.DUMMYFUNCTION("""COMPUTED_VALUE"""),"Huobi Polkadot")</f>
        <v>Huobi Polkadot</v>
      </c>
    </row>
    <row r="5707">
      <c r="A5707" s="3" t="str">
        <f>IFERROR(__xludf.DUMMYFUNCTION("""COMPUTED_VALUE"""),"huobi-pool-token")</f>
        <v>huobi-pool-token</v>
      </c>
      <c r="B5707" s="3" t="str">
        <f>IFERROR(__xludf.DUMMYFUNCTION("""COMPUTED_VALUE"""),"hpt")</f>
        <v>hpt</v>
      </c>
      <c r="C5707" s="3" t="str">
        <f>IFERROR(__xludf.DUMMYFUNCTION("""COMPUTED_VALUE"""),"Huobi Pool")</f>
        <v>Huobi Pool</v>
      </c>
    </row>
    <row r="5708">
      <c r="A5708" s="3" t="str">
        <f>IFERROR(__xludf.DUMMYFUNCTION("""COMPUTED_VALUE"""),"huobi-token")</f>
        <v>huobi-token</v>
      </c>
      <c r="B5708" s="3" t="str">
        <f>IFERROR(__xludf.DUMMYFUNCTION("""COMPUTED_VALUE"""),"ht")</f>
        <v>ht</v>
      </c>
      <c r="C5708" s="3" t="str">
        <f>IFERROR(__xludf.DUMMYFUNCTION("""COMPUTED_VALUE"""),"Huobi")</f>
        <v>Huobi</v>
      </c>
    </row>
    <row r="5709">
      <c r="A5709" s="3" t="str">
        <f>IFERROR(__xludf.DUMMYFUNCTION("""COMPUTED_VALUE"""),"hupayx")</f>
        <v>hupayx</v>
      </c>
      <c r="B5709" s="3" t="str">
        <f>IFERROR(__xludf.DUMMYFUNCTION("""COMPUTED_VALUE"""),"hpx")</f>
        <v>hpx</v>
      </c>
      <c r="C5709" s="3" t="str">
        <f>IFERROR(__xludf.DUMMYFUNCTION("""COMPUTED_VALUE"""),"HUPAYX")</f>
        <v>HUPAYX</v>
      </c>
    </row>
    <row r="5710">
      <c r="A5710" s="3" t="str">
        <f>IFERROR(__xludf.DUMMYFUNCTION("""COMPUTED_VALUE"""),"hurify")</f>
        <v>hurify</v>
      </c>
      <c r="B5710" s="3" t="str">
        <f>IFERROR(__xludf.DUMMYFUNCTION("""COMPUTED_VALUE"""),"hur")</f>
        <v>hur</v>
      </c>
      <c r="C5710" s="3" t="str">
        <f>IFERROR(__xludf.DUMMYFUNCTION("""COMPUTED_VALUE"""),"Hurify")</f>
        <v>Hurify</v>
      </c>
    </row>
    <row r="5711">
      <c r="A5711" s="3" t="str">
        <f>IFERROR(__xludf.DUMMYFUNCTION("""COMPUTED_VALUE"""),"hurrian-network")</f>
        <v>hurrian-network</v>
      </c>
      <c r="B5711" s="3" t="str">
        <f>IFERROR(__xludf.DUMMYFUNCTION("""COMPUTED_VALUE"""),"mld")</f>
        <v>mld</v>
      </c>
      <c r="C5711" s="3" t="str">
        <f>IFERROR(__xludf.DUMMYFUNCTION("""COMPUTED_VALUE"""),"Hurrian Network")</f>
        <v>Hurrian Network</v>
      </c>
    </row>
    <row r="5712">
      <c r="A5712" s="3" t="str">
        <f>IFERROR(__xludf.DUMMYFUNCTION("""COMPUTED_VALUE"""),"hurricane-nft")</f>
        <v>hurricane-nft</v>
      </c>
      <c r="B5712" s="3" t="str">
        <f>IFERROR(__xludf.DUMMYFUNCTION("""COMPUTED_VALUE"""),"nhct")</f>
        <v>nhct</v>
      </c>
      <c r="C5712" s="3" t="str">
        <f>IFERROR(__xludf.DUMMYFUNCTION("""COMPUTED_VALUE"""),"Hurricane NFT")</f>
        <v>Hurricane NFT</v>
      </c>
    </row>
    <row r="5713">
      <c r="A5713" s="3" t="str">
        <f>IFERROR(__xludf.DUMMYFUNCTION("""COMPUTED_VALUE"""),"hurricaneswap-token")</f>
        <v>hurricaneswap-token</v>
      </c>
      <c r="B5713" s="3" t="str">
        <f>IFERROR(__xludf.DUMMYFUNCTION("""COMPUTED_VALUE"""),"hct")</f>
        <v>hct</v>
      </c>
      <c r="C5713" s="3" t="str">
        <f>IFERROR(__xludf.DUMMYFUNCTION("""COMPUTED_VALUE"""),"HurricaneSwap")</f>
        <v>HurricaneSwap</v>
      </c>
    </row>
    <row r="5714">
      <c r="A5714" s="3" t="str">
        <f>IFERROR(__xludf.DUMMYFUNCTION("""COMPUTED_VALUE"""),"husd")</f>
        <v>husd</v>
      </c>
      <c r="B5714" s="3" t="str">
        <f>IFERROR(__xludf.DUMMYFUNCTION("""COMPUTED_VALUE"""),"husd")</f>
        <v>husd</v>
      </c>
      <c r="C5714" s="3" t="str">
        <f>IFERROR(__xludf.DUMMYFUNCTION("""COMPUTED_VALUE"""),"HUSD")</f>
        <v>HUSD</v>
      </c>
    </row>
    <row r="5715">
      <c r="A5715" s="3" t="str">
        <f>IFERROR(__xludf.DUMMYFUNCTION("""COMPUTED_VALUE"""),"hush")</f>
        <v>hush</v>
      </c>
      <c r="B5715" s="3" t="str">
        <f>IFERROR(__xludf.DUMMYFUNCTION("""COMPUTED_VALUE"""),"hush")</f>
        <v>hush</v>
      </c>
      <c r="C5715" s="3" t="str">
        <f>IFERROR(__xludf.DUMMYFUNCTION("""COMPUTED_VALUE"""),"Hush")</f>
        <v>Hush</v>
      </c>
    </row>
    <row r="5716">
      <c r="A5716" s="3" t="str">
        <f>IFERROR(__xludf.DUMMYFUNCTION("""COMPUTED_VALUE"""),"husky")</f>
        <v>husky</v>
      </c>
      <c r="B5716" s="3" t="str">
        <f>IFERROR(__xludf.DUMMYFUNCTION("""COMPUTED_VALUE"""),"husky")</f>
        <v>husky</v>
      </c>
      <c r="C5716" s="3" t="str">
        <f>IFERROR(__xludf.DUMMYFUNCTION("""COMPUTED_VALUE"""),"Husky")</f>
        <v>Husky</v>
      </c>
    </row>
    <row r="5717">
      <c r="A5717" s="3" t="str">
        <f>IFERROR(__xludf.DUMMYFUNCTION("""COMPUTED_VALUE"""),"husky-avax")</f>
        <v>husky-avax</v>
      </c>
      <c r="B5717" s="3" t="str">
        <f>IFERROR(__xludf.DUMMYFUNCTION("""COMPUTED_VALUE"""),"husky")</f>
        <v>husky</v>
      </c>
      <c r="C5717" s="3" t="str">
        <f>IFERROR(__xludf.DUMMYFUNCTION("""COMPUTED_VALUE"""),"Husky AVAX")</f>
        <v>Husky AVAX</v>
      </c>
    </row>
    <row r="5718">
      <c r="A5718" s="3" t="str">
        <f>IFERROR(__xludf.DUMMYFUNCTION("""COMPUTED_VALUE"""),"husky-brother")</f>
        <v>husky-brother</v>
      </c>
      <c r="B5718" s="3" t="str">
        <f>IFERROR(__xludf.DUMMYFUNCTION("""COMPUTED_VALUE"""),"husky")</f>
        <v>husky</v>
      </c>
      <c r="C5718" s="3" t="str">
        <f>IFERROR(__xludf.DUMMYFUNCTION("""COMPUTED_VALUE"""),"Husky Brother")</f>
        <v>Husky Brother</v>
      </c>
    </row>
    <row r="5719">
      <c r="A5719" s="3" t="str">
        <f>IFERROR(__xludf.DUMMYFUNCTION("""COMPUTED_VALUE"""),"huskyshiba")</f>
        <v>huskyshiba</v>
      </c>
      <c r="B5719" s="3" t="str">
        <f>IFERROR(__xludf.DUMMYFUNCTION("""COMPUTED_VALUE"""),"hshiba")</f>
        <v>hshiba</v>
      </c>
      <c r="C5719" s="3" t="str">
        <f>IFERROR(__xludf.DUMMYFUNCTION("""COMPUTED_VALUE"""),"HuskyShiba")</f>
        <v>HuskyShiba</v>
      </c>
    </row>
    <row r="5720">
      <c r="A5720" s="3" t="str">
        <f>IFERROR(__xludf.DUMMYFUNCTION("""COMPUTED_VALUE"""),"husky-vc")</f>
        <v>husky-vc</v>
      </c>
      <c r="B5720" s="3" t="str">
        <f>IFERROR(__xludf.DUMMYFUNCTION("""COMPUTED_VALUE"""),"husky")</f>
        <v>husky</v>
      </c>
      <c r="C5720" s="3" t="str">
        <f>IFERROR(__xludf.DUMMYFUNCTION("""COMPUTED_VALUE"""),"Husky VC")</f>
        <v>Husky VC</v>
      </c>
    </row>
    <row r="5721">
      <c r="A5721" s="3" t="str">
        <f>IFERROR(__xludf.DUMMYFUNCTION("""COMPUTED_VALUE"""),"hxro")</f>
        <v>hxro</v>
      </c>
      <c r="B5721" s="3" t="str">
        <f>IFERROR(__xludf.DUMMYFUNCTION("""COMPUTED_VALUE"""),"hxro")</f>
        <v>hxro</v>
      </c>
      <c r="C5721" s="3" t="str">
        <f>IFERROR(__xludf.DUMMYFUNCTION("""COMPUTED_VALUE"""),"Hxro")</f>
        <v>Hxro</v>
      </c>
    </row>
    <row r="5722">
      <c r="A5722" s="3" t="str">
        <f>IFERROR(__xludf.DUMMYFUNCTION("""COMPUTED_VALUE"""),"hybrid-bank-cash")</f>
        <v>hybrid-bank-cash</v>
      </c>
      <c r="B5722" s="3" t="str">
        <f>IFERROR(__xludf.DUMMYFUNCTION("""COMPUTED_VALUE"""),"hbc")</f>
        <v>hbc</v>
      </c>
      <c r="C5722" s="3" t="str">
        <f>IFERROR(__xludf.DUMMYFUNCTION("""COMPUTED_VALUE"""),"Hybrid Bank Cash")</f>
        <v>Hybrid Bank Cash</v>
      </c>
    </row>
    <row r="5723">
      <c r="A5723" s="3" t="str">
        <f>IFERROR(__xludf.DUMMYFUNCTION("""COMPUTED_VALUE"""),"hybrix")</f>
        <v>hybrix</v>
      </c>
      <c r="B5723" s="3" t="str">
        <f>IFERROR(__xludf.DUMMYFUNCTION("""COMPUTED_VALUE"""),"hy")</f>
        <v>hy</v>
      </c>
      <c r="C5723" s="3" t="str">
        <f>IFERROR(__xludf.DUMMYFUNCTION("""COMPUTED_VALUE"""),"Hybrix")</f>
        <v>Hybrix</v>
      </c>
    </row>
    <row r="5724">
      <c r="A5724" s="3" t="str">
        <f>IFERROR(__xludf.DUMMYFUNCTION("""COMPUTED_VALUE"""),"hycon")</f>
        <v>hycon</v>
      </c>
      <c r="B5724" s="3" t="str">
        <f>IFERROR(__xludf.DUMMYFUNCTION("""COMPUTED_VALUE"""),"hyc")</f>
        <v>hyc</v>
      </c>
      <c r="C5724" s="3" t="str">
        <f>IFERROR(__xludf.DUMMYFUNCTION("""COMPUTED_VALUE"""),"Hycon")</f>
        <v>Hycon</v>
      </c>
    </row>
    <row r="5725">
      <c r="A5725" s="3" t="str">
        <f>IFERROR(__xludf.DUMMYFUNCTION("""COMPUTED_VALUE"""),"hydra")</f>
        <v>hydra</v>
      </c>
      <c r="B5725" s="3" t="str">
        <f>IFERROR(__xludf.DUMMYFUNCTION("""COMPUTED_VALUE"""),"hydra")</f>
        <v>hydra</v>
      </c>
      <c r="C5725" s="3" t="str">
        <f>IFERROR(__xludf.DUMMYFUNCTION("""COMPUTED_VALUE"""),"Hydra")</f>
        <v>Hydra</v>
      </c>
    </row>
    <row r="5726">
      <c r="A5726" s="3" t="str">
        <f>IFERROR(__xludf.DUMMYFUNCTION("""COMPUTED_VALUE"""),"hydranet")</f>
        <v>hydranet</v>
      </c>
      <c r="B5726" s="3" t="str">
        <f>IFERROR(__xludf.DUMMYFUNCTION("""COMPUTED_VALUE"""),"hdx")</f>
        <v>hdx</v>
      </c>
      <c r="C5726" s="3" t="str">
        <f>IFERROR(__xludf.DUMMYFUNCTION("""COMPUTED_VALUE"""),"Hydranet")</f>
        <v>Hydranet</v>
      </c>
    </row>
    <row r="5727">
      <c r="A5727" s="3" t="str">
        <f>IFERROR(__xludf.DUMMYFUNCTION("""COMPUTED_VALUE"""),"hydra-token")</f>
        <v>hydra-token</v>
      </c>
      <c r="B5727" s="3" t="str">
        <f>IFERROR(__xludf.DUMMYFUNCTION("""COMPUTED_VALUE"""),"hyd")</f>
        <v>hyd</v>
      </c>
      <c r="C5727" s="3" t="str">
        <f>IFERROR(__xludf.DUMMYFUNCTION("""COMPUTED_VALUE"""),"Hydraledger")</f>
        <v>Hydraledger</v>
      </c>
    </row>
    <row r="5728">
      <c r="A5728" s="3" t="str">
        <f>IFERROR(__xludf.DUMMYFUNCTION("""COMPUTED_VALUE"""),"hydraverse")</f>
        <v>hydraverse</v>
      </c>
      <c r="B5728" s="3" t="str">
        <f>IFERROR(__xludf.DUMMYFUNCTION("""COMPUTED_VALUE"""),"hdv")</f>
        <v>hdv</v>
      </c>
      <c r="C5728" s="3" t="str">
        <f>IFERROR(__xludf.DUMMYFUNCTION("""COMPUTED_VALUE"""),"Hydraverse")</f>
        <v>Hydraverse</v>
      </c>
    </row>
    <row r="5729">
      <c r="A5729" s="3" t="str">
        <f>IFERROR(__xludf.DUMMYFUNCTION("""COMPUTED_VALUE"""),"hydro")</f>
        <v>hydro</v>
      </c>
      <c r="B5729" s="3" t="str">
        <f>IFERROR(__xludf.DUMMYFUNCTION("""COMPUTED_VALUE"""),"hydro")</f>
        <v>hydro</v>
      </c>
      <c r="C5729" s="3" t="str">
        <f>IFERROR(__xludf.DUMMYFUNCTION("""COMPUTED_VALUE"""),"Hydro")</f>
        <v>Hydro</v>
      </c>
    </row>
    <row r="5730">
      <c r="A5730" s="3" t="str">
        <f>IFERROR(__xludf.DUMMYFUNCTION("""COMPUTED_VALUE"""),"hydrolink")</f>
        <v>hydrolink</v>
      </c>
      <c r="B5730" s="3" t="str">
        <f>IFERROR(__xludf.DUMMYFUNCTION("""COMPUTED_VALUE"""),"hlnk")</f>
        <v>hlnk</v>
      </c>
      <c r="C5730" s="3" t="str">
        <f>IFERROR(__xludf.DUMMYFUNCTION("""COMPUTED_VALUE"""),"HydroLink")</f>
        <v>HydroLink</v>
      </c>
    </row>
    <row r="5731">
      <c r="A5731" s="3" t="str">
        <f>IFERROR(__xludf.DUMMYFUNCTION("""COMPUTED_VALUE"""),"hydro-protocol")</f>
        <v>hydro-protocol</v>
      </c>
      <c r="B5731" s="3" t="str">
        <f>IFERROR(__xludf.DUMMYFUNCTION("""COMPUTED_VALUE"""),"hot")</f>
        <v>hot</v>
      </c>
      <c r="C5731" s="3" t="str">
        <f>IFERROR(__xludf.DUMMYFUNCTION("""COMPUTED_VALUE"""),"Hydro Protocol")</f>
        <v>Hydro Protocol</v>
      </c>
    </row>
    <row r="5732">
      <c r="A5732" s="3" t="str">
        <f>IFERROR(__xludf.DUMMYFUNCTION("""COMPUTED_VALUE"""),"hygenercoin")</f>
        <v>hygenercoin</v>
      </c>
      <c r="B5732" s="3" t="str">
        <f>IFERROR(__xludf.DUMMYFUNCTION("""COMPUTED_VALUE"""),"hg")</f>
        <v>hg</v>
      </c>
      <c r="C5732" s="3" t="str">
        <f>IFERROR(__xludf.DUMMYFUNCTION("""COMPUTED_VALUE"""),"Hygenercoin")</f>
        <v>Hygenercoin</v>
      </c>
    </row>
    <row r="5733">
      <c r="A5733" s="3" t="str">
        <f>IFERROR(__xludf.DUMMYFUNCTION("""COMPUTED_VALUE"""),"hymnode")</f>
        <v>hymnode</v>
      </c>
      <c r="B5733" s="3" t="str">
        <f>IFERROR(__xludf.DUMMYFUNCTION("""COMPUTED_VALUE"""),"hnt")</f>
        <v>hnt</v>
      </c>
      <c r="C5733" s="3" t="str">
        <f>IFERROR(__xludf.DUMMYFUNCTION("""COMPUTED_VALUE"""),"Hymnode")</f>
        <v>Hymnode</v>
      </c>
    </row>
    <row r="5734">
      <c r="A5734" s="3" t="str">
        <f>IFERROR(__xludf.DUMMYFUNCTION("""COMPUTED_VALUE"""),"hyperalloy")</f>
        <v>hyperalloy</v>
      </c>
      <c r="B5734" s="3" t="str">
        <f>IFERROR(__xludf.DUMMYFUNCTION("""COMPUTED_VALUE"""),"alloy")</f>
        <v>alloy</v>
      </c>
      <c r="C5734" s="3" t="str">
        <f>IFERROR(__xludf.DUMMYFUNCTION("""COMPUTED_VALUE"""),"HyperAlloy")</f>
        <v>HyperAlloy</v>
      </c>
    </row>
    <row r="5735">
      <c r="A5735" s="3" t="str">
        <f>IFERROR(__xludf.DUMMYFUNCTION("""COMPUTED_VALUE"""),"hypercent")</f>
        <v>hypercent</v>
      </c>
      <c r="B5735" s="3" t="str">
        <f>IFERROR(__xludf.DUMMYFUNCTION("""COMPUTED_VALUE"""),"hype")</f>
        <v>hype</v>
      </c>
      <c r="C5735" s="3" t="str">
        <f>IFERROR(__xludf.DUMMYFUNCTION("""COMPUTED_VALUE"""),"Hypercent")</f>
        <v>Hypercent</v>
      </c>
    </row>
    <row r="5736">
      <c r="A5736" s="3" t="str">
        <f>IFERROR(__xludf.DUMMYFUNCTION("""COMPUTED_VALUE"""),"hyperchain")</f>
        <v>hyperchain</v>
      </c>
      <c r="B5736" s="3" t="str">
        <f>IFERROR(__xludf.DUMMYFUNCTION("""COMPUTED_VALUE"""),"snc")</f>
        <v>snc</v>
      </c>
      <c r="C5736" s="3" t="str">
        <f>IFERROR(__xludf.DUMMYFUNCTION("""COMPUTED_VALUE"""),"Hyper Chain")</f>
        <v>Hyper Chain</v>
      </c>
    </row>
    <row r="5737">
      <c r="A5737" s="3" t="str">
        <f>IFERROR(__xludf.DUMMYFUNCTION("""COMPUTED_VALUE"""),"hyperchain-2")</f>
        <v>hyperchain-2</v>
      </c>
      <c r="B5737" s="3" t="str">
        <f>IFERROR(__xludf.DUMMYFUNCTION("""COMPUTED_VALUE"""),"hyp")</f>
        <v>hyp</v>
      </c>
      <c r="C5737" s="3" t="str">
        <f>IFERROR(__xludf.DUMMYFUNCTION("""COMPUTED_VALUE"""),"Hyperchain")</f>
        <v>Hyperchain</v>
      </c>
    </row>
    <row r="5738">
      <c r="A5738" s="3" t="str">
        <f>IFERROR(__xludf.DUMMYFUNCTION("""COMPUTED_VALUE"""),"hyperchainx")</f>
        <v>hyperchainx</v>
      </c>
      <c r="B5738" s="3" t="str">
        <f>IFERROR(__xludf.DUMMYFUNCTION("""COMPUTED_VALUE"""),"hyper")</f>
        <v>hyper</v>
      </c>
      <c r="C5738" s="3" t="str">
        <f>IFERROR(__xludf.DUMMYFUNCTION("""COMPUTED_VALUE"""),"HyperChainX")</f>
        <v>HyperChainX</v>
      </c>
    </row>
    <row r="5739">
      <c r="A5739" s="3" t="str">
        <f>IFERROR(__xludf.DUMMYFUNCTION("""COMPUTED_VALUE"""),"hyperdao")</f>
        <v>hyperdao</v>
      </c>
      <c r="B5739" s="3" t="str">
        <f>IFERROR(__xludf.DUMMYFUNCTION("""COMPUTED_VALUE"""),"hdao")</f>
        <v>hdao</v>
      </c>
      <c r="C5739" s="3" t="str">
        <f>IFERROR(__xludf.DUMMYFUNCTION("""COMPUTED_VALUE"""),"HyperDAO")</f>
        <v>HyperDAO</v>
      </c>
    </row>
    <row r="5740">
      <c r="A5740" s="3" t="str">
        <f>IFERROR(__xludf.DUMMYFUNCTION("""COMPUTED_VALUE"""),"hyper-deflate")</f>
        <v>hyper-deflate</v>
      </c>
      <c r="B5740" s="3" t="str">
        <f>IFERROR(__xludf.DUMMYFUNCTION("""COMPUTED_VALUE"""),"hdfl")</f>
        <v>hdfl</v>
      </c>
      <c r="C5740" s="3" t="str">
        <f>IFERROR(__xludf.DUMMYFUNCTION("""COMPUTED_VALUE"""),"Hyper Deflate")</f>
        <v>Hyper Deflate</v>
      </c>
    </row>
    <row r="5741">
      <c r="A5741" s="3" t="str">
        <f>IFERROR(__xludf.DUMMYFUNCTION("""COMPUTED_VALUE"""),"hyper-finance")</f>
        <v>hyper-finance</v>
      </c>
      <c r="B5741" s="3" t="str">
        <f>IFERROR(__xludf.DUMMYFUNCTION("""COMPUTED_VALUE"""),"hyfi")</f>
        <v>hyfi</v>
      </c>
      <c r="C5741" s="3" t="str">
        <f>IFERROR(__xludf.DUMMYFUNCTION("""COMPUTED_VALUE"""),"Hyper Finance")</f>
        <v>Hyper Finance</v>
      </c>
    </row>
    <row r="5742">
      <c r="A5742" s="3" t="str">
        <f>IFERROR(__xludf.DUMMYFUNCTION("""COMPUTED_VALUE"""),"hyperonchain")</f>
        <v>hyperonchain</v>
      </c>
      <c r="B5742" s="3" t="str">
        <f>IFERROR(__xludf.DUMMYFUNCTION("""COMPUTED_VALUE"""),"hpn")</f>
        <v>hpn</v>
      </c>
      <c r="C5742" s="3" t="str">
        <f>IFERROR(__xludf.DUMMYFUNCTION("""COMPUTED_VALUE"""),"HyperonChain")</f>
        <v>HyperonChain</v>
      </c>
    </row>
    <row r="5743">
      <c r="A5743" s="3" t="str">
        <f>IFERROR(__xludf.DUMMYFUNCTION("""COMPUTED_VALUE"""),"hyperone")</f>
        <v>hyperone</v>
      </c>
      <c r="B5743" s="3" t="str">
        <f>IFERROR(__xludf.DUMMYFUNCTION("""COMPUTED_VALUE"""),"hot")</f>
        <v>hot</v>
      </c>
      <c r="C5743" s="3" t="str">
        <f>IFERROR(__xludf.DUMMYFUNCTION("""COMPUTED_VALUE"""),"HyperOne")</f>
        <v>HyperOne</v>
      </c>
    </row>
    <row r="5744">
      <c r="A5744" s="3" t="str">
        <f>IFERROR(__xludf.DUMMYFUNCTION("""COMPUTED_VALUE"""),"hyperquant")</f>
        <v>hyperquant</v>
      </c>
      <c r="B5744" s="3" t="str">
        <f>IFERROR(__xludf.DUMMYFUNCTION("""COMPUTED_VALUE"""),"hqt")</f>
        <v>hqt</v>
      </c>
      <c r="C5744" s="3" t="str">
        <f>IFERROR(__xludf.DUMMYFUNCTION("""COMPUTED_VALUE"""),"HyperQuant")</f>
        <v>HyperQuant</v>
      </c>
    </row>
    <row r="5745">
      <c r="A5745" s="3" t="str">
        <f>IFERROR(__xludf.DUMMYFUNCTION("""COMPUTED_VALUE"""),"hyperrun")</f>
        <v>hyperrun</v>
      </c>
      <c r="B5745" s="3" t="str">
        <f>IFERROR(__xludf.DUMMYFUNCTION("""COMPUTED_VALUE"""),"hyperr")</f>
        <v>hyperr</v>
      </c>
      <c r="C5745" s="3" t="str">
        <f>IFERROR(__xludf.DUMMYFUNCTION("""COMPUTED_VALUE"""),"HyperRun")</f>
        <v>HyperRun</v>
      </c>
    </row>
    <row r="5746">
      <c r="A5746" s="3" t="str">
        <f>IFERROR(__xludf.DUMMYFUNCTION("""COMPUTED_VALUE"""),"hypersign-identity-token")</f>
        <v>hypersign-identity-token</v>
      </c>
      <c r="B5746" s="3" t="str">
        <f>IFERROR(__xludf.DUMMYFUNCTION("""COMPUTED_VALUE"""),"hid")</f>
        <v>hid</v>
      </c>
      <c r="C5746" s="3" t="str">
        <f>IFERROR(__xludf.DUMMYFUNCTION("""COMPUTED_VALUE"""),"Hypersign Identity")</f>
        <v>Hypersign Identity</v>
      </c>
    </row>
    <row r="5747">
      <c r="A5747" s="3" t="str">
        <f>IFERROR(__xludf.DUMMYFUNCTION("""COMPUTED_VALUE"""),"hyperstake")</f>
        <v>hyperstake</v>
      </c>
      <c r="B5747" s="3" t="str">
        <f>IFERROR(__xludf.DUMMYFUNCTION("""COMPUTED_VALUE"""),"hyp")</f>
        <v>hyp</v>
      </c>
      <c r="C5747" s="3" t="str">
        <f>IFERROR(__xludf.DUMMYFUNCTION("""COMPUTED_VALUE"""),"Element")</f>
        <v>Element</v>
      </c>
    </row>
    <row r="5748">
      <c r="A5748" s="3" t="str">
        <f>IFERROR(__xludf.DUMMYFUNCTION("""COMPUTED_VALUE"""),"hyperverse")</f>
        <v>hyperverse</v>
      </c>
      <c r="B5748" s="3" t="str">
        <f>IFERROR(__xludf.DUMMYFUNCTION("""COMPUTED_VALUE"""),"hvt")</f>
        <v>hvt</v>
      </c>
      <c r="C5748" s="3" t="str">
        <f>IFERROR(__xludf.DUMMYFUNCTION("""COMPUTED_VALUE"""),"HyperVerse")</f>
        <v>HyperVerse</v>
      </c>
    </row>
    <row r="5749">
      <c r="A5749" s="3" t="str">
        <f>IFERROR(__xludf.DUMMYFUNCTION("""COMPUTED_VALUE"""),"hyruleswap")</f>
        <v>hyruleswap</v>
      </c>
      <c r="B5749" s="3" t="str">
        <f>IFERROR(__xludf.DUMMYFUNCTION("""COMPUTED_VALUE"""),"rupee")</f>
        <v>rupee</v>
      </c>
      <c r="C5749" s="3" t="str">
        <f>IFERROR(__xludf.DUMMYFUNCTION("""COMPUTED_VALUE"""),"HyruleSwap")</f>
        <v>HyruleSwap</v>
      </c>
    </row>
    <row r="5750">
      <c r="A5750" s="3" t="str">
        <f>IFERROR(__xludf.DUMMYFUNCTION("""COMPUTED_VALUE"""),"hyve")</f>
        <v>hyve</v>
      </c>
      <c r="B5750" s="3" t="str">
        <f>IFERROR(__xludf.DUMMYFUNCTION("""COMPUTED_VALUE"""),"hyve")</f>
        <v>hyve</v>
      </c>
      <c r="C5750" s="3" t="str">
        <f>IFERROR(__xludf.DUMMYFUNCTION("""COMPUTED_VALUE"""),"Hyve")</f>
        <v>Hyve</v>
      </c>
    </row>
    <row r="5751">
      <c r="A5751" s="3" t="str">
        <f>IFERROR(__xludf.DUMMYFUNCTION("""COMPUTED_VALUE"""),"hzm-coin")</f>
        <v>hzm-coin</v>
      </c>
      <c r="B5751" s="3" t="str">
        <f>IFERROR(__xludf.DUMMYFUNCTION("""COMPUTED_VALUE"""),"hzm")</f>
        <v>hzm</v>
      </c>
      <c r="C5751" s="3" t="str">
        <f>IFERROR(__xludf.DUMMYFUNCTION("""COMPUTED_VALUE"""),"HZM Coin")</f>
        <v>HZM Coin</v>
      </c>
    </row>
    <row r="5752">
      <c r="A5752" s="3" t="str">
        <f>IFERROR(__xludf.DUMMYFUNCTION("""COMPUTED_VALUE"""),"i0coin")</f>
        <v>i0coin</v>
      </c>
      <c r="B5752" s="3" t="str">
        <f>IFERROR(__xludf.DUMMYFUNCTION("""COMPUTED_VALUE"""),"i0c")</f>
        <v>i0c</v>
      </c>
      <c r="C5752" s="3" t="str">
        <f>IFERROR(__xludf.DUMMYFUNCTION("""COMPUTED_VALUE"""),"I0Coin")</f>
        <v>I0Coin</v>
      </c>
    </row>
    <row r="5753">
      <c r="A5753" s="3" t="str">
        <f>IFERROR(__xludf.DUMMYFUNCTION("""COMPUTED_VALUE"""),"i9-coin")</f>
        <v>i9-coin</v>
      </c>
      <c r="B5753" s="3" t="str">
        <f>IFERROR(__xludf.DUMMYFUNCTION("""COMPUTED_VALUE"""),"i9c")</f>
        <v>i9c</v>
      </c>
      <c r="C5753" s="3" t="str">
        <f>IFERROR(__xludf.DUMMYFUNCTION("""COMPUTED_VALUE"""),"i9 Coin")</f>
        <v>i9 Coin</v>
      </c>
    </row>
    <row r="5754">
      <c r="A5754" s="3" t="str">
        <f>IFERROR(__xludf.DUMMYFUNCTION("""COMPUTED_VALUE"""),"i9x-coin")</f>
        <v>i9x-coin</v>
      </c>
      <c r="B5754" s="3" t="str">
        <f>IFERROR(__xludf.DUMMYFUNCTION("""COMPUTED_VALUE"""),"i9x")</f>
        <v>i9x</v>
      </c>
      <c r="C5754" s="3" t="str">
        <f>IFERROR(__xludf.DUMMYFUNCTION("""COMPUTED_VALUE"""),"i9X Coin")</f>
        <v>i9X Coin</v>
      </c>
    </row>
    <row r="5755">
      <c r="A5755" s="3" t="str">
        <f>IFERROR(__xludf.DUMMYFUNCTION("""COMPUTED_VALUE"""),"iab")</f>
        <v>iab</v>
      </c>
      <c r="B5755" s="3" t="str">
        <f>IFERROR(__xludf.DUMMYFUNCTION("""COMPUTED_VALUE"""),"iab")</f>
        <v>iab</v>
      </c>
      <c r="C5755" s="3" t="str">
        <f>IFERROR(__xludf.DUMMYFUNCTION("""COMPUTED_VALUE"""),"IAB")</f>
        <v>IAB</v>
      </c>
    </row>
    <row r="5756">
      <c r="A5756" s="3" t="str">
        <f>IFERROR(__xludf.DUMMYFUNCTION("""COMPUTED_VALUE"""),"iagon")</f>
        <v>iagon</v>
      </c>
      <c r="B5756" s="3" t="str">
        <f>IFERROR(__xludf.DUMMYFUNCTION("""COMPUTED_VALUE"""),"iag")</f>
        <v>iag</v>
      </c>
      <c r="C5756" s="3" t="str">
        <f>IFERROR(__xludf.DUMMYFUNCTION("""COMPUTED_VALUE"""),"Iagon")</f>
        <v>Iagon</v>
      </c>
    </row>
    <row r="5757">
      <c r="A5757" s="3" t="str">
        <f>IFERROR(__xludf.DUMMYFUNCTION("""COMPUTED_VALUE"""),"iassets")</f>
        <v>iassets</v>
      </c>
      <c r="B5757" s="3" t="str">
        <f>IFERROR(__xludf.DUMMYFUNCTION("""COMPUTED_VALUE"""),"asset")</f>
        <v>asset</v>
      </c>
      <c r="C5757" s="3" t="str">
        <f>IFERROR(__xludf.DUMMYFUNCTION("""COMPUTED_VALUE"""),"iAssets")</f>
        <v>iAssets</v>
      </c>
    </row>
    <row r="5758">
      <c r="A5758" s="3" t="str">
        <f>IFERROR(__xludf.DUMMYFUNCTION("""COMPUTED_VALUE"""),"ibank")</f>
        <v>ibank</v>
      </c>
      <c r="B5758" s="3" t="str">
        <f>IFERROR(__xludf.DUMMYFUNCTION("""COMPUTED_VALUE"""),"ibank")</f>
        <v>ibank</v>
      </c>
      <c r="C5758" s="3" t="str">
        <f>IFERROR(__xludf.DUMMYFUNCTION("""COMPUTED_VALUE"""),"iBank")</f>
        <v>iBank</v>
      </c>
    </row>
    <row r="5759">
      <c r="A5759" s="3" t="str">
        <f>IFERROR(__xludf.DUMMYFUNCTION("""COMPUTED_VALUE"""),"ibetyou")</f>
        <v>ibetyou</v>
      </c>
      <c r="B5759" s="3" t="str">
        <f>IFERROR(__xludf.DUMMYFUNCTION("""COMPUTED_VALUE"""),"iby")</f>
        <v>iby</v>
      </c>
      <c r="C5759" s="3" t="str">
        <f>IFERROR(__xludf.DUMMYFUNCTION("""COMPUTED_VALUE"""),"iBetYou")</f>
        <v>iBetYou</v>
      </c>
    </row>
    <row r="5760">
      <c r="A5760" s="3" t="str">
        <f>IFERROR(__xludf.DUMMYFUNCTION("""COMPUTED_VALUE"""),"ibg-eth")</f>
        <v>ibg-eth</v>
      </c>
      <c r="B5760" s="3" t="str">
        <f>IFERROR(__xludf.DUMMYFUNCTION("""COMPUTED_VALUE"""),"ibg")</f>
        <v>ibg</v>
      </c>
      <c r="C5760" s="3" t="str">
        <f>IFERROR(__xludf.DUMMYFUNCTION("""COMPUTED_VALUE"""),"iBG Finance (ETH)")</f>
        <v>iBG Finance (ETH)</v>
      </c>
    </row>
    <row r="5761">
      <c r="A5761" s="3" t="str">
        <f>IFERROR(__xludf.DUMMYFUNCTION("""COMPUTED_VALUE"""),"ibg-token")</f>
        <v>ibg-token</v>
      </c>
      <c r="B5761" s="3" t="str">
        <f>IFERROR(__xludf.DUMMYFUNCTION("""COMPUTED_VALUE"""),"ibg")</f>
        <v>ibg</v>
      </c>
      <c r="C5761" s="3" t="str">
        <f>IFERROR(__xludf.DUMMYFUNCTION("""COMPUTED_VALUE"""),"iBG Finance (BSC)")</f>
        <v>iBG Finance (BSC)</v>
      </c>
    </row>
    <row r="5762">
      <c r="A5762" s="3" t="str">
        <f>IFERROR(__xludf.DUMMYFUNCTION("""COMPUTED_VALUE"""),"ibithub")</f>
        <v>ibithub</v>
      </c>
      <c r="B5762" s="3" t="str">
        <f>IFERROR(__xludf.DUMMYFUNCTION("""COMPUTED_VALUE"""),"ibh")</f>
        <v>ibh</v>
      </c>
      <c r="C5762" s="3" t="str">
        <f>IFERROR(__xludf.DUMMYFUNCTION("""COMPUTED_VALUE"""),"iBitHub")</f>
        <v>iBitHub</v>
      </c>
    </row>
    <row r="5763">
      <c r="A5763" s="3" t="str">
        <f>IFERROR(__xludf.DUMMYFUNCTION("""COMPUTED_VALUE"""),"ibiza-token")</f>
        <v>ibiza-token</v>
      </c>
      <c r="B5763" s="3" t="str">
        <f>IFERROR(__xludf.DUMMYFUNCTION("""COMPUTED_VALUE"""),"ibz")</f>
        <v>ibz</v>
      </c>
      <c r="C5763" s="3" t="str">
        <f>IFERROR(__xludf.DUMMYFUNCTION("""COMPUTED_VALUE"""),"Ibiza")</f>
        <v>Ibiza</v>
      </c>
    </row>
    <row r="5764">
      <c r="A5764" s="3" t="str">
        <f>IFERROR(__xludf.DUMMYFUNCTION("""COMPUTED_VALUE"""),"ibs")</f>
        <v>ibs</v>
      </c>
      <c r="B5764" s="3" t="str">
        <f>IFERROR(__xludf.DUMMYFUNCTION("""COMPUTED_VALUE"""),"ibs")</f>
        <v>ibs</v>
      </c>
      <c r="C5764" s="3" t="str">
        <f>IFERROR(__xludf.DUMMYFUNCTION("""COMPUTED_VALUE"""),"IBS")</f>
        <v>IBS</v>
      </c>
    </row>
    <row r="5765">
      <c r="A5765" s="3" t="str">
        <f>IFERROR(__xludf.DUMMYFUNCTION("""COMPUTED_VALUE"""),"ibuffer")</f>
        <v>ibuffer</v>
      </c>
      <c r="B5765" s="3" t="str">
        <f>IFERROR(__xludf.DUMMYFUNCTION("""COMPUTED_VALUE"""),"ibfr")</f>
        <v>ibfr</v>
      </c>
      <c r="C5765" s="3" t="str">
        <f>IFERROR(__xludf.DUMMYFUNCTION("""COMPUTED_VALUE"""),"iBuffer")</f>
        <v>iBuffer</v>
      </c>
    </row>
    <row r="5766">
      <c r="A5766" s="3" t="str">
        <f>IFERROR(__xludf.DUMMYFUNCTION("""COMPUTED_VALUE"""),"ibuffer-token")</f>
        <v>ibuffer-token</v>
      </c>
      <c r="B5766" s="3" t="str">
        <f>IFERROR(__xludf.DUMMYFUNCTION("""COMPUTED_VALUE"""),"bfr")</f>
        <v>bfr</v>
      </c>
      <c r="C5766" s="3" t="str">
        <f>IFERROR(__xludf.DUMMYFUNCTION("""COMPUTED_VALUE"""),"Buffer Token")</f>
        <v>Buffer Token</v>
      </c>
    </row>
    <row r="5767">
      <c r="A5767" s="3" t="str">
        <f>IFERROR(__xludf.DUMMYFUNCTION("""COMPUTED_VALUE"""),"icarus-network")</f>
        <v>icarus-network</v>
      </c>
      <c r="B5767" s="3" t="str">
        <f>IFERROR(__xludf.DUMMYFUNCTION("""COMPUTED_VALUE"""),"ica")</f>
        <v>ica</v>
      </c>
      <c r="C5767" s="3" t="str">
        <f>IFERROR(__xludf.DUMMYFUNCTION("""COMPUTED_VALUE"""),"Icarus Network")</f>
        <v>Icarus Network</v>
      </c>
    </row>
    <row r="5768">
      <c r="A5768" s="3" t="str">
        <f>IFERROR(__xludf.DUMMYFUNCTION("""COMPUTED_VALUE"""),"ic-drip-token")</f>
        <v>ic-drip-token</v>
      </c>
      <c r="B5768" s="3" t="str">
        <f>IFERROR(__xludf.DUMMYFUNCTION("""COMPUTED_VALUE"""),"icd")</f>
        <v>icd</v>
      </c>
      <c r="C5768" s="3" t="str">
        <f>IFERROR(__xludf.DUMMYFUNCTION("""COMPUTED_VALUE"""),"IC Drip Token")</f>
        <v>IC Drip Token</v>
      </c>
    </row>
    <row r="5769">
      <c r="A5769" s="3" t="str">
        <f>IFERROR(__xludf.DUMMYFUNCTION("""COMPUTED_VALUE"""),"icebreak-r")</f>
        <v>icebreak-r</v>
      </c>
      <c r="B5769" s="3" t="str">
        <f>IFERROR(__xludf.DUMMYFUNCTION("""COMPUTED_VALUE"""),"icebrk")</f>
        <v>icebrk</v>
      </c>
      <c r="C5769" s="3" t="str">
        <f>IFERROR(__xludf.DUMMYFUNCTION("""COMPUTED_VALUE"""),"IceBreak-R")</f>
        <v>IceBreak-R</v>
      </c>
    </row>
    <row r="5770">
      <c r="A5770" s="3" t="str">
        <f>IFERROR(__xludf.DUMMYFUNCTION("""COMPUTED_VALUE"""),"icecream")</f>
        <v>icecream</v>
      </c>
      <c r="B5770" s="3" t="str">
        <f>IFERROR(__xludf.DUMMYFUNCTION("""COMPUTED_VALUE"""),"ice")</f>
        <v>ice</v>
      </c>
      <c r="C5770" s="3" t="str">
        <f>IFERROR(__xludf.DUMMYFUNCTION("""COMPUTED_VALUE"""),"IceCream")</f>
        <v>IceCream</v>
      </c>
    </row>
    <row r="5771">
      <c r="A5771" s="3" t="str">
        <f>IFERROR(__xludf.DUMMYFUNCTION("""COMPUTED_VALUE"""),"icecream-finance")</f>
        <v>icecream-finance</v>
      </c>
      <c r="B5771" s="3" t="str">
        <f>IFERROR(__xludf.DUMMYFUNCTION("""COMPUTED_VALUE"""),"cream")</f>
        <v>cream</v>
      </c>
      <c r="C5771" s="3" t="str">
        <f>IFERROR(__xludf.DUMMYFUNCTION("""COMPUTED_VALUE"""),"IceCream Finance")</f>
        <v>IceCream Finance</v>
      </c>
    </row>
    <row r="5772">
      <c r="A5772" s="3" t="str">
        <f>IFERROR(__xludf.DUMMYFUNCTION("""COMPUTED_VALUE"""),"icel-idman-yurdu")</f>
        <v>icel-idman-yurdu</v>
      </c>
      <c r="B5772" s="3" t="str">
        <f>IFERROR(__xludf.DUMMYFUNCTION("""COMPUTED_VALUE"""),"miy")</f>
        <v>miy</v>
      </c>
      <c r="C5772" s="3" t="str">
        <f>IFERROR(__xludf.DUMMYFUNCTION("""COMPUTED_VALUE"""),"Icel Idman Yurdu")</f>
        <v>Icel Idman Yurdu</v>
      </c>
    </row>
    <row r="5773">
      <c r="A5773" s="3" t="str">
        <f>IFERROR(__xludf.DUMMYFUNCTION("""COMPUTED_VALUE"""),"ice-token")</f>
        <v>ice-token</v>
      </c>
      <c r="B5773" s="3" t="str">
        <f>IFERROR(__xludf.DUMMYFUNCTION("""COMPUTED_VALUE"""),"ice")</f>
        <v>ice</v>
      </c>
      <c r="C5773" s="3" t="str">
        <f>IFERROR(__xludf.DUMMYFUNCTION("""COMPUTED_VALUE"""),"Popsicle Finance")</f>
        <v>Popsicle Finance</v>
      </c>
    </row>
    <row r="5774">
      <c r="A5774" s="3" t="str">
        <f>IFERROR(__xludf.DUMMYFUNCTION("""COMPUTED_VALUE"""),"ichello")</f>
        <v>ichello</v>
      </c>
      <c r="B5774" s="3" t="str">
        <f>IFERROR(__xludf.DUMMYFUNCTION("""COMPUTED_VALUE"""),"ello")</f>
        <v>ello</v>
      </c>
      <c r="C5774" s="3" t="str">
        <f>IFERROR(__xludf.DUMMYFUNCTION("""COMPUTED_VALUE"""),"Ichello")</f>
        <v>Ichello</v>
      </c>
    </row>
    <row r="5775">
      <c r="A5775" s="3" t="str">
        <f>IFERROR(__xludf.DUMMYFUNCTION("""COMPUTED_VALUE"""),"ichi-farm")</f>
        <v>ichi-farm</v>
      </c>
      <c r="B5775" s="3" t="str">
        <f>IFERROR(__xludf.DUMMYFUNCTION("""COMPUTED_VALUE"""),"ichi")</f>
        <v>ichi</v>
      </c>
      <c r="C5775" s="3" t="str">
        <f>IFERROR(__xludf.DUMMYFUNCTION("""COMPUTED_VALUE"""),"ICHI")</f>
        <v>ICHI</v>
      </c>
    </row>
    <row r="5776">
      <c r="A5776" s="3" t="str">
        <f>IFERROR(__xludf.DUMMYFUNCTION("""COMPUTED_VALUE"""),"ichigo-inu")</f>
        <v>ichigo-inu</v>
      </c>
      <c r="B5776" s="3" t="str">
        <f>IFERROR(__xludf.DUMMYFUNCTION("""COMPUTED_VALUE"""),"ichigo")</f>
        <v>ichigo</v>
      </c>
      <c r="C5776" s="3" t="str">
        <f>IFERROR(__xludf.DUMMYFUNCTION("""COMPUTED_VALUE"""),"Ichigo Inu")</f>
        <v>Ichigo Inu</v>
      </c>
    </row>
    <row r="5777">
      <c r="A5777" s="3" t="str">
        <f>IFERROR(__xludf.DUMMYFUNCTION("""COMPUTED_VALUE"""),"icocryptomarketcap")</f>
        <v>icocryptomarketcap</v>
      </c>
      <c r="B5777" s="3" t="str">
        <f>IFERROR(__xludf.DUMMYFUNCTION("""COMPUTED_VALUE"""),"icmc")</f>
        <v>icmc</v>
      </c>
      <c r="C5777" s="3" t="str">
        <f>IFERROR(__xludf.DUMMYFUNCTION("""COMPUTED_VALUE"""),"IcoCryptoMarketCap")</f>
        <v>IcoCryptoMarketCap</v>
      </c>
    </row>
    <row r="5778">
      <c r="A5778" s="3" t="str">
        <f>IFERROR(__xludf.DUMMYFUNCTION("""COMPUTED_VALUE"""),"i-coin")</f>
        <v>i-coin</v>
      </c>
      <c r="B5778" s="3" t="str">
        <f>IFERROR(__xludf.DUMMYFUNCTION("""COMPUTED_VALUE"""),"icn")</f>
        <v>icn</v>
      </c>
      <c r="C5778" s="3" t="str">
        <f>IFERROR(__xludf.DUMMYFUNCTION("""COMPUTED_VALUE"""),"I-Coin V2")</f>
        <v>I-Coin V2</v>
      </c>
    </row>
    <row r="5779">
      <c r="A5779" s="3" t="str">
        <f>IFERROR(__xludf.DUMMYFUNCTION("""COMPUTED_VALUE"""),"icolcoin")</f>
        <v>icolcoin</v>
      </c>
      <c r="B5779" s="3" t="str">
        <f>IFERROR(__xludf.DUMMYFUNCTION("""COMPUTED_VALUE"""),"icol")</f>
        <v>icol</v>
      </c>
      <c r="C5779" s="3" t="str">
        <f>IFERROR(__xludf.DUMMYFUNCTION("""COMPUTED_VALUE"""),"Icolcoin")</f>
        <v>Icolcoin</v>
      </c>
    </row>
    <row r="5780">
      <c r="A5780" s="3" t="str">
        <f>IFERROR(__xludf.DUMMYFUNCTION("""COMPUTED_VALUE"""),"icomex")</f>
        <v>icomex</v>
      </c>
      <c r="B5780" s="3" t="str">
        <f>IFERROR(__xludf.DUMMYFUNCTION("""COMPUTED_VALUE"""),"icmx")</f>
        <v>icmx</v>
      </c>
      <c r="C5780" s="3" t="str">
        <f>IFERROR(__xludf.DUMMYFUNCTION("""COMPUTED_VALUE"""),"iCOMEX")</f>
        <v>iCOMEX</v>
      </c>
    </row>
    <row r="5781">
      <c r="A5781" s="3" t="str">
        <f>IFERROR(__xludf.DUMMYFUNCTION("""COMPUTED_VALUE"""),"icommunity")</f>
        <v>icommunity</v>
      </c>
      <c r="B5781" s="3" t="str">
        <f>IFERROR(__xludf.DUMMYFUNCTION("""COMPUTED_VALUE"""),"icom")</f>
        <v>icom</v>
      </c>
      <c r="C5781" s="3" t="str">
        <f>IFERROR(__xludf.DUMMYFUNCTION("""COMPUTED_VALUE"""),"iCommunity")</f>
        <v>iCommunity</v>
      </c>
    </row>
    <row r="5782">
      <c r="A5782" s="3" t="str">
        <f>IFERROR(__xludf.DUMMYFUNCTION("""COMPUTED_VALUE"""),"icon")</f>
        <v>icon</v>
      </c>
      <c r="B5782" s="3" t="str">
        <f>IFERROR(__xludf.DUMMYFUNCTION("""COMPUTED_VALUE"""),"icx")</f>
        <v>icx</v>
      </c>
      <c r="C5782" s="3" t="str">
        <f>IFERROR(__xludf.DUMMYFUNCTION("""COMPUTED_VALUE"""),"ICON")</f>
        <v>ICON</v>
      </c>
    </row>
    <row r="5783">
      <c r="A5783" s="3" t="str">
        <f>IFERROR(__xludf.DUMMYFUNCTION("""COMPUTED_VALUE"""),"iconiq-lab-token")</f>
        <v>iconiq-lab-token</v>
      </c>
      <c r="B5783" s="3" t="str">
        <f>IFERROR(__xludf.DUMMYFUNCTION("""COMPUTED_VALUE"""),"icnq")</f>
        <v>icnq</v>
      </c>
      <c r="C5783" s="3" t="str">
        <f>IFERROR(__xludf.DUMMYFUNCTION("""COMPUTED_VALUE"""),"Iconic ICNQ")</f>
        <v>Iconic ICNQ</v>
      </c>
    </row>
    <row r="5784">
      <c r="A5784" s="3" t="str">
        <f>IFERROR(__xludf.DUMMYFUNCTION("""COMPUTED_VALUE"""),"icon-usdc")</f>
        <v>icon-usdc</v>
      </c>
      <c r="B5784" s="3" t="str">
        <f>IFERROR(__xludf.DUMMYFUNCTION("""COMPUTED_VALUE"""),"iusdc")</f>
        <v>iusdc</v>
      </c>
      <c r="C5784" s="3" t="str">
        <f>IFERROR(__xludf.DUMMYFUNCTION("""COMPUTED_VALUE"""),"Icon USDC")</f>
        <v>Icon USDC</v>
      </c>
    </row>
    <row r="5785">
      <c r="A5785" s="3" t="str">
        <f>IFERROR(__xludf.DUMMYFUNCTION("""COMPUTED_VALUE"""),"icosa")</f>
        <v>icosa</v>
      </c>
      <c r="B5785" s="3" t="str">
        <f>IFERROR(__xludf.DUMMYFUNCTION("""COMPUTED_VALUE"""),"icsa")</f>
        <v>icsa</v>
      </c>
      <c r="C5785" s="3" t="str">
        <f>IFERROR(__xludf.DUMMYFUNCTION("""COMPUTED_VALUE"""),"Icosa")</f>
        <v>Icosa</v>
      </c>
    </row>
    <row r="5786">
      <c r="A5786" s="3" t="str">
        <f>IFERROR(__xludf.DUMMYFUNCTION("""COMPUTED_VALUE"""),"icy-money")</f>
        <v>icy-money</v>
      </c>
      <c r="B5786" s="3" t="str">
        <f>IFERROR(__xludf.DUMMYFUNCTION("""COMPUTED_VALUE"""),"icy")</f>
        <v>icy</v>
      </c>
      <c r="C5786" s="3" t="str">
        <f>IFERROR(__xludf.DUMMYFUNCTION("""COMPUTED_VALUE"""),"ICY.MONEY")</f>
        <v>ICY.MONEY</v>
      </c>
    </row>
    <row r="5787">
      <c r="A5787" s="3" t="str">
        <f>IFERROR(__xludf.DUMMYFUNCTION("""COMPUTED_VALUE"""),"idavoll-network")</f>
        <v>idavoll-network</v>
      </c>
      <c r="B5787" s="3" t="str">
        <f>IFERROR(__xludf.DUMMYFUNCTION("""COMPUTED_VALUE"""),"idv")</f>
        <v>idv</v>
      </c>
      <c r="C5787" s="3" t="str">
        <f>IFERROR(__xludf.DUMMYFUNCTION("""COMPUTED_VALUE"""),"Idavoll DAO")</f>
        <v>Idavoll DAO</v>
      </c>
    </row>
    <row r="5788">
      <c r="A5788" s="3" t="str">
        <f>IFERROR(__xludf.DUMMYFUNCTION("""COMPUTED_VALUE"""),"ideachain")</f>
        <v>ideachain</v>
      </c>
      <c r="B5788" s="3" t="str">
        <f>IFERROR(__xludf.DUMMYFUNCTION("""COMPUTED_VALUE"""),"ich")</f>
        <v>ich</v>
      </c>
      <c r="C5788" s="3" t="str">
        <f>IFERROR(__xludf.DUMMYFUNCTION("""COMPUTED_VALUE"""),"IdeaChain")</f>
        <v>IdeaChain</v>
      </c>
    </row>
    <row r="5789">
      <c r="A5789" s="3" t="str">
        <f>IFERROR(__xludf.DUMMYFUNCTION("""COMPUTED_VALUE"""),"ideamarket")</f>
        <v>ideamarket</v>
      </c>
      <c r="B5789" s="3" t="str">
        <f>IFERROR(__xludf.DUMMYFUNCTION("""COMPUTED_VALUE"""),"imo")</f>
        <v>imo</v>
      </c>
      <c r="C5789" s="3" t="str">
        <f>IFERROR(__xludf.DUMMYFUNCTION("""COMPUTED_VALUE"""),"Ideamarket")</f>
        <v>Ideamarket</v>
      </c>
    </row>
    <row r="5790">
      <c r="A5790" s="3" t="str">
        <f>IFERROR(__xludf.DUMMYFUNCTION("""COMPUTED_VALUE"""),"ideanet-token")</f>
        <v>ideanet-token</v>
      </c>
      <c r="B5790" s="3" t="str">
        <f>IFERROR(__xludf.DUMMYFUNCTION("""COMPUTED_VALUE"""),"inet")</f>
        <v>inet</v>
      </c>
      <c r="C5790" s="3" t="str">
        <f>IFERROR(__xludf.DUMMYFUNCTION("""COMPUTED_VALUE"""),"Ideanet")</f>
        <v>Ideanet</v>
      </c>
    </row>
    <row r="5791">
      <c r="A5791" s="3" t="str">
        <f>IFERROR(__xludf.DUMMYFUNCTION("""COMPUTED_VALUE"""),"ideaology")</f>
        <v>ideaology</v>
      </c>
      <c r="B5791" s="3" t="str">
        <f>IFERROR(__xludf.DUMMYFUNCTION("""COMPUTED_VALUE"""),"idea")</f>
        <v>idea</v>
      </c>
      <c r="C5791" s="3" t="str">
        <f>IFERROR(__xludf.DUMMYFUNCTION("""COMPUTED_VALUE"""),"Ideaology")</f>
        <v>Ideaology</v>
      </c>
    </row>
    <row r="5792">
      <c r="A5792" s="3" t="str">
        <f>IFERROR(__xludf.DUMMYFUNCTION("""COMPUTED_VALUE"""),"ideas")</f>
        <v>ideas</v>
      </c>
      <c r="B5792" s="3" t="str">
        <f>IFERROR(__xludf.DUMMYFUNCTION("""COMPUTED_VALUE"""),"ids")</f>
        <v>ids</v>
      </c>
      <c r="C5792" s="3" t="str">
        <f>IFERROR(__xludf.DUMMYFUNCTION("""COMPUTED_VALUE"""),"IDEAS")</f>
        <v>IDEAS</v>
      </c>
    </row>
    <row r="5793">
      <c r="A5793" s="3" t="str">
        <f>IFERROR(__xludf.DUMMYFUNCTION("""COMPUTED_VALUE"""),"idefiyieldprotocol")</f>
        <v>idefiyieldprotocol</v>
      </c>
      <c r="B5793" s="3" t="str">
        <f>IFERROR(__xludf.DUMMYFUNCTION("""COMPUTED_VALUE"""),"idyp")</f>
        <v>idyp</v>
      </c>
      <c r="C5793" s="3" t="str">
        <f>IFERROR(__xludf.DUMMYFUNCTION("""COMPUTED_VALUE"""),"iDeFiYieldProtocol")</f>
        <v>iDeFiYieldProtocol</v>
      </c>
    </row>
    <row r="5794">
      <c r="A5794" s="3" t="str">
        <f>IFERROR(__xludf.DUMMYFUNCTION("""COMPUTED_VALUE"""),"idena")</f>
        <v>idena</v>
      </c>
      <c r="B5794" s="3" t="str">
        <f>IFERROR(__xludf.DUMMYFUNCTION("""COMPUTED_VALUE"""),"idna")</f>
        <v>idna</v>
      </c>
      <c r="C5794" s="3" t="str">
        <f>IFERROR(__xludf.DUMMYFUNCTION("""COMPUTED_VALUE"""),"Idena")</f>
        <v>Idena</v>
      </c>
    </row>
    <row r="5795">
      <c r="A5795" s="3" t="str">
        <f>IFERROR(__xludf.DUMMYFUNCTION("""COMPUTED_VALUE"""),"idendefi")</f>
        <v>idendefi</v>
      </c>
      <c r="B5795" s="3" t="str">
        <f>IFERROR(__xludf.DUMMYFUNCTION("""COMPUTED_VALUE"""),"id")</f>
        <v>id</v>
      </c>
      <c r="C5795" s="3" t="str">
        <f>IFERROR(__xludf.DUMMYFUNCTION("""COMPUTED_VALUE"""),"IdenDEFI")</f>
        <v>IdenDEFI</v>
      </c>
    </row>
    <row r="5796">
      <c r="A5796" s="3" t="str">
        <f>IFERROR(__xludf.DUMMYFUNCTION("""COMPUTED_VALUE"""),"identity")</f>
        <v>identity</v>
      </c>
      <c r="B5796" s="3" t="str">
        <f>IFERROR(__xludf.DUMMYFUNCTION("""COMPUTED_VALUE"""),"idtt")</f>
        <v>idtt</v>
      </c>
      <c r="C5796" s="3" t="str">
        <f>IFERROR(__xludf.DUMMYFUNCTION("""COMPUTED_VALUE"""),"Identity")</f>
        <v>Identity</v>
      </c>
    </row>
    <row r="5797">
      <c r="A5797" s="3" t="str">
        <f>IFERROR(__xludf.DUMMYFUNCTION("""COMPUTED_VALUE"""),"idexo-token")</f>
        <v>idexo-token</v>
      </c>
      <c r="B5797" s="3" t="str">
        <f>IFERROR(__xludf.DUMMYFUNCTION("""COMPUTED_VALUE"""),"ido")</f>
        <v>ido</v>
      </c>
      <c r="C5797" s="3" t="str">
        <f>IFERROR(__xludf.DUMMYFUNCTION("""COMPUTED_VALUE"""),"Idexo")</f>
        <v>Idexo</v>
      </c>
    </row>
    <row r="5798">
      <c r="A5798" s="3" t="str">
        <f>IFERROR(__xludf.DUMMYFUNCTION("""COMPUTED_VALUE"""),"idia")</f>
        <v>idia</v>
      </c>
      <c r="B5798" s="3" t="str">
        <f>IFERROR(__xludf.DUMMYFUNCTION("""COMPUTED_VALUE"""),"idia")</f>
        <v>idia</v>
      </c>
      <c r="C5798" s="3" t="str">
        <f>IFERROR(__xludf.DUMMYFUNCTION("""COMPUTED_VALUE"""),"Impossible Finance Launchpad")</f>
        <v>Impossible Finance Launchpad</v>
      </c>
    </row>
    <row r="5799">
      <c r="A5799" s="3" t="str">
        <f>IFERROR(__xludf.DUMMYFUNCTION("""COMPUTED_VALUE"""),"idk")</f>
        <v>idk</v>
      </c>
      <c r="B5799" s="3" t="str">
        <f>IFERROR(__xludf.DUMMYFUNCTION("""COMPUTED_VALUE"""),"idk")</f>
        <v>idk</v>
      </c>
      <c r="C5799" s="3" t="str">
        <f>IFERROR(__xludf.DUMMYFUNCTION("""COMPUTED_VALUE"""),"IDK")</f>
        <v>IDK</v>
      </c>
    </row>
    <row r="5800">
      <c r="A5800" s="3" t="str">
        <f>IFERROR(__xludf.DUMMYFUNCTION("""COMPUTED_VALUE"""),"idle")</f>
        <v>idle</v>
      </c>
      <c r="B5800" s="3" t="str">
        <f>IFERROR(__xludf.DUMMYFUNCTION("""COMPUTED_VALUE"""),"idle")</f>
        <v>idle</v>
      </c>
      <c r="C5800" s="3" t="str">
        <f>IFERROR(__xludf.DUMMYFUNCTION("""COMPUTED_VALUE"""),"IDLE")</f>
        <v>IDLE</v>
      </c>
    </row>
    <row r="5801">
      <c r="A5801" s="3" t="str">
        <f>IFERROR(__xludf.DUMMYFUNCTION("""COMPUTED_VALUE"""),"idle-cyber")</f>
        <v>idle-cyber</v>
      </c>
      <c r="B5801" s="3" t="str">
        <f>IFERROR(__xludf.DUMMYFUNCTION("""COMPUTED_VALUE"""),"afk")</f>
        <v>afk</v>
      </c>
      <c r="C5801" s="3" t="str">
        <f>IFERROR(__xludf.DUMMYFUNCTION("""COMPUTED_VALUE"""),"Idle Cyber")</f>
        <v>Idle Cyber</v>
      </c>
    </row>
    <row r="5802">
      <c r="A5802" s="3" t="str">
        <f>IFERROR(__xludf.DUMMYFUNCTION("""COMPUTED_VALUE"""),"idle-dai-risk-adjusted")</f>
        <v>idle-dai-risk-adjusted</v>
      </c>
      <c r="B5802" s="3" t="str">
        <f>IFERROR(__xludf.DUMMYFUNCTION("""COMPUTED_VALUE"""),"idledaisafe")</f>
        <v>idledaisafe</v>
      </c>
      <c r="C5802" s="3" t="str">
        <f>IFERROR(__xludf.DUMMYFUNCTION("""COMPUTED_VALUE"""),"IdleDAI (Risk Adjusted)")</f>
        <v>IdleDAI (Risk Adjusted)</v>
      </c>
    </row>
    <row r="5803">
      <c r="A5803" s="3" t="str">
        <f>IFERROR(__xludf.DUMMYFUNCTION("""COMPUTED_VALUE"""),"idle-dai-yield")</f>
        <v>idle-dai-yield</v>
      </c>
      <c r="B5803" s="3" t="str">
        <f>IFERROR(__xludf.DUMMYFUNCTION("""COMPUTED_VALUE"""),"idledaiyield")</f>
        <v>idledaiyield</v>
      </c>
      <c r="C5803" s="3" t="str">
        <f>IFERROR(__xludf.DUMMYFUNCTION("""COMPUTED_VALUE"""),"IdleDAI (Best Yield)")</f>
        <v>IdleDAI (Best Yield)</v>
      </c>
    </row>
    <row r="5804">
      <c r="A5804" s="3" t="str">
        <f>IFERROR(__xludf.DUMMYFUNCTION("""COMPUTED_VALUE"""),"idle-mystic")</f>
        <v>idle-mystic</v>
      </c>
      <c r="B5804" s="3" t="str">
        <f>IFERROR(__xludf.DUMMYFUNCTION("""COMPUTED_VALUE"""),"mst")</f>
        <v>mst</v>
      </c>
      <c r="C5804" s="3" t="str">
        <f>IFERROR(__xludf.DUMMYFUNCTION("""COMPUTED_VALUE"""),"Idle Mystic")</f>
        <v>Idle Mystic</v>
      </c>
    </row>
    <row r="5805">
      <c r="A5805" s="3" t="str">
        <f>IFERROR(__xludf.DUMMYFUNCTION("""COMPUTED_VALUE"""),"idle-mystic-token")</f>
        <v>idle-mystic-token</v>
      </c>
      <c r="B5805" s="3" t="str">
        <f>IFERROR(__xludf.DUMMYFUNCTION("""COMPUTED_VALUE"""),"imt")</f>
        <v>imt</v>
      </c>
      <c r="C5805" s="3" t="str">
        <f>IFERROR(__xludf.DUMMYFUNCTION("""COMPUTED_VALUE"""),"Infinite Metaverse")</f>
        <v>Infinite Metaverse</v>
      </c>
    </row>
    <row r="5806">
      <c r="A5806" s="3" t="str">
        <f>IFERROR(__xludf.DUMMYFUNCTION("""COMPUTED_VALUE"""),"idle-susd-yield")</f>
        <v>idle-susd-yield</v>
      </c>
      <c r="B5806" s="3" t="str">
        <f>IFERROR(__xludf.DUMMYFUNCTION("""COMPUTED_VALUE"""),"idlesusdyield")</f>
        <v>idlesusdyield</v>
      </c>
      <c r="C5806" s="3" t="str">
        <f>IFERROR(__xludf.DUMMYFUNCTION("""COMPUTED_VALUE"""),"IdleSUSD (Yield)")</f>
        <v>IdleSUSD (Yield)</v>
      </c>
    </row>
    <row r="5807">
      <c r="A5807" s="3" t="str">
        <f>IFERROR(__xludf.DUMMYFUNCTION("""COMPUTED_VALUE"""),"idle-token")</f>
        <v>idle-token</v>
      </c>
      <c r="B5807" s="3" t="str">
        <f>IFERROR(__xludf.DUMMYFUNCTION("""COMPUTED_VALUE"""),"idle")</f>
        <v>idle</v>
      </c>
      <c r="C5807" s="3" t="str">
        <f>IFERROR(__xludf.DUMMYFUNCTION("""COMPUTED_VALUE"""),"Idle Cyber Game")</f>
        <v>Idle Cyber Game</v>
      </c>
    </row>
    <row r="5808">
      <c r="A5808" s="3" t="str">
        <f>IFERROR(__xludf.DUMMYFUNCTION("""COMPUTED_VALUE"""),"idletreasureparty")</f>
        <v>idletreasureparty</v>
      </c>
      <c r="B5808" s="3" t="str">
        <f>IFERROR(__xludf.DUMMYFUNCTION("""COMPUTED_VALUE"""),"dtevil")</f>
        <v>dtevil</v>
      </c>
      <c r="C5808" s="3" t="str">
        <f>IFERROR(__xludf.DUMMYFUNCTION("""COMPUTED_VALUE"""),"IdleTreasureParty")</f>
        <v>IdleTreasureParty</v>
      </c>
    </row>
    <row r="5809">
      <c r="A5809" s="3" t="str">
        <f>IFERROR(__xludf.DUMMYFUNCTION("""COMPUTED_VALUE"""),"idle-tusd-yield")</f>
        <v>idle-tusd-yield</v>
      </c>
      <c r="B5809" s="3" t="str">
        <f>IFERROR(__xludf.DUMMYFUNCTION("""COMPUTED_VALUE"""),"idletusdyield")</f>
        <v>idletusdyield</v>
      </c>
      <c r="C5809" s="3" t="str">
        <f>IFERROR(__xludf.DUMMYFUNCTION("""COMPUTED_VALUE"""),"IdleTUSD (Best Yield)")</f>
        <v>IdleTUSD (Best Yield)</v>
      </c>
    </row>
    <row r="5810">
      <c r="A5810" s="3" t="str">
        <f>IFERROR(__xludf.DUMMYFUNCTION("""COMPUTED_VALUE"""),"idle-usdc-risk-adjusted")</f>
        <v>idle-usdc-risk-adjusted</v>
      </c>
      <c r="B5810" s="3" t="str">
        <f>IFERROR(__xludf.DUMMYFUNCTION("""COMPUTED_VALUE"""),"idleusdcsafe")</f>
        <v>idleusdcsafe</v>
      </c>
      <c r="C5810" s="3" t="str">
        <f>IFERROR(__xludf.DUMMYFUNCTION("""COMPUTED_VALUE"""),"IdleUSDC (Risk Adjusted)")</f>
        <v>IdleUSDC (Risk Adjusted)</v>
      </c>
    </row>
    <row r="5811">
      <c r="A5811" s="3" t="str">
        <f>IFERROR(__xludf.DUMMYFUNCTION("""COMPUTED_VALUE"""),"idle-usdc-yield")</f>
        <v>idle-usdc-yield</v>
      </c>
      <c r="B5811" s="3" t="str">
        <f>IFERROR(__xludf.DUMMYFUNCTION("""COMPUTED_VALUE"""),"idleusdcyield")</f>
        <v>idleusdcyield</v>
      </c>
      <c r="C5811" s="3" t="str">
        <f>IFERROR(__xludf.DUMMYFUNCTION("""COMPUTED_VALUE"""),"IdleUSDC (Yield)")</f>
        <v>IdleUSDC (Yield)</v>
      </c>
    </row>
    <row r="5812">
      <c r="A5812" s="3" t="str">
        <f>IFERROR(__xludf.DUMMYFUNCTION("""COMPUTED_VALUE"""),"idle-usdt-risk-adjusted")</f>
        <v>idle-usdt-risk-adjusted</v>
      </c>
      <c r="B5812" s="3" t="str">
        <f>IFERROR(__xludf.DUMMYFUNCTION("""COMPUTED_VALUE"""),"idleusdtsafe")</f>
        <v>idleusdtsafe</v>
      </c>
      <c r="C5812" s="3" t="str">
        <f>IFERROR(__xludf.DUMMYFUNCTION("""COMPUTED_VALUE"""),"IdleUSDT (Risk Adjusted)")</f>
        <v>IdleUSDT (Risk Adjusted)</v>
      </c>
    </row>
    <row r="5813">
      <c r="A5813" s="3" t="str">
        <f>IFERROR(__xludf.DUMMYFUNCTION("""COMPUTED_VALUE"""),"idle-usdt-yield")</f>
        <v>idle-usdt-yield</v>
      </c>
      <c r="B5813" s="3" t="str">
        <f>IFERROR(__xludf.DUMMYFUNCTION("""COMPUTED_VALUE"""),"idleusdtyield")</f>
        <v>idleusdtyield</v>
      </c>
      <c r="C5813" s="3" t="str">
        <f>IFERROR(__xludf.DUMMYFUNCTION("""COMPUTED_VALUE"""),"IdleUSDT (Yield)")</f>
        <v>IdleUSDT (Yield)</v>
      </c>
    </row>
    <row r="5814">
      <c r="A5814" s="3" t="str">
        <f>IFERROR(__xludf.DUMMYFUNCTION("""COMPUTED_VALUE"""),"idle-wbtc-yield")</f>
        <v>idle-wbtc-yield</v>
      </c>
      <c r="B5814" s="3" t="str">
        <f>IFERROR(__xludf.DUMMYFUNCTION("""COMPUTED_VALUE"""),"idlewbtcyield")</f>
        <v>idlewbtcyield</v>
      </c>
      <c r="C5814" s="3" t="str">
        <f>IFERROR(__xludf.DUMMYFUNCTION("""COMPUTED_VALUE"""),"IdleWBTC (Best Yield)")</f>
        <v>IdleWBTC (Best Yield)</v>
      </c>
    </row>
    <row r="5815">
      <c r="A5815" s="3" t="str">
        <f>IFERROR(__xludf.DUMMYFUNCTION("""COMPUTED_VALUE"""),"idm-token")</f>
        <v>idm-token</v>
      </c>
      <c r="B5815" s="3" t="str">
        <f>IFERROR(__xludf.DUMMYFUNCTION("""COMPUTED_VALUE"""),"idm")</f>
        <v>idm</v>
      </c>
      <c r="C5815" s="3" t="str">
        <f>IFERROR(__xludf.DUMMYFUNCTION("""COMPUTED_VALUE"""),"IDM Coop")</f>
        <v>IDM Coop</v>
      </c>
    </row>
    <row r="5816">
      <c r="A5816" s="3" t="str">
        <f>IFERROR(__xludf.DUMMYFUNCTION("""COMPUTED_VALUE"""),"idol")</f>
        <v>idol</v>
      </c>
      <c r="B5816" s="3" t="str">
        <f>IFERROR(__xludf.DUMMYFUNCTION("""COMPUTED_VALUE"""),"$idol")</f>
        <v>$idol</v>
      </c>
      <c r="C5816" s="3" t="str">
        <f>IFERROR(__xludf.DUMMYFUNCTION("""COMPUTED_VALUE"""),"IDOL")</f>
        <v>IDOL</v>
      </c>
    </row>
    <row r="5817">
      <c r="A5817" s="3" t="str">
        <f>IFERROR(__xludf.DUMMYFUNCTION("""COMPUTED_VALUE"""),"idoscan")</f>
        <v>idoscan</v>
      </c>
      <c r="B5817" s="3" t="str">
        <f>IFERROR(__xludf.DUMMYFUNCTION("""COMPUTED_VALUE"""),"idoscan")</f>
        <v>idoscan</v>
      </c>
      <c r="C5817" s="3" t="str">
        <f>IFERROR(__xludf.DUMMYFUNCTION("""COMPUTED_VALUE"""),"Idoscan")</f>
        <v>Idoscan</v>
      </c>
    </row>
    <row r="5818">
      <c r="A5818" s="3" t="str">
        <f>IFERROR(__xludf.DUMMYFUNCTION("""COMPUTED_VALUE"""),"iethereum")</f>
        <v>iethereum</v>
      </c>
      <c r="B5818" s="3" t="str">
        <f>IFERROR(__xludf.DUMMYFUNCTION("""COMPUTED_VALUE"""),"ieth")</f>
        <v>ieth</v>
      </c>
      <c r="C5818" s="3" t="str">
        <f>IFERROR(__xludf.DUMMYFUNCTION("""COMPUTED_VALUE"""),"iEthereum")</f>
        <v>iEthereum</v>
      </c>
    </row>
    <row r="5819">
      <c r="A5819" s="3" t="str">
        <f>IFERROR(__xludf.DUMMYFUNCTION("""COMPUTED_VALUE"""),"iexec-rlc")</f>
        <v>iexec-rlc</v>
      </c>
      <c r="B5819" s="3" t="str">
        <f>IFERROR(__xludf.DUMMYFUNCTION("""COMPUTED_VALUE"""),"rlc")</f>
        <v>rlc</v>
      </c>
      <c r="C5819" s="3" t="str">
        <f>IFERROR(__xludf.DUMMYFUNCTION("""COMPUTED_VALUE"""),"iExec RLC")</f>
        <v>iExec RLC</v>
      </c>
    </row>
    <row r="5820">
      <c r="A5820" s="3" t="str">
        <f>IFERROR(__xludf.DUMMYFUNCTION("""COMPUTED_VALUE"""),"ifarm")</f>
        <v>ifarm</v>
      </c>
      <c r="B5820" s="3" t="str">
        <f>IFERROR(__xludf.DUMMYFUNCTION("""COMPUTED_VALUE"""),"ifarm")</f>
        <v>ifarm</v>
      </c>
      <c r="C5820" s="3" t="str">
        <f>IFERROR(__xludf.DUMMYFUNCTION("""COMPUTED_VALUE"""),"iFARM")</f>
        <v>iFARM</v>
      </c>
    </row>
    <row r="5821">
      <c r="A5821" s="3" t="str">
        <f>IFERROR(__xludf.DUMMYFUNCTION("""COMPUTED_VALUE"""),"ifoswap-token")</f>
        <v>ifoswap-token</v>
      </c>
      <c r="B5821" s="3" t="str">
        <f>IFERROR(__xludf.DUMMYFUNCTION("""COMPUTED_VALUE"""),"h2o")</f>
        <v>h2o</v>
      </c>
      <c r="C5821" s="3" t="str">
        <f>IFERROR(__xludf.DUMMYFUNCTION("""COMPUTED_VALUE"""),"IFOSwap")</f>
        <v>IFOSwap</v>
      </c>
    </row>
    <row r="5822">
      <c r="A5822" s="3" t="str">
        <f>IFERROR(__xludf.DUMMYFUNCTION("""COMPUTED_VALUE"""),"iftoken")</f>
        <v>iftoken</v>
      </c>
      <c r="B5822" s="3" t="str">
        <f>IFERROR(__xludf.DUMMYFUNCTION("""COMPUTED_VALUE"""),"ift")</f>
        <v>ift</v>
      </c>
      <c r="C5822" s="3" t="str">
        <f>IFERROR(__xludf.DUMMYFUNCTION("""COMPUTED_VALUE"""),"IFT")</f>
        <v>IFT</v>
      </c>
    </row>
    <row r="5823">
      <c r="A5823" s="3" t="str">
        <f>IFERROR(__xludf.DUMMYFUNCTION("""COMPUTED_VALUE"""),"ifx24")</f>
        <v>ifx24</v>
      </c>
      <c r="B5823" s="3" t="str">
        <f>IFERROR(__xludf.DUMMYFUNCTION("""COMPUTED_VALUE"""),"ifx24")</f>
        <v>ifx24</v>
      </c>
      <c r="C5823" s="3" t="str">
        <f>IFERROR(__xludf.DUMMYFUNCTION("""COMPUTED_VALUE"""),"IFX24")</f>
        <v>IFX24</v>
      </c>
    </row>
    <row r="5824">
      <c r="A5824" s="3" t="str">
        <f>IFERROR(__xludf.DUMMYFUNCTION("""COMPUTED_VALUE"""),"ig-gold")</f>
        <v>ig-gold</v>
      </c>
      <c r="B5824" s="3" t="str">
        <f>IFERROR(__xludf.DUMMYFUNCTION("""COMPUTED_VALUE"""),"igg")</f>
        <v>igg</v>
      </c>
      <c r="C5824" s="3" t="str">
        <f>IFERROR(__xludf.DUMMYFUNCTION("""COMPUTED_VALUE"""),"IG Gold")</f>
        <v>IG Gold</v>
      </c>
    </row>
    <row r="5825">
      <c r="A5825" s="3" t="str">
        <f>IFERROR(__xludf.DUMMYFUNCTION("""COMPUTED_VALUE"""),"ignis")</f>
        <v>ignis</v>
      </c>
      <c r="B5825" s="3" t="str">
        <f>IFERROR(__xludf.DUMMYFUNCTION("""COMPUTED_VALUE"""),"ignis")</f>
        <v>ignis</v>
      </c>
      <c r="C5825" s="3" t="str">
        <f>IFERROR(__xludf.DUMMYFUNCTION("""COMPUTED_VALUE"""),"Ignis")</f>
        <v>Ignis</v>
      </c>
    </row>
    <row r="5826">
      <c r="A5826" s="3" t="str">
        <f>IFERROR(__xludf.DUMMYFUNCTION("""COMPUTED_VALUE"""),"ignite-2")</f>
        <v>ignite-2</v>
      </c>
      <c r="B5826" s="3" t="str">
        <f>IFERROR(__xludf.DUMMYFUNCTION("""COMPUTED_VALUE"""),"igt")</f>
        <v>igt</v>
      </c>
      <c r="C5826" s="3" t="str">
        <f>IFERROR(__xludf.DUMMYFUNCTION("""COMPUTED_VALUE"""),"Ignite")</f>
        <v>Ignite</v>
      </c>
    </row>
    <row r="5827">
      <c r="A5827" s="3" t="str">
        <f>IFERROR(__xludf.DUMMYFUNCTION("""COMPUTED_VALUE"""),"ignition")</f>
        <v>ignition</v>
      </c>
      <c r="B5827" s="3" t="str">
        <f>IFERROR(__xludf.DUMMYFUNCTION("""COMPUTED_VALUE"""),"ic")</f>
        <v>ic</v>
      </c>
      <c r="C5827" s="3" t="str">
        <f>IFERROR(__xludf.DUMMYFUNCTION("""COMPUTED_VALUE"""),"Ignition")</f>
        <v>Ignition</v>
      </c>
    </row>
    <row r="5828">
      <c r="A5828" s="3" t="str">
        <f>IFERROR(__xludf.DUMMYFUNCTION("""COMPUTED_VALUE"""),"igtoken")</f>
        <v>igtoken</v>
      </c>
      <c r="B5828" s="3" t="str">
        <f>IFERROR(__xludf.DUMMYFUNCTION("""COMPUTED_VALUE"""),"ig")</f>
        <v>ig</v>
      </c>
      <c r="C5828" s="3" t="str">
        <f>IFERROR(__xludf.DUMMYFUNCTION("""COMPUTED_VALUE"""),"IGT")</f>
        <v>IGT</v>
      </c>
    </row>
    <row r="5829">
      <c r="A5829" s="3" t="str">
        <f>IFERROR(__xludf.DUMMYFUNCTION("""COMPUTED_VALUE"""),"iht-real-estate-protocol")</f>
        <v>iht-real-estate-protocol</v>
      </c>
      <c r="B5829" s="3" t="str">
        <f>IFERROR(__xludf.DUMMYFUNCTION("""COMPUTED_VALUE"""),"iht")</f>
        <v>iht</v>
      </c>
      <c r="C5829" s="3" t="str">
        <f>IFERROR(__xludf.DUMMYFUNCTION("""COMPUTED_VALUE"""),"IHT Real Estate Protocol")</f>
        <v>IHT Real Estate Protocol</v>
      </c>
    </row>
    <row r="5830">
      <c r="A5830" s="3" t="str">
        <f>IFERROR(__xludf.DUMMYFUNCTION("""COMPUTED_VALUE"""),"ijascoin")</f>
        <v>ijascoin</v>
      </c>
      <c r="B5830" s="3" t="str">
        <f>IFERROR(__xludf.DUMMYFUNCTION("""COMPUTED_VALUE"""),"ijc")</f>
        <v>ijc</v>
      </c>
      <c r="C5830" s="3" t="str">
        <f>IFERROR(__xludf.DUMMYFUNCTION("""COMPUTED_VALUE"""),"IjasCoin")</f>
        <v>IjasCoin</v>
      </c>
    </row>
    <row r="5831">
      <c r="A5831" s="3" t="str">
        <f>IFERROR(__xludf.DUMMYFUNCTION("""COMPUTED_VALUE"""),"ik-coin-2")</f>
        <v>ik-coin-2</v>
      </c>
      <c r="B5831" s="3" t="str">
        <f>IFERROR(__xludf.DUMMYFUNCTION("""COMPUTED_VALUE"""),"ikc")</f>
        <v>ikc</v>
      </c>
      <c r="C5831" s="3" t="str">
        <f>IFERROR(__xludf.DUMMYFUNCTION("""COMPUTED_VALUE"""),"iK Coin")</f>
        <v>iK Coin</v>
      </c>
    </row>
    <row r="5832">
      <c r="A5832" s="3" t="str">
        <f>IFERROR(__xludf.DUMMYFUNCTION("""COMPUTED_VALUE"""),"ikolf")</f>
        <v>ikolf</v>
      </c>
      <c r="B5832" s="3" t="str">
        <f>IFERROR(__xludf.DUMMYFUNCTION("""COMPUTED_VALUE"""),"ikolf")</f>
        <v>ikolf</v>
      </c>
      <c r="C5832" s="3" t="str">
        <f>IFERROR(__xludf.DUMMYFUNCTION("""COMPUTED_VALUE"""),"IKOLF")</f>
        <v>IKOLF</v>
      </c>
    </row>
    <row r="5833">
      <c r="A5833" s="3" t="str">
        <f>IFERROR(__xludf.DUMMYFUNCTION("""COMPUTED_VALUE"""),"ikura-token")</f>
        <v>ikura-token</v>
      </c>
      <c r="B5833" s="3" t="str">
        <f>IFERROR(__xludf.DUMMYFUNCTION("""COMPUTED_VALUE"""),"ikura")</f>
        <v>ikura</v>
      </c>
      <c r="C5833" s="3" t="str">
        <f>IFERROR(__xludf.DUMMYFUNCTION("""COMPUTED_VALUE"""),"Ikura")</f>
        <v>Ikura</v>
      </c>
    </row>
    <row r="5834">
      <c r="A5834" s="3" t="str">
        <f>IFERROR(__xludf.DUMMYFUNCTION("""COMPUTED_VALUE"""),"ilcoin")</f>
        <v>ilcoin</v>
      </c>
      <c r="B5834" s="3" t="str">
        <f>IFERROR(__xludf.DUMMYFUNCTION("""COMPUTED_VALUE"""),"ilc")</f>
        <v>ilc</v>
      </c>
      <c r="C5834" s="3" t="str">
        <f>IFERROR(__xludf.DUMMYFUNCTION("""COMPUTED_VALUE"""),"ILCOIN")</f>
        <v>ILCOIN</v>
      </c>
    </row>
    <row r="5835">
      <c r="A5835" s="3" t="str">
        <f>IFERROR(__xludf.DUMMYFUNCTION("""COMPUTED_VALUE"""),"illiquiddao")</f>
        <v>illiquiddao</v>
      </c>
      <c r="B5835" s="3" t="str">
        <f>IFERROR(__xludf.DUMMYFUNCTION("""COMPUTED_VALUE"""),"jpegs")</f>
        <v>jpegs</v>
      </c>
      <c r="C5835" s="3" t="str">
        <f>IFERROR(__xludf.DUMMYFUNCTION("""COMPUTED_VALUE"""),"IlliquidDAO")</f>
        <v>IlliquidDAO</v>
      </c>
    </row>
    <row r="5836">
      <c r="A5836" s="3" t="str">
        <f>IFERROR(__xludf.DUMMYFUNCTION("""COMPUTED_VALUE"""),"illuvium")</f>
        <v>illuvium</v>
      </c>
      <c r="B5836" s="3" t="str">
        <f>IFERROR(__xludf.DUMMYFUNCTION("""COMPUTED_VALUE"""),"ilv")</f>
        <v>ilv</v>
      </c>
      <c r="C5836" s="3" t="str">
        <f>IFERROR(__xludf.DUMMYFUNCTION("""COMPUTED_VALUE"""),"Illuvium")</f>
        <v>Illuvium</v>
      </c>
    </row>
    <row r="5837">
      <c r="A5837" s="3" t="str">
        <f>IFERROR(__xludf.DUMMYFUNCTION("""COMPUTED_VALUE"""),"ilus-coin")</f>
        <v>ilus-coin</v>
      </c>
      <c r="B5837" s="3" t="str">
        <f>IFERROR(__xludf.DUMMYFUNCTION("""COMPUTED_VALUE"""),"ilus")</f>
        <v>ilus</v>
      </c>
      <c r="C5837" s="3" t="str">
        <f>IFERROR(__xludf.DUMMYFUNCTION("""COMPUTED_VALUE"""),"ILUS Coin")</f>
        <v>ILUS Coin</v>
      </c>
    </row>
    <row r="5838">
      <c r="A5838" s="3" t="str">
        <f>IFERROR(__xludf.DUMMYFUNCTION("""COMPUTED_VALUE"""),"imagecoin")</f>
        <v>imagecoin</v>
      </c>
      <c r="B5838" s="3" t="str">
        <f>IFERROR(__xludf.DUMMYFUNCTION("""COMPUTED_VALUE"""),"img")</f>
        <v>img</v>
      </c>
      <c r="C5838" s="3" t="str">
        <f>IFERROR(__xludf.DUMMYFUNCTION("""COMPUTED_VALUE"""),"ImageCoin")</f>
        <v>ImageCoin</v>
      </c>
    </row>
    <row r="5839">
      <c r="A5839" s="3" t="str">
        <f>IFERROR(__xludf.DUMMYFUNCTION("""COMPUTED_VALUE"""),"imagictoken")</f>
        <v>imagictoken</v>
      </c>
      <c r="B5839" s="3" t="str">
        <f>IFERROR(__xludf.DUMMYFUNCTION("""COMPUTED_VALUE"""),"imagic")</f>
        <v>imagic</v>
      </c>
      <c r="C5839" s="3" t="str">
        <f>IFERROR(__xludf.DUMMYFUNCTION("""COMPUTED_VALUE"""),"iMagic")</f>
        <v>iMagic</v>
      </c>
    </row>
    <row r="5840">
      <c r="A5840" s="3" t="str">
        <f>IFERROR(__xludf.DUMMYFUNCTION("""COMPUTED_VALUE"""),"imbue-network")</f>
        <v>imbue-network</v>
      </c>
      <c r="B5840" s="3" t="str">
        <f>IFERROR(__xludf.DUMMYFUNCTION("""COMPUTED_VALUE"""),"imbu")</f>
        <v>imbu</v>
      </c>
      <c r="C5840" s="3" t="str">
        <f>IFERROR(__xludf.DUMMYFUNCTION("""COMPUTED_VALUE"""),"Imbue Network")</f>
        <v>Imbue Network</v>
      </c>
    </row>
    <row r="5841">
      <c r="A5841" s="3" t="str">
        <f>IFERROR(__xludf.DUMMYFUNCTION("""COMPUTED_VALUE"""),"ime-lab")</f>
        <v>ime-lab</v>
      </c>
      <c r="B5841" s="3" t="str">
        <f>IFERROR(__xludf.DUMMYFUNCTION("""COMPUTED_VALUE"""),"lime")</f>
        <v>lime</v>
      </c>
      <c r="C5841" s="3" t="str">
        <f>IFERROR(__xludf.DUMMYFUNCTION("""COMPUTED_VALUE"""),"iMe Lab")</f>
        <v>iMe Lab</v>
      </c>
    </row>
    <row r="5842">
      <c r="A5842" s="3" t="str">
        <f>IFERROR(__xludf.DUMMYFUNCTION("""COMPUTED_VALUE"""),"imminentverse")</f>
        <v>imminentverse</v>
      </c>
      <c r="B5842" s="3" t="str">
        <f>IFERROR(__xludf.DUMMYFUNCTION("""COMPUTED_VALUE"""),"imv")</f>
        <v>imv</v>
      </c>
      <c r="C5842" s="3" t="str">
        <f>IFERROR(__xludf.DUMMYFUNCTION("""COMPUTED_VALUE"""),"ImminentVerse")</f>
        <v>ImminentVerse</v>
      </c>
    </row>
    <row r="5843">
      <c r="A5843" s="3" t="str">
        <f>IFERROR(__xludf.DUMMYFUNCTION("""COMPUTED_VALUE"""),"immortal-cat")</f>
        <v>immortal-cat</v>
      </c>
      <c r="B5843" s="3" t="str">
        <f>IFERROR(__xludf.DUMMYFUNCTION("""COMPUTED_VALUE"""),"icc")</f>
        <v>icc</v>
      </c>
      <c r="C5843" s="3" t="str">
        <f>IFERROR(__xludf.DUMMYFUNCTION("""COMPUTED_VALUE"""),"Immortal Cat")</f>
        <v>Immortal Cat</v>
      </c>
    </row>
    <row r="5844">
      <c r="A5844" s="3" t="str">
        <f>IFERROR(__xludf.DUMMYFUNCTION("""COMPUTED_VALUE"""),"immortaldao")</f>
        <v>immortaldao</v>
      </c>
      <c r="B5844" s="3" t="str">
        <f>IFERROR(__xludf.DUMMYFUNCTION("""COMPUTED_VALUE"""),"immo")</f>
        <v>immo</v>
      </c>
      <c r="C5844" s="3" t="str">
        <f>IFERROR(__xludf.DUMMYFUNCTION("""COMPUTED_VALUE"""),"ImmortalDAO")</f>
        <v>ImmortalDAO</v>
      </c>
    </row>
    <row r="5845">
      <c r="A5845" s="3" t="str">
        <f>IFERROR(__xludf.DUMMYFUNCTION("""COMPUTED_VALUE"""),"immortal-game")</f>
        <v>immortal-game</v>
      </c>
      <c r="B5845" s="3" t="str">
        <f>IFERROR(__xludf.DUMMYFUNCTION("""COMPUTED_VALUE"""),"$ige")</f>
        <v>$ige</v>
      </c>
      <c r="C5845" s="3" t="str">
        <f>IFERROR(__xludf.DUMMYFUNCTION("""COMPUTED_VALUE"""),"Immortal Game")</f>
        <v>Immortal Game</v>
      </c>
    </row>
    <row r="5846">
      <c r="A5846" s="3" t="str">
        <f>IFERROR(__xludf.DUMMYFUNCTION("""COMPUTED_VALUE"""),"immortl")</f>
        <v>immortl</v>
      </c>
      <c r="B5846" s="3" t="str">
        <f>IFERROR(__xludf.DUMMYFUNCTION("""COMPUTED_VALUE"""),"imrtl")</f>
        <v>imrtl</v>
      </c>
      <c r="C5846" s="3" t="str">
        <f>IFERROR(__xludf.DUMMYFUNCTION("""COMPUTED_VALUE"""),"Immortl")</f>
        <v>Immortl</v>
      </c>
    </row>
    <row r="5847">
      <c r="A5847" s="3" t="str">
        <f>IFERROR(__xludf.DUMMYFUNCTION("""COMPUTED_VALUE"""),"immutable")</f>
        <v>immutable</v>
      </c>
      <c r="B5847" s="3" t="str">
        <f>IFERROR(__xludf.DUMMYFUNCTION("""COMPUTED_VALUE"""),"dara")</f>
        <v>dara</v>
      </c>
      <c r="C5847" s="3" t="str">
        <f>IFERROR(__xludf.DUMMYFUNCTION("""COMPUTED_VALUE"""),"Immutable")</f>
        <v>Immutable</v>
      </c>
    </row>
    <row r="5848">
      <c r="A5848" s="3" t="str">
        <f>IFERROR(__xludf.DUMMYFUNCTION("""COMPUTED_VALUE"""),"immutable-x")</f>
        <v>immutable-x</v>
      </c>
      <c r="B5848" s="3" t="str">
        <f>IFERROR(__xludf.DUMMYFUNCTION("""COMPUTED_VALUE"""),"imx")</f>
        <v>imx</v>
      </c>
      <c r="C5848" s="3" t="str">
        <f>IFERROR(__xludf.DUMMYFUNCTION("""COMPUTED_VALUE"""),"ImmutableX")</f>
        <v>ImmutableX</v>
      </c>
    </row>
    <row r="5849">
      <c r="A5849" s="3" t="str">
        <f>IFERROR(__xludf.DUMMYFUNCTION("""COMPUTED_VALUE"""),"imo")</f>
        <v>imo</v>
      </c>
      <c r="B5849" s="3" t="str">
        <f>IFERROR(__xludf.DUMMYFUNCTION("""COMPUTED_VALUE"""),"imo")</f>
        <v>imo</v>
      </c>
      <c r="C5849" s="3" t="str">
        <f>IFERROR(__xludf.DUMMYFUNCTION("""COMPUTED_VALUE"""),"IMO")</f>
        <v>IMO</v>
      </c>
    </row>
    <row r="5850">
      <c r="A5850" s="3" t="str">
        <f>IFERROR(__xludf.DUMMYFUNCTION("""COMPUTED_VALUE"""),"i-money-crypto")</f>
        <v>i-money-crypto</v>
      </c>
      <c r="B5850" s="3" t="str">
        <f>IFERROR(__xludf.DUMMYFUNCTION("""COMPUTED_VALUE"""),"imc")</f>
        <v>imc</v>
      </c>
      <c r="C5850" s="3" t="str">
        <f>IFERROR(__xludf.DUMMYFUNCTION("""COMPUTED_VALUE"""),"i Money Crypto")</f>
        <v>i Money Crypto</v>
      </c>
    </row>
    <row r="5851">
      <c r="A5851" s="3" t="str">
        <f>IFERROR(__xludf.DUMMYFUNCTION("""COMPUTED_VALUE"""),"imov")</f>
        <v>imov</v>
      </c>
      <c r="B5851" s="3" t="str">
        <f>IFERROR(__xludf.DUMMYFUNCTION("""COMPUTED_VALUE"""),"imt")</f>
        <v>imt</v>
      </c>
      <c r="C5851" s="3" t="str">
        <f>IFERROR(__xludf.DUMMYFUNCTION("""COMPUTED_VALUE"""),"IMOV")</f>
        <v>IMOV</v>
      </c>
    </row>
    <row r="5852">
      <c r="A5852" s="3" t="str">
        <f>IFERROR(__xludf.DUMMYFUNCTION("""COMPUTED_VALUE"""),"impactmarket")</f>
        <v>impactmarket</v>
      </c>
      <c r="B5852" s="3" t="str">
        <f>IFERROR(__xludf.DUMMYFUNCTION("""COMPUTED_VALUE"""),"pact")</f>
        <v>pact</v>
      </c>
      <c r="C5852" s="3" t="str">
        <f>IFERROR(__xludf.DUMMYFUNCTION("""COMPUTED_VALUE"""),"impactMarket")</f>
        <v>impactMarket</v>
      </c>
    </row>
    <row r="5853">
      <c r="A5853" s="3" t="str">
        <f>IFERROR(__xludf.DUMMYFUNCTION("""COMPUTED_VALUE"""),"impactx")</f>
        <v>impactx</v>
      </c>
      <c r="B5853" s="3" t="str">
        <f>IFERROR(__xludf.DUMMYFUNCTION("""COMPUTED_VALUE"""),"impactx")</f>
        <v>impactx</v>
      </c>
      <c r="C5853" s="3" t="str">
        <f>IFERROR(__xludf.DUMMYFUNCTION("""COMPUTED_VALUE"""),"ImpactX")</f>
        <v>ImpactX</v>
      </c>
    </row>
    <row r="5854">
      <c r="A5854" s="3" t="str">
        <f>IFERROR(__xludf.DUMMYFUNCTION("""COMPUTED_VALUE"""),"impactxp")</f>
        <v>impactxp</v>
      </c>
      <c r="B5854" s="3" t="str">
        <f>IFERROR(__xludf.DUMMYFUNCTION("""COMPUTED_VALUE"""),"impactxp")</f>
        <v>impactxp</v>
      </c>
      <c r="C5854" s="3" t="str">
        <f>IFERROR(__xludf.DUMMYFUNCTION("""COMPUTED_VALUE"""),"ImpactXP")</f>
        <v>ImpactXP</v>
      </c>
    </row>
    <row r="5855">
      <c r="A5855" s="3" t="str">
        <f>IFERROR(__xludf.DUMMYFUNCTION("""COMPUTED_VALUE"""),"impactxprime")</f>
        <v>impactxprime</v>
      </c>
      <c r="B5855" s="3" t="str">
        <f>IFERROR(__xludf.DUMMYFUNCTION("""COMPUTED_VALUE"""),"ixp")</f>
        <v>ixp</v>
      </c>
      <c r="C5855" s="3" t="str">
        <f>IFERROR(__xludf.DUMMYFUNCTION("""COMPUTED_VALUE"""),"IMPACTXPRIME")</f>
        <v>IMPACTXPRIME</v>
      </c>
    </row>
    <row r="5856">
      <c r="A5856" s="3" t="str">
        <f>IFERROR(__xludf.DUMMYFUNCTION("""COMPUTED_VALUE"""),"imperial-obelisk")</f>
        <v>imperial-obelisk</v>
      </c>
      <c r="B5856" s="3" t="str">
        <f>IFERROR(__xludf.DUMMYFUNCTION("""COMPUTED_VALUE"""),"imp")</f>
        <v>imp</v>
      </c>
      <c r="C5856" s="3" t="str">
        <f>IFERROR(__xludf.DUMMYFUNCTION("""COMPUTED_VALUE"""),"Imperial Obelisk [OLD]")</f>
        <v>Imperial Obelisk [OLD]</v>
      </c>
    </row>
    <row r="5857">
      <c r="A5857" s="3" t="str">
        <f>IFERROR(__xludf.DUMMYFUNCTION("""COMPUTED_VALUE"""),"imperial-obelisk-2")</f>
        <v>imperial-obelisk-2</v>
      </c>
      <c r="B5857" s="3" t="str">
        <f>IFERROR(__xludf.DUMMYFUNCTION("""COMPUTED_VALUE"""),"imp")</f>
        <v>imp</v>
      </c>
      <c r="C5857" s="3" t="str">
        <f>IFERROR(__xludf.DUMMYFUNCTION("""COMPUTED_VALUE"""),"Imperial Obelisk")</f>
        <v>Imperial Obelisk</v>
      </c>
    </row>
    <row r="5858">
      <c r="A5858" s="3" t="str">
        <f>IFERROR(__xludf.DUMMYFUNCTION("""COMPUTED_VALUE"""),"imperium-empires")</f>
        <v>imperium-empires</v>
      </c>
      <c r="B5858" s="3" t="str">
        <f>IFERROR(__xludf.DUMMYFUNCTION("""COMPUTED_VALUE"""),"ime")</f>
        <v>ime</v>
      </c>
      <c r="C5858" s="3" t="str">
        <f>IFERROR(__xludf.DUMMYFUNCTION("""COMPUTED_VALUE"""),"Imperium Empires")</f>
        <v>Imperium Empires</v>
      </c>
    </row>
    <row r="5859">
      <c r="A5859" s="3" t="str">
        <f>IFERROR(__xludf.DUMMYFUNCTION("""COMPUTED_VALUE"""),"impermax")</f>
        <v>impermax</v>
      </c>
      <c r="B5859" s="3" t="str">
        <f>IFERROR(__xludf.DUMMYFUNCTION("""COMPUTED_VALUE"""),"imx")</f>
        <v>imx</v>
      </c>
      <c r="C5859" s="3" t="str">
        <f>IFERROR(__xludf.DUMMYFUNCTION("""COMPUTED_VALUE"""),"Impermax [OLD]")</f>
        <v>Impermax [OLD]</v>
      </c>
    </row>
    <row r="5860">
      <c r="A5860" s="3" t="str">
        <f>IFERROR(__xludf.DUMMYFUNCTION("""COMPUTED_VALUE"""),"impermax-2")</f>
        <v>impermax-2</v>
      </c>
      <c r="B5860" s="3" t="str">
        <f>IFERROR(__xludf.DUMMYFUNCTION("""COMPUTED_VALUE"""),"ibex")</f>
        <v>ibex</v>
      </c>
      <c r="C5860" s="3" t="str">
        <f>IFERROR(__xludf.DUMMYFUNCTION("""COMPUTED_VALUE"""),"Impermax")</f>
        <v>Impermax</v>
      </c>
    </row>
    <row r="5861">
      <c r="A5861" s="3" t="str">
        <f>IFERROR(__xludf.DUMMYFUNCTION("""COMPUTED_VALUE"""),"impossible-finance")</f>
        <v>impossible-finance</v>
      </c>
      <c r="B5861" s="3" t="str">
        <f>IFERROR(__xludf.DUMMYFUNCTION("""COMPUTED_VALUE"""),"if")</f>
        <v>if</v>
      </c>
      <c r="C5861" s="3" t="str">
        <f>IFERROR(__xludf.DUMMYFUNCTION("""COMPUTED_VALUE"""),"Impossible Finance")</f>
        <v>Impossible Finance</v>
      </c>
    </row>
    <row r="5862">
      <c r="A5862" s="3" t="str">
        <f>IFERROR(__xludf.DUMMYFUNCTION("""COMPUTED_VALUE"""),"impostors-blood")</f>
        <v>impostors-blood</v>
      </c>
      <c r="B5862" s="3" t="str">
        <f>IFERROR(__xludf.DUMMYFUNCTION("""COMPUTED_VALUE"""),"blood")</f>
        <v>blood</v>
      </c>
      <c r="C5862" s="3" t="str">
        <f>IFERROR(__xludf.DUMMYFUNCTION("""COMPUTED_VALUE"""),"Impostors Blood")</f>
        <v>Impostors Blood</v>
      </c>
    </row>
    <row r="5863">
      <c r="A5863" s="3" t="str">
        <f>IFERROR(__xludf.DUMMYFUNCTION("""COMPUTED_VALUE"""),"improved-bitcoin")</f>
        <v>improved-bitcoin</v>
      </c>
      <c r="B5863" s="3" t="str">
        <f>IFERROR(__xludf.DUMMYFUNCTION("""COMPUTED_VALUE"""),"ibtc")</f>
        <v>ibtc</v>
      </c>
      <c r="C5863" s="3" t="str">
        <f>IFERROR(__xludf.DUMMYFUNCTION("""COMPUTED_VALUE"""),"Improved Bitcoin")</f>
        <v>Improved Bitcoin</v>
      </c>
    </row>
    <row r="5864">
      <c r="A5864" s="3" t="str">
        <f>IFERROR(__xludf.DUMMYFUNCTION("""COMPUTED_VALUE"""),"impulse-by-fdr")</f>
        <v>impulse-by-fdr</v>
      </c>
      <c r="B5864" s="3" t="str">
        <f>IFERROR(__xludf.DUMMYFUNCTION("""COMPUTED_VALUE"""),"impulse")</f>
        <v>impulse</v>
      </c>
      <c r="C5864" s="3" t="str">
        <f>IFERROR(__xludf.DUMMYFUNCTION("""COMPUTED_VALUE"""),"Impulse By FDR")</f>
        <v>Impulse By FDR</v>
      </c>
    </row>
    <row r="5865">
      <c r="A5865" s="3" t="str">
        <f>IFERROR(__xludf.DUMMYFUNCTION("""COMPUTED_VALUE"""),"impulseven")</f>
        <v>impulseven</v>
      </c>
      <c r="B5865" s="3" t="str">
        <f>IFERROR(__xludf.DUMMYFUNCTION("""COMPUTED_VALUE"""),"i7")</f>
        <v>i7</v>
      </c>
      <c r="C5865" s="3" t="str">
        <f>IFERROR(__xludf.DUMMYFUNCTION("""COMPUTED_VALUE"""),"ImpulseVen")</f>
        <v>ImpulseVen</v>
      </c>
    </row>
    <row r="5866">
      <c r="A5866" s="3" t="str">
        <f>IFERROR(__xludf.DUMMYFUNCTION("""COMPUTED_VALUE"""),"inari")</f>
        <v>inari</v>
      </c>
      <c r="B5866" s="3" t="str">
        <f>IFERROR(__xludf.DUMMYFUNCTION("""COMPUTED_VALUE"""),"inari")</f>
        <v>inari</v>
      </c>
      <c r="C5866" s="3" t="str">
        <f>IFERROR(__xludf.DUMMYFUNCTION("""COMPUTED_VALUE"""),"Inari")</f>
        <v>Inari</v>
      </c>
    </row>
    <row r="5867">
      <c r="A5867" s="3" t="str">
        <f>IFERROR(__xludf.DUMMYFUNCTION("""COMPUTED_VALUE"""),"incakoin")</f>
        <v>incakoin</v>
      </c>
      <c r="B5867" s="3" t="str">
        <f>IFERROR(__xludf.DUMMYFUNCTION("""COMPUTED_VALUE"""),"nka")</f>
        <v>nka</v>
      </c>
      <c r="C5867" s="3" t="str">
        <f>IFERROR(__xludf.DUMMYFUNCTION("""COMPUTED_VALUE"""),"IncaKoin")</f>
        <v>IncaKoin</v>
      </c>
    </row>
    <row r="5868">
      <c r="A5868" s="3" t="str">
        <f>IFERROR(__xludf.DUMMYFUNCTION("""COMPUTED_VALUE"""),"incinerate")</f>
        <v>incinerate</v>
      </c>
      <c r="B5868" s="3" t="str">
        <f>IFERROR(__xludf.DUMMYFUNCTION("""COMPUTED_VALUE"""),"fire")</f>
        <v>fire</v>
      </c>
      <c r="C5868" s="3" t="str">
        <f>IFERROR(__xludf.DUMMYFUNCTION("""COMPUTED_VALUE"""),"Incinerate")</f>
        <v>Incinerate</v>
      </c>
    </row>
    <row r="5869">
      <c r="A5869" s="3" t="str">
        <f>IFERROR(__xludf.DUMMYFUNCTION("""COMPUTED_VALUE"""),"inci-token")</f>
        <v>inci-token</v>
      </c>
      <c r="B5869" s="3" t="str">
        <f>IFERROR(__xludf.DUMMYFUNCTION("""COMPUTED_VALUE"""),"inci")</f>
        <v>inci</v>
      </c>
      <c r="C5869" s="3" t="str">
        <f>IFERROR(__xludf.DUMMYFUNCTION("""COMPUTED_VALUE"""),"Inci")</f>
        <v>Inci</v>
      </c>
    </row>
    <row r="5870">
      <c r="A5870" s="3" t="str">
        <f>IFERROR(__xludf.DUMMYFUNCTION("""COMPUTED_VALUE"""),"incognito-2")</f>
        <v>incognito-2</v>
      </c>
      <c r="B5870" s="3" t="str">
        <f>IFERROR(__xludf.DUMMYFUNCTION("""COMPUTED_VALUE"""),"prv")</f>
        <v>prv</v>
      </c>
      <c r="C5870" s="3" t="str">
        <f>IFERROR(__xludf.DUMMYFUNCTION("""COMPUTED_VALUE"""),"Incognito")</f>
        <v>Incognito</v>
      </c>
    </row>
    <row r="5871">
      <c r="A5871" s="3" t="str">
        <f>IFERROR(__xludf.DUMMYFUNCTION("""COMPUTED_VALUE"""),"incoin")</f>
        <v>incoin</v>
      </c>
      <c r="B5871" s="3" t="str">
        <f>IFERROR(__xludf.DUMMYFUNCTION("""COMPUTED_VALUE"""),"in")</f>
        <v>in</v>
      </c>
      <c r="C5871" s="3" t="str">
        <f>IFERROR(__xludf.DUMMYFUNCTION("""COMPUTED_VALUE"""),"InCoin")</f>
        <v>InCoin</v>
      </c>
    </row>
    <row r="5872">
      <c r="A5872" s="3" t="str">
        <f>IFERROR(__xludf.DUMMYFUNCTION("""COMPUTED_VALUE"""),"income")</f>
        <v>income</v>
      </c>
      <c r="B5872" s="3" t="str">
        <f>IFERROR(__xludf.DUMMYFUNCTION("""COMPUTED_VALUE"""),"income")</f>
        <v>income</v>
      </c>
      <c r="C5872" s="3" t="str">
        <f>IFERROR(__xludf.DUMMYFUNCTION("""COMPUTED_VALUE"""),"Income")</f>
        <v>Income</v>
      </c>
    </row>
    <row r="5873">
      <c r="A5873" s="3" t="str">
        <f>IFERROR(__xludf.DUMMYFUNCTION("""COMPUTED_VALUE"""),"income-island")</f>
        <v>income-island</v>
      </c>
      <c r="B5873" s="3" t="str">
        <f>IFERROR(__xludf.DUMMYFUNCTION("""COMPUTED_VALUE"""),"income")</f>
        <v>income</v>
      </c>
      <c r="C5873" s="3" t="str">
        <f>IFERROR(__xludf.DUMMYFUNCTION("""COMPUTED_VALUE"""),"Income Island")</f>
        <v>Income Island</v>
      </c>
    </row>
    <row r="5874">
      <c r="A5874" s="3" t="str">
        <f>IFERROR(__xludf.DUMMYFUNCTION("""COMPUTED_VALUE"""),"incooom-genesis")</f>
        <v>incooom-genesis</v>
      </c>
      <c r="B5874" s="3" t="str">
        <f>IFERROR(__xludf.DUMMYFUNCTION("""COMPUTED_VALUE"""),"cooom")</f>
        <v>cooom</v>
      </c>
      <c r="C5874" s="3" t="str">
        <f>IFERROR(__xludf.DUMMYFUNCTION("""COMPUTED_VALUE"""),"Incooom Genesis")</f>
        <v>Incooom Genesis</v>
      </c>
    </row>
    <row r="5875">
      <c r="A5875" s="3" t="str">
        <f>IFERROR(__xludf.DUMMYFUNCTION("""COMPUTED_VALUE"""),"incube-chain")</f>
        <v>incube-chain</v>
      </c>
      <c r="B5875" s="3" t="str">
        <f>IFERROR(__xludf.DUMMYFUNCTION("""COMPUTED_VALUE"""),"icb")</f>
        <v>icb</v>
      </c>
      <c r="C5875" s="3" t="str">
        <f>IFERROR(__xludf.DUMMYFUNCTION("""COMPUTED_VALUE"""),"Incube Chain")</f>
        <v>Incube Chain</v>
      </c>
    </row>
    <row r="5876">
      <c r="A5876" s="3" t="str">
        <f>IFERROR(__xludf.DUMMYFUNCTION("""COMPUTED_VALUE"""),"indahash")</f>
        <v>indahash</v>
      </c>
      <c r="B5876" s="3" t="str">
        <f>IFERROR(__xludf.DUMMYFUNCTION("""COMPUTED_VALUE"""),"idh")</f>
        <v>idh</v>
      </c>
      <c r="C5876" s="3" t="str">
        <f>IFERROR(__xludf.DUMMYFUNCTION("""COMPUTED_VALUE"""),"indaHash")</f>
        <v>indaHash</v>
      </c>
    </row>
    <row r="5877">
      <c r="A5877" s="3" t="str">
        <f>IFERROR(__xludf.DUMMYFUNCTION("""COMPUTED_VALUE"""),"indestcoin")</f>
        <v>indestcoin</v>
      </c>
      <c r="B5877" s="3" t="str">
        <f>IFERROR(__xludf.DUMMYFUNCTION("""COMPUTED_VALUE"""),"intd")</f>
        <v>intd</v>
      </c>
      <c r="C5877" s="3" t="str">
        <f>IFERROR(__xludf.DUMMYFUNCTION("""COMPUTED_VALUE"""),"INDESTCOIN")</f>
        <v>INDESTCOIN</v>
      </c>
    </row>
    <row r="5878">
      <c r="A5878" s="3" t="str">
        <f>IFERROR(__xludf.DUMMYFUNCTION("""COMPUTED_VALUE"""),"index-chain")</f>
        <v>index-chain</v>
      </c>
      <c r="B5878" s="3" t="str">
        <f>IFERROR(__xludf.DUMMYFUNCTION("""COMPUTED_VALUE"""),"idx")</f>
        <v>idx</v>
      </c>
      <c r="C5878" s="3" t="str">
        <f>IFERROR(__xludf.DUMMYFUNCTION("""COMPUTED_VALUE"""),"Index Chain")</f>
        <v>Index Chain</v>
      </c>
    </row>
    <row r="5879">
      <c r="A5879" s="3" t="str">
        <f>IFERROR(__xludf.DUMMYFUNCTION("""COMPUTED_VALUE"""),"index-cooperative")</f>
        <v>index-cooperative</v>
      </c>
      <c r="B5879" s="3" t="str">
        <f>IFERROR(__xludf.DUMMYFUNCTION("""COMPUTED_VALUE"""),"index")</f>
        <v>index</v>
      </c>
      <c r="C5879" s="3" t="str">
        <f>IFERROR(__xludf.DUMMYFUNCTION("""COMPUTED_VALUE"""),"Index Cooperative")</f>
        <v>Index Cooperative</v>
      </c>
    </row>
    <row r="5880">
      <c r="A5880" s="3" t="str">
        <f>IFERROR(__xludf.DUMMYFUNCTION("""COMPUTED_VALUE"""),"index-coop-eth-2x-flexible-leverage-index")</f>
        <v>index-coop-eth-2x-flexible-leverage-index</v>
      </c>
      <c r="B5880" s="3" t="str">
        <f>IFERROR(__xludf.DUMMYFUNCTION("""COMPUTED_VALUE"""),"eth2x-fli-p")</f>
        <v>eth2x-fli-p</v>
      </c>
      <c r="C5880" s="3" t="str">
        <f>IFERROR(__xludf.DUMMYFUNCTION("""COMPUTED_VALUE"""),"Index Coop - ETH 2x Flexible Leverage Index (Polygon)")</f>
        <v>Index Coop - ETH 2x Flexible Leverage Index (Polygon)</v>
      </c>
    </row>
    <row r="5881">
      <c r="A5881" s="3" t="str">
        <f>IFERROR(__xludf.DUMMYFUNCTION("""COMPUTED_VALUE"""),"index-coop-inverse-eth-flexible-leverage-index")</f>
        <v>index-coop-inverse-eth-flexible-leverage-index</v>
      </c>
      <c r="B5881" s="3" t="str">
        <f>IFERROR(__xludf.DUMMYFUNCTION("""COMPUTED_VALUE"""),"ieth-fli-p")</f>
        <v>ieth-fli-p</v>
      </c>
      <c r="C5881" s="3" t="str">
        <f>IFERROR(__xludf.DUMMYFUNCTION("""COMPUTED_VALUE"""),"Index Coop - Inverse ETH Flexible Leverage Index")</f>
        <v>Index Coop - Inverse ETH Flexible Leverage Index</v>
      </c>
    </row>
    <row r="5882">
      <c r="A5882" s="3" t="str">
        <f>IFERROR(__xludf.DUMMYFUNCTION("""COMPUTED_VALUE"""),"index-coop-inverse-matic-flexible-leverage-index")</f>
        <v>index-coop-inverse-matic-flexible-leverage-index</v>
      </c>
      <c r="B5882" s="3" t="str">
        <f>IFERROR(__xludf.DUMMYFUNCTION("""COMPUTED_VALUE"""),"imatic-fli-p")</f>
        <v>imatic-fli-p</v>
      </c>
      <c r="C5882" s="3" t="str">
        <f>IFERROR(__xludf.DUMMYFUNCTION("""COMPUTED_VALUE"""),"Index Coop - Inverse MATIC Flexible Leverage Index")</f>
        <v>Index Coop - Inverse MATIC Flexible Leverage Index</v>
      </c>
    </row>
    <row r="5883">
      <c r="A5883" s="3" t="str">
        <f>IFERROR(__xludf.DUMMYFUNCTION("""COMPUTED_VALUE"""),"index-coop-matic-2x-flexible-leverage-index")</f>
        <v>index-coop-matic-2x-flexible-leverage-index</v>
      </c>
      <c r="B5883" s="3" t="str">
        <f>IFERROR(__xludf.DUMMYFUNCTION("""COMPUTED_VALUE"""),"matic2x-fli-p")</f>
        <v>matic2x-fli-p</v>
      </c>
      <c r="C5883" s="3" t="str">
        <f>IFERROR(__xludf.DUMMYFUNCTION("""COMPUTED_VALUE"""),"Index Coop - MATIC 2x Flexible Leverage Index")</f>
        <v>Index Coop - MATIC 2x Flexible Leverage Index</v>
      </c>
    </row>
    <row r="5884">
      <c r="A5884" s="3" t="str">
        <f>IFERROR(__xludf.DUMMYFUNCTION("""COMPUTED_VALUE"""),"indexed-finance")</f>
        <v>indexed-finance</v>
      </c>
      <c r="B5884" s="3" t="str">
        <f>IFERROR(__xludf.DUMMYFUNCTION("""COMPUTED_VALUE"""),"ndx")</f>
        <v>ndx</v>
      </c>
      <c r="C5884" s="3" t="str">
        <f>IFERROR(__xludf.DUMMYFUNCTION("""COMPUTED_VALUE"""),"Indexed Finance")</f>
        <v>Indexed Finance</v>
      </c>
    </row>
    <row r="5885">
      <c r="A5885" s="3" t="str">
        <f>IFERROR(__xludf.DUMMYFUNCTION("""COMPUTED_VALUE"""),"indian-shiba-inu")</f>
        <v>indian-shiba-inu</v>
      </c>
      <c r="B5885" s="3" t="str">
        <f>IFERROR(__xludf.DUMMYFUNCTION("""COMPUTED_VALUE"""),"indshib")</f>
        <v>indshib</v>
      </c>
      <c r="C5885" s="3" t="str">
        <f>IFERROR(__xludf.DUMMYFUNCTION("""COMPUTED_VALUE"""),"Indian Shiba Inu")</f>
        <v>Indian Shiba Inu</v>
      </c>
    </row>
    <row r="5886">
      <c r="A5886" s="3" t="str">
        <f>IFERROR(__xludf.DUMMYFUNCTION("""COMPUTED_VALUE"""),"indigg")</f>
        <v>indigg</v>
      </c>
      <c r="B5886" s="3" t="str">
        <f>IFERROR(__xludf.DUMMYFUNCTION("""COMPUTED_VALUE"""),"indi")</f>
        <v>indi</v>
      </c>
      <c r="C5886" s="3" t="str">
        <f>IFERROR(__xludf.DUMMYFUNCTION("""COMPUTED_VALUE"""),"IndiGG")</f>
        <v>IndiGG</v>
      </c>
    </row>
    <row r="5887">
      <c r="A5887" s="3" t="str">
        <f>IFERROR(__xludf.DUMMYFUNCTION("""COMPUTED_VALUE"""),"indorse")</f>
        <v>indorse</v>
      </c>
      <c r="B5887" s="3" t="str">
        <f>IFERROR(__xludf.DUMMYFUNCTION("""COMPUTED_VALUE"""),"ind")</f>
        <v>ind</v>
      </c>
      <c r="C5887" s="3" t="str">
        <f>IFERROR(__xludf.DUMMYFUNCTION("""COMPUTED_VALUE"""),"Indorse")</f>
        <v>Indorse</v>
      </c>
    </row>
    <row r="5888">
      <c r="A5888" s="3" t="str">
        <f>IFERROR(__xludf.DUMMYFUNCTION("""COMPUTED_VALUE"""),"inery")</f>
        <v>inery</v>
      </c>
      <c r="B5888" s="3" t="str">
        <f>IFERROR(__xludf.DUMMYFUNCTION("""COMPUTED_VALUE"""),"$inr")</f>
        <v>$inr</v>
      </c>
      <c r="C5888" s="3" t="str">
        <f>IFERROR(__xludf.DUMMYFUNCTION("""COMPUTED_VALUE"""),"Inery")</f>
        <v>Inery</v>
      </c>
    </row>
    <row r="5889">
      <c r="A5889" s="3" t="str">
        <f>IFERROR(__xludf.DUMMYFUNCTION("""COMPUTED_VALUE"""),"inescoin")</f>
        <v>inescoin</v>
      </c>
      <c r="B5889" s="3" t="str">
        <f>IFERROR(__xludf.DUMMYFUNCTION("""COMPUTED_VALUE"""),"ines")</f>
        <v>ines</v>
      </c>
      <c r="C5889" s="3" t="str">
        <f>IFERROR(__xludf.DUMMYFUNCTION("""COMPUTED_VALUE"""),"Inescoin")</f>
        <v>Inescoin</v>
      </c>
    </row>
    <row r="5890">
      <c r="A5890" s="3" t="str">
        <f>IFERROR(__xludf.DUMMYFUNCTION("""COMPUTED_VALUE"""),"infam")</f>
        <v>infam</v>
      </c>
      <c r="B5890" s="3" t="str">
        <f>IFERROR(__xludf.DUMMYFUNCTION("""COMPUTED_VALUE"""),"inf")</f>
        <v>inf</v>
      </c>
      <c r="C5890" s="3" t="str">
        <f>IFERROR(__xludf.DUMMYFUNCTION("""COMPUTED_VALUE"""),"Infam")</f>
        <v>Infam</v>
      </c>
    </row>
    <row r="5891">
      <c r="A5891" s="3" t="str">
        <f>IFERROR(__xludf.DUMMYFUNCTION("""COMPUTED_VALUE"""),"infchain")</f>
        <v>infchain</v>
      </c>
      <c r="B5891" s="3" t="str">
        <f>IFERROR(__xludf.DUMMYFUNCTION("""COMPUTED_VALUE"""),"inf")</f>
        <v>inf</v>
      </c>
      <c r="C5891" s="3" t="str">
        <f>IFERROR(__xludf.DUMMYFUNCTION("""COMPUTED_VALUE"""),"InfChain")</f>
        <v>InfChain</v>
      </c>
    </row>
    <row r="5892">
      <c r="A5892" s="3" t="str">
        <f>IFERROR(__xludf.DUMMYFUNCTION("""COMPUTED_VALUE"""),"infinite-arcade-tic")</f>
        <v>infinite-arcade-tic</v>
      </c>
      <c r="B5892" s="3" t="str">
        <f>IFERROR(__xludf.DUMMYFUNCTION("""COMPUTED_VALUE"""),"tic")</f>
        <v>tic</v>
      </c>
      <c r="C5892" s="3" t="str">
        <f>IFERROR(__xludf.DUMMYFUNCTION("""COMPUTED_VALUE"""),"Infinite Arcade TIC")</f>
        <v>Infinite Arcade TIC</v>
      </c>
    </row>
    <row r="5893">
      <c r="A5893" s="3" t="str">
        <f>IFERROR(__xludf.DUMMYFUNCTION("""COMPUTED_VALUE"""),"infinitecoin")</f>
        <v>infinitecoin</v>
      </c>
      <c r="B5893" s="3" t="str">
        <f>IFERROR(__xludf.DUMMYFUNCTION("""COMPUTED_VALUE"""),"ifc")</f>
        <v>ifc</v>
      </c>
      <c r="C5893" s="3" t="str">
        <f>IFERROR(__xludf.DUMMYFUNCTION("""COMPUTED_VALUE"""),"Infinitecoin")</f>
        <v>Infinitecoin</v>
      </c>
    </row>
    <row r="5894">
      <c r="A5894" s="3" t="str">
        <f>IFERROR(__xludf.DUMMYFUNCTION("""COMPUTED_VALUE"""),"infinitee")</f>
        <v>infinitee</v>
      </c>
      <c r="B5894" s="3" t="str">
        <f>IFERROR(__xludf.DUMMYFUNCTION("""COMPUTED_VALUE"""),"inftee")</f>
        <v>inftee</v>
      </c>
      <c r="C5894" s="3" t="str">
        <f>IFERROR(__xludf.DUMMYFUNCTION("""COMPUTED_VALUE"""),"Infinitee")</f>
        <v>Infinitee</v>
      </c>
    </row>
    <row r="5895">
      <c r="A5895" s="3" t="str">
        <f>IFERROR(__xludf.DUMMYFUNCTION("""COMPUTED_VALUE"""),"infinite-ecosystem")</f>
        <v>infinite-ecosystem</v>
      </c>
      <c r="B5895" s="3" t="str">
        <f>IFERROR(__xludf.DUMMYFUNCTION("""COMPUTED_VALUE"""),"infinity")</f>
        <v>infinity</v>
      </c>
      <c r="C5895" s="3" t="str">
        <f>IFERROR(__xludf.DUMMYFUNCTION("""COMPUTED_VALUE"""),"Infinite Ecosystem")</f>
        <v>Infinite Ecosystem</v>
      </c>
    </row>
    <row r="5896">
      <c r="A5896" s="3" t="str">
        <f>IFERROR(__xludf.DUMMYFUNCTION("""COMPUTED_VALUE"""),"infinite-launch")</f>
        <v>infinite-launch</v>
      </c>
      <c r="B5896" s="3" t="str">
        <f>IFERROR(__xludf.DUMMYFUNCTION("""COMPUTED_VALUE"""),"ila")</f>
        <v>ila</v>
      </c>
      <c r="C5896" s="3" t="str">
        <f>IFERROR(__xludf.DUMMYFUNCTION("""COMPUTED_VALUE"""),"Infinite Launch")</f>
        <v>Infinite Launch</v>
      </c>
    </row>
    <row r="5897">
      <c r="A5897" s="3" t="str">
        <f>IFERROR(__xludf.DUMMYFUNCTION("""COMPUTED_VALUE"""),"infinito")</f>
        <v>infinito</v>
      </c>
      <c r="B5897" s="3" t="str">
        <f>IFERROR(__xludf.DUMMYFUNCTION("""COMPUTED_VALUE"""),"inft")</f>
        <v>inft</v>
      </c>
      <c r="C5897" s="3" t="str">
        <f>IFERROR(__xludf.DUMMYFUNCTION("""COMPUTED_VALUE"""),"Infinito")</f>
        <v>Infinito</v>
      </c>
    </row>
    <row r="5898">
      <c r="A5898" s="3" t="str">
        <f>IFERROR(__xludf.DUMMYFUNCTION("""COMPUTED_VALUE"""),"infinitx")</f>
        <v>infinitx</v>
      </c>
      <c r="B5898" s="3" t="str">
        <f>IFERROR(__xludf.DUMMYFUNCTION("""COMPUTED_VALUE"""),"inx")</f>
        <v>inx</v>
      </c>
      <c r="C5898" s="3" t="str">
        <f>IFERROR(__xludf.DUMMYFUNCTION("""COMPUTED_VALUE"""),"InfinitX")</f>
        <v>InfinitX</v>
      </c>
    </row>
    <row r="5899">
      <c r="A5899" s="3" t="str">
        <f>IFERROR(__xludf.DUMMYFUNCTION("""COMPUTED_VALUE"""),"infinity-angel")</f>
        <v>infinity-angel</v>
      </c>
      <c r="B5899" s="3" t="str">
        <f>IFERROR(__xludf.DUMMYFUNCTION("""COMPUTED_VALUE"""),"ing")</f>
        <v>ing</v>
      </c>
      <c r="C5899" s="3" t="str">
        <f>IFERROR(__xludf.DUMMYFUNCTION("""COMPUTED_VALUE"""),"Infinity Angel")</f>
        <v>Infinity Angel</v>
      </c>
    </row>
    <row r="5900">
      <c r="A5900" s="3" t="str">
        <f>IFERROR(__xludf.DUMMYFUNCTION("""COMPUTED_VALUE"""),"infinity-arena")</f>
        <v>infinity-arena</v>
      </c>
      <c r="B5900" s="3" t="str">
        <f>IFERROR(__xludf.DUMMYFUNCTION("""COMPUTED_VALUE"""),"inaz")</f>
        <v>inaz</v>
      </c>
      <c r="C5900" s="3" t="str">
        <f>IFERROR(__xludf.DUMMYFUNCTION("""COMPUTED_VALUE"""),"Infinity Arena")</f>
        <v>Infinity Arena</v>
      </c>
    </row>
    <row r="5901">
      <c r="A5901" s="3" t="str">
        <f>IFERROR(__xludf.DUMMYFUNCTION("""COMPUTED_VALUE"""),"infinitycash")</f>
        <v>infinitycash</v>
      </c>
      <c r="B5901" s="3" t="str">
        <f>IFERROR(__xludf.DUMMYFUNCTION("""COMPUTED_VALUE"""),"ifc")</f>
        <v>ifc</v>
      </c>
      <c r="C5901" s="3" t="str">
        <f>IFERROR(__xludf.DUMMYFUNCTION("""COMPUTED_VALUE"""),"InfinityCash")</f>
        <v>InfinityCash</v>
      </c>
    </row>
    <row r="5902">
      <c r="A5902" s="3" t="str">
        <f>IFERROR(__xludf.DUMMYFUNCTION("""COMPUTED_VALUE"""),"infinity-dao")</f>
        <v>infinity-dao</v>
      </c>
      <c r="B5902" s="3" t="str">
        <f>IFERROR(__xludf.DUMMYFUNCTION("""COMPUTED_VALUE"""),"ind")</f>
        <v>ind</v>
      </c>
      <c r="C5902" s="3" t="str">
        <f>IFERROR(__xludf.DUMMYFUNCTION("""COMPUTED_VALUE"""),"Infinity DAO")</f>
        <v>Infinity DAO</v>
      </c>
    </row>
    <row r="5903">
      <c r="A5903" s="3" t="str">
        <f>IFERROR(__xludf.DUMMYFUNCTION("""COMPUTED_VALUE"""),"infinity-esaham")</f>
        <v>infinity-esaham</v>
      </c>
      <c r="B5903" s="3" t="str">
        <f>IFERROR(__xludf.DUMMYFUNCTION("""COMPUTED_VALUE"""),"infs")</f>
        <v>infs</v>
      </c>
      <c r="C5903" s="3" t="str">
        <f>IFERROR(__xludf.DUMMYFUNCTION("""COMPUTED_VALUE"""),"Infinity Esaham")</f>
        <v>Infinity Esaham</v>
      </c>
    </row>
    <row r="5904">
      <c r="A5904" s="3" t="str">
        <f>IFERROR(__xludf.DUMMYFUNCTION("""COMPUTED_VALUE"""),"infinity-eth")</f>
        <v>infinity-eth</v>
      </c>
      <c r="B5904" s="3" t="str">
        <f>IFERROR(__xludf.DUMMYFUNCTION("""COMPUTED_VALUE"""),"ieth")</f>
        <v>ieth</v>
      </c>
      <c r="C5904" s="3" t="str">
        <f>IFERROR(__xludf.DUMMYFUNCTION("""COMPUTED_VALUE"""),"Infinity ETH")</f>
        <v>Infinity ETH</v>
      </c>
    </row>
    <row r="5905">
      <c r="A5905" s="3" t="str">
        <f>IFERROR(__xludf.DUMMYFUNCTION("""COMPUTED_VALUE"""),"infinity-game-nft")</f>
        <v>infinity-game-nft</v>
      </c>
      <c r="B5905" s="3" t="str">
        <f>IFERROR(__xludf.DUMMYFUNCTION("""COMPUTED_VALUE"""),"ign")</f>
        <v>ign</v>
      </c>
      <c r="C5905" s="3" t="str">
        <f>IFERROR(__xludf.DUMMYFUNCTION("""COMPUTED_VALUE"""),"Infinity Game NFT")</f>
        <v>Infinity Game NFT</v>
      </c>
    </row>
    <row r="5906">
      <c r="A5906" s="3" t="str">
        <f>IFERROR(__xludf.DUMMYFUNCTION("""COMPUTED_VALUE"""),"infinitygaming")</f>
        <v>infinitygaming</v>
      </c>
      <c r="B5906" s="3" t="str">
        <f>IFERROR(__xludf.DUMMYFUNCTION("""COMPUTED_VALUE"""),"play")</f>
        <v>play</v>
      </c>
      <c r="C5906" s="3" t="str">
        <f>IFERROR(__xludf.DUMMYFUNCTION("""COMPUTED_VALUE"""),"InfinityGaming")</f>
        <v>InfinityGaming</v>
      </c>
    </row>
    <row r="5907">
      <c r="A5907" s="3" t="str">
        <f>IFERROR(__xludf.DUMMYFUNCTION("""COMPUTED_VALUE"""),"infinitypad")</f>
        <v>infinitypad</v>
      </c>
      <c r="B5907" s="3" t="str">
        <f>IFERROR(__xludf.DUMMYFUNCTION("""COMPUTED_VALUE"""),"infp")</f>
        <v>infp</v>
      </c>
      <c r="C5907" s="3" t="str">
        <f>IFERROR(__xludf.DUMMYFUNCTION("""COMPUTED_VALUE"""),"InfinityPad")</f>
        <v>InfinityPad</v>
      </c>
    </row>
    <row r="5908">
      <c r="A5908" s="3" t="str">
        <f>IFERROR(__xludf.DUMMYFUNCTION("""COMPUTED_VALUE"""),"infinity-pad")</f>
        <v>infinity-pad</v>
      </c>
      <c r="B5908" s="3" t="str">
        <f>IFERROR(__xludf.DUMMYFUNCTION("""COMPUTED_VALUE"""),"ipad")</f>
        <v>ipad</v>
      </c>
      <c r="C5908" s="3" t="str">
        <f>IFERROR(__xludf.DUMMYFUNCTION("""COMPUTED_VALUE"""),"Infinity Pad [OLD]")</f>
        <v>Infinity Pad [OLD]</v>
      </c>
    </row>
    <row r="5909">
      <c r="A5909" s="3" t="str">
        <f>IFERROR(__xludf.DUMMYFUNCTION("""COMPUTED_VALUE"""),"infinity-pad-2")</f>
        <v>infinity-pad-2</v>
      </c>
      <c r="B5909" s="3" t="str">
        <f>IFERROR(__xludf.DUMMYFUNCTION("""COMPUTED_VALUE"""),"ipad")</f>
        <v>ipad</v>
      </c>
      <c r="C5909" s="3" t="str">
        <f>IFERROR(__xludf.DUMMYFUNCTION("""COMPUTED_VALUE"""),"Infinity PAD")</f>
        <v>Infinity PAD</v>
      </c>
    </row>
    <row r="5910">
      <c r="A5910" s="3" t="str">
        <f>IFERROR(__xludf.DUMMYFUNCTION("""COMPUTED_VALUE"""),"infinity-rocket-token")</f>
        <v>infinity-rocket-token</v>
      </c>
      <c r="B5910" s="3" t="str">
        <f>IFERROR(__xludf.DUMMYFUNCTION("""COMPUTED_VALUE"""),"irt")</f>
        <v>irt</v>
      </c>
      <c r="C5910" s="3" t="str">
        <f>IFERROR(__xludf.DUMMYFUNCTION("""COMPUTED_VALUE"""),"Infinity Rocket")</f>
        <v>Infinity Rocket</v>
      </c>
    </row>
    <row r="5911">
      <c r="A5911" s="3" t="str">
        <f>IFERROR(__xludf.DUMMYFUNCTION("""COMPUTED_VALUE"""),"infinity-skies")</f>
        <v>infinity-skies</v>
      </c>
      <c r="B5911" s="3" t="str">
        <f>IFERROR(__xludf.DUMMYFUNCTION("""COMPUTED_VALUE"""),"isky")</f>
        <v>isky</v>
      </c>
      <c r="C5911" s="3" t="str">
        <f>IFERROR(__xludf.DUMMYFUNCTION("""COMPUTED_VALUE"""),"Infinity Skies")</f>
        <v>Infinity Skies</v>
      </c>
    </row>
    <row r="5912">
      <c r="A5912" s="3" t="str">
        <f>IFERROR(__xludf.DUMMYFUNCTION("""COMPUTED_VALUE"""),"infinium")</f>
        <v>infinium</v>
      </c>
      <c r="B5912" s="3" t="str">
        <f>IFERROR(__xludf.DUMMYFUNCTION("""COMPUTED_VALUE"""),"inf")</f>
        <v>inf</v>
      </c>
      <c r="C5912" s="3" t="str">
        <f>IFERROR(__xludf.DUMMYFUNCTION("""COMPUTED_VALUE"""),"Infinium")</f>
        <v>Infinium</v>
      </c>
    </row>
    <row r="5913">
      <c r="A5913" s="3" t="str">
        <f>IFERROR(__xludf.DUMMYFUNCTION("""COMPUTED_VALUE"""),"inflation-adjusted-euro")</f>
        <v>inflation-adjusted-euro</v>
      </c>
      <c r="B5913" s="3" t="str">
        <f>IFERROR(__xludf.DUMMYFUNCTION("""COMPUTED_VALUE"""),"ieuros")</f>
        <v>ieuros</v>
      </c>
      <c r="C5913" s="3" t="str">
        <f>IFERROR(__xludf.DUMMYFUNCTION("""COMPUTED_VALUE"""),"Inflation Adjusted EURO")</f>
        <v>Inflation Adjusted EURO</v>
      </c>
    </row>
    <row r="5914">
      <c r="A5914" s="3" t="str">
        <f>IFERROR(__xludf.DUMMYFUNCTION("""COMPUTED_VALUE"""),"inflation-adjusted-usds")</f>
        <v>inflation-adjusted-usds</v>
      </c>
      <c r="B5914" s="3" t="str">
        <f>IFERROR(__xludf.DUMMYFUNCTION("""COMPUTED_VALUE"""),"iusds")</f>
        <v>iusds</v>
      </c>
      <c r="C5914" s="3" t="str">
        <f>IFERROR(__xludf.DUMMYFUNCTION("""COMPUTED_VALUE"""),"Inflation Adjusted USDS")</f>
        <v>Inflation Adjusted USDS</v>
      </c>
    </row>
    <row r="5915">
      <c r="A5915" s="3" t="str">
        <f>IFERROR(__xludf.DUMMYFUNCTION("""COMPUTED_VALUE"""),"inflationcoin")</f>
        <v>inflationcoin</v>
      </c>
      <c r="B5915" s="3" t="str">
        <f>IFERROR(__xludf.DUMMYFUNCTION("""COMPUTED_VALUE"""),"iflt")</f>
        <v>iflt</v>
      </c>
      <c r="C5915" s="3" t="str">
        <f>IFERROR(__xludf.DUMMYFUNCTION("""COMPUTED_VALUE"""),"InflationCoin")</f>
        <v>InflationCoin</v>
      </c>
    </row>
    <row r="5916">
      <c r="A5916" s="3" t="str">
        <f>IFERROR(__xludf.DUMMYFUNCTION("""COMPUTED_VALUE"""),"inflation-hedging-coin")</f>
        <v>inflation-hedging-coin</v>
      </c>
      <c r="B5916" s="3" t="str">
        <f>IFERROR(__xludf.DUMMYFUNCTION("""COMPUTED_VALUE"""),"ihc")</f>
        <v>ihc</v>
      </c>
      <c r="C5916" s="3" t="str">
        <f>IFERROR(__xludf.DUMMYFUNCTION("""COMPUTED_VALUE"""),"Inflation Hedging Coin")</f>
        <v>Inflation Hedging Coin</v>
      </c>
    </row>
    <row r="5917">
      <c r="A5917" s="3" t="str">
        <f>IFERROR(__xludf.DUMMYFUNCTION("""COMPUTED_VALUE"""),"inflex-finance")</f>
        <v>inflex-finance</v>
      </c>
      <c r="B5917" s="3" t="str">
        <f>IFERROR(__xludf.DUMMYFUNCTION("""COMPUTED_VALUE"""),"inflex")</f>
        <v>inflex</v>
      </c>
      <c r="C5917" s="3" t="str">
        <f>IFERROR(__xludf.DUMMYFUNCTION("""COMPUTED_VALUE"""),"Inflex Finance")</f>
        <v>Inflex Finance</v>
      </c>
    </row>
    <row r="5918">
      <c r="A5918" s="3" t="str">
        <f>IFERROR(__xludf.DUMMYFUNCTION("""COMPUTED_VALUE"""),"infliv")</f>
        <v>infliv</v>
      </c>
      <c r="B5918" s="3" t="str">
        <f>IFERROR(__xludf.DUMMYFUNCTION("""COMPUTED_VALUE"""),"ifv")</f>
        <v>ifv</v>
      </c>
      <c r="C5918" s="3" t="str">
        <f>IFERROR(__xludf.DUMMYFUNCTION("""COMPUTED_VALUE"""),"INFLIV")</f>
        <v>INFLIV</v>
      </c>
    </row>
    <row r="5919">
      <c r="A5919" s="3" t="str">
        <f>IFERROR(__xludf.DUMMYFUNCTION("""COMPUTED_VALUE"""),"influencer")</f>
        <v>influencer</v>
      </c>
      <c r="B5919" s="3" t="str">
        <f>IFERROR(__xludf.DUMMYFUNCTION("""COMPUTED_VALUE"""),"imi")</f>
        <v>imi</v>
      </c>
      <c r="C5919" s="3" t="str">
        <f>IFERROR(__xludf.DUMMYFUNCTION("""COMPUTED_VALUE"""),"Influencer")</f>
        <v>Influencer</v>
      </c>
    </row>
    <row r="5920">
      <c r="A5920" s="3" t="str">
        <f>IFERROR(__xludf.DUMMYFUNCTION("""COMPUTED_VALUE"""),"influencer-finance")</f>
        <v>influencer-finance</v>
      </c>
      <c r="B5920" s="3" t="str">
        <f>IFERROR(__xludf.DUMMYFUNCTION("""COMPUTED_VALUE"""),"influence")</f>
        <v>influence</v>
      </c>
      <c r="C5920" s="3" t="str">
        <f>IFERROR(__xludf.DUMMYFUNCTION("""COMPUTED_VALUE"""),"Influencer Finance")</f>
        <v>Influencer Finance</v>
      </c>
    </row>
    <row r="5921">
      <c r="A5921" s="3" t="str">
        <f>IFERROR(__xludf.DUMMYFUNCTION("""COMPUTED_VALUE"""),"influxcoin")</f>
        <v>influxcoin</v>
      </c>
      <c r="B5921" s="3" t="str">
        <f>IFERROR(__xludf.DUMMYFUNCTION("""COMPUTED_VALUE"""),"infx")</f>
        <v>infx</v>
      </c>
      <c r="C5921" s="3" t="str">
        <f>IFERROR(__xludf.DUMMYFUNCTION("""COMPUTED_VALUE"""),"Influxcoin")</f>
        <v>Influxcoin</v>
      </c>
    </row>
    <row r="5922">
      <c r="A5922" s="3" t="str">
        <f>IFERROR(__xludf.DUMMYFUNCTION("""COMPUTED_VALUE"""),"infomatix")</f>
        <v>infomatix</v>
      </c>
      <c r="B5922" s="3" t="str">
        <f>IFERROR(__xludf.DUMMYFUNCTION("""COMPUTED_VALUE"""),"info")</f>
        <v>info</v>
      </c>
      <c r="C5922" s="3" t="str">
        <f>IFERROR(__xludf.DUMMYFUNCTION("""COMPUTED_VALUE"""),"Infomatix")</f>
        <v>Infomatix</v>
      </c>
    </row>
    <row r="5923">
      <c r="A5923" s="3" t="str">
        <f>IFERROR(__xludf.DUMMYFUNCTION("""COMPUTED_VALUE"""),"info-token")</f>
        <v>info-token</v>
      </c>
      <c r="B5923" s="3" t="str">
        <f>IFERROR(__xludf.DUMMYFUNCTION("""COMPUTED_VALUE"""),"info")</f>
        <v>info</v>
      </c>
      <c r="C5923" s="3" t="str">
        <f>IFERROR(__xludf.DUMMYFUNCTION("""COMPUTED_VALUE"""),"Kardia Info")</f>
        <v>Kardia Info</v>
      </c>
    </row>
    <row r="5924">
      <c r="A5924" s="3" t="str">
        <f>IFERROR(__xludf.DUMMYFUNCTION("""COMPUTED_VALUE"""),"inft-platform")</f>
        <v>inft-platform</v>
      </c>
      <c r="B5924" s="3" t="str">
        <f>IFERROR(__xludf.DUMMYFUNCTION("""COMPUTED_VALUE"""),"inft")</f>
        <v>inft</v>
      </c>
      <c r="C5924" s="3" t="str">
        <f>IFERROR(__xludf.DUMMYFUNCTION("""COMPUTED_VALUE"""),"iNFT")</f>
        <v>iNFT</v>
      </c>
    </row>
    <row r="5925">
      <c r="A5925" s="3" t="str">
        <f>IFERROR(__xludf.DUMMYFUNCTION("""COMPUTED_VALUE"""),"inftspace")</f>
        <v>inftspace</v>
      </c>
      <c r="B5925" s="3" t="str">
        <f>IFERROR(__xludf.DUMMYFUNCTION("""COMPUTED_VALUE"""),"ins")</f>
        <v>ins</v>
      </c>
      <c r="C5925" s="3" t="str">
        <f>IFERROR(__xludf.DUMMYFUNCTION("""COMPUTED_VALUE"""),"iNFTspace")</f>
        <v>iNFTspace</v>
      </c>
    </row>
    <row r="5926">
      <c r="A5926" s="3" t="str">
        <f>IFERROR(__xludf.DUMMYFUNCTION("""COMPUTED_VALUE"""),"ingress")</f>
        <v>ingress</v>
      </c>
      <c r="B5926" s="3" t="str">
        <f>IFERROR(__xludf.DUMMYFUNCTION("""COMPUTED_VALUE"""),"igr")</f>
        <v>igr</v>
      </c>
      <c r="C5926" s="3" t="str">
        <f>IFERROR(__xludf.DUMMYFUNCTION("""COMPUTED_VALUE"""),"Ingress")</f>
        <v>Ingress</v>
      </c>
    </row>
    <row r="5927">
      <c r="A5927" s="3" t="str">
        <f>IFERROR(__xludf.DUMMYFUNCTION("""COMPUTED_VALUE"""),"injective-protocol")</f>
        <v>injective-protocol</v>
      </c>
      <c r="B5927" s="3" t="str">
        <f>IFERROR(__xludf.DUMMYFUNCTION("""COMPUTED_VALUE"""),"inj")</f>
        <v>inj</v>
      </c>
      <c r="C5927" s="3" t="str">
        <f>IFERROR(__xludf.DUMMYFUNCTION("""COMPUTED_VALUE"""),"Injective")</f>
        <v>Injective</v>
      </c>
    </row>
    <row r="5928">
      <c r="A5928" s="3" t="str">
        <f>IFERROR(__xludf.DUMMYFUNCTION("""COMPUTED_VALUE"""),"ink")</f>
        <v>ink</v>
      </c>
      <c r="B5928" s="3" t="str">
        <f>IFERROR(__xludf.DUMMYFUNCTION("""COMPUTED_VALUE"""),"ink")</f>
        <v>ink</v>
      </c>
      <c r="C5928" s="3" t="str">
        <f>IFERROR(__xludf.DUMMYFUNCTION("""COMPUTED_VALUE"""),"Ink")</f>
        <v>Ink</v>
      </c>
    </row>
    <row r="5929">
      <c r="A5929" s="3" t="str">
        <f>IFERROR(__xludf.DUMMYFUNCTION("""COMPUTED_VALUE"""),"ink-fantom")</f>
        <v>ink-fantom</v>
      </c>
      <c r="B5929" s="3" t="str">
        <f>IFERROR(__xludf.DUMMYFUNCTION("""COMPUTED_VALUE"""),"ink")</f>
        <v>ink</v>
      </c>
      <c r="C5929" s="3" t="str">
        <f>IFERROR(__xludf.DUMMYFUNCTION("""COMPUTED_VALUE"""),"Ink Fantom")</f>
        <v>Ink Fantom</v>
      </c>
    </row>
    <row r="5930">
      <c r="A5930" s="3" t="str">
        <f>IFERROR(__xludf.DUMMYFUNCTION("""COMPUTED_VALUE"""),"inkz")</f>
        <v>inkz</v>
      </c>
      <c r="B5930" s="3" t="str">
        <f>IFERROR(__xludf.DUMMYFUNCTION("""COMPUTED_VALUE"""),"inkz")</f>
        <v>inkz</v>
      </c>
      <c r="C5930" s="3" t="str">
        <f>IFERROR(__xludf.DUMMYFUNCTION("""COMPUTED_VALUE"""),"INKz")</f>
        <v>INKz</v>
      </c>
    </row>
    <row r="5931">
      <c r="A5931" s="3" t="str">
        <f>IFERROR(__xludf.DUMMYFUNCTION("""COMPUTED_VALUE"""),"inmediate")</f>
        <v>inmediate</v>
      </c>
      <c r="B5931" s="3" t="str">
        <f>IFERROR(__xludf.DUMMYFUNCTION("""COMPUTED_VALUE"""),"dit")</f>
        <v>dit</v>
      </c>
      <c r="C5931" s="3" t="str">
        <f>IFERROR(__xludf.DUMMYFUNCTION("""COMPUTED_VALUE"""),"Direct Insurance")</f>
        <v>Direct Insurance</v>
      </c>
    </row>
    <row r="5932">
      <c r="A5932" s="3" t="str">
        <f>IFERROR(__xludf.DUMMYFUNCTION("""COMPUTED_VALUE"""),"inme-run")</f>
        <v>inme-run</v>
      </c>
      <c r="B5932" s="3" t="str">
        <f>IFERROR(__xludf.DUMMYFUNCTION("""COMPUTED_VALUE"""),"inmer")</f>
        <v>inmer</v>
      </c>
      <c r="C5932" s="3" t="str">
        <f>IFERROR(__xludf.DUMMYFUNCTION("""COMPUTED_VALUE"""),"INME Run")</f>
        <v>INME Run</v>
      </c>
    </row>
    <row r="5933">
      <c r="A5933" s="3" t="str">
        <f>IFERROR(__xludf.DUMMYFUNCTION("""COMPUTED_VALUE"""),"inme-swap")</f>
        <v>inme-swap</v>
      </c>
      <c r="B5933" s="3" t="str">
        <f>IFERROR(__xludf.DUMMYFUNCTION("""COMPUTED_VALUE"""),"inmes")</f>
        <v>inmes</v>
      </c>
      <c r="C5933" s="3" t="str">
        <f>IFERROR(__xludf.DUMMYFUNCTION("""COMPUTED_VALUE"""),"Inme Swap [OLD]")</f>
        <v>Inme Swap [OLD]</v>
      </c>
    </row>
    <row r="5934">
      <c r="A5934" s="3" t="str">
        <f>IFERROR(__xludf.DUMMYFUNCTION("""COMPUTED_VALUE"""),"inme-swap-2")</f>
        <v>inme-swap-2</v>
      </c>
      <c r="B5934" s="3" t="str">
        <f>IFERROR(__xludf.DUMMYFUNCTION("""COMPUTED_VALUE"""),"inmes")</f>
        <v>inmes</v>
      </c>
      <c r="C5934" s="3" t="str">
        <f>IFERROR(__xludf.DUMMYFUNCTION("""COMPUTED_VALUE"""),"Inme Swap")</f>
        <v>Inme Swap</v>
      </c>
    </row>
    <row r="5935">
      <c r="A5935" s="3" t="str">
        <f>IFERROR(__xludf.DUMMYFUNCTION("""COMPUTED_VALUE"""),"in-meta-travel")</f>
        <v>in-meta-travel</v>
      </c>
      <c r="B5935" s="3" t="str">
        <f>IFERROR(__xludf.DUMMYFUNCTION("""COMPUTED_VALUE"""),"imt")</f>
        <v>imt</v>
      </c>
      <c r="C5935" s="3" t="str">
        <f>IFERROR(__xludf.DUMMYFUNCTION("""COMPUTED_VALUE"""),"In Meta Travel")</f>
        <v>In Meta Travel</v>
      </c>
    </row>
    <row r="5936">
      <c r="A5936" s="3" t="str">
        <f>IFERROR(__xludf.DUMMYFUNCTION("""COMPUTED_VALUE"""),"innitforthetech")</f>
        <v>innitforthetech</v>
      </c>
      <c r="B5936" s="3" t="str">
        <f>IFERROR(__xludf.DUMMYFUNCTION("""COMPUTED_VALUE"""),"innit")</f>
        <v>innit</v>
      </c>
      <c r="C5936" s="3" t="str">
        <f>IFERROR(__xludf.DUMMYFUNCTION("""COMPUTED_VALUE"""),"InnitForTheTECH")</f>
        <v>InnitForTheTECH</v>
      </c>
    </row>
    <row r="5937">
      <c r="A5937" s="3" t="str">
        <f>IFERROR(__xludf.DUMMYFUNCTION("""COMPUTED_VALUE"""),"innova")</f>
        <v>innova</v>
      </c>
      <c r="B5937" s="3" t="str">
        <f>IFERROR(__xludf.DUMMYFUNCTION("""COMPUTED_VALUE"""),"inn")</f>
        <v>inn</v>
      </c>
      <c r="C5937" s="3" t="str">
        <f>IFERROR(__xludf.DUMMYFUNCTION("""COMPUTED_VALUE"""),"Innova")</f>
        <v>Innova</v>
      </c>
    </row>
    <row r="5938">
      <c r="A5938" s="3" t="str">
        <f>IFERROR(__xludf.DUMMYFUNCTION("""COMPUTED_VALUE"""),"innovation-blockchain-payment")</f>
        <v>innovation-blockchain-payment</v>
      </c>
      <c r="B5938" s="3" t="str">
        <f>IFERROR(__xludf.DUMMYFUNCTION("""COMPUTED_VALUE"""),"ibp")</f>
        <v>ibp</v>
      </c>
      <c r="C5938" s="3" t="str">
        <f>IFERROR(__xludf.DUMMYFUNCTION("""COMPUTED_VALUE"""),"Innovation Blockchain Payment")</f>
        <v>Innovation Blockchain Payment</v>
      </c>
    </row>
    <row r="5939">
      <c r="A5939" s="3" t="str">
        <f>IFERROR(__xludf.DUMMYFUNCTION("""COMPUTED_VALUE"""),"innovative-bioresearch")</f>
        <v>innovative-bioresearch</v>
      </c>
      <c r="B5939" s="3" t="str">
        <f>IFERROR(__xludf.DUMMYFUNCTION("""COMPUTED_VALUE"""),"innbc")</f>
        <v>innbc</v>
      </c>
      <c r="C5939" s="3" t="str">
        <f>IFERROR(__xludf.DUMMYFUNCTION("""COMPUTED_VALUE"""),"Innovative Bioresearch Coin")</f>
        <v>Innovative Bioresearch Coin</v>
      </c>
    </row>
    <row r="5940">
      <c r="A5940" s="3" t="str">
        <f>IFERROR(__xludf.DUMMYFUNCTION("""COMPUTED_VALUE"""),"innovativebioresearchclassic")</f>
        <v>innovativebioresearchclassic</v>
      </c>
      <c r="B5940" s="3" t="str">
        <f>IFERROR(__xludf.DUMMYFUNCTION("""COMPUTED_VALUE"""),"innbcl")</f>
        <v>innbcl</v>
      </c>
      <c r="C5940" s="3" t="str">
        <f>IFERROR(__xludf.DUMMYFUNCTION("""COMPUTED_VALUE"""),"InnovativeBioresearchClassic")</f>
        <v>InnovativeBioresearchClassic</v>
      </c>
    </row>
    <row r="5941">
      <c r="A5941" s="3" t="str">
        <f>IFERROR(__xludf.DUMMYFUNCTION("""COMPUTED_VALUE"""),"ino-coin")</f>
        <v>ino-coin</v>
      </c>
      <c r="B5941" s="3" t="str">
        <f>IFERROR(__xludf.DUMMYFUNCTION("""COMPUTED_VALUE"""),"ino")</f>
        <v>ino</v>
      </c>
      <c r="C5941" s="3" t="str">
        <f>IFERROR(__xludf.DUMMYFUNCTION("""COMPUTED_VALUE"""),"Ino Coin")</f>
        <v>Ino Coin</v>
      </c>
    </row>
    <row r="5942">
      <c r="A5942" s="3" t="str">
        <f>IFERROR(__xludf.DUMMYFUNCTION("""COMPUTED_VALUE"""),"inoovi")</f>
        <v>inoovi</v>
      </c>
      <c r="B5942" s="3" t="str">
        <f>IFERROR(__xludf.DUMMYFUNCTION("""COMPUTED_VALUE"""),"ivi")</f>
        <v>ivi</v>
      </c>
      <c r="C5942" s="3" t="str">
        <f>IFERROR(__xludf.DUMMYFUNCTION("""COMPUTED_VALUE"""),"Inoovi")</f>
        <v>Inoovi</v>
      </c>
    </row>
    <row r="5943">
      <c r="A5943" s="3" t="str">
        <f>IFERROR(__xludf.DUMMYFUNCTION("""COMPUTED_VALUE"""),"inpoker")</f>
        <v>inpoker</v>
      </c>
      <c r="B5943" s="3" t="str">
        <f>IFERROR(__xludf.DUMMYFUNCTION("""COMPUTED_VALUE"""),"inp")</f>
        <v>inp</v>
      </c>
      <c r="C5943" s="3" t="str">
        <f>IFERROR(__xludf.DUMMYFUNCTION("""COMPUTED_VALUE"""),"InPoker")</f>
        <v>InPoker</v>
      </c>
    </row>
    <row r="5944">
      <c r="A5944" s="3" t="str">
        <f>IFERROR(__xludf.DUMMYFUNCTION("""COMPUTED_VALUE"""),"inpulse-x")</f>
        <v>inpulse-x</v>
      </c>
      <c r="B5944" s="3" t="str">
        <f>IFERROR(__xludf.DUMMYFUNCTION("""COMPUTED_VALUE"""),"ipx")</f>
        <v>ipx</v>
      </c>
      <c r="C5944" s="3" t="str">
        <f>IFERROR(__xludf.DUMMYFUNCTION("""COMPUTED_VALUE"""),"InpulseX")</f>
        <v>InpulseX</v>
      </c>
    </row>
    <row r="5945">
      <c r="A5945" s="3" t="str">
        <f>IFERROR(__xludf.DUMMYFUNCTION("""COMPUTED_VALUE"""),"ins3-finance-coin")</f>
        <v>ins3-finance-coin</v>
      </c>
      <c r="B5945" s="3" t="str">
        <f>IFERROR(__xludf.DUMMYFUNCTION("""COMPUTED_VALUE"""),"itf")</f>
        <v>itf</v>
      </c>
      <c r="C5945" s="3" t="str">
        <f>IFERROR(__xludf.DUMMYFUNCTION("""COMPUTED_VALUE"""),"Ins3.Finance Coin")</f>
        <v>Ins3.Finance Coin</v>
      </c>
    </row>
    <row r="5946">
      <c r="A5946" s="3" t="str">
        <f>IFERROR(__xludf.DUMMYFUNCTION("""COMPUTED_VALUE"""),"insanecoin")</f>
        <v>insanecoin</v>
      </c>
      <c r="B5946" s="3" t="str">
        <f>IFERROR(__xludf.DUMMYFUNCTION("""COMPUTED_VALUE"""),"insn")</f>
        <v>insn</v>
      </c>
      <c r="C5946" s="3" t="str">
        <f>IFERROR(__xludf.DUMMYFUNCTION("""COMPUTED_VALUE"""),"INSaNe")</f>
        <v>INSaNe</v>
      </c>
    </row>
    <row r="5947">
      <c r="A5947" s="3" t="str">
        <f>IFERROR(__xludf.DUMMYFUNCTION("""COMPUTED_VALUE"""),"insight-protocol")</f>
        <v>insight-protocol</v>
      </c>
      <c r="B5947" s="3" t="str">
        <f>IFERROR(__xludf.DUMMYFUNCTION("""COMPUTED_VALUE"""),"inx")</f>
        <v>inx</v>
      </c>
      <c r="C5947" s="3" t="str">
        <f>IFERROR(__xludf.DUMMYFUNCTION("""COMPUTED_VALUE"""),"Insight Protocol")</f>
        <v>Insight Protocol</v>
      </c>
    </row>
    <row r="5948">
      <c r="A5948" s="3" t="str">
        <f>IFERROR(__xludf.DUMMYFUNCTION("""COMPUTED_VALUE"""),"insights-network")</f>
        <v>insights-network</v>
      </c>
      <c r="B5948" s="3" t="str">
        <f>IFERROR(__xludf.DUMMYFUNCTION("""COMPUTED_VALUE"""),"instar")</f>
        <v>instar</v>
      </c>
      <c r="C5948" s="3" t="str">
        <f>IFERROR(__xludf.DUMMYFUNCTION("""COMPUTED_VALUE"""),"INSTAR")</f>
        <v>INSTAR</v>
      </c>
    </row>
    <row r="5949">
      <c r="A5949" s="3" t="str">
        <f>IFERROR(__xludf.DUMMYFUNCTION("""COMPUTED_VALUE"""),"instadapp")</f>
        <v>instadapp</v>
      </c>
      <c r="B5949" s="3" t="str">
        <f>IFERROR(__xludf.DUMMYFUNCTION("""COMPUTED_VALUE"""),"inst")</f>
        <v>inst</v>
      </c>
      <c r="C5949" s="3" t="str">
        <f>IFERROR(__xludf.DUMMYFUNCTION("""COMPUTED_VALUE"""),"Instadapp")</f>
        <v>Instadapp</v>
      </c>
    </row>
    <row r="5950">
      <c r="A5950" s="3" t="str">
        <f>IFERROR(__xludf.DUMMYFUNCTION("""COMPUTED_VALUE"""),"instadapp-dai")</f>
        <v>instadapp-dai</v>
      </c>
      <c r="B5950" s="3" t="str">
        <f>IFERROR(__xludf.DUMMYFUNCTION("""COMPUTED_VALUE"""),"idai")</f>
        <v>idai</v>
      </c>
      <c r="C5950" s="3" t="str">
        <f>IFERROR(__xludf.DUMMYFUNCTION("""COMPUTED_VALUE"""),"Instadapp DAI")</f>
        <v>Instadapp DAI</v>
      </c>
    </row>
    <row r="5951">
      <c r="A5951" s="3" t="str">
        <f>IFERROR(__xludf.DUMMYFUNCTION("""COMPUTED_VALUE"""),"instadapp-eth")</f>
        <v>instadapp-eth</v>
      </c>
      <c r="B5951" s="3" t="str">
        <f>IFERROR(__xludf.DUMMYFUNCTION("""COMPUTED_VALUE"""),"ieth")</f>
        <v>ieth</v>
      </c>
      <c r="C5951" s="3" t="str">
        <f>IFERROR(__xludf.DUMMYFUNCTION("""COMPUTED_VALUE"""),"Instadapp ETH")</f>
        <v>Instadapp ETH</v>
      </c>
    </row>
    <row r="5952">
      <c r="A5952" s="3" t="str">
        <f>IFERROR(__xludf.DUMMYFUNCTION("""COMPUTED_VALUE"""),"instadapp-usdc")</f>
        <v>instadapp-usdc</v>
      </c>
      <c r="B5952" s="3" t="str">
        <f>IFERROR(__xludf.DUMMYFUNCTION("""COMPUTED_VALUE"""),"iusdc")</f>
        <v>iusdc</v>
      </c>
      <c r="C5952" s="3" t="str">
        <f>IFERROR(__xludf.DUMMYFUNCTION("""COMPUTED_VALUE"""),"Instadapp USDC")</f>
        <v>Instadapp USDC</v>
      </c>
    </row>
    <row r="5953">
      <c r="A5953" s="3" t="str">
        <f>IFERROR(__xludf.DUMMYFUNCTION("""COMPUTED_VALUE"""),"instadapp-wbtc")</f>
        <v>instadapp-wbtc</v>
      </c>
      <c r="B5953" s="3" t="str">
        <f>IFERROR(__xludf.DUMMYFUNCTION("""COMPUTED_VALUE"""),"iwbtc")</f>
        <v>iwbtc</v>
      </c>
      <c r="C5953" s="3" t="str">
        <f>IFERROR(__xludf.DUMMYFUNCTION("""COMPUTED_VALUE"""),"Instadapp WBTC")</f>
        <v>Instadapp WBTC</v>
      </c>
    </row>
    <row r="5954">
      <c r="A5954" s="3" t="str">
        <f>IFERROR(__xludf.DUMMYFUNCTION("""COMPUTED_VALUE"""),"instaraise")</f>
        <v>instaraise</v>
      </c>
      <c r="B5954" s="3" t="str">
        <f>IFERROR(__xludf.DUMMYFUNCTION("""COMPUTED_VALUE"""),"insta")</f>
        <v>insta</v>
      </c>
      <c r="C5954" s="3" t="str">
        <f>IFERROR(__xludf.DUMMYFUNCTION("""COMPUTED_VALUE"""),"Instaraise")</f>
        <v>Instaraise</v>
      </c>
    </row>
    <row r="5955">
      <c r="A5955" s="3" t="str">
        <f>IFERROR(__xludf.DUMMYFUNCTION("""COMPUTED_VALUE"""),"instinct")</f>
        <v>instinct</v>
      </c>
      <c r="B5955" s="3" t="str">
        <f>IFERROR(__xludf.DUMMYFUNCTION("""COMPUTED_VALUE"""),"ins")</f>
        <v>ins</v>
      </c>
      <c r="C5955" s="3" t="str">
        <f>IFERROR(__xludf.DUMMYFUNCTION("""COMPUTED_VALUE"""),"Instinct")</f>
        <v>Instinct</v>
      </c>
    </row>
    <row r="5956">
      <c r="A5956" s="3" t="str">
        <f>IFERROR(__xludf.DUMMYFUNCTION("""COMPUTED_VALUE"""),"instrumental-finance")</f>
        <v>instrumental-finance</v>
      </c>
      <c r="B5956" s="3" t="str">
        <f>IFERROR(__xludf.DUMMYFUNCTION("""COMPUTED_VALUE"""),"strm")</f>
        <v>strm</v>
      </c>
      <c r="C5956" s="3" t="str">
        <f>IFERROR(__xludf.DUMMYFUNCTION("""COMPUTED_VALUE"""),"Instrumental Finance")</f>
        <v>Instrumental Finance</v>
      </c>
    </row>
    <row r="5957">
      <c r="A5957" s="3" t="str">
        <f>IFERROR(__xludf.DUMMYFUNCTION("""COMPUTED_VALUE"""),"insula")</f>
        <v>insula</v>
      </c>
      <c r="B5957" s="3" t="str">
        <f>IFERROR(__xludf.DUMMYFUNCTION("""COMPUTED_VALUE"""),"isla")</f>
        <v>isla</v>
      </c>
      <c r="C5957" s="3" t="str">
        <f>IFERROR(__xludf.DUMMYFUNCTION("""COMPUTED_VALUE"""),"Insula")</f>
        <v>Insula</v>
      </c>
    </row>
    <row r="5958">
      <c r="A5958" s="3" t="str">
        <f>IFERROR(__xludf.DUMMYFUNCTION("""COMPUTED_VALUE"""),"insurace")</f>
        <v>insurace</v>
      </c>
      <c r="B5958" s="3" t="str">
        <f>IFERROR(__xludf.DUMMYFUNCTION("""COMPUTED_VALUE"""),"insur")</f>
        <v>insur</v>
      </c>
      <c r="C5958" s="3" t="str">
        <f>IFERROR(__xludf.DUMMYFUNCTION("""COMPUTED_VALUE"""),"InsurAce")</f>
        <v>InsurAce</v>
      </c>
    </row>
    <row r="5959">
      <c r="A5959" s="3" t="str">
        <f>IFERROR(__xludf.DUMMYFUNCTION("""COMPUTED_VALUE"""),"insurancefi")</f>
        <v>insurancefi</v>
      </c>
      <c r="B5959" s="3" t="str">
        <f>IFERROR(__xludf.DUMMYFUNCTION("""COMPUTED_VALUE"""),"if")</f>
        <v>if</v>
      </c>
      <c r="C5959" s="3" t="str">
        <f>IFERROR(__xludf.DUMMYFUNCTION("""COMPUTED_VALUE"""),"InsuranceFI")</f>
        <v>InsuranceFI</v>
      </c>
    </row>
    <row r="5960">
      <c r="A5960" s="3" t="str">
        <f>IFERROR(__xludf.DUMMYFUNCTION("""COMPUTED_VALUE"""),"insure")</f>
        <v>insure</v>
      </c>
      <c r="B5960" s="3" t="str">
        <f>IFERROR(__xludf.DUMMYFUNCTION("""COMPUTED_VALUE"""),"sure")</f>
        <v>sure</v>
      </c>
      <c r="C5960" s="3" t="str">
        <f>IFERROR(__xludf.DUMMYFUNCTION("""COMPUTED_VALUE"""),"inSure DeFi")</f>
        <v>inSure DeFi</v>
      </c>
    </row>
    <row r="5961">
      <c r="A5961" s="3" t="str">
        <f>IFERROR(__xludf.DUMMYFUNCTION("""COMPUTED_VALUE"""),"insuredao")</f>
        <v>insuredao</v>
      </c>
      <c r="B5961" s="3" t="str">
        <f>IFERROR(__xludf.DUMMYFUNCTION("""COMPUTED_VALUE"""),"insure")</f>
        <v>insure</v>
      </c>
      <c r="C5961" s="3" t="str">
        <f>IFERROR(__xludf.DUMMYFUNCTION("""COMPUTED_VALUE"""),"InsureDAO")</f>
        <v>InsureDAO</v>
      </c>
    </row>
    <row r="5962">
      <c r="A5962" s="3" t="str">
        <f>IFERROR(__xludf.DUMMYFUNCTION("""COMPUTED_VALUE"""),"insured-finance")</f>
        <v>insured-finance</v>
      </c>
      <c r="B5962" s="3" t="str">
        <f>IFERROR(__xludf.DUMMYFUNCTION("""COMPUTED_VALUE"""),"infi")</f>
        <v>infi</v>
      </c>
      <c r="C5962" s="3" t="str">
        <f>IFERROR(__xludf.DUMMYFUNCTION("""COMPUTED_VALUE"""),"Insured Finance")</f>
        <v>Insured Finance</v>
      </c>
    </row>
    <row r="5963">
      <c r="A5963" s="3" t="str">
        <f>IFERROR(__xludf.DUMMYFUNCTION("""COMPUTED_VALUE"""),"insurepal")</f>
        <v>insurepal</v>
      </c>
      <c r="B5963" s="3" t="str">
        <f>IFERROR(__xludf.DUMMYFUNCTION("""COMPUTED_VALUE"""),"ipl")</f>
        <v>ipl</v>
      </c>
      <c r="C5963" s="3" t="str">
        <f>IFERROR(__xludf.DUMMYFUNCTION("""COMPUTED_VALUE"""),"InsurePal")</f>
        <v>InsurePal</v>
      </c>
    </row>
    <row r="5964">
      <c r="A5964" s="3" t="str">
        <f>IFERROR(__xludf.DUMMYFUNCTION("""COMPUTED_VALUE"""),"insureum")</f>
        <v>insureum</v>
      </c>
      <c r="B5964" s="3" t="str">
        <f>IFERROR(__xludf.DUMMYFUNCTION("""COMPUTED_VALUE"""),"isr")</f>
        <v>isr</v>
      </c>
      <c r="C5964" s="3" t="str">
        <f>IFERROR(__xludf.DUMMYFUNCTION("""COMPUTED_VALUE"""),"Insureum")</f>
        <v>Insureum</v>
      </c>
    </row>
    <row r="5965">
      <c r="A5965" s="3" t="str">
        <f>IFERROR(__xludf.DUMMYFUNCTION("""COMPUTED_VALUE"""),"insurex")</f>
        <v>insurex</v>
      </c>
      <c r="B5965" s="3" t="str">
        <f>IFERROR(__xludf.DUMMYFUNCTION("""COMPUTED_VALUE"""),"ixt")</f>
        <v>ixt</v>
      </c>
      <c r="C5965" s="3" t="str">
        <f>IFERROR(__xludf.DUMMYFUNCTION("""COMPUTED_VALUE"""),"iXledger")</f>
        <v>iXledger</v>
      </c>
    </row>
    <row r="5966">
      <c r="A5966" s="3" t="str">
        <f>IFERROR(__xludf.DUMMYFUNCTION("""COMPUTED_VALUE"""),"intdestcoin")</f>
        <v>intdestcoin</v>
      </c>
      <c r="B5966" s="3" t="str">
        <f>IFERROR(__xludf.DUMMYFUNCTION("""COMPUTED_VALUE"""),"intd")</f>
        <v>intd</v>
      </c>
      <c r="C5966" s="3" t="str">
        <f>IFERROR(__xludf.DUMMYFUNCTION("""COMPUTED_VALUE"""),"INTDESTCOIN [OLD]")</f>
        <v>INTDESTCOIN [OLD]</v>
      </c>
    </row>
    <row r="5967">
      <c r="A5967" s="3" t="str">
        <f>IFERROR(__xludf.DUMMYFUNCTION("""COMPUTED_VALUE"""),"integral")</f>
        <v>integral</v>
      </c>
      <c r="B5967" s="3" t="str">
        <f>IFERROR(__xludf.DUMMYFUNCTION("""COMPUTED_VALUE"""),"itgr")</f>
        <v>itgr</v>
      </c>
      <c r="C5967" s="3" t="str">
        <f>IFERROR(__xludf.DUMMYFUNCTION("""COMPUTED_VALUE"""),"Integral")</f>
        <v>Integral</v>
      </c>
    </row>
    <row r="5968">
      <c r="A5968" s="3" t="str">
        <f>IFERROR(__xludf.DUMMYFUNCTION("""COMPUTED_VALUE"""),"integritee")</f>
        <v>integritee</v>
      </c>
      <c r="B5968" s="3" t="str">
        <f>IFERROR(__xludf.DUMMYFUNCTION("""COMPUTED_VALUE"""),"teer")</f>
        <v>teer</v>
      </c>
      <c r="C5968" s="3" t="str">
        <f>IFERROR(__xludf.DUMMYFUNCTION("""COMPUTED_VALUE"""),"Integritee")</f>
        <v>Integritee</v>
      </c>
    </row>
    <row r="5969">
      <c r="A5969" s="3" t="str">
        <f>IFERROR(__xludf.DUMMYFUNCTION("""COMPUTED_VALUE"""),"intelligent-investment-chain")</f>
        <v>intelligent-investment-chain</v>
      </c>
      <c r="B5969" s="3" t="str">
        <f>IFERROR(__xludf.DUMMYFUNCTION("""COMPUTED_VALUE"""),"iic")</f>
        <v>iic</v>
      </c>
      <c r="C5969" s="3" t="str">
        <f>IFERROR(__xludf.DUMMYFUNCTION("""COMPUTED_VALUE"""),"Intelligent Investment Chain")</f>
        <v>Intelligent Investment Chain</v>
      </c>
    </row>
    <row r="5970">
      <c r="A5970" s="3" t="str">
        <f>IFERROR(__xludf.DUMMYFUNCTION("""COMPUTED_VALUE"""),"intelligent-monsters")</f>
        <v>intelligent-monsters</v>
      </c>
      <c r="B5970" s="3" t="str">
        <f>IFERROR(__xludf.DUMMYFUNCTION("""COMPUTED_VALUE"""),"imon")</f>
        <v>imon</v>
      </c>
      <c r="C5970" s="3" t="str">
        <f>IFERROR(__xludf.DUMMYFUNCTION("""COMPUTED_VALUE"""),"Intelligent Monsters")</f>
        <v>Intelligent Monsters</v>
      </c>
    </row>
    <row r="5971">
      <c r="A5971" s="3" t="str">
        <f>IFERROR(__xludf.DUMMYFUNCTION("""COMPUTED_VALUE"""),"interbtc")</f>
        <v>interbtc</v>
      </c>
      <c r="B5971" s="3" t="str">
        <f>IFERROR(__xludf.DUMMYFUNCTION("""COMPUTED_VALUE"""),"ibtc")</f>
        <v>ibtc</v>
      </c>
      <c r="C5971" s="3" t="str">
        <f>IFERROR(__xludf.DUMMYFUNCTION("""COMPUTED_VALUE"""),"interBTC")</f>
        <v>interBTC</v>
      </c>
    </row>
    <row r="5972">
      <c r="A5972" s="3" t="str">
        <f>IFERROR(__xludf.DUMMYFUNCTION("""COMPUTED_VALUE"""),"intercoin")</f>
        <v>intercoin</v>
      </c>
      <c r="B5972" s="3" t="str">
        <f>IFERROR(__xludf.DUMMYFUNCTION("""COMPUTED_VALUE"""),"itr")</f>
        <v>itr</v>
      </c>
      <c r="C5972" s="3" t="str">
        <f>IFERROR(__xludf.DUMMYFUNCTION("""COMPUTED_VALUE"""),"Intercoin")</f>
        <v>Intercoin</v>
      </c>
    </row>
    <row r="5973">
      <c r="A5973" s="3" t="str">
        <f>IFERROR(__xludf.DUMMYFUNCTION("""COMPUTED_VALUE"""),"intercrone")</f>
        <v>intercrone</v>
      </c>
      <c r="B5973" s="3" t="str">
        <f>IFERROR(__xludf.DUMMYFUNCTION("""COMPUTED_VALUE"""),"icr")</f>
        <v>icr</v>
      </c>
      <c r="C5973" s="3" t="str">
        <f>IFERROR(__xludf.DUMMYFUNCTION("""COMPUTED_VALUE"""),"InterCrone")</f>
        <v>InterCrone</v>
      </c>
    </row>
    <row r="5974">
      <c r="A5974" s="3" t="str">
        <f>IFERROR(__xludf.DUMMYFUNCTION("""COMPUTED_VALUE"""),"interest-bearing-bitcoin")</f>
        <v>interest-bearing-bitcoin</v>
      </c>
      <c r="B5974" s="3" t="str">
        <f>IFERROR(__xludf.DUMMYFUNCTION("""COMPUTED_VALUE"""),"ibbtc")</f>
        <v>ibbtc</v>
      </c>
      <c r="C5974" s="3" t="str">
        <f>IFERROR(__xludf.DUMMYFUNCTION("""COMPUTED_VALUE"""),"Badger Interest Bearing Bitcoin")</f>
        <v>Badger Interest Bearing Bitcoin</v>
      </c>
    </row>
    <row r="5975">
      <c r="A5975" s="3" t="str">
        <f>IFERROR(__xludf.DUMMYFUNCTION("""COMPUTED_VALUE"""),"interest-bearing-eth")</f>
        <v>interest-bearing-eth</v>
      </c>
      <c r="B5975" s="3" t="str">
        <f>IFERROR(__xludf.DUMMYFUNCTION("""COMPUTED_VALUE"""),"ibeth")</f>
        <v>ibeth</v>
      </c>
      <c r="C5975" s="3" t="str">
        <f>IFERROR(__xludf.DUMMYFUNCTION("""COMPUTED_VALUE"""),"Interest Bearing ETH")</f>
        <v>Interest Bearing ETH</v>
      </c>
    </row>
    <row r="5976">
      <c r="A5976" s="3" t="str">
        <f>IFERROR(__xludf.DUMMYFUNCTION("""COMPUTED_VALUE"""),"interest-bearing-moo")</f>
        <v>interest-bearing-moo</v>
      </c>
      <c r="B5976" s="3" t="str">
        <f>IFERROR(__xludf.DUMMYFUNCTION("""COMPUTED_VALUE"""),"mmoo")</f>
        <v>mmoo</v>
      </c>
      <c r="C5976" s="3" t="str">
        <f>IFERROR(__xludf.DUMMYFUNCTION("""COMPUTED_VALUE"""),"Interest Bearing MOO")</f>
        <v>Interest Bearing MOO</v>
      </c>
    </row>
    <row r="5977">
      <c r="A5977" s="3" t="str">
        <f>IFERROR(__xludf.DUMMYFUNCTION("""COMPUTED_VALUE"""),"interest-compounding-eth-index")</f>
        <v>interest-compounding-eth-index</v>
      </c>
      <c r="B5977" s="3" t="str">
        <f>IFERROR(__xludf.DUMMYFUNCTION("""COMPUTED_VALUE"""),"iceth")</f>
        <v>iceth</v>
      </c>
      <c r="C5977" s="3" t="str">
        <f>IFERROR(__xludf.DUMMYFUNCTION("""COMPUTED_VALUE"""),"Interest Compounding ETH Index")</f>
        <v>Interest Compounding ETH Index</v>
      </c>
    </row>
    <row r="5978">
      <c r="A5978" s="3" t="str">
        <f>IFERROR(__xludf.DUMMYFUNCTION("""COMPUTED_VALUE"""),"interest-protocol")</f>
        <v>interest-protocol</v>
      </c>
      <c r="B5978" s="3" t="str">
        <f>IFERROR(__xludf.DUMMYFUNCTION("""COMPUTED_VALUE"""),"usdi")</f>
        <v>usdi</v>
      </c>
      <c r="C5978" s="3" t="str">
        <f>IFERROR(__xludf.DUMMYFUNCTION("""COMPUTED_VALUE"""),"Interest Protocol USDi")</f>
        <v>Interest Protocol USDi</v>
      </c>
    </row>
    <row r="5979">
      <c r="A5979" s="3" t="str">
        <f>IFERROR(__xludf.DUMMYFUNCTION("""COMPUTED_VALUE"""),"interest-protocol-token")</f>
        <v>interest-protocol-token</v>
      </c>
      <c r="B5979" s="3" t="str">
        <f>IFERROR(__xludf.DUMMYFUNCTION("""COMPUTED_VALUE"""),"ipt")</f>
        <v>ipt</v>
      </c>
      <c r="C5979" s="3" t="str">
        <f>IFERROR(__xludf.DUMMYFUNCTION("""COMPUTED_VALUE"""),"Interest Protocol Token")</f>
        <v>Interest Protocol Token</v>
      </c>
    </row>
    <row r="5980">
      <c r="A5980" s="3" t="str">
        <f>IFERROR(__xludf.DUMMYFUNCTION("""COMPUTED_VALUE"""),"interfinex-bills")</f>
        <v>interfinex-bills</v>
      </c>
      <c r="B5980" s="3" t="str">
        <f>IFERROR(__xludf.DUMMYFUNCTION("""COMPUTED_VALUE"""),"ifex")</f>
        <v>ifex</v>
      </c>
      <c r="C5980" s="3" t="str">
        <f>IFERROR(__xludf.DUMMYFUNCTION("""COMPUTED_VALUE"""),"Interfinex Bills")</f>
        <v>Interfinex Bills</v>
      </c>
    </row>
    <row r="5981">
      <c r="A5981" s="3" t="str">
        <f>IFERROR(__xludf.DUMMYFUNCTION("""COMPUTED_VALUE"""),"intergalactic-cockroach")</f>
        <v>intergalactic-cockroach</v>
      </c>
      <c r="B5981" s="3" t="str">
        <f>IFERROR(__xludf.DUMMYFUNCTION("""COMPUTED_VALUE"""),"icc")</f>
        <v>icc</v>
      </c>
      <c r="C5981" s="3" t="str">
        <f>IFERROR(__xludf.DUMMYFUNCTION("""COMPUTED_VALUE"""),"Intergalactic Cockroach")</f>
        <v>Intergalactic Cockroach</v>
      </c>
    </row>
    <row r="5982">
      <c r="A5982" s="3" t="str">
        <f>IFERROR(__xludf.DUMMYFUNCTION("""COMPUTED_VALUE"""),"interlay")</f>
        <v>interlay</v>
      </c>
      <c r="B5982" s="3" t="str">
        <f>IFERROR(__xludf.DUMMYFUNCTION("""COMPUTED_VALUE"""),"intr")</f>
        <v>intr</v>
      </c>
      <c r="C5982" s="3" t="str">
        <f>IFERROR(__xludf.DUMMYFUNCTION("""COMPUTED_VALUE"""),"Interlay")</f>
        <v>Interlay</v>
      </c>
    </row>
    <row r="5983">
      <c r="A5983" s="3" t="str">
        <f>IFERROR(__xludf.DUMMYFUNCTION("""COMPUTED_VALUE"""),"inter-milan-fan-token")</f>
        <v>inter-milan-fan-token</v>
      </c>
      <c r="B5983" s="3" t="str">
        <f>IFERROR(__xludf.DUMMYFUNCTION("""COMPUTED_VALUE"""),"inter")</f>
        <v>inter</v>
      </c>
      <c r="C5983" s="3" t="str">
        <f>IFERROR(__xludf.DUMMYFUNCTION("""COMPUTED_VALUE"""),"Inter Milan Fan Token")</f>
        <v>Inter Milan Fan Token</v>
      </c>
    </row>
    <row r="5984">
      <c r="A5984" s="3" t="str">
        <f>IFERROR(__xludf.DUMMYFUNCTION("""COMPUTED_VALUE"""),"international-blockchain-technology")</f>
        <v>international-blockchain-technology</v>
      </c>
      <c r="B5984" s="3" t="str">
        <f>IFERROR(__xludf.DUMMYFUNCTION("""COMPUTED_VALUE"""),"ibt")</f>
        <v>ibt</v>
      </c>
      <c r="C5984" s="3" t="str">
        <f>IFERROR(__xludf.DUMMYFUNCTION("""COMPUTED_VALUE"""),"International Blockchain Technology")</f>
        <v>International Blockchain Technology</v>
      </c>
    </row>
    <row r="5985">
      <c r="A5985" s="3" t="str">
        <f>IFERROR(__xludf.DUMMYFUNCTION("""COMPUTED_VALUE"""),"international-cryptox")</f>
        <v>international-cryptox</v>
      </c>
      <c r="B5985" s="3" t="str">
        <f>IFERROR(__xludf.DUMMYFUNCTION("""COMPUTED_VALUE"""),"incx")</f>
        <v>incx</v>
      </c>
      <c r="C5985" s="3" t="str">
        <f>IFERROR(__xludf.DUMMYFUNCTION("""COMPUTED_VALUE"""),"International CryptoX")</f>
        <v>International CryptoX</v>
      </c>
    </row>
    <row r="5986">
      <c r="A5986" s="3" t="str">
        <f>IFERROR(__xludf.DUMMYFUNCTION("""COMPUTED_VALUE"""),"internet-computer")</f>
        <v>internet-computer</v>
      </c>
      <c r="B5986" s="3" t="str">
        <f>IFERROR(__xludf.DUMMYFUNCTION("""COMPUTED_VALUE"""),"icp")</f>
        <v>icp</v>
      </c>
      <c r="C5986" s="3" t="str">
        <f>IFERROR(__xludf.DUMMYFUNCTION("""COMPUTED_VALUE"""),"Internet Computer")</f>
        <v>Internet Computer</v>
      </c>
    </row>
    <row r="5987">
      <c r="A5987" s="3" t="str">
        <f>IFERROR(__xludf.DUMMYFUNCTION("""COMPUTED_VALUE"""),"internet-node-token")</f>
        <v>internet-node-token</v>
      </c>
      <c r="B5987" s="3" t="str">
        <f>IFERROR(__xludf.DUMMYFUNCTION("""COMPUTED_VALUE"""),"int")</f>
        <v>int</v>
      </c>
      <c r="C5987" s="3" t="str">
        <f>IFERROR(__xludf.DUMMYFUNCTION("""COMPUTED_VALUE"""),"INTchain")</f>
        <v>INTchain</v>
      </c>
    </row>
    <row r="5988">
      <c r="A5988" s="3" t="str">
        <f>IFERROR(__xludf.DUMMYFUNCTION("""COMPUTED_VALUE"""),"internet-of-energy-network")</f>
        <v>internet-of-energy-network</v>
      </c>
      <c r="B5988" s="3" t="str">
        <f>IFERROR(__xludf.DUMMYFUNCTION("""COMPUTED_VALUE"""),"ioen")</f>
        <v>ioen</v>
      </c>
      <c r="C5988" s="3" t="str">
        <f>IFERROR(__xludf.DUMMYFUNCTION("""COMPUTED_VALUE"""),"Internet of Energy Network")</f>
        <v>Internet of Energy Network</v>
      </c>
    </row>
    <row r="5989">
      <c r="A5989" s="3" t="str">
        <f>IFERROR(__xludf.DUMMYFUNCTION("""COMPUTED_VALUE"""),"internxt")</f>
        <v>internxt</v>
      </c>
      <c r="B5989" s="3" t="str">
        <f>IFERROR(__xludf.DUMMYFUNCTION("""COMPUTED_VALUE"""),"inxt")</f>
        <v>inxt</v>
      </c>
      <c r="C5989" s="3" t="str">
        <f>IFERROR(__xludf.DUMMYFUNCTION("""COMPUTED_VALUE"""),"Internxt")</f>
        <v>Internxt</v>
      </c>
    </row>
    <row r="5990">
      <c r="A5990" s="3" t="str">
        <f>IFERROR(__xludf.DUMMYFUNCTION("""COMPUTED_VALUE"""),"intersola")</f>
        <v>intersola</v>
      </c>
      <c r="B5990" s="3" t="str">
        <f>IFERROR(__xludf.DUMMYFUNCTION("""COMPUTED_VALUE"""),"isola")</f>
        <v>isola</v>
      </c>
      <c r="C5990" s="3" t="str">
        <f>IFERROR(__xludf.DUMMYFUNCTION("""COMPUTED_VALUE"""),"Intersola")</f>
        <v>Intersola</v>
      </c>
    </row>
    <row r="5991">
      <c r="A5991" s="3" t="str">
        <f>IFERROR(__xludf.DUMMYFUNCTION("""COMPUTED_VALUE"""),"interstellar-domain-order")</f>
        <v>interstellar-domain-order</v>
      </c>
      <c r="B5991" s="3" t="str">
        <f>IFERROR(__xludf.DUMMYFUNCTION("""COMPUTED_VALUE"""),"ido")</f>
        <v>ido</v>
      </c>
      <c r="C5991" s="3" t="str">
        <f>IFERROR(__xludf.DUMMYFUNCTION("""COMPUTED_VALUE"""),"Interstellar Domain Order")</f>
        <v>Interstellar Domain Order</v>
      </c>
    </row>
    <row r="5992">
      <c r="A5992" s="3" t="str">
        <f>IFERROR(__xludf.DUMMYFUNCTION("""COMPUTED_VALUE"""),"intervalue")</f>
        <v>intervalue</v>
      </c>
      <c r="B5992" s="3" t="str">
        <f>IFERROR(__xludf.DUMMYFUNCTION("""COMPUTED_VALUE"""),"inve")</f>
        <v>inve</v>
      </c>
      <c r="C5992" s="3" t="str">
        <f>IFERROR(__xludf.DUMMYFUNCTION("""COMPUTED_VALUE"""),"InterValue")</f>
        <v>InterValue</v>
      </c>
    </row>
    <row r="5993">
      <c r="A5993" s="3" t="str">
        <f>IFERROR(__xludf.DUMMYFUNCTION("""COMPUTED_VALUE"""),"intexcoin")</f>
        <v>intexcoin</v>
      </c>
      <c r="B5993" s="3" t="str">
        <f>IFERROR(__xludf.DUMMYFUNCTION("""COMPUTED_VALUE"""),"intx")</f>
        <v>intx</v>
      </c>
      <c r="C5993" s="3" t="str">
        <f>IFERROR(__xludf.DUMMYFUNCTION("""COMPUTED_VALUE"""),"INTEXCOIN")</f>
        <v>INTEXCOIN</v>
      </c>
    </row>
    <row r="5994">
      <c r="A5994" s="3" t="str">
        <f>IFERROR(__xludf.DUMMYFUNCTION("""COMPUTED_VALUE"""),"intucoin")</f>
        <v>intucoin</v>
      </c>
      <c r="B5994" s="3" t="str">
        <f>IFERROR(__xludf.DUMMYFUNCTION("""COMPUTED_VALUE"""),"intu")</f>
        <v>intu</v>
      </c>
      <c r="C5994" s="3" t="str">
        <f>IFERROR(__xludf.DUMMYFUNCTION("""COMPUTED_VALUE"""),"INTUCoin")</f>
        <v>INTUCoin</v>
      </c>
    </row>
    <row r="5995">
      <c r="A5995" s="3" t="str">
        <f>IFERROR(__xludf.DUMMYFUNCTION("""COMPUTED_VALUE"""),"inu")</f>
        <v>inu</v>
      </c>
      <c r="B5995" s="3" t="str">
        <f>IFERROR(__xludf.DUMMYFUNCTION("""COMPUTED_VALUE"""),"inu")</f>
        <v>inu</v>
      </c>
      <c r="C5995" s="3" t="str">
        <f>IFERROR(__xludf.DUMMYFUNCTION("""COMPUTED_VALUE"""),"Inu.")</f>
        <v>Inu.</v>
      </c>
    </row>
    <row r="5996">
      <c r="A5996" s="3" t="str">
        <f>IFERROR(__xludf.DUMMYFUNCTION("""COMPUTED_VALUE"""),"inugami")</f>
        <v>inugami</v>
      </c>
      <c r="B5996" s="3" t="str">
        <f>IFERROR(__xludf.DUMMYFUNCTION("""COMPUTED_VALUE"""),"inugami")</f>
        <v>inugami</v>
      </c>
      <c r="C5996" s="3" t="str">
        <f>IFERROR(__xludf.DUMMYFUNCTION("""COMPUTED_VALUE"""),"Inugami")</f>
        <v>Inugami</v>
      </c>
    </row>
    <row r="5997">
      <c r="A5997" s="3" t="str">
        <f>IFERROR(__xludf.DUMMYFUNCTION("""COMPUTED_VALUE"""),"inu-inu")</f>
        <v>inu-inu</v>
      </c>
      <c r="B5997" s="3" t="str">
        <f>IFERROR(__xludf.DUMMYFUNCTION("""COMPUTED_VALUE"""),"inuinu")</f>
        <v>inuinu</v>
      </c>
      <c r="C5997" s="3" t="str">
        <f>IFERROR(__xludf.DUMMYFUNCTION("""COMPUTED_VALUE"""),"Inu Inu")</f>
        <v>Inu Inu</v>
      </c>
    </row>
    <row r="5998">
      <c r="A5998" s="3" t="str">
        <f>IFERROR(__xludf.DUMMYFUNCTION("""COMPUTED_VALUE"""),"inu-jump-and-the-temple-of-shiba")</f>
        <v>inu-jump-and-the-temple-of-shiba</v>
      </c>
      <c r="B5998" s="3" t="str">
        <f>IFERROR(__xludf.DUMMYFUNCTION("""COMPUTED_VALUE"""),"inujump")</f>
        <v>inujump</v>
      </c>
      <c r="C5998" s="3" t="str">
        <f>IFERROR(__xludf.DUMMYFUNCTION("""COMPUTED_VALUE"""),"Inu Jump and the Temple of Shiba")</f>
        <v>Inu Jump and the Temple of Shiba</v>
      </c>
    </row>
    <row r="5999">
      <c r="A5999" s="3" t="str">
        <f>IFERROR(__xludf.DUMMYFUNCTION("""COMPUTED_VALUE"""),"inuko-finance")</f>
        <v>inuko-finance</v>
      </c>
      <c r="B5999" s="3" t="str">
        <f>IFERROR(__xludf.DUMMYFUNCTION("""COMPUTED_VALUE"""),"inuko")</f>
        <v>inuko</v>
      </c>
      <c r="C5999" s="3" t="str">
        <f>IFERROR(__xludf.DUMMYFUNCTION("""COMPUTED_VALUE"""),"Inuko Finance")</f>
        <v>Inuko Finance</v>
      </c>
    </row>
    <row r="6000">
      <c r="A6000" s="3" t="str">
        <f>IFERROR(__xludf.DUMMYFUNCTION("""COMPUTED_VALUE"""),"inusanity")</f>
        <v>inusanity</v>
      </c>
      <c r="B6000" s="3" t="str">
        <f>IFERROR(__xludf.DUMMYFUNCTION("""COMPUTED_VALUE"""),"inusanity")</f>
        <v>inusanity</v>
      </c>
      <c r="C6000" s="3" t="str">
        <f>IFERROR(__xludf.DUMMYFUNCTION("""COMPUTED_VALUE"""),"Inusanity")</f>
        <v>Inusanity</v>
      </c>
    </row>
    <row r="6001">
      <c r="A6001" s="3" t="str">
        <f>IFERROR(__xludf.DUMMYFUNCTION("""COMPUTED_VALUE"""),"inu-token")</f>
        <v>inu-token</v>
      </c>
      <c r="B6001" s="3" t="str">
        <f>IFERROR(__xludf.DUMMYFUNCTION("""COMPUTED_VALUE"""),"inu")</f>
        <v>inu</v>
      </c>
      <c r="C6001" s="3" t="str">
        <f>IFERROR(__xludf.DUMMYFUNCTION("""COMPUTED_VALUE"""),"INU")</f>
        <v>INU</v>
      </c>
    </row>
    <row r="6002">
      <c r="A6002" s="3" t="str">
        <f>IFERROR(__xludf.DUMMYFUNCTION("""COMPUTED_VALUE"""),"inu-wars")</f>
        <v>inu-wars</v>
      </c>
      <c r="B6002" s="3" t="str">
        <f>IFERROR(__xludf.DUMMYFUNCTION("""COMPUTED_VALUE"""),"iwr")</f>
        <v>iwr</v>
      </c>
      <c r="C6002" s="3" t="str">
        <f>IFERROR(__xludf.DUMMYFUNCTION("""COMPUTED_VALUE"""),"Inu Wars")</f>
        <v>Inu Wars</v>
      </c>
    </row>
    <row r="6003">
      <c r="A6003" s="3" t="str">
        <f>IFERROR(__xludf.DUMMYFUNCTION("""COMPUTED_VALUE"""),"inventoryclub")</f>
        <v>inventoryclub</v>
      </c>
      <c r="B6003" s="3" t="str">
        <f>IFERROR(__xludf.DUMMYFUNCTION("""COMPUTED_VALUE"""),"vnt")</f>
        <v>vnt</v>
      </c>
      <c r="C6003" s="3" t="str">
        <f>IFERROR(__xludf.DUMMYFUNCTION("""COMPUTED_VALUE"""),"InventoryClub")</f>
        <v>InventoryClub</v>
      </c>
    </row>
    <row r="6004">
      <c r="A6004" s="3" t="str">
        <f>IFERROR(__xludf.DUMMYFUNCTION("""COMPUTED_VALUE"""),"inverse-bitcoin-volatility-index-token")</f>
        <v>inverse-bitcoin-volatility-index-token</v>
      </c>
      <c r="B6004" s="3" t="str">
        <f>IFERROR(__xludf.DUMMYFUNCTION("""COMPUTED_VALUE"""),"ibtcv")</f>
        <v>ibtcv</v>
      </c>
      <c r="C6004" s="3" t="str">
        <f>IFERROR(__xludf.DUMMYFUNCTION("""COMPUTED_VALUE"""),"Inverse Bitcoin Volatility Index Token")</f>
        <v>Inverse Bitcoin Volatility Index Token</v>
      </c>
    </row>
    <row r="6005">
      <c r="A6005" s="3" t="str">
        <f>IFERROR(__xludf.DUMMYFUNCTION("""COMPUTED_VALUE"""),"inverse-btc-flexible-leverage-index")</f>
        <v>inverse-btc-flexible-leverage-index</v>
      </c>
      <c r="B6005" s="3" t="str">
        <f>IFERROR(__xludf.DUMMYFUNCTION("""COMPUTED_VALUE"""),"ibtc-fli-p")</f>
        <v>ibtc-fli-p</v>
      </c>
      <c r="C6005" s="3" t="str">
        <f>IFERROR(__xludf.DUMMYFUNCTION("""COMPUTED_VALUE"""),"Inverse BTC Flexible Leverage Index")</f>
        <v>Inverse BTC Flexible Leverage Index</v>
      </c>
    </row>
    <row r="6006">
      <c r="A6006" s="3" t="str">
        <f>IFERROR(__xludf.DUMMYFUNCTION("""COMPUTED_VALUE"""),"inverse-ethereum-volatility-index-token")</f>
        <v>inverse-ethereum-volatility-index-token</v>
      </c>
      <c r="B6006" s="3" t="str">
        <f>IFERROR(__xludf.DUMMYFUNCTION("""COMPUTED_VALUE"""),"iethv")</f>
        <v>iethv</v>
      </c>
      <c r="C6006" s="3" t="str">
        <f>IFERROR(__xludf.DUMMYFUNCTION("""COMPUTED_VALUE"""),"Inverse Ethereum Volatility Index Token")</f>
        <v>Inverse Ethereum Volatility Index Token</v>
      </c>
    </row>
    <row r="6007">
      <c r="A6007" s="3" t="str">
        <f>IFERROR(__xludf.DUMMYFUNCTION("""COMPUTED_VALUE"""),"inverse-finance")</f>
        <v>inverse-finance</v>
      </c>
      <c r="B6007" s="3" t="str">
        <f>IFERROR(__xludf.DUMMYFUNCTION("""COMPUTED_VALUE"""),"inv")</f>
        <v>inv</v>
      </c>
      <c r="C6007" s="3" t="str">
        <f>IFERROR(__xludf.DUMMYFUNCTION("""COMPUTED_VALUE"""),"Inverse Finance")</f>
        <v>Inverse Finance</v>
      </c>
    </row>
    <row r="6008">
      <c r="A6008" s="3" t="str">
        <f>IFERROR(__xludf.DUMMYFUNCTION("""COMPUTED_VALUE"""),"investdex")</f>
        <v>investdex</v>
      </c>
      <c r="B6008" s="3" t="str">
        <f>IFERROR(__xludf.DUMMYFUNCTION("""COMPUTED_VALUE"""),"invest")</f>
        <v>invest</v>
      </c>
      <c r="C6008" s="3" t="str">
        <f>IFERROR(__xludf.DUMMYFUNCTION("""COMPUTED_VALUE"""),"InvestDex")</f>
        <v>InvestDex</v>
      </c>
    </row>
    <row r="6009">
      <c r="A6009" s="3" t="str">
        <f>IFERROR(__xludf.DUMMYFUNCTION("""COMPUTED_VALUE"""),"investdigital")</f>
        <v>investdigital</v>
      </c>
      <c r="B6009" s="3" t="str">
        <f>IFERROR(__xludf.DUMMYFUNCTION("""COMPUTED_VALUE"""),"idt")</f>
        <v>idt</v>
      </c>
      <c r="C6009" s="3" t="str">
        <f>IFERROR(__xludf.DUMMYFUNCTION("""COMPUTED_VALUE"""),"InvestDigital")</f>
        <v>InvestDigital</v>
      </c>
    </row>
    <row r="6010">
      <c r="A6010" s="3" t="str">
        <f>IFERROR(__xludf.DUMMYFUNCTION("""COMPUTED_VALUE"""),"investin")</f>
        <v>investin</v>
      </c>
      <c r="B6010" s="3" t="str">
        <f>IFERROR(__xludf.DUMMYFUNCTION("""COMPUTED_VALUE"""),"ivn")</f>
        <v>ivn</v>
      </c>
      <c r="C6010" s="3" t="str">
        <f>IFERROR(__xludf.DUMMYFUNCTION("""COMPUTED_VALUE"""),"Investin")</f>
        <v>Investin</v>
      </c>
    </row>
    <row r="6011">
      <c r="A6011" s="3" t="str">
        <f>IFERROR(__xludf.DUMMYFUNCTION("""COMPUTED_VALUE"""),"invest-like-stakeborg-index")</f>
        <v>invest-like-stakeborg-index</v>
      </c>
      <c r="B6011" s="3" t="str">
        <f>IFERROR(__xludf.DUMMYFUNCTION("""COMPUTED_VALUE"""),"ilsi")</f>
        <v>ilsi</v>
      </c>
      <c r="C6011" s="3" t="str">
        <f>IFERROR(__xludf.DUMMYFUNCTION("""COMPUTED_VALUE"""),"Invest Like Stakeborg Index")</f>
        <v>Invest Like Stakeborg Index</v>
      </c>
    </row>
    <row r="6012">
      <c r="A6012" s="3" t="str">
        <f>IFERROR(__xludf.DUMMYFUNCTION("""COMPUTED_VALUE"""),"invictus")</f>
        <v>invictus</v>
      </c>
      <c r="B6012" s="3" t="str">
        <f>IFERROR(__xludf.DUMMYFUNCTION("""COMPUTED_VALUE"""),"in")</f>
        <v>in</v>
      </c>
      <c r="C6012" s="3" t="str">
        <f>IFERROR(__xludf.DUMMYFUNCTION("""COMPUTED_VALUE"""),"Invictus")</f>
        <v>Invictus</v>
      </c>
    </row>
    <row r="6013">
      <c r="A6013" s="3" t="str">
        <f>IFERROR(__xludf.DUMMYFUNCTION("""COMPUTED_VALUE"""),"invictus-capital-token")</f>
        <v>invictus-capital-token</v>
      </c>
      <c r="B6013" s="3" t="str">
        <f>IFERROR(__xludf.DUMMYFUNCTION("""COMPUTED_VALUE"""),"icap")</f>
        <v>icap</v>
      </c>
      <c r="C6013" s="3" t="str">
        <f>IFERROR(__xludf.DUMMYFUNCTION("""COMPUTED_VALUE"""),"Invictus Capital")</f>
        <v>Invictus Capital</v>
      </c>
    </row>
    <row r="6014">
      <c r="A6014" s="3" t="str">
        <f>IFERROR(__xludf.DUMMYFUNCTION("""COMPUTED_VALUE"""),"invictus-hyprion-fund")</f>
        <v>invictus-hyprion-fund</v>
      </c>
      <c r="B6014" s="3" t="str">
        <f>IFERROR(__xludf.DUMMYFUNCTION("""COMPUTED_VALUE"""),"ihf")</f>
        <v>ihf</v>
      </c>
      <c r="C6014" s="3" t="str">
        <f>IFERROR(__xludf.DUMMYFUNCTION("""COMPUTED_VALUE"""),"Invictus Hyperion Fund")</f>
        <v>Invictus Hyperion Fund</v>
      </c>
    </row>
    <row r="6015">
      <c r="A6015" s="3" t="str">
        <f>IFERROR(__xludf.DUMMYFUNCTION("""COMPUTED_VALUE"""),"invi-token")</f>
        <v>invi-token</v>
      </c>
      <c r="B6015" s="3" t="str">
        <f>IFERROR(__xludf.DUMMYFUNCTION("""COMPUTED_VALUE"""),"invi")</f>
        <v>invi</v>
      </c>
      <c r="C6015" s="3" t="str">
        <f>IFERROR(__xludf.DUMMYFUNCTION("""COMPUTED_VALUE"""),"INVI")</f>
        <v>INVI</v>
      </c>
    </row>
    <row r="6016">
      <c r="A6016" s="3" t="str">
        <f>IFERROR(__xludf.DUMMYFUNCTION("""COMPUTED_VALUE"""),"invoice-coin")</f>
        <v>invoice-coin</v>
      </c>
      <c r="B6016" s="3" t="str">
        <f>IFERROR(__xludf.DUMMYFUNCTION("""COMPUTED_VALUE"""),"ivc")</f>
        <v>ivc</v>
      </c>
      <c r="C6016" s="3" t="str">
        <f>IFERROR(__xludf.DUMMYFUNCTION("""COMPUTED_VALUE"""),"Invoice Coin")</f>
        <v>Invoice Coin</v>
      </c>
    </row>
    <row r="6017">
      <c r="A6017" s="3" t="str">
        <f>IFERROR(__xludf.DUMMYFUNCTION("""COMPUTED_VALUE"""),"invoke")</f>
        <v>invoke</v>
      </c>
      <c r="B6017" s="3" t="str">
        <f>IFERROR(__xludf.DUMMYFUNCTION("""COMPUTED_VALUE"""),"iv")</f>
        <v>iv</v>
      </c>
      <c r="C6017" s="3" t="str">
        <f>IFERROR(__xludf.DUMMYFUNCTION("""COMPUTED_VALUE"""),"Invoker")</f>
        <v>Invoker</v>
      </c>
    </row>
    <row r="6018">
      <c r="A6018" s="3" t="str">
        <f>IFERROR(__xludf.DUMMYFUNCTION("""COMPUTED_VALUE"""),"invox-finance")</f>
        <v>invox-finance</v>
      </c>
      <c r="B6018" s="3" t="str">
        <f>IFERROR(__xludf.DUMMYFUNCTION("""COMPUTED_VALUE"""),"invox")</f>
        <v>invox</v>
      </c>
      <c r="C6018" s="3" t="str">
        <f>IFERROR(__xludf.DUMMYFUNCTION("""COMPUTED_VALUE"""),"Invox Finance")</f>
        <v>Invox Finance</v>
      </c>
    </row>
    <row r="6019">
      <c r="A6019" s="3" t="str">
        <f>IFERROR(__xludf.DUMMYFUNCTION("""COMPUTED_VALUE"""),"inx")</f>
        <v>inx</v>
      </c>
      <c r="B6019" s="3" t="str">
        <f>IFERROR(__xludf.DUMMYFUNCTION("""COMPUTED_VALUE"""),"inx")</f>
        <v>inx</v>
      </c>
      <c r="C6019" s="3" t="str">
        <f>IFERROR(__xludf.DUMMYFUNCTION("""COMPUTED_VALUE"""),"INX")</f>
        <v>INX</v>
      </c>
    </row>
    <row r="6020">
      <c r="A6020" s="3" t="str">
        <f>IFERROR(__xludf.DUMMYFUNCTION("""COMPUTED_VALUE"""),"iobusd")</f>
        <v>iobusd</v>
      </c>
      <c r="B6020" s="3" t="str">
        <f>IFERROR(__xludf.DUMMYFUNCTION("""COMPUTED_VALUE"""),"iobusd")</f>
        <v>iobusd</v>
      </c>
      <c r="C6020" s="3" t="str">
        <f>IFERROR(__xludf.DUMMYFUNCTION("""COMPUTED_VALUE"""),"ioBUSD")</f>
        <v>ioBUSD</v>
      </c>
    </row>
    <row r="6021">
      <c r="A6021" s="3" t="str">
        <f>IFERROR(__xludf.DUMMYFUNCTION("""COMPUTED_VALUE"""),"iocoin")</f>
        <v>iocoin</v>
      </c>
      <c r="B6021" s="3" t="str">
        <f>IFERROR(__xludf.DUMMYFUNCTION("""COMPUTED_VALUE"""),"ioc")</f>
        <v>ioc</v>
      </c>
      <c r="C6021" s="3" t="str">
        <f>IFERROR(__xludf.DUMMYFUNCTION("""COMPUTED_VALUE"""),"I/O Coin")</f>
        <v>I/O Coin</v>
      </c>
    </row>
    <row r="6022">
      <c r="A6022" s="3" t="str">
        <f>IFERROR(__xludf.DUMMYFUNCTION("""COMPUTED_VALUE"""),"ioeth")</f>
        <v>ioeth</v>
      </c>
      <c r="B6022" s="3" t="str">
        <f>IFERROR(__xludf.DUMMYFUNCTION("""COMPUTED_VALUE"""),"ioeth")</f>
        <v>ioeth</v>
      </c>
      <c r="C6022" s="3" t="str">
        <f>IFERROR(__xludf.DUMMYFUNCTION("""COMPUTED_VALUE"""),"ioETH")</f>
        <v>ioETH</v>
      </c>
    </row>
    <row r="6023">
      <c r="A6023" s="3" t="str">
        <f>IFERROR(__xludf.DUMMYFUNCTION("""COMPUTED_VALUE"""),"ioex")</f>
        <v>ioex</v>
      </c>
      <c r="B6023" s="3" t="str">
        <f>IFERROR(__xludf.DUMMYFUNCTION("""COMPUTED_VALUE"""),"ioex")</f>
        <v>ioex</v>
      </c>
      <c r="C6023" s="3" t="str">
        <f>IFERROR(__xludf.DUMMYFUNCTION("""COMPUTED_VALUE"""),"ioeX")</f>
        <v>ioeX</v>
      </c>
    </row>
    <row r="6024">
      <c r="A6024" s="3" t="str">
        <f>IFERROR(__xludf.DUMMYFUNCTION("""COMPUTED_VALUE"""),"ioi-token")</f>
        <v>ioi-token</v>
      </c>
      <c r="B6024" s="3" t="str">
        <f>IFERROR(__xludf.DUMMYFUNCTION("""COMPUTED_VALUE"""),"ioi")</f>
        <v>ioi</v>
      </c>
      <c r="C6024" s="3" t="str">
        <f>IFERROR(__xludf.DUMMYFUNCTION("""COMPUTED_VALUE"""),"IOI")</f>
        <v>IOI</v>
      </c>
    </row>
    <row r="6025">
      <c r="A6025" s="3" t="str">
        <f>IFERROR(__xludf.DUMMYFUNCTION("""COMPUTED_VALUE"""),"ion")</f>
        <v>ion</v>
      </c>
      <c r="B6025" s="3" t="str">
        <f>IFERROR(__xludf.DUMMYFUNCTION("""COMPUTED_VALUE"""),"ion")</f>
        <v>ion</v>
      </c>
      <c r="C6025" s="3" t="str">
        <f>IFERROR(__xludf.DUMMYFUNCTION("""COMPUTED_VALUE"""),"Ion")</f>
        <v>Ion</v>
      </c>
    </row>
    <row r="6026">
      <c r="A6026" s="3" t="str">
        <f>IFERROR(__xludf.DUMMYFUNCTION("""COMPUTED_VALUE"""),"ionchain-token")</f>
        <v>ionchain-token</v>
      </c>
      <c r="B6026" s="3" t="str">
        <f>IFERROR(__xludf.DUMMYFUNCTION("""COMPUTED_VALUE"""),"ionc")</f>
        <v>ionc</v>
      </c>
      <c r="C6026" s="3" t="str">
        <f>IFERROR(__xludf.DUMMYFUNCTION("""COMPUTED_VALUE"""),"IONChain")</f>
        <v>IONChain</v>
      </c>
    </row>
    <row r="6027">
      <c r="A6027" s="3" t="str">
        <f>IFERROR(__xludf.DUMMYFUNCTION("""COMPUTED_VALUE"""),"ionomy")</f>
        <v>ionomy</v>
      </c>
      <c r="B6027" s="3" t="str">
        <f>IFERROR(__xludf.DUMMYFUNCTION("""COMPUTED_VALUE"""),"ion")</f>
        <v>ion</v>
      </c>
      <c r="C6027" s="3" t="str">
        <f>IFERROR(__xludf.DUMMYFUNCTION("""COMPUTED_VALUE"""),"Ionomy")</f>
        <v>Ionomy</v>
      </c>
    </row>
    <row r="6028">
      <c r="A6028" s="3" t="str">
        <f>IFERROR(__xludf.DUMMYFUNCTION("""COMPUTED_VALUE"""),"iostoken")</f>
        <v>iostoken</v>
      </c>
      <c r="B6028" s="3" t="str">
        <f>IFERROR(__xludf.DUMMYFUNCTION("""COMPUTED_VALUE"""),"iost")</f>
        <v>iost</v>
      </c>
      <c r="C6028" s="3" t="str">
        <f>IFERROR(__xludf.DUMMYFUNCTION("""COMPUTED_VALUE"""),"IOST")</f>
        <v>IOST</v>
      </c>
    </row>
    <row r="6029">
      <c r="A6029" s="3" t="str">
        <f>IFERROR(__xludf.DUMMYFUNCTION("""COMPUTED_VALUE"""),"iota")</f>
        <v>iota</v>
      </c>
      <c r="B6029" s="3" t="str">
        <f>IFERROR(__xludf.DUMMYFUNCTION("""COMPUTED_VALUE"""),"miota")</f>
        <v>miota</v>
      </c>
      <c r="C6029" s="3" t="str">
        <f>IFERROR(__xludf.DUMMYFUNCTION("""COMPUTED_VALUE"""),"IOTA")</f>
        <v>IOTA</v>
      </c>
    </row>
    <row r="6030">
      <c r="A6030" s="3" t="str">
        <f>IFERROR(__xludf.DUMMYFUNCTION("""COMPUTED_VALUE"""),"iot-chain")</f>
        <v>iot-chain</v>
      </c>
      <c r="B6030" s="3" t="str">
        <f>IFERROR(__xludf.DUMMYFUNCTION("""COMPUTED_VALUE"""),"itc")</f>
        <v>itc</v>
      </c>
      <c r="C6030" s="3" t="str">
        <f>IFERROR(__xludf.DUMMYFUNCTION("""COMPUTED_VALUE"""),"IoT Chain")</f>
        <v>IoT Chain</v>
      </c>
    </row>
    <row r="6031">
      <c r="A6031" s="3" t="str">
        <f>IFERROR(__xludf.DUMMYFUNCTION("""COMPUTED_VALUE"""),"ioten")</f>
        <v>ioten</v>
      </c>
      <c r="B6031" s="3" t="str">
        <f>IFERROR(__xludf.DUMMYFUNCTION("""COMPUTED_VALUE"""),"iotn")</f>
        <v>iotn</v>
      </c>
      <c r="C6031" s="3" t="str">
        <f>IFERROR(__xludf.DUMMYFUNCTION("""COMPUTED_VALUE"""),"IOTEN")</f>
        <v>IOTEN</v>
      </c>
    </row>
    <row r="6032">
      <c r="A6032" s="3" t="str">
        <f>IFERROR(__xludf.DUMMYFUNCTION("""COMPUTED_VALUE"""),"iotex")</f>
        <v>iotex</v>
      </c>
      <c r="B6032" s="3" t="str">
        <f>IFERROR(__xludf.DUMMYFUNCTION("""COMPUTED_VALUE"""),"iotx")</f>
        <v>iotx</v>
      </c>
      <c r="C6032" s="3" t="str">
        <f>IFERROR(__xludf.DUMMYFUNCTION("""COMPUTED_VALUE"""),"IoTeX")</f>
        <v>IoTeX</v>
      </c>
    </row>
    <row r="6033">
      <c r="A6033" s="3" t="str">
        <f>IFERROR(__xludf.DUMMYFUNCTION("""COMPUTED_VALUE"""),"iotex-monster-go")</f>
        <v>iotex-monster-go</v>
      </c>
      <c r="B6033" s="3" t="str">
        <f>IFERROR(__xludf.DUMMYFUNCTION("""COMPUTED_VALUE"""),"mtgo")</f>
        <v>mtgo</v>
      </c>
      <c r="C6033" s="3" t="str">
        <f>IFERROR(__xludf.DUMMYFUNCTION("""COMPUTED_VALUE"""),"Iotex Monster Go")</f>
        <v>Iotex Monster Go</v>
      </c>
    </row>
    <row r="6034">
      <c r="A6034" s="3" t="str">
        <f>IFERROR(__xludf.DUMMYFUNCTION("""COMPUTED_VALUE"""),"iotexpad")</f>
        <v>iotexpad</v>
      </c>
      <c r="B6034" s="3" t="str">
        <f>IFERROR(__xludf.DUMMYFUNCTION("""COMPUTED_VALUE"""),"tex")</f>
        <v>tex</v>
      </c>
      <c r="C6034" s="3" t="str">
        <f>IFERROR(__xludf.DUMMYFUNCTION("""COMPUTED_VALUE"""),"IoTeXPad")</f>
        <v>IoTeXPad</v>
      </c>
    </row>
    <row r="6035">
      <c r="A6035" s="3" t="str">
        <f>IFERROR(__xludf.DUMMYFUNCTION("""COMPUTED_VALUE"""),"iotexshiba")</f>
        <v>iotexshiba</v>
      </c>
      <c r="B6035" s="3" t="str">
        <f>IFERROR(__xludf.DUMMYFUNCTION("""COMPUTED_VALUE"""),"ioshib")</f>
        <v>ioshib</v>
      </c>
      <c r="C6035" s="3" t="str">
        <f>IFERROR(__xludf.DUMMYFUNCTION("""COMPUTED_VALUE"""),"IoTexShiba")</f>
        <v>IoTexShiba</v>
      </c>
    </row>
    <row r="6036">
      <c r="A6036" s="3" t="str">
        <f>IFERROR(__xludf.DUMMYFUNCTION("""COMPUTED_VALUE"""),"iouni")</f>
        <v>iouni</v>
      </c>
      <c r="B6036" s="3" t="str">
        <f>IFERROR(__xludf.DUMMYFUNCTION("""COMPUTED_VALUE"""),"iouni")</f>
        <v>iouni</v>
      </c>
      <c r="C6036" s="3" t="str">
        <f>IFERROR(__xludf.DUMMYFUNCTION("""COMPUTED_VALUE"""),"ioUNI")</f>
        <v>ioUNI</v>
      </c>
    </row>
    <row r="6037">
      <c r="A6037" s="3" t="str">
        <f>IFERROR(__xludf.DUMMYFUNCTION("""COMPUTED_VALUE"""),"iousdc")</f>
        <v>iousdc</v>
      </c>
      <c r="B6037" s="3" t="str">
        <f>IFERROR(__xludf.DUMMYFUNCTION("""COMPUTED_VALUE"""),"iousdc")</f>
        <v>iousdc</v>
      </c>
      <c r="C6037" s="3" t="str">
        <f>IFERROR(__xludf.DUMMYFUNCTION("""COMPUTED_VALUE"""),"ioUSDC")</f>
        <v>ioUSDC</v>
      </c>
    </row>
    <row r="6038">
      <c r="A6038" s="3" t="str">
        <f>IFERROR(__xludf.DUMMYFUNCTION("""COMPUTED_VALUE"""),"iousdt")</f>
        <v>iousdt</v>
      </c>
      <c r="B6038" s="3" t="str">
        <f>IFERROR(__xludf.DUMMYFUNCTION("""COMPUTED_VALUE"""),"iousdt")</f>
        <v>iousdt</v>
      </c>
      <c r="C6038" s="3" t="str">
        <f>IFERROR(__xludf.DUMMYFUNCTION("""COMPUTED_VALUE"""),"ioUSDT")</f>
        <v>ioUSDT</v>
      </c>
    </row>
    <row r="6039">
      <c r="A6039" s="3" t="str">
        <f>IFERROR(__xludf.DUMMYFUNCTION("""COMPUTED_VALUE"""),"iowbtc")</f>
        <v>iowbtc</v>
      </c>
      <c r="B6039" s="3" t="str">
        <f>IFERROR(__xludf.DUMMYFUNCTION("""COMPUTED_VALUE"""),"iowbtc")</f>
        <v>iowbtc</v>
      </c>
      <c r="C6039" s="3" t="str">
        <f>IFERROR(__xludf.DUMMYFUNCTION("""COMPUTED_VALUE"""),"ioWBTC")</f>
        <v>ioWBTC</v>
      </c>
    </row>
    <row r="6040">
      <c r="A6040" s="3" t="str">
        <f>IFERROR(__xludf.DUMMYFUNCTION("""COMPUTED_VALUE"""),"iown")</f>
        <v>iown</v>
      </c>
      <c r="B6040" s="3" t="str">
        <f>IFERROR(__xludf.DUMMYFUNCTION("""COMPUTED_VALUE"""),"iown")</f>
        <v>iown</v>
      </c>
      <c r="C6040" s="3" t="str">
        <f>IFERROR(__xludf.DUMMYFUNCTION("""COMPUTED_VALUE"""),"iOWN")</f>
        <v>iOWN</v>
      </c>
    </row>
    <row r="6041">
      <c r="A6041" s="3" t="str">
        <f>IFERROR(__xludf.DUMMYFUNCTION("""COMPUTED_VALUE"""),"ipay")</f>
        <v>ipay</v>
      </c>
      <c r="B6041" s="3" t="str">
        <f>IFERROR(__xludf.DUMMYFUNCTION("""COMPUTED_VALUE"""),"ipay")</f>
        <v>ipay</v>
      </c>
      <c r="C6041" s="3" t="str">
        <f>IFERROR(__xludf.DUMMYFUNCTION("""COMPUTED_VALUE"""),"iPay")</f>
        <v>iPay</v>
      </c>
    </row>
    <row r="6042">
      <c r="A6042" s="3" t="str">
        <f>IFERROR(__xludf.DUMMYFUNCTION("""COMPUTED_VALUE"""),"ipi-shorter")</f>
        <v>ipi-shorter</v>
      </c>
      <c r="B6042" s="3" t="str">
        <f>IFERROR(__xludf.DUMMYFUNCTION("""COMPUTED_VALUE"""),"ipistr")</f>
        <v>ipistr</v>
      </c>
      <c r="C6042" s="3" t="str">
        <f>IFERROR(__xludf.DUMMYFUNCTION("""COMPUTED_VALUE"""),"IPI Shorter")</f>
        <v>IPI Shorter</v>
      </c>
    </row>
    <row r="6043">
      <c r="A6043" s="3" t="str">
        <f>IFERROR(__xludf.DUMMYFUNCTION("""COMPUTED_VALUE"""),"ipse")</f>
        <v>ipse</v>
      </c>
      <c r="B6043" s="3" t="str">
        <f>IFERROR(__xludf.DUMMYFUNCTION("""COMPUTED_VALUE"""),"post")</f>
        <v>post</v>
      </c>
      <c r="C6043" s="3" t="str">
        <f>IFERROR(__xludf.DUMMYFUNCTION("""COMPUTED_VALUE"""),"IPSE")</f>
        <v>IPSE</v>
      </c>
    </row>
    <row r="6044">
      <c r="A6044" s="3" t="str">
        <f>IFERROR(__xludf.DUMMYFUNCTION("""COMPUTED_VALUE"""),"ipulse")</f>
        <v>ipulse</v>
      </c>
      <c r="B6044" s="3" t="str">
        <f>IFERROR(__xludf.DUMMYFUNCTION("""COMPUTED_VALUE"""),"pls")</f>
        <v>pls</v>
      </c>
      <c r="C6044" s="3" t="str">
        <f>IFERROR(__xludf.DUMMYFUNCTION("""COMPUTED_VALUE"""),"iPulse")</f>
        <v>iPulse</v>
      </c>
    </row>
    <row r="6045">
      <c r="A6045" s="3" t="str">
        <f>IFERROR(__xludf.DUMMYFUNCTION("""COMPUTED_VALUE"""),"ipverse")</f>
        <v>ipverse</v>
      </c>
      <c r="B6045" s="3" t="str">
        <f>IFERROR(__xludf.DUMMYFUNCTION("""COMPUTED_VALUE"""),"ipv")</f>
        <v>ipv</v>
      </c>
      <c r="C6045" s="3" t="str">
        <f>IFERROR(__xludf.DUMMYFUNCTION("""COMPUTED_VALUE"""),"IPVERSE")</f>
        <v>IPVERSE</v>
      </c>
    </row>
    <row r="6046">
      <c r="A6046" s="3" t="str">
        <f>IFERROR(__xludf.DUMMYFUNCTION("""COMPUTED_VALUE"""),"ipx-token")</f>
        <v>ipx-token</v>
      </c>
      <c r="B6046" s="3" t="str">
        <f>IFERROR(__xludf.DUMMYFUNCTION("""COMPUTED_VALUE"""),"ipx")</f>
        <v>ipx</v>
      </c>
      <c r="C6046" s="3" t="str">
        <f>IFERROR(__xludf.DUMMYFUNCTION("""COMPUTED_VALUE"""),"Tachyon Protocol")</f>
        <v>Tachyon Protocol</v>
      </c>
    </row>
    <row r="6047">
      <c r="A6047" s="3" t="str">
        <f>IFERROR(__xludf.DUMMYFUNCTION("""COMPUTED_VALUE"""),"iq-cash")</f>
        <v>iq-cash</v>
      </c>
      <c r="B6047" s="3" t="str">
        <f>IFERROR(__xludf.DUMMYFUNCTION("""COMPUTED_VALUE"""),"iq")</f>
        <v>iq</v>
      </c>
      <c r="C6047" s="3" t="str">
        <f>IFERROR(__xludf.DUMMYFUNCTION("""COMPUTED_VALUE"""),"IQ.cash")</f>
        <v>IQ.cash</v>
      </c>
    </row>
    <row r="6048">
      <c r="A6048" s="3" t="str">
        <f>IFERROR(__xludf.DUMMYFUNCTION("""COMPUTED_VALUE"""),"iqeon")</f>
        <v>iqeon</v>
      </c>
      <c r="B6048" s="3" t="str">
        <f>IFERROR(__xludf.DUMMYFUNCTION("""COMPUTED_VALUE"""),"iqn")</f>
        <v>iqn</v>
      </c>
      <c r="C6048" s="3" t="str">
        <f>IFERROR(__xludf.DUMMYFUNCTION("""COMPUTED_VALUE"""),"IQeon")</f>
        <v>IQeon</v>
      </c>
    </row>
    <row r="6049">
      <c r="A6049" s="3" t="str">
        <f>IFERROR(__xludf.DUMMYFUNCTION("""COMPUTED_VALUE"""),"iqoniq")</f>
        <v>iqoniq</v>
      </c>
      <c r="B6049" s="3" t="str">
        <f>IFERROR(__xludf.DUMMYFUNCTION("""COMPUTED_VALUE"""),"iqq")</f>
        <v>iqq</v>
      </c>
      <c r="C6049" s="3" t="str">
        <f>IFERROR(__xludf.DUMMYFUNCTION("""COMPUTED_VALUE"""),"Iqoniq")</f>
        <v>Iqoniq</v>
      </c>
    </row>
    <row r="6050">
      <c r="A6050" s="3" t="str">
        <f>IFERROR(__xludf.DUMMYFUNCTION("""COMPUTED_VALUE"""),"irena-green-energy")</f>
        <v>irena-green-energy</v>
      </c>
      <c r="B6050" s="3" t="str">
        <f>IFERROR(__xludf.DUMMYFUNCTION("""COMPUTED_VALUE"""),"irena")</f>
        <v>irena</v>
      </c>
      <c r="C6050" s="3" t="str">
        <f>IFERROR(__xludf.DUMMYFUNCTION("""COMPUTED_VALUE"""),"IRENA Green Energy")</f>
        <v>IRENA Green Energy</v>
      </c>
    </row>
    <row r="6051">
      <c r="A6051" s="3" t="str">
        <f>IFERROR(__xludf.DUMMYFUNCTION("""COMPUTED_VALUE"""),"iridium")</f>
        <v>iridium</v>
      </c>
      <c r="B6051" s="3" t="str">
        <f>IFERROR(__xludf.DUMMYFUNCTION("""COMPUTED_VALUE"""),"ird")</f>
        <v>ird</v>
      </c>
      <c r="C6051" s="3" t="str">
        <f>IFERROR(__xludf.DUMMYFUNCTION("""COMPUTED_VALUE"""),"Iridium")</f>
        <v>Iridium</v>
      </c>
    </row>
    <row r="6052">
      <c r="A6052" s="3" t="str">
        <f>IFERROR(__xludf.DUMMYFUNCTION("""COMPUTED_VALUE"""),"iris-ecosystem")</f>
        <v>iris-ecosystem</v>
      </c>
      <c r="B6052" s="3" t="str">
        <f>IFERROR(__xludf.DUMMYFUNCTION("""COMPUTED_VALUE"""),"iristoken")</f>
        <v>iristoken</v>
      </c>
      <c r="C6052" s="3" t="str">
        <f>IFERROR(__xludf.DUMMYFUNCTION("""COMPUTED_VALUE"""),"Iris Ecosystem")</f>
        <v>Iris Ecosystem</v>
      </c>
    </row>
    <row r="6053">
      <c r="A6053" s="3" t="str">
        <f>IFERROR(__xludf.DUMMYFUNCTION("""COMPUTED_VALUE"""),"iris-network")</f>
        <v>iris-network</v>
      </c>
      <c r="B6053" s="3" t="str">
        <f>IFERROR(__xludf.DUMMYFUNCTION("""COMPUTED_VALUE"""),"iris")</f>
        <v>iris</v>
      </c>
      <c r="C6053" s="3" t="str">
        <f>IFERROR(__xludf.DUMMYFUNCTION("""COMPUTED_VALUE"""),"IRISnet")</f>
        <v>IRISnet</v>
      </c>
    </row>
    <row r="6054">
      <c r="A6054" s="3" t="str">
        <f>IFERROR(__xludf.DUMMYFUNCTION("""COMPUTED_VALUE"""),"iris-token-2")</f>
        <v>iris-token-2</v>
      </c>
      <c r="B6054" s="3" t="str">
        <f>IFERROR(__xludf.DUMMYFUNCTION("""COMPUTED_VALUE"""),"iris")</f>
        <v>iris</v>
      </c>
      <c r="C6054" s="3" t="str">
        <f>IFERROR(__xludf.DUMMYFUNCTION("""COMPUTED_VALUE"""),"Iris")</f>
        <v>Iris</v>
      </c>
    </row>
    <row r="6055">
      <c r="A6055" s="3" t="str">
        <f>IFERROR(__xludf.DUMMYFUNCTION("""COMPUTED_VALUE"""),"iron-bank")</f>
        <v>iron-bank</v>
      </c>
      <c r="B6055" s="3" t="str">
        <f>IFERROR(__xludf.DUMMYFUNCTION("""COMPUTED_VALUE"""),"ib")</f>
        <v>ib</v>
      </c>
      <c r="C6055" s="3" t="str">
        <f>IFERROR(__xludf.DUMMYFUNCTION("""COMPUTED_VALUE"""),"Iron Bank")</f>
        <v>Iron Bank</v>
      </c>
    </row>
    <row r="6056">
      <c r="A6056" s="3" t="str">
        <f>IFERROR(__xludf.DUMMYFUNCTION("""COMPUTED_VALUE"""),"iron-bank-chf")</f>
        <v>iron-bank-chf</v>
      </c>
      <c r="B6056" s="3" t="str">
        <f>IFERROR(__xludf.DUMMYFUNCTION("""COMPUTED_VALUE"""),"ibchf")</f>
        <v>ibchf</v>
      </c>
      <c r="C6056" s="3" t="str">
        <f>IFERROR(__xludf.DUMMYFUNCTION("""COMPUTED_VALUE"""),"Iron Bank CHF")</f>
        <v>Iron Bank CHF</v>
      </c>
    </row>
    <row r="6057">
      <c r="A6057" s="3" t="str">
        <f>IFERROR(__xludf.DUMMYFUNCTION("""COMPUTED_VALUE"""),"iron-bank-euro")</f>
        <v>iron-bank-euro</v>
      </c>
      <c r="B6057" s="3" t="str">
        <f>IFERROR(__xludf.DUMMYFUNCTION("""COMPUTED_VALUE"""),"ibeur")</f>
        <v>ibeur</v>
      </c>
      <c r="C6057" s="3" t="str">
        <f>IFERROR(__xludf.DUMMYFUNCTION("""COMPUTED_VALUE"""),"Iron Bank EURO")</f>
        <v>Iron Bank EURO</v>
      </c>
    </row>
    <row r="6058">
      <c r="A6058" s="3" t="str">
        <f>IFERROR(__xludf.DUMMYFUNCTION("""COMPUTED_VALUE"""),"iron-bank-gbp")</f>
        <v>iron-bank-gbp</v>
      </c>
      <c r="B6058" s="3" t="str">
        <f>IFERROR(__xludf.DUMMYFUNCTION("""COMPUTED_VALUE"""),"ibgbp")</f>
        <v>ibgbp</v>
      </c>
      <c r="C6058" s="3" t="str">
        <f>IFERROR(__xludf.DUMMYFUNCTION("""COMPUTED_VALUE"""),"Iron Bank GBP")</f>
        <v>Iron Bank GBP</v>
      </c>
    </row>
    <row r="6059">
      <c r="A6059" s="3" t="str">
        <f>IFERROR(__xludf.DUMMYFUNCTION("""COMPUTED_VALUE"""),"iron-bsc")</f>
        <v>iron-bsc</v>
      </c>
      <c r="B6059" s="3" t="str">
        <f>IFERROR(__xludf.DUMMYFUNCTION("""COMPUTED_VALUE"""),"iron")</f>
        <v>iron</v>
      </c>
      <c r="C6059" s="3" t="str">
        <f>IFERROR(__xludf.DUMMYFUNCTION("""COMPUTED_VALUE"""),"Iron BSC")</f>
        <v>Iron BSC</v>
      </c>
    </row>
    <row r="6060">
      <c r="A6060" s="3" t="str">
        <f>IFERROR(__xludf.DUMMYFUNCTION("""COMPUTED_VALUE"""),"iron-finance")</f>
        <v>iron-finance</v>
      </c>
      <c r="B6060" s="3" t="str">
        <f>IFERROR(__xludf.DUMMYFUNCTION("""COMPUTED_VALUE"""),"ice")</f>
        <v>ice</v>
      </c>
      <c r="C6060" s="3" t="str">
        <f>IFERROR(__xludf.DUMMYFUNCTION("""COMPUTED_VALUE"""),"Iron Finance")</f>
        <v>Iron Finance</v>
      </c>
    </row>
    <row r="6061">
      <c r="A6061" s="3" t="str">
        <f>IFERROR(__xludf.DUMMYFUNCTION("""COMPUTED_VALUE"""),"iron-stablecoin")</f>
        <v>iron-stablecoin</v>
      </c>
      <c r="B6061" s="3" t="str">
        <f>IFERROR(__xludf.DUMMYFUNCTION("""COMPUTED_VALUE"""),"iron")</f>
        <v>iron</v>
      </c>
      <c r="C6061" s="3" t="str">
        <f>IFERROR(__xludf.DUMMYFUNCTION("""COMPUTED_VALUE"""),"Iron")</f>
        <v>Iron</v>
      </c>
    </row>
    <row r="6062">
      <c r="A6062" s="3" t="str">
        <f>IFERROR(__xludf.DUMMYFUNCTION("""COMPUTED_VALUE"""),"iron-titanium-token")</f>
        <v>iron-titanium-token</v>
      </c>
      <c r="B6062" s="3" t="str">
        <f>IFERROR(__xludf.DUMMYFUNCTION("""COMPUTED_VALUE"""),"titan")</f>
        <v>titan</v>
      </c>
      <c r="C6062" s="3" t="str">
        <f>IFERROR(__xludf.DUMMYFUNCTION("""COMPUTED_VALUE"""),"IRON Titanium")</f>
        <v>IRON Titanium</v>
      </c>
    </row>
    <row r="6063">
      <c r="A6063" s="3" t="str">
        <f>IFERROR(__xludf.DUMMYFUNCTION("""COMPUTED_VALUE"""),"isengard-nft-marketplace")</f>
        <v>isengard-nft-marketplace</v>
      </c>
      <c r="B6063" s="3" t="str">
        <f>IFERROR(__xludf.DUMMYFUNCTION("""COMPUTED_VALUE"""),"iset-84e55e")</f>
        <v>iset-84e55e</v>
      </c>
      <c r="C6063" s="3" t="str">
        <f>IFERROR(__xludf.DUMMYFUNCTION("""COMPUTED_VALUE"""),"Isengard NFT Marketplace")</f>
        <v>Isengard NFT Marketplace</v>
      </c>
    </row>
    <row r="6064">
      <c r="A6064" s="3" t="str">
        <f>IFERROR(__xludf.DUMMYFUNCTION("""COMPUTED_VALUE"""),"ishares-msci-world-etf-tokenized-stock-defichain")</f>
        <v>ishares-msci-world-etf-tokenized-stock-defichain</v>
      </c>
      <c r="B6064" s="3" t="str">
        <f>IFERROR(__xludf.DUMMYFUNCTION("""COMPUTED_VALUE"""),"durth")</f>
        <v>durth</v>
      </c>
      <c r="C6064" s="3" t="str">
        <f>IFERROR(__xludf.DUMMYFUNCTION("""COMPUTED_VALUE"""),"iShares MSCI World ETF Tokenized Stock Defichain")</f>
        <v>iShares MSCI World ETF Tokenized Stock Defichain</v>
      </c>
    </row>
    <row r="6065">
      <c r="A6065" s="3" t="str">
        <f>IFERROR(__xludf.DUMMYFUNCTION("""COMPUTED_VALUE"""),"isiklar-coin")</f>
        <v>isiklar-coin</v>
      </c>
      <c r="B6065" s="3" t="str">
        <f>IFERROR(__xludf.DUMMYFUNCTION("""COMPUTED_VALUE"""),"isikc")</f>
        <v>isikc</v>
      </c>
      <c r="C6065" s="3" t="str">
        <f>IFERROR(__xludf.DUMMYFUNCTION("""COMPUTED_VALUE"""),"Isiklar Coin")</f>
        <v>Isiklar Coin</v>
      </c>
    </row>
    <row r="6066">
      <c r="A6066" s="3" t="str">
        <f>IFERROR(__xludf.DUMMYFUNCTION("""COMPUTED_VALUE"""),"iskra-token")</f>
        <v>iskra-token</v>
      </c>
      <c r="B6066" s="3" t="str">
        <f>IFERROR(__xludf.DUMMYFUNCTION("""COMPUTED_VALUE"""),"isk")</f>
        <v>isk</v>
      </c>
      <c r="C6066" s="3" t="str">
        <f>IFERROR(__xludf.DUMMYFUNCTION("""COMPUTED_VALUE"""),"ISKRA Token")</f>
        <v>ISKRA Token</v>
      </c>
    </row>
    <row r="6067">
      <c r="A6067" s="3" t="str">
        <f>IFERROR(__xludf.DUMMYFUNCTION("""COMPUTED_VALUE"""),"islamicoin")</f>
        <v>islamicoin</v>
      </c>
      <c r="B6067" s="3" t="str">
        <f>IFERROR(__xludf.DUMMYFUNCTION("""COMPUTED_VALUE"""),"islami")</f>
        <v>islami</v>
      </c>
      <c r="C6067" s="3" t="str">
        <f>IFERROR(__xludf.DUMMYFUNCTION("""COMPUTED_VALUE"""),"ISLAMICOIN")</f>
        <v>ISLAMICOIN</v>
      </c>
    </row>
    <row r="6068">
      <c r="A6068" s="3" t="str">
        <f>IFERROR(__xludf.DUMMYFUNCTION("""COMPUTED_VALUE"""),"island-boyz")</f>
        <v>island-boyz</v>
      </c>
      <c r="B6068" s="3" t="str">
        <f>IFERROR(__xludf.DUMMYFUNCTION("""COMPUTED_VALUE"""),"$islbyz")</f>
        <v>$islbyz</v>
      </c>
      <c r="C6068" s="3" t="str">
        <f>IFERROR(__xludf.DUMMYFUNCTION("""COMPUTED_VALUE"""),"Island Boyz")</f>
        <v>Island Boyz</v>
      </c>
    </row>
    <row r="6069">
      <c r="A6069" s="3" t="str">
        <f>IFERROR(__xludf.DUMMYFUNCTION("""COMPUTED_VALUE"""),"islander")</f>
        <v>islander</v>
      </c>
      <c r="B6069" s="3" t="str">
        <f>IFERROR(__xludf.DUMMYFUNCTION("""COMPUTED_VALUE"""),"isa")</f>
        <v>isa</v>
      </c>
      <c r="C6069" s="3" t="str">
        <f>IFERROR(__xludf.DUMMYFUNCTION("""COMPUTED_VALUE"""),"Islander")</f>
        <v>Islander</v>
      </c>
    </row>
    <row r="6070">
      <c r="A6070" s="3" t="str">
        <f>IFERROR(__xludf.DUMMYFUNCTION("""COMPUTED_VALUE"""),"isotopec")</f>
        <v>isotopec</v>
      </c>
      <c r="B6070" s="3" t="str">
        <f>IFERROR(__xludf.DUMMYFUNCTION("""COMPUTED_VALUE"""),"iso")</f>
        <v>iso</v>
      </c>
      <c r="C6070" s="3" t="str">
        <f>IFERROR(__xludf.DUMMYFUNCTION("""COMPUTED_VALUE"""),"IsotopeC")</f>
        <v>IsotopeC</v>
      </c>
    </row>
    <row r="6071">
      <c r="A6071" s="3" t="str">
        <f>IFERROR(__xludf.DUMMYFUNCTION("""COMPUTED_VALUE"""),"ispolink")</f>
        <v>ispolink</v>
      </c>
      <c r="B6071" s="3" t="str">
        <f>IFERROR(__xludf.DUMMYFUNCTION("""COMPUTED_VALUE"""),"isp")</f>
        <v>isp</v>
      </c>
      <c r="C6071" s="3" t="str">
        <f>IFERROR(__xludf.DUMMYFUNCTION("""COMPUTED_VALUE"""),"Ispolink")</f>
        <v>Ispolink</v>
      </c>
    </row>
    <row r="6072">
      <c r="A6072" s="3" t="str">
        <f>IFERROR(__xludf.DUMMYFUNCTION("""COMPUTED_VALUE"""),"istanbul-basaksehir-fan-token")</f>
        <v>istanbul-basaksehir-fan-token</v>
      </c>
      <c r="B6072" s="3" t="str">
        <f>IFERROR(__xludf.DUMMYFUNCTION("""COMPUTED_VALUE"""),"ibfk")</f>
        <v>ibfk</v>
      </c>
      <c r="C6072" s="3" t="str">
        <f>IFERROR(__xludf.DUMMYFUNCTION("""COMPUTED_VALUE"""),"İstanbul Başakşehir Fan Token")</f>
        <v>İstanbul Başakşehir Fan Token</v>
      </c>
    </row>
    <row r="6073">
      <c r="A6073" s="3" t="str">
        <f>IFERROR(__xludf.DUMMYFUNCTION("""COMPUTED_VALUE"""),"istanbul-wild-cats-fan-token")</f>
        <v>istanbul-wild-cats-fan-token</v>
      </c>
      <c r="B6073" s="3" t="str">
        <f>IFERROR(__xludf.DUMMYFUNCTION("""COMPUTED_VALUE"""),"iwft")</f>
        <v>iwft</v>
      </c>
      <c r="C6073" s="3" t="str">
        <f>IFERROR(__xludf.DUMMYFUNCTION("""COMPUTED_VALUE"""),"İstanbul Wild Cats Fan Token")</f>
        <v>İstanbul Wild Cats Fan Token</v>
      </c>
    </row>
    <row r="6074">
      <c r="A6074" s="3" t="str">
        <f>IFERROR(__xludf.DUMMYFUNCTION("""COMPUTED_VALUE"""),"istardust")</f>
        <v>istardust</v>
      </c>
      <c r="B6074" s="3" t="str">
        <f>IFERROR(__xludf.DUMMYFUNCTION("""COMPUTED_VALUE"""),"isdt")</f>
        <v>isdt</v>
      </c>
      <c r="C6074" s="3" t="str">
        <f>IFERROR(__xludf.DUMMYFUNCTION("""COMPUTED_VALUE"""),"Istardust")</f>
        <v>Istardust</v>
      </c>
    </row>
    <row r="6075">
      <c r="A6075" s="3" t="str">
        <f>IFERROR(__xludf.DUMMYFUNCTION("""COMPUTED_VALUE"""),"istep")</f>
        <v>istep</v>
      </c>
      <c r="B6075" s="3" t="str">
        <f>IFERROR(__xludf.DUMMYFUNCTION("""COMPUTED_VALUE"""),"istep")</f>
        <v>istep</v>
      </c>
      <c r="C6075" s="3" t="str">
        <f>IFERROR(__xludf.DUMMYFUNCTION("""COMPUTED_VALUE"""),"iSTEP")</f>
        <v>iSTEP</v>
      </c>
    </row>
    <row r="6076">
      <c r="A6076" s="3" t="str">
        <f>IFERROR(__xludf.DUMMYFUNCTION("""COMPUTED_VALUE"""),"italian-national-football-team-fan-token")</f>
        <v>italian-national-football-team-fan-token</v>
      </c>
      <c r="B6076" s="3" t="str">
        <f>IFERROR(__xludf.DUMMYFUNCTION("""COMPUTED_VALUE"""),"ita")</f>
        <v>ita</v>
      </c>
      <c r="C6076" s="3" t="str">
        <f>IFERROR(__xludf.DUMMYFUNCTION("""COMPUTED_VALUE"""),"Italian National Football Team Fan Token")</f>
        <v>Italian National Football Team Fan Token</v>
      </c>
    </row>
    <row r="6077">
      <c r="A6077" s="3" t="str">
        <f>IFERROR(__xludf.DUMMYFUNCTION("""COMPUTED_VALUE"""),"itam-games")</f>
        <v>itam-games</v>
      </c>
      <c r="B6077" s="3" t="str">
        <f>IFERROR(__xludf.DUMMYFUNCTION("""COMPUTED_VALUE"""),"itam")</f>
        <v>itam</v>
      </c>
      <c r="C6077" s="3" t="str">
        <f>IFERROR(__xludf.DUMMYFUNCTION("""COMPUTED_VALUE"""),"ITAM Games")</f>
        <v>ITAM Games</v>
      </c>
    </row>
    <row r="6078">
      <c r="A6078" s="3" t="str">
        <f>IFERROR(__xludf.DUMMYFUNCTION("""COMPUTED_VALUE"""),"itc")</f>
        <v>itc</v>
      </c>
      <c r="B6078" s="3" t="str">
        <f>IFERROR(__xludf.DUMMYFUNCTION("""COMPUTED_VALUE"""),"itc")</f>
        <v>itc</v>
      </c>
      <c r="C6078" s="3" t="str">
        <f>IFERROR(__xludf.DUMMYFUNCTION("""COMPUTED_VALUE"""),"ITC")</f>
        <v>ITC</v>
      </c>
    </row>
    <row r="6079">
      <c r="A6079" s="3" t="str">
        <f>IFERROR(__xludf.DUMMYFUNCTION("""COMPUTED_VALUE"""),"itemverse")</f>
        <v>itemverse</v>
      </c>
      <c r="B6079" s="3" t="str">
        <f>IFERROR(__xludf.DUMMYFUNCTION("""COMPUTED_VALUE"""),"item")</f>
        <v>item</v>
      </c>
      <c r="C6079" s="3" t="str">
        <f>IFERROR(__xludf.DUMMYFUNCTION("""COMPUTED_VALUE"""),"ITEMVERSE")</f>
        <v>ITEMVERSE</v>
      </c>
    </row>
    <row r="6080">
      <c r="A6080" s="3" t="str">
        <f>IFERROR(__xludf.DUMMYFUNCTION("""COMPUTED_VALUE"""),"iten")</f>
        <v>iten</v>
      </c>
      <c r="B6080" s="3" t="str">
        <f>IFERROR(__xludf.DUMMYFUNCTION("""COMPUTED_VALUE"""),"iten")</f>
        <v>iten</v>
      </c>
      <c r="C6080" s="3" t="str">
        <f>IFERROR(__xludf.DUMMYFUNCTION("""COMPUTED_VALUE"""),"ITEN")</f>
        <v>ITEN</v>
      </c>
    </row>
    <row r="6081">
      <c r="A6081" s="3" t="str">
        <f>IFERROR(__xludf.DUMMYFUNCTION("""COMPUTED_VALUE"""),"iteration-syndicate")</f>
        <v>iteration-syndicate</v>
      </c>
      <c r="B6081" s="3" t="str">
        <f>IFERROR(__xludf.DUMMYFUNCTION("""COMPUTED_VALUE"""),"its")</f>
        <v>its</v>
      </c>
      <c r="C6081" s="3" t="str">
        <f>IFERROR(__xludf.DUMMYFUNCTION("""COMPUTED_VALUE"""),"Iteration Syndicate")</f>
        <v>Iteration Syndicate</v>
      </c>
    </row>
    <row r="6082">
      <c r="A6082" s="3" t="str">
        <f>IFERROR(__xludf.DUMMYFUNCTION("""COMPUTED_VALUE"""),"itheum")</f>
        <v>itheum</v>
      </c>
      <c r="B6082" s="3" t="str">
        <f>IFERROR(__xludf.DUMMYFUNCTION("""COMPUTED_VALUE"""),"itheum")</f>
        <v>itheum</v>
      </c>
      <c r="C6082" s="3" t="str">
        <f>IFERROR(__xludf.DUMMYFUNCTION("""COMPUTED_VALUE"""),"Itheum")</f>
        <v>Itheum</v>
      </c>
    </row>
    <row r="6083">
      <c r="A6083" s="3" t="str">
        <f>IFERROR(__xludf.DUMMYFUNCTION("""COMPUTED_VALUE"""),"itrust-governance-token")</f>
        <v>itrust-governance-token</v>
      </c>
      <c r="B6083" s="3" t="str">
        <f>IFERROR(__xludf.DUMMYFUNCTION("""COMPUTED_VALUE"""),"itg")</f>
        <v>itg</v>
      </c>
      <c r="C6083" s="3" t="str">
        <f>IFERROR(__xludf.DUMMYFUNCTION("""COMPUTED_VALUE"""),"iTrust Governance")</f>
        <v>iTrust Governance</v>
      </c>
    </row>
    <row r="6084">
      <c r="A6084" s="3" t="str">
        <f>IFERROR(__xludf.DUMMYFUNCTION("""COMPUTED_VALUE"""),"itsbloc")</f>
        <v>itsbloc</v>
      </c>
      <c r="B6084" s="3" t="str">
        <f>IFERROR(__xludf.DUMMYFUNCTION("""COMPUTED_VALUE"""),"itsb")</f>
        <v>itsb</v>
      </c>
      <c r="C6084" s="3" t="str">
        <f>IFERROR(__xludf.DUMMYFUNCTION("""COMPUTED_VALUE"""),"ITSBLOC")</f>
        <v>ITSBLOC</v>
      </c>
    </row>
    <row r="6085">
      <c r="A6085" s="3" t="str">
        <f>IFERROR(__xludf.DUMMYFUNCTION("""COMPUTED_VALUE"""),"itsmyne")</f>
        <v>itsmyne</v>
      </c>
      <c r="B6085" s="3" t="str">
        <f>IFERROR(__xludf.DUMMYFUNCTION("""COMPUTED_VALUE"""),"myne")</f>
        <v>myne</v>
      </c>
      <c r="C6085" s="3" t="str">
        <f>IFERROR(__xludf.DUMMYFUNCTION("""COMPUTED_VALUE"""),"ITSMYNE")</f>
        <v>ITSMYNE</v>
      </c>
    </row>
    <row r="6086">
      <c r="A6086" s="3" t="str">
        <f>IFERROR(__xludf.DUMMYFUNCTION("""COMPUTED_VALUE"""),"its-not-art")</f>
        <v>its-not-art</v>
      </c>
      <c r="B6086" s="3" t="str">
        <f>IFERROR(__xludf.DUMMYFUNCTION("""COMPUTED_VALUE"""),"$na")</f>
        <v>$na</v>
      </c>
      <c r="C6086" s="3" t="str">
        <f>IFERROR(__xludf.DUMMYFUNCTION("""COMPUTED_VALUE"""),"Its Not Art")</f>
        <v>Its Not Art</v>
      </c>
    </row>
    <row r="6087">
      <c r="A6087" s="3" t="str">
        <f>IFERROR(__xludf.DUMMYFUNCTION("""COMPUTED_VALUE"""),"itube")</f>
        <v>itube</v>
      </c>
      <c r="B6087" s="3" t="str">
        <f>IFERROR(__xludf.DUMMYFUNCTION("""COMPUTED_VALUE"""),"itube")</f>
        <v>itube</v>
      </c>
      <c r="C6087" s="3" t="str">
        <f>IFERROR(__xludf.DUMMYFUNCTION("""COMPUTED_VALUE"""),"iTube")</f>
        <v>iTube</v>
      </c>
    </row>
    <row r="6088">
      <c r="A6088" s="3" t="str">
        <f>IFERROR(__xludf.DUMMYFUNCTION("""COMPUTED_VALUE"""),"ivar-coin")</f>
        <v>ivar-coin</v>
      </c>
      <c r="B6088" s="3" t="str">
        <f>IFERROR(__xludf.DUMMYFUNCTION("""COMPUTED_VALUE"""),"ivar")</f>
        <v>ivar</v>
      </c>
      <c r="C6088" s="3" t="str">
        <f>IFERROR(__xludf.DUMMYFUNCTION("""COMPUTED_VALUE"""),"Ivar Coin")</f>
        <v>Ivar Coin</v>
      </c>
    </row>
    <row r="6089">
      <c r="A6089" s="3" t="str">
        <f>IFERROR(__xludf.DUMMYFUNCTION("""COMPUTED_VALUE"""),"ivogel")</f>
        <v>ivogel</v>
      </c>
      <c r="B6089" s="3" t="str">
        <f>IFERROR(__xludf.DUMMYFUNCTION("""COMPUTED_VALUE"""),"ivg")</f>
        <v>ivg</v>
      </c>
      <c r="C6089" s="3" t="str">
        <f>IFERROR(__xludf.DUMMYFUNCTION("""COMPUTED_VALUE"""),"IVOGEL")</f>
        <v>IVOGEL</v>
      </c>
    </row>
    <row r="6090">
      <c r="A6090" s="3" t="str">
        <f>IFERROR(__xludf.DUMMYFUNCTION("""COMPUTED_VALUE"""),"i-will-poop-it-nft")</f>
        <v>i-will-poop-it-nft</v>
      </c>
      <c r="B6090" s="3" t="str">
        <f>IFERROR(__xludf.DUMMYFUNCTION("""COMPUTED_VALUE"""),"shit")</f>
        <v>shit</v>
      </c>
      <c r="C6090" s="3" t="str">
        <f>IFERROR(__xludf.DUMMYFUNCTION("""COMPUTED_VALUE"""),"I will poop it NFT")</f>
        <v>I will poop it NFT</v>
      </c>
    </row>
    <row r="6091">
      <c r="A6091" s="3" t="str">
        <f>IFERROR(__xludf.DUMMYFUNCTION("""COMPUTED_VALUE"""),"ixcoin")</f>
        <v>ixcoin</v>
      </c>
      <c r="B6091" s="3" t="str">
        <f>IFERROR(__xludf.DUMMYFUNCTION("""COMPUTED_VALUE"""),"ixc")</f>
        <v>ixc</v>
      </c>
      <c r="C6091" s="3" t="str">
        <f>IFERROR(__xludf.DUMMYFUNCTION("""COMPUTED_VALUE"""),"Ixcoin")</f>
        <v>Ixcoin</v>
      </c>
    </row>
    <row r="6092">
      <c r="A6092" s="3" t="str">
        <f>IFERROR(__xludf.DUMMYFUNCTION("""COMPUTED_VALUE"""),"ixicash")</f>
        <v>ixicash</v>
      </c>
      <c r="B6092" s="3" t="str">
        <f>IFERROR(__xludf.DUMMYFUNCTION("""COMPUTED_VALUE"""),"ixi")</f>
        <v>ixi</v>
      </c>
      <c r="C6092" s="3" t="str">
        <f>IFERROR(__xludf.DUMMYFUNCTION("""COMPUTED_VALUE"""),"IxiCash")</f>
        <v>IxiCash</v>
      </c>
    </row>
    <row r="6093">
      <c r="A6093" s="3" t="str">
        <f>IFERROR(__xludf.DUMMYFUNCTION("""COMPUTED_VALUE"""),"ixinium")</f>
        <v>ixinium</v>
      </c>
      <c r="B6093" s="3" t="str">
        <f>IFERROR(__xludf.DUMMYFUNCTION("""COMPUTED_VALUE"""),"xxa")</f>
        <v>xxa</v>
      </c>
      <c r="C6093" s="3" t="str">
        <f>IFERROR(__xludf.DUMMYFUNCTION("""COMPUTED_VALUE"""),"Ixinium")</f>
        <v>Ixinium</v>
      </c>
    </row>
    <row r="6094">
      <c r="A6094" s="3" t="str">
        <f>IFERROR(__xludf.DUMMYFUNCTION("""COMPUTED_VALUE"""),"ixirswap")</f>
        <v>ixirswap</v>
      </c>
      <c r="B6094" s="3" t="str">
        <f>IFERROR(__xludf.DUMMYFUNCTION("""COMPUTED_VALUE"""),"ixir")</f>
        <v>ixir</v>
      </c>
      <c r="C6094" s="3" t="str">
        <f>IFERROR(__xludf.DUMMYFUNCTION("""COMPUTED_VALUE"""),"Ixirswap")</f>
        <v>Ixirswap</v>
      </c>
    </row>
    <row r="6095">
      <c r="A6095" s="3" t="str">
        <f>IFERROR(__xludf.DUMMYFUNCTION("""COMPUTED_VALUE"""),"ixo")</f>
        <v>ixo</v>
      </c>
      <c r="B6095" s="3" t="str">
        <f>IFERROR(__xludf.DUMMYFUNCTION("""COMPUTED_VALUE"""),"ixo")</f>
        <v>ixo</v>
      </c>
      <c r="C6095" s="3" t="str">
        <f>IFERROR(__xludf.DUMMYFUNCTION("""COMPUTED_VALUE"""),"IXO")</f>
        <v>IXO</v>
      </c>
    </row>
    <row r="6096">
      <c r="A6096" s="3" t="str">
        <f>IFERROR(__xludf.DUMMYFUNCTION("""COMPUTED_VALUE"""),"ix-swap")</f>
        <v>ix-swap</v>
      </c>
      <c r="B6096" s="3" t="str">
        <f>IFERROR(__xludf.DUMMYFUNCTION("""COMPUTED_VALUE"""),"ixs")</f>
        <v>ixs</v>
      </c>
      <c r="C6096" s="3" t="str">
        <f>IFERROR(__xludf.DUMMYFUNCTION("""COMPUTED_VALUE"""),"IX Swap")</f>
        <v>IX Swap</v>
      </c>
    </row>
    <row r="6097">
      <c r="A6097" s="3" t="str">
        <f>IFERROR(__xludf.DUMMYFUNCTION("""COMPUTED_VALUE"""),"ix-token")</f>
        <v>ix-token</v>
      </c>
      <c r="B6097" s="3" t="str">
        <f>IFERROR(__xludf.DUMMYFUNCTION("""COMPUTED_VALUE"""),"ixt")</f>
        <v>ixt</v>
      </c>
      <c r="C6097" s="3" t="str">
        <f>IFERROR(__xludf.DUMMYFUNCTION("""COMPUTED_VALUE"""),"IX")</f>
        <v>IX</v>
      </c>
    </row>
    <row r="6098">
      <c r="A6098" s="3" t="str">
        <f>IFERROR(__xludf.DUMMYFUNCTION("""COMPUTED_VALUE"""),"izanagi")</f>
        <v>izanagi</v>
      </c>
      <c r="B6098" s="3" t="str">
        <f>IFERROR(__xludf.DUMMYFUNCTION("""COMPUTED_VALUE"""),"nagi")</f>
        <v>nagi</v>
      </c>
      <c r="C6098" s="3" t="str">
        <f>IFERROR(__xludf.DUMMYFUNCTION("""COMPUTED_VALUE"""),"Izanagi")</f>
        <v>Izanagi</v>
      </c>
    </row>
    <row r="6099">
      <c r="A6099" s="3" t="str">
        <f>IFERROR(__xludf.DUMMYFUNCTION("""COMPUTED_VALUE"""),"ize")</f>
        <v>ize</v>
      </c>
      <c r="B6099" s="3" t="str">
        <f>IFERROR(__xludf.DUMMYFUNCTION("""COMPUTED_VALUE"""),"ize")</f>
        <v>ize</v>
      </c>
      <c r="C6099" s="3" t="str">
        <f>IFERROR(__xludf.DUMMYFUNCTION("""COMPUTED_VALUE"""),"IZE")</f>
        <v>IZE</v>
      </c>
    </row>
    <row r="6100">
      <c r="A6100" s="3" t="str">
        <f>IFERROR(__xludf.DUMMYFUNCTION("""COMPUTED_VALUE"""),"izombie")</f>
        <v>izombie</v>
      </c>
      <c r="B6100" s="3" t="str">
        <f>IFERROR(__xludf.DUMMYFUNCTION("""COMPUTED_VALUE"""),"izu")</f>
        <v>izu</v>
      </c>
      <c r="C6100" s="3" t="str">
        <f>IFERROR(__xludf.DUMMYFUNCTION("""COMPUTED_VALUE"""),"iZombie")</f>
        <v>iZombie</v>
      </c>
    </row>
    <row r="6101">
      <c r="A6101" s="3" t="str">
        <f>IFERROR(__xludf.DUMMYFUNCTION("""COMPUTED_VALUE"""),"izumi-bond-usd")</f>
        <v>izumi-bond-usd</v>
      </c>
      <c r="B6101" s="3" t="str">
        <f>IFERROR(__xludf.DUMMYFUNCTION("""COMPUTED_VALUE"""),"iusd")</f>
        <v>iusd</v>
      </c>
      <c r="C6101" s="3" t="str">
        <f>IFERROR(__xludf.DUMMYFUNCTION("""COMPUTED_VALUE"""),"iZUMi Bond USD")</f>
        <v>iZUMi Bond USD</v>
      </c>
    </row>
    <row r="6102">
      <c r="A6102" s="3" t="str">
        <f>IFERROR(__xludf.DUMMYFUNCTION("""COMPUTED_VALUE"""),"izumi-finance")</f>
        <v>izumi-finance</v>
      </c>
      <c r="B6102" s="3" t="str">
        <f>IFERROR(__xludf.DUMMYFUNCTION("""COMPUTED_VALUE"""),"izi")</f>
        <v>izi</v>
      </c>
      <c r="C6102" s="3" t="str">
        <f>IFERROR(__xludf.DUMMYFUNCTION("""COMPUTED_VALUE"""),"Izumi Finance")</f>
        <v>Izumi Finance</v>
      </c>
    </row>
    <row r="6103">
      <c r="A6103" s="3" t="str">
        <f>IFERROR(__xludf.DUMMYFUNCTION("""COMPUTED_VALUE"""),"jackal-protocol")</f>
        <v>jackal-protocol</v>
      </c>
      <c r="B6103" s="3" t="str">
        <f>IFERROR(__xludf.DUMMYFUNCTION("""COMPUTED_VALUE"""),"jkl")</f>
        <v>jkl</v>
      </c>
      <c r="C6103" s="3" t="str">
        <f>IFERROR(__xludf.DUMMYFUNCTION("""COMPUTED_VALUE"""),"Jackal Protocol")</f>
        <v>Jackal Protocol</v>
      </c>
    </row>
    <row r="6104">
      <c r="A6104" s="3" t="str">
        <f>IFERROR(__xludf.DUMMYFUNCTION("""COMPUTED_VALUE"""),"jackpool-finance")</f>
        <v>jackpool-finance</v>
      </c>
      <c r="B6104" s="3" t="str">
        <f>IFERROR(__xludf.DUMMYFUNCTION("""COMPUTED_VALUE"""),"jfi")</f>
        <v>jfi</v>
      </c>
      <c r="C6104" s="3" t="str">
        <f>IFERROR(__xludf.DUMMYFUNCTION("""COMPUTED_VALUE"""),"JackPool.finance")</f>
        <v>JackPool.finance</v>
      </c>
    </row>
    <row r="6105">
      <c r="A6105" s="3" t="str">
        <f>IFERROR(__xludf.DUMMYFUNCTION("""COMPUTED_VALUE"""),"jackpot")</f>
        <v>jackpot</v>
      </c>
      <c r="B6105" s="3" t="str">
        <f>IFERROR(__xludf.DUMMYFUNCTION("""COMPUTED_VALUE"""),"777")</f>
        <v>777</v>
      </c>
      <c r="C6105" s="3" t="str">
        <f>IFERROR(__xludf.DUMMYFUNCTION("""COMPUTED_VALUE"""),"Jackpot")</f>
        <v>Jackpot</v>
      </c>
    </row>
    <row r="6106">
      <c r="A6106" s="3" t="str">
        <f>IFERROR(__xludf.DUMMYFUNCTION("""COMPUTED_VALUE"""),"jackpotdoge")</f>
        <v>jackpotdoge</v>
      </c>
      <c r="B6106" s="3" t="str">
        <f>IFERROR(__xludf.DUMMYFUNCTION("""COMPUTED_VALUE"""),"jpd")</f>
        <v>jpd</v>
      </c>
      <c r="C6106" s="3" t="str">
        <f>IFERROR(__xludf.DUMMYFUNCTION("""COMPUTED_VALUE"""),"JackpotDoge")</f>
        <v>JackpotDoge</v>
      </c>
    </row>
    <row r="6107">
      <c r="A6107" s="3" t="str">
        <f>IFERROR(__xludf.DUMMYFUNCTION("""COMPUTED_VALUE"""),"jackpot-universe")</f>
        <v>jackpot-universe</v>
      </c>
      <c r="B6107" s="3" t="str">
        <f>IFERROR(__xludf.DUMMYFUNCTION("""COMPUTED_VALUE"""),"juni")</f>
        <v>juni</v>
      </c>
      <c r="C6107" s="3" t="str">
        <f>IFERROR(__xludf.DUMMYFUNCTION("""COMPUTED_VALUE"""),"Jackpot Universe")</f>
        <v>Jackpot Universe</v>
      </c>
    </row>
    <row r="6108">
      <c r="A6108" s="3" t="str">
        <f>IFERROR(__xludf.DUMMYFUNCTION("""COMPUTED_VALUE"""),"jack-token")</f>
        <v>jack-token</v>
      </c>
      <c r="B6108" s="3" t="str">
        <f>IFERROR(__xludf.DUMMYFUNCTION("""COMPUTED_VALUE"""),"jack")</f>
        <v>jack</v>
      </c>
      <c r="C6108" s="3" t="str">
        <f>IFERROR(__xludf.DUMMYFUNCTION("""COMPUTED_VALUE"""),"Jack Token")</f>
        <v>Jack Token</v>
      </c>
    </row>
    <row r="6109">
      <c r="A6109" s="3" t="str">
        <f>IFERROR(__xludf.DUMMYFUNCTION("""COMPUTED_VALUE"""),"jacy")</f>
        <v>jacy</v>
      </c>
      <c r="B6109" s="3" t="str">
        <f>IFERROR(__xludf.DUMMYFUNCTION("""COMPUTED_VALUE"""),"jacy")</f>
        <v>jacy</v>
      </c>
      <c r="C6109" s="3" t="str">
        <f>IFERROR(__xludf.DUMMYFUNCTION("""COMPUTED_VALUE"""),"JACY")</f>
        <v>JACY</v>
      </c>
    </row>
    <row r="6110">
      <c r="A6110" s="3" t="str">
        <f>IFERROR(__xludf.DUMMYFUNCTION("""COMPUTED_VALUE"""),"jade-currency")</f>
        <v>jade-currency</v>
      </c>
      <c r="B6110" s="3" t="str">
        <f>IFERROR(__xludf.DUMMYFUNCTION("""COMPUTED_VALUE"""),"jade")</f>
        <v>jade</v>
      </c>
      <c r="C6110" s="3" t="str">
        <f>IFERROR(__xludf.DUMMYFUNCTION("""COMPUTED_VALUE"""),"Jade Currency")</f>
        <v>Jade Currency</v>
      </c>
    </row>
    <row r="6111">
      <c r="A6111" s="3" t="str">
        <f>IFERROR(__xludf.DUMMYFUNCTION("""COMPUTED_VALUE"""),"jade-protocol")</f>
        <v>jade-protocol</v>
      </c>
      <c r="B6111" s="3" t="str">
        <f>IFERROR(__xludf.DUMMYFUNCTION("""COMPUTED_VALUE"""),"jade")</f>
        <v>jade</v>
      </c>
      <c r="C6111" s="3" t="str">
        <f>IFERROR(__xludf.DUMMYFUNCTION("""COMPUTED_VALUE"""),"Jade Protocol")</f>
        <v>Jade Protocol</v>
      </c>
    </row>
    <row r="6112">
      <c r="A6112" s="3" t="str">
        <f>IFERROR(__xludf.DUMMYFUNCTION("""COMPUTED_VALUE"""),"jaiho-crypto")</f>
        <v>jaiho-crypto</v>
      </c>
      <c r="B6112" s="3" t="str">
        <f>IFERROR(__xludf.DUMMYFUNCTION("""COMPUTED_VALUE"""),"jaiho")</f>
        <v>jaiho</v>
      </c>
      <c r="C6112" s="3" t="str">
        <f>IFERROR(__xludf.DUMMYFUNCTION("""COMPUTED_VALUE"""),"Jaiho Crypto")</f>
        <v>Jaiho Crypto</v>
      </c>
    </row>
    <row r="6113">
      <c r="A6113" s="3" t="str">
        <f>IFERROR(__xludf.DUMMYFUNCTION("""COMPUTED_VALUE"""),"jail-kwon")</f>
        <v>jail-kwon</v>
      </c>
      <c r="B6113" s="3" t="str">
        <f>IFERROR(__xludf.DUMMYFUNCTION("""COMPUTED_VALUE"""),"jkwon")</f>
        <v>jkwon</v>
      </c>
      <c r="C6113" s="3" t="str">
        <f>IFERROR(__xludf.DUMMYFUNCTION("""COMPUTED_VALUE"""),"JAIL KWON")</f>
        <v>JAIL KWON</v>
      </c>
    </row>
    <row r="6114">
      <c r="A6114" s="3" t="str">
        <f>IFERROR(__xludf.DUMMYFUNCTION("""COMPUTED_VALUE"""),"jam-token")</f>
        <v>jam-token</v>
      </c>
      <c r="B6114" s="3" t="str">
        <f>IFERROR(__xludf.DUMMYFUNCTION("""COMPUTED_VALUE"""),"jam")</f>
        <v>jam</v>
      </c>
      <c r="C6114" s="3" t="str">
        <f>IFERROR(__xludf.DUMMYFUNCTION("""COMPUTED_VALUE"""),"JAM Token")</f>
        <v>JAM Token</v>
      </c>
    </row>
    <row r="6115">
      <c r="A6115" s="3" t="str">
        <f>IFERROR(__xludf.DUMMYFUNCTION("""COMPUTED_VALUE"""),"janus-network")</f>
        <v>janus-network</v>
      </c>
      <c r="B6115" s="3" t="str">
        <f>IFERROR(__xludf.DUMMYFUNCTION("""COMPUTED_VALUE"""),"jns")</f>
        <v>jns</v>
      </c>
      <c r="C6115" s="3" t="str">
        <f>IFERROR(__xludf.DUMMYFUNCTION("""COMPUTED_VALUE"""),"Janus Network")</f>
        <v>Janus Network</v>
      </c>
    </row>
    <row r="6116">
      <c r="A6116" s="3" t="str">
        <f>IFERROR(__xludf.DUMMYFUNCTION("""COMPUTED_VALUE"""),"jarvis")</f>
        <v>jarvis</v>
      </c>
      <c r="B6116" s="3" t="str">
        <f>IFERROR(__xludf.DUMMYFUNCTION("""COMPUTED_VALUE"""),"jar")</f>
        <v>jar</v>
      </c>
      <c r="C6116" s="3" t="str">
        <f>IFERROR(__xludf.DUMMYFUNCTION("""COMPUTED_VALUE"""),"Jarvis+")</f>
        <v>Jarvis+</v>
      </c>
    </row>
    <row r="6117">
      <c r="A6117" s="3" t="str">
        <f>IFERROR(__xludf.DUMMYFUNCTION("""COMPUTED_VALUE"""),"jarvis-reward-token")</f>
        <v>jarvis-reward-token</v>
      </c>
      <c r="B6117" s="3" t="str">
        <f>IFERROR(__xludf.DUMMYFUNCTION("""COMPUTED_VALUE"""),"jrt")</f>
        <v>jrt</v>
      </c>
      <c r="C6117" s="3" t="str">
        <f>IFERROR(__xludf.DUMMYFUNCTION("""COMPUTED_VALUE"""),"Jarvis Reward")</f>
        <v>Jarvis Reward</v>
      </c>
    </row>
    <row r="6118">
      <c r="A6118" s="3" t="str">
        <f>IFERROR(__xludf.DUMMYFUNCTION("""COMPUTED_VALUE"""),"jarvis-synthetic-british-pound")</f>
        <v>jarvis-synthetic-british-pound</v>
      </c>
      <c r="B6118" s="3" t="str">
        <f>IFERROR(__xludf.DUMMYFUNCTION("""COMPUTED_VALUE"""),"jgbp")</f>
        <v>jgbp</v>
      </c>
      <c r="C6118" s="3" t="str">
        <f>IFERROR(__xludf.DUMMYFUNCTION("""COMPUTED_VALUE"""),"Jarvis Synthetic British Pound")</f>
        <v>Jarvis Synthetic British Pound</v>
      </c>
    </row>
    <row r="6119">
      <c r="A6119" s="3" t="str">
        <f>IFERROR(__xludf.DUMMYFUNCTION("""COMPUTED_VALUE"""),"jarvis-synthetic-euro")</f>
        <v>jarvis-synthetic-euro</v>
      </c>
      <c r="B6119" s="3" t="str">
        <f>IFERROR(__xludf.DUMMYFUNCTION("""COMPUTED_VALUE"""),"jeur")</f>
        <v>jeur</v>
      </c>
      <c r="C6119" s="3" t="str">
        <f>IFERROR(__xludf.DUMMYFUNCTION("""COMPUTED_VALUE"""),"Jarvis Synthetic Euro")</f>
        <v>Jarvis Synthetic Euro</v>
      </c>
    </row>
    <row r="6120">
      <c r="A6120" s="3" t="str">
        <f>IFERROR(__xludf.DUMMYFUNCTION("""COMPUTED_VALUE"""),"jarvis-synthetic-japanese-yen")</f>
        <v>jarvis-synthetic-japanese-yen</v>
      </c>
      <c r="B6120" s="3" t="str">
        <f>IFERROR(__xludf.DUMMYFUNCTION("""COMPUTED_VALUE"""),"jjpy")</f>
        <v>jjpy</v>
      </c>
      <c r="C6120" s="3" t="str">
        <f>IFERROR(__xludf.DUMMYFUNCTION("""COMPUTED_VALUE"""),"Jarvis Synthetic Japanese Yen")</f>
        <v>Jarvis Synthetic Japanese Yen</v>
      </c>
    </row>
    <row r="6121">
      <c r="A6121" s="3" t="str">
        <f>IFERROR(__xludf.DUMMYFUNCTION("""COMPUTED_VALUE"""),"jarvis-synthetic-swiss-franc")</f>
        <v>jarvis-synthetic-swiss-franc</v>
      </c>
      <c r="B6121" s="3" t="str">
        <f>IFERROR(__xludf.DUMMYFUNCTION("""COMPUTED_VALUE"""),"jchf")</f>
        <v>jchf</v>
      </c>
      <c r="C6121" s="3" t="str">
        <f>IFERROR(__xludf.DUMMYFUNCTION("""COMPUTED_VALUE"""),"Jarvis Synthetic Swiss Franc")</f>
        <v>Jarvis Synthetic Swiss Franc</v>
      </c>
    </row>
    <row r="6122">
      <c r="A6122" s="3" t="str">
        <f>IFERROR(__xludf.DUMMYFUNCTION("""COMPUTED_VALUE"""),"jasan-wellness")</f>
        <v>jasan-wellness</v>
      </c>
      <c r="B6122" s="3" t="str">
        <f>IFERROR(__xludf.DUMMYFUNCTION("""COMPUTED_VALUE"""),"jw")</f>
        <v>jw</v>
      </c>
      <c r="C6122" s="3" t="str">
        <f>IFERROR(__xludf.DUMMYFUNCTION("""COMPUTED_VALUE"""),"Jasan Wellness")</f>
        <v>Jasan Wellness</v>
      </c>
    </row>
    <row r="6123">
      <c r="A6123" s="3" t="str">
        <f>IFERROR(__xludf.DUMMYFUNCTION("""COMPUTED_VALUE"""),"jasmycoin")</f>
        <v>jasmycoin</v>
      </c>
      <c r="B6123" s="3" t="str">
        <f>IFERROR(__xludf.DUMMYFUNCTION("""COMPUTED_VALUE"""),"jasmy")</f>
        <v>jasmy</v>
      </c>
      <c r="C6123" s="3" t="str">
        <f>IFERROR(__xludf.DUMMYFUNCTION("""COMPUTED_VALUE"""),"JasmyCoin")</f>
        <v>JasmyCoin</v>
      </c>
    </row>
    <row r="6124">
      <c r="A6124" s="3" t="str">
        <f>IFERROR(__xludf.DUMMYFUNCTION("""COMPUTED_VALUE"""),"javascript-token")</f>
        <v>javascript-token</v>
      </c>
      <c r="B6124" s="3" t="str">
        <f>IFERROR(__xludf.DUMMYFUNCTION("""COMPUTED_VALUE"""),"js")</f>
        <v>js</v>
      </c>
      <c r="C6124" s="3" t="str">
        <f>IFERROR(__xludf.DUMMYFUNCTION("""COMPUTED_VALUE"""),"JavaScript")</f>
        <v>JavaScript</v>
      </c>
    </row>
    <row r="6125">
      <c r="A6125" s="3" t="str">
        <f>IFERROR(__xludf.DUMMYFUNCTION("""COMPUTED_VALUE"""),"jax-network")</f>
        <v>jax-network</v>
      </c>
      <c r="B6125" s="3" t="str">
        <f>IFERROR(__xludf.DUMMYFUNCTION("""COMPUTED_VALUE"""),"wjxn")</f>
        <v>wjxn</v>
      </c>
      <c r="C6125" s="3" t="str">
        <f>IFERROR(__xludf.DUMMYFUNCTION("""COMPUTED_VALUE"""),"Jax.Network")</f>
        <v>Jax.Network</v>
      </c>
    </row>
    <row r="6126">
      <c r="A6126" s="3" t="str">
        <f>IFERROR(__xludf.DUMMYFUNCTION("""COMPUTED_VALUE"""),"jd-coin")</f>
        <v>jd-coin</v>
      </c>
      <c r="B6126" s="3" t="str">
        <f>IFERROR(__xludf.DUMMYFUNCTION("""COMPUTED_VALUE"""),"jdc")</f>
        <v>jdc</v>
      </c>
      <c r="C6126" s="3" t="str">
        <f>IFERROR(__xludf.DUMMYFUNCTION("""COMPUTED_VALUE"""),"JD Coin")</f>
        <v>JD Coin</v>
      </c>
    </row>
    <row r="6127">
      <c r="A6127" s="3" t="str">
        <f>IFERROR(__xludf.DUMMYFUNCTION("""COMPUTED_VALUE"""),"jdi-token")</f>
        <v>jdi-token</v>
      </c>
      <c r="B6127" s="3" t="str">
        <f>IFERROR(__xludf.DUMMYFUNCTION("""COMPUTED_VALUE"""),"jdi")</f>
        <v>jdi</v>
      </c>
      <c r="C6127" s="3" t="str">
        <f>IFERROR(__xludf.DUMMYFUNCTION("""COMPUTED_VALUE"""),"JDI")</f>
        <v>JDI</v>
      </c>
    </row>
    <row r="6128">
      <c r="A6128" s="3" t="str">
        <f>IFERROR(__xludf.DUMMYFUNCTION("""COMPUTED_VALUE"""),"jedstar")</f>
        <v>jedstar</v>
      </c>
      <c r="B6128" s="3" t="str">
        <f>IFERROR(__xludf.DUMMYFUNCTION("""COMPUTED_VALUE"""),"jed")</f>
        <v>jed</v>
      </c>
      <c r="C6128" s="3" t="str">
        <f>IFERROR(__xludf.DUMMYFUNCTION("""COMPUTED_VALUE"""),"JEDSTAR")</f>
        <v>JEDSTAR</v>
      </c>
    </row>
    <row r="6129">
      <c r="A6129" s="3" t="str">
        <f>IFERROR(__xludf.DUMMYFUNCTION("""COMPUTED_VALUE"""),"jeet-detector-bot")</f>
        <v>jeet-detector-bot</v>
      </c>
      <c r="B6129" s="3" t="str">
        <f>IFERROR(__xludf.DUMMYFUNCTION("""COMPUTED_VALUE"""),"jdb")</f>
        <v>jdb</v>
      </c>
      <c r="C6129" s="3" t="str">
        <f>IFERROR(__xludf.DUMMYFUNCTION("""COMPUTED_VALUE"""),"Jeet Detector Bot")</f>
        <v>Jeet Detector Bot</v>
      </c>
    </row>
    <row r="6130">
      <c r="A6130" s="3" t="str">
        <f>IFERROR(__xludf.DUMMYFUNCTION("""COMPUTED_VALUE"""),"jefe")</f>
        <v>jefe</v>
      </c>
      <c r="B6130" s="3" t="str">
        <f>IFERROR(__xludf.DUMMYFUNCTION("""COMPUTED_VALUE"""),"jefe")</f>
        <v>jefe</v>
      </c>
      <c r="C6130" s="3" t="str">
        <f>IFERROR(__xludf.DUMMYFUNCTION("""COMPUTED_VALUE"""),"Jefe")</f>
        <v>Jefe</v>
      </c>
    </row>
    <row r="6131">
      <c r="A6131" s="3" t="str">
        <f>IFERROR(__xludf.DUMMYFUNCTION("""COMPUTED_VALUE"""),"jejudoge")</f>
        <v>jejudoge</v>
      </c>
      <c r="B6131" s="3" t="str">
        <f>IFERROR(__xludf.DUMMYFUNCTION("""COMPUTED_VALUE"""),"jejudoge")</f>
        <v>jejudoge</v>
      </c>
      <c r="C6131" s="3" t="str">
        <f>IFERROR(__xludf.DUMMYFUNCTION("""COMPUTED_VALUE"""),"Jejudoge")</f>
        <v>Jejudoge</v>
      </c>
    </row>
    <row r="6132">
      <c r="A6132" s="3" t="str">
        <f>IFERROR(__xludf.DUMMYFUNCTION("""COMPUTED_VALUE"""),"jelly")</f>
        <v>jelly</v>
      </c>
      <c r="B6132" s="3" t="str">
        <f>IFERROR(__xludf.DUMMYFUNCTION("""COMPUTED_VALUE"""),"jelly")</f>
        <v>jelly</v>
      </c>
      <c r="C6132" s="3" t="str">
        <f>IFERROR(__xludf.DUMMYFUNCTION("""COMPUTED_VALUE"""),"Jelly")</f>
        <v>Jelly</v>
      </c>
    </row>
    <row r="6133">
      <c r="A6133" s="3" t="str">
        <f>IFERROR(__xludf.DUMMYFUNCTION("""COMPUTED_VALUE"""),"jellybeancash")</f>
        <v>jellybeancash</v>
      </c>
      <c r="B6133" s="3" t="str">
        <f>IFERROR(__xludf.DUMMYFUNCTION("""COMPUTED_VALUE"""),"jellybean")</f>
        <v>jellybean</v>
      </c>
      <c r="C6133" s="3" t="str">
        <f>IFERROR(__xludf.DUMMYFUNCTION("""COMPUTED_VALUE"""),"JellyBeanCash")</f>
        <v>JellyBeanCash</v>
      </c>
    </row>
    <row r="6134">
      <c r="A6134" s="3" t="str">
        <f>IFERROR(__xludf.DUMMYFUNCTION("""COMPUTED_VALUE"""),"jem")</f>
        <v>jem</v>
      </c>
      <c r="B6134" s="3" t="str">
        <f>IFERROR(__xludf.DUMMYFUNCTION("""COMPUTED_VALUE"""),"jem")</f>
        <v>jem</v>
      </c>
      <c r="C6134" s="3" t="str">
        <f>IFERROR(__xludf.DUMMYFUNCTION("""COMPUTED_VALUE"""),"Jem")</f>
        <v>Jem</v>
      </c>
    </row>
    <row r="6135">
      <c r="A6135" s="3" t="str">
        <f>IFERROR(__xludf.DUMMYFUNCTION("""COMPUTED_VALUE"""),"jen-coin")</f>
        <v>jen-coin</v>
      </c>
      <c r="B6135" s="3" t="str">
        <f>IFERROR(__xludf.DUMMYFUNCTION("""COMPUTED_VALUE"""),"jen")</f>
        <v>jen</v>
      </c>
      <c r="C6135" s="3" t="str">
        <f>IFERROR(__xludf.DUMMYFUNCTION("""COMPUTED_VALUE"""),"JEN COIN")</f>
        <v>JEN COIN</v>
      </c>
    </row>
    <row r="6136">
      <c r="A6136" s="3" t="str">
        <f>IFERROR(__xludf.DUMMYFUNCTION("""COMPUTED_VALUE"""),"jenny-dao-v2")</f>
        <v>jenny-dao-v2</v>
      </c>
      <c r="B6136" s="3" t="str">
        <f>IFERROR(__xludf.DUMMYFUNCTION("""COMPUTED_VALUE"""),"jenny")</f>
        <v>jenny</v>
      </c>
      <c r="C6136" s="3" t="str">
        <f>IFERROR(__xludf.DUMMYFUNCTION("""COMPUTED_VALUE"""),"Jenny DAO V2")</f>
        <v>Jenny DAO V2</v>
      </c>
    </row>
    <row r="6137">
      <c r="A6137" s="3" t="str">
        <f>IFERROR(__xludf.DUMMYFUNCTION("""COMPUTED_VALUE"""),"jenny-metaverse-dao-token")</f>
        <v>jenny-metaverse-dao-token</v>
      </c>
      <c r="B6137" s="3" t="str">
        <f>IFERROR(__xludf.DUMMYFUNCTION("""COMPUTED_VALUE"""),"ujenny")</f>
        <v>ujenny</v>
      </c>
      <c r="C6137" s="3" t="str">
        <f>IFERROR(__xludf.DUMMYFUNCTION("""COMPUTED_VALUE"""),"Jenny DAO V1")</f>
        <v>Jenny DAO V1</v>
      </c>
    </row>
    <row r="6138">
      <c r="A6138" s="3" t="str">
        <f>IFERROR(__xludf.DUMMYFUNCTION("""COMPUTED_VALUE"""),"jeritex")</f>
        <v>jeritex</v>
      </c>
      <c r="B6138" s="3" t="str">
        <f>IFERROR(__xludf.DUMMYFUNCTION("""COMPUTED_VALUE"""),"jrit")</f>
        <v>jrit</v>
      </c>
      <c r="C6138" s="3" t="str">
        <f>IFERROR(__xludf.DUMMYFUNCTION("""COMPUTED_VALUE"""),"JERITEX")</f>
        <v>JERITEX</v>
      </c>
    </row>
    <row r="6139">
      <c r="A6139" s="3" t="str">
        <f>IFERROR(__xludf.DUMMYFUNCTION("""COMPUTED_VALUE"""),"jet")</f>
        <v>jet</v>
      </c>
      <c r="B6139" s="3" t="str">
        <f>IFERROR(__xludf.DUMMYFUNCTION("""COMPUTED_VALUE"""),"jet")</f>
        <v>jet</v>
      </c>
      <c r="C6139" s="3" t="str">
        <f>IFERROR(__xludf.DUMMYFUNCTION("""COMPUTED_VALUE"""),"JET")</f>
        <v>JET</v>
      </c>
    </row>
    <row r="6140">
      <c r="A6140" s="3" t="str">
        <f>IFERROR(__xludf.DUMMYFUNCTION("""COMPUTED_VALUE"""),"jetcoin")</f>
        <v>jetcoin</v>
      </c>
      <c r="B6140" s="3" t="str">
        <f>IFERROR(__xludf.DUMMYFUNCTION("""COMPUTED_VALUE"""),"jet")</f>
        <v>jet</v>
      </c>
      <c r="C6140" s="3" t="str">
        <f>IFERROR(__xludf.DUMMYFUNCTION("""COMPUTED_VALUE"""),"Jetcoin")</f>
        <v>Jetcoin</v>
      </c>
    </row>
    <row r="6141">
      <c r="A6141" s="3" t="str">
        <f>IFERROR(__xludf.DUMMYFUNCTION("""COMPUTED_VALUE"""),"jetoken")</f>
        <v>jetoken</v>
      </c>
      <c r="B6141" s="3" t="str">
        <f>IFERROR(__xludf.DUMMYFUNCTION("""COMPUTED_VALUE"""),"jets")</f>
        <v>jets</v>
      </c>
      <c r="C6141" s="3" t="str">
        <f>IFERROR(__xludf.DUMMYFUNCTION("""COMPUTED_VALUE"""),"JeToken")</f>
        <v>JeToken</v>
      </c>
    </row>
    <row r="6142">
      <c r="A6142" s="3" t="str">
        <f>IFERROR(__xludf.DUMMYFUNCTION("""COMPUTED_VALUE"""),"jetset")</f>
        <v>jetset</v>
      </c>
      <c r="B6142" s="3" t="str">
        <f>IFERROR(__xludf.DUMMYFUNCTION("""COMPUTED_VALUE"""),"jts")</f>
        <v>jts</v>
      </c>
      <c r="C6142" s="3" t="str">
        <f>IFERROR(__xludf.DUMMYFUNCTION("""COMPUTED_VALUE"""),"Jetset")</f>
        <v>Jetset</v>
      </c>
    </row>
    <row r="6143">
      <c r="A6143" s="3" t="str">
        <f>IFERROR(__xludf.DUMMYFUNCTION("""COMPUTED_VALUE"""),"jewel")</f>
        <v>jewel</v>
      </c>
      <c r="B6143" s="3" t="str">
        <f>IFERROR(__xludf.DUMMYFUNCTION("""COMPUTED_VALUE"""),"jwl")</f>
        <v>jwl</v>
      </c>
      <c r="C6143" s="3" t="str">
        <f>IFERROR(__xludf.DUMMYFUNCTION("""COMPUTED_VALUE"""),"Jewel")</f>
        <v>Jewel</v>
      </c>
    </row>
    <row r="6144">
      <c r="A6144" s="3" t="str">
        <f>IFERROR(__xludf.DUMMYFUNCTION("""COMPUTED_VALUE"""),"jexchange")</f>
        <v>jexchange</v>
      </c>
      <c r="B6144" s="3" t="str">
        <f>IFERROR(__xludf.DUMMYFUNCTION("""COMPUTED_VALUE"""),"jex")</f>
        <v>jex</v>
      </c>
      <c r="C6144" s="3" t="str">
        <f>IFERROR(__xludf.DUMMYFUNCTION("""COMPUTED_VALUE"""),"JEXchange")</f>
        <v>JEXchange</v>
      </c>
    </row>
    <row r="6145">
      <c r="A6145" s="3" t="str">
        <f>IFERROR(__xludf.DUMMYFUNCTION("""COMPUTED_VALUE"""),"jfin-coin")</f>
        <v>jfin-coin</v>
      </c>
      <c r="B6145" s="3" t="str">
        <f>IFERROR(__xludf.DUMMYFUNCTION("""COMPUTED_VALUE"""),"jfin")</f>
        <v>jfin</v>
      </c>
      <c r="C6145" s="3" t="str">
        <f>IFERROR(__xludf.DUMMYFUNCTION("""COMPUTED_VALUE"""),"JFIN Coin")</f>
        <v>JFIN Coin</v>
      </c>
    </row>
    <row r="6146">
      <c r="A6146" s="3" t="str">
        <f>IFERROR(__xludf.DUMMYFUNCTION("""COMPUTED_VALUE"""),"jigen")</f>
        <v>jigen</v>
      </c>
      <c r="B6146" s="3" t="str">
        <f>IFERROR(__xludf.DUMMYFUNCTION("""COMPUTED_VALUE"""),"jig")</f>
        <v>jig</v>
      </c>
      <c r="C6146" s="3" t="str">
        <f>IFERROR(__xludf.DUMMYFUNCTION("""COMPUTED_VALUE"""),"Jigen")</f>
        <v>Jigen</v>
      </c>
    </row>
    <row r="6147">
      <c r="A6147" s="3" t="str">
        <f>IFERROR(__xludf.DUMMYFUNCTION("""COMPUTED_VALUE"""),"jigsaw")</f>
        <v>jigsaw</v>
      </c>
      <c r="B6147" s="3" t="str">
        <f>IFERROR(__xludf.DUMMYFUNCTION("""COMPUTED_VALUE"""),"jigsaw")</f>
        <v>jigsaw</v>
      </c>
      <c r="C6147" s="3" t="str">
        <f>IFERROR(__xludf.DUMMYFUNCTION("""COMPUTED_VALUE"""),"Jigsaw")</f>
        <v>Jigsaw</v>
      </c>
    </row>
    <row r="6148">
      <c r="A6148" s="3" t="str">
        <f>IFERROR(__xludf.DUMMYFUNCTION("""COMPUTED_VALUE"""),"jigstack")</f>
        <v>jigstack</v>
      </c>
      <c r="B6148" s="3" t="str">
        <f>IFERROR(__xludf.DUMMYFUNCTION("""COMPUTED_VALUE"""),"stak")</f>
        <v>stak</v>
      </c>
      <c r="C6148" s="3" t="str">
        <f>IFERROR(__xludf.DUMMYFUNCTION("""COMPUTED_VALUE"""),"Jigstack")</f>
        <v>Jigstack</v>
      </c>
    </row>
    <row r="6149">
      <c r="A6149" s="3" t="str">
        <f>IFERROR(__xludf.DUMMYFUNCTION("""COMPUTED_VALUE"""),"jimizz")</f>
        <v>jimizz</v>
      </c>
      <c r="B6149" s="3" t="str">
        <f>IFERROR(__xludf.DUMMYFUNCTION("""COMPUTED_VALUE"""),"jmz")</f>
        <v>jmz</v>
      </c>
      <c r="C6149" s="3" t="str">
        <f>IFERROR(__xludf.DUMMYFUNCTION("""COMPUTED_VALUE"""),"Jimizz")</f>
        <v>Jimizz</v>
      </c>
    </row>
    <row r="6150">
      <c r="A6150" s="3" t="str">
        <f>IFERROR(__xludf.DUMMYFUNCTION("""COMPUTED_VALUE"""),"jimngalaxy")</f>
        <v>jimngalaxy</v>
      </c>
      <c r="B6150" s="3" t="str">
        <f>IFERROR(__xludf.DUMMYFUNCTION("""COMPUTED_VALUE"""),"jimn")</f>
        <v>jimn</v>
      </c>
      <c r="C6150" s="3" t="str">
        <f>IFERROR(__xludf.DUMMYFUNCTION("""COMPUTED_VALUE"""),"JimnGalaxy")</f>
        <v>JimnGalaxy</v>
      </c>
    </row>
    <row r="6151">
      <c r="A6151" s="3" t="str">
        <f>IFERROR(__xludf.DUMMYFUNCTION("""COMPUTED_VALUE"""),"jindoge")</f>
        <v>jindoge</v>
      </c>
      <c r="B6151" s="3" t="str">
        <f>IFERROR(__xludf.DUMMYFUNCTION("""COMPUTED_VALUE"""),"jindoge")</f>
        <v>jindoge</v>
      </c>
      <c r="C6151" s="3" t="str">
        <f>IFERROR(__xludf.DUMMYFUNCTION("""COMPUTED_VALUE"""),"Jindoge")</f>
        <v>Jindoge</v>
      </c>
    </row>
    <row r="6152">
      <c r="A6152" s="3" t="str">
        <f>IFERROR(__xludf.DUMMYFUNCTION("""COMPUTED_VALUE"""),"jindo-inu")</f>
        <v>jindo-inu</v>
      </c>
      <c r="B6152" s="3" t="str">
        <f>IFERROR(__xludf.DUMMYFUNCTION("""COMPUTED_VALUE"""),"jind")</f>
        <v>jind</v>
      </c>
      <c r="C6152" s="3" t="str">
        <f>IFERROR(__xludf.DUMMYFUNCTION("""COMPUTED_VALUE"""),"Jindo Inu")</f>
        <v>Jindo Inu</v>
      </c>
    </row>
    <row r="6153">
      <c r="A6153" s="3" t="str">
        <f>IFERROR(__xludf.DUMMYFUNCTION("""COMPUTED_VALUE"""),"jito-staked-sol")</f>
        <v>jito-staked-sol</v>
      </c>
      <c r="B6153" s="3" t="str">
        <f>IFERROR(__xludf.DUMMYFUNCTION("""COMPUTED_VALUE"""),"jitosol")</f>
        <v>jitosol</v>
      </c>
      <c r="C6153" s="3" t="str">
        <f>IFERROR(__xludf.DUMMYFUNCTION("""COMPUTED_VALUE"""),"Jito Staked SOL")</f>
        <v>Jito Staked SOL</v>
      </c>
    </row>
    <row r="6154">
      <c r="A6154" s="3" t="str">
        <f>IFERROR(__xludf.DUMMYFUNCTION("""COMPUTED_VALUE"""),"jk-coin")</f>
        <v>jk-coin</v>
      </c>
      <c r="B6154" s="3" t="str">
        <f>IFERROR(__xludf.DUMMYFUNCTION("""COMPUTED_VALUE"""),"jk")</f>
        <v>jk</v>
      </c>
      <c r="C6154" s="3" t="str">
        <f>IFERROR(__xludf.DUMMYFUNCTION("""COMPUTED_VALUE"""),"JK Coin")</f>
        <v>JK Coin</v>
      </c>
    </row>
    <row r="6155">
      <c r="A6155" s="3" t="str">
        <f>IFERROR(__xludf.DUMMYFUNCTION("""COMPUTED_VALUE"""),"jmtime")</f>
        <v>jmtime</v>
      </c>
      <c r="B6155" s="3" t="str">
        <f>IFERROR(__xludf.DUMMYFUNCTION("""COMPUTED_VALUE"""),"jmt")</f>
        <v>jmt</v>
      </c>
      <c r="C6155" s="3" t="str">
        <f>IFERROR(__xludf.DUMMYFUNCTION("""COMPUTED_VALUE"""),"JMTIME")</f>
        <v>JMTIME</v>
      </c>
    </row>
    <row r="6156">
      <c r="A6156" s="3" t="str">
        <f>IFERROR(__xludf.DUMMYFUNCTION("""COMPUTED_VALUE"""),"jobchain")</f>
        <v>jobchain</v>
      </c>
      <c r="B6156" s="3" t="str">
        <f>IFERROR(__xludf.DUMMYFUNCTION("""COMPUTED_VALUE"""),"job")</f>
        <v>job</v>
      </c>
      <c r="C6156" s="3" t="str">
        <f>IFERROR(__xludf.DUMMYFUNCTION("""COMPUTED_VALUE"""),"Jobchain")</f>
        <v>Jobchain</v>
      </c>
    </row>
    <row r="6157">
      <c r="A6157" s="3" t="str">
        <f>IFERROR(__xludf.DUMMYFUNCTION("""COMPUTED_VALUE"""),"jockey-club")</f>
        <v>jockey-club</v>
      </c>
      <c r="B6157" s="3" t="str">
        <f>IFERROR(__xludf.DUMMYFUNCTION("""COMPUTED_VALUE"""),"jock")</f>
        <v>jock</v>
      </c>
      <c r="C6157" s="3" t="str">
        <f>IFERROR(__xludf.DUMMYFUNCTION("""COMPUTED_VALUE"""),"Jockey Club")</f>
        <v>Jockey Club</v>
      </c>
    </row>
    <row r="6158">
      <c r="A6158" s="3" t="str">
        <f>IFERROR(__xludf.DUMMYFUNCTION("""COMPUTED_VALUE"""),"jodie-inu")</f>
        <v>jodie-inu</v>
      </c>
      <c r="B6158" s="3" t="str">
        <f>IFERROR(__xludf.DUMMYFUNCTION("""COMPUTED_VALUE"""),"jde")</f>
        <v>jde</v>
      </c>
      <c r="C6158" s="3" t="str">
        <f>IFERROR(__xludf.DUMMYFUNCTION("""COMPUTED_VALUE"""),"Jodie Inu")</f>
        <v>Jodie Inu</v>
      </c>
    </row>
    <row r="6159">
      <c r="A6159" s="3" t="str">
        <f>IFERROR(__xludf.DUMMYFUNCTION("""COMPUTED_VALUE"""),"joe")</f>
        <v>joe</v>
      </c>
      <c r="B6159" s="3" t="str">
        <f>IFERROR(__xludf.DUMMYFUNCTION("""COMPUTED_VALUE"""),"joe")</f>
        <v>joe</v>
      </c>
      <c r="C6159" s="3" t="str">
        <f>IFERROR(__xludf.DUMMYFUNCTION("""COMPUTED_VALUE"""),"JOE")</f>
        <v>JOE</v>
      </c>
    </row>
    <row r="6160">
      <c r="A6160" s="3" t="str">
        <f>IFERROR(__xludf.DUMMYFUNCTION("""COMPUTED_VALUE"""),"joe-hat-token")</f>
        <v>joe-hat-token</v>
      </c>
      <c r="B6160" s="3" t="str">
        <f>IFERROR(__xludf.DUMMYFUNCTION("""COMPUTED_VALUE"""),"hat")</f>
        <v>hat</v>
      </c>
      <c r="C6160" s="3" t="str">
        <f>IFERROR(__xludf.DUMMYFUNCTION("""COMPUTED_VALUE"""),"Joe Hat")</f>
        <v>Joe Hat</v>
      </c>
    </row>
    <row r="6161">
      <c r="A6161" s="3" t="str">
        <f>IFERROR(__xludf.DUMMYFUNCTION("""COMPUTED_VALUE"""),"joe-yo-coin")</f>
        <v>joe-yo-coin</v>
      </c>
      <c r="B6161" s="3" t="str">
        <f>IFERROR(__xludf.DUMMYFUNCTION("""COMPUTED_VALUE"""),"jyc")</f>
        <v>jyc</v>
      </c>
      <c r="C6161" s="3" t="str">
        <f>IFERROR(__xludf.DUMMYFUNCTION("""COMPUTED_VALUE"""),"Joe-Yo Coin")</f>
        <v>Joe-Yo Coin</v>
      </c>
    </row>
    <row r="6162">
      <c r="A6162" s="3" t="str">
        <f>IFERROR(__xludf.DUMMYFUNCTION("""COMPUTED_VALUE"""),"joinblocks")</f>
        <v>joinblocks</v>
      </c>
      <c r="B6162" s="3" t="str">
        <f>IFERROR(__xludf.DUMMYFUNCTION("""COMPUTED_VALUE"""),"blocks")</f>
        <v>blocks</v>
      </c>
      <c r="C6162" s="3" t="str">
        <f>IFERROR(__xludf.DUMMYFUNCTION("""COMPUTED_VALUE"""),"JoinBlocks")</f>
        <v>JoinBlocks</v>
      </c>
    </row>
    <row r="6163">
      <c r="A6163" s="3" t="str">
        <f>IFERROR(__xludf.DUMMYFUNCTION("""COMPUTED_VALUE"""),"joincoin")</f>
        <v>joincoin</v>
      </c>
      <c r="B6163" s="3" t="str">
        <f>IFERROR(__xludf.DUMMYFUNCTION("""COMPUTED_VALUE"""),"join")</f>
        <v>join</v>
      </c>
      <c r="C6163" s="3" t="str">
        <f>IFERROR(__xludf.DUMMYFUNCTION("""COMPUTED_VALUE"""),"JoinCoin")</f>
        <v>JoinCoin</v>
      </c>
    </row>
    <row r="6164">
      <c r="A6164" s="3" t="str">
        <f>IFERROR(__xludf.DUMMYFUNCTION("""COMPUTED_VALUE"""),"jointer")</f>
        <v>jointer</v>
      </c>
      <c r="B6164" s="3" t="str">
        <f>IFERROR(__xludf.DUMMYFUNCTION("""COMPUTED_VALUE"""),"jntr")</f>
        <v>jntr</v>
      </c>
      <c r="C6164" s="3" t="str">
        <f>IFERROR(__xludf.DUMMYFUNCTION("""COMPUTED_VALUE"""),"Jointer")</f>
        <v>Jointer</v>
      </c>
    </row>
    <row r="6165">
      <c r="A6165" s="3" t="str">
        <f>IFERROR(__xludf.DUMMYFUNCTION("""COMPUTED_VALUE"""),"jojo")</f>
        <v>jojo</v>
      </c>
      <c r="B6165" s="3" t="str">
        <f>IFERROR(__xludf.DUMMYFUNCTION("""COMPUTED_VALUE"""),"jojo")</f>
        <v>jojo</v>
      </c>
      <c r="C6165" s="3" t="str">
        <f>IFERROR(__xludf.DUMMYFUNCTION("""COMPUTED_VALUE"""),"JOJO")</f>
        <v>JOJO</v>
      </c>
    </row>
    <row r="6166">
      <c r="A6166" s="3" t="str">
        <f>IFERROR(__xludf.DUMMYFUNCTION("""COMPUTED_VALUE"""),"jojo-inu")</f>
        <v>jojo-inu</v>
      </c>
      <c r="B6166" s="3" t="str">
        <f>IFERROR(__xludf.DUMMYFUNCTION("""COMPUTED_VALUE"""),"jojo")</f>
        <v>jojo</v>
      </c>
      <c r="C6166" s="3" t="str">
        <f>IFERROR(__xludf.DUMMYFUNCTION("""COMPUTED_VALUE"""),"JoJo Inu")</f>
        <v>JoJo Inu</v>
      </c>
    </row>
    <row r="6167">
      <c r="A6167" s="3" t="str">
        <f>IFERROR(__xludf.DUMMYFUNCTION("""COMPUTED_VALUE"""),"jojos-adventure")</f>
        <v>jojos-adventure</v>
      </c>
      <c r="B6167" s="3" t="str">
        <f>IFERROR(__xludf.DUMMYFUNCTION("""COMPUTED_VALUE"""),"jojo")</f>
        <v>jojo</v>
      </c>
      <c r="C6167" s="3" t="str">
        <f>IFERROR(__xludf.DUMMYFUNCTION("""COMPUTED_VALUE"""),"JoJos Adventure")</f>
        <v>JoJos Adventure</v>
      </c>
    </row>
    <row r="6168">
      <c r="A6168" s="3" t="str">
        <f>IFERROR(__xludf.DUMMYFUNCTION("""COMPUTED_VALUE"""),"joke-community")</f>
        <v>joke-community</v>
      </c>
      <c r="B6168" s="3" t="str">
        <f>IFERROR(__xludf.DUMMYFUNCTION("""COMPUTED_VALUE"""),"$joke")</f>
        <v>$joke</v>
      </c>
      <c r="C6168" s="3" t="str">
        <f>IFERROR(__xludf.DUMMYFUNCTION("""COMPUTED_VALUE"""),"Joke Community")</f>
        <v>Joke Community</v>
      </c>
    </row>
    <row r="6169">
      <c r="A6169" s="3" t="str">
        <f>IFERROR(__xludf.DUMMYFUNCTION("""COMPUTED_VALUE"""),"jokermanor-metaverse")</f>
        <v>jokermanor-metaverse</v>
      </c>
      <c r="B6169" s="3" t="str">
        <f>IFERROR(__xludf.DUMMYFUNCTION("""COMPUTED_VALUE"""),"jkt")</f>
        <v>jkt</v>
      </c>
      <c r="C6169" s="3" t="str">
        <f>IFERROR(__xludf.DUMMYFUNCTION("""COMPUTED_VALUE"""),"JokerManor Metaverse")</f>
        <v>JokerManor Metaverse</v>
      </c>
    </row>
    <row r="6170">
      <c r="A6170" s="3" t="str">
        <f>IFERROR(__xludf.DUMMYFUNCTION("""COMPUTED_VALUE"""),"jokes-meme")</f>
        <v>jokes-meme</v>
      </c>
      <c r="B6170" s="3" t="str">
        <f>IFERROR(__xludf.DUMMYFUNCTION("""COMPUTED_VALUE"""),"joke")</f>
        <v>joke</v>
      </c>
      <c r="C6170" s="3" t="str">
        <f>IFERROR(__xludf.DUMMYFUNCTION("""COMPUTED_VALUE"""),"Jokes Meme")</f>
        <v>Jokes Meme</v>
      </c>
    </row>
    <row r="6171">
      <c r="A6171" s="3" t="str">
        <f>IFERROR(__xludf.DUMMYFUNCTION("""COMPUTED_VALUE"""),"joltify")</f>
        <v>joltify</v>
      </c>
      <c r="B6171" s="3" t="str">
        <f>IFERROR(__xludf.DUMMYFUNCTION("""COMPUTED_VALUE"""),"jolt")</f>
        <v>jolt</v>
      </c>
      <c r="C6171" s="3" t="str">
        <f>IFERROR(__xludf.DUMMYFUNCTION("""COMPUTED_VALUE"""),"Joltify")</f>
        <v>Joltify</v>
      </c>
    </row>
    <row r="6172">
      <c r="A6172" s="3" t="str">
        <f>IFERROR(__xludf.DUMMYFUNCTION("""COMPUTED_VALUE"""),"jomon-shiba")</f>
        <v>jomon-shiba</v>
      </c>
      <c r="B6172" s="3" t="str">
        <f>IFERROR(__xludf.DUMMYFUNCTION("""COMPUTED_VALUE"""),"jshiba")</f>
        <v>jshiba</v>
      </c>
      <c r="C6172" s="3" t="str">
        <f>IFERROR(__xludf.DUMMYFUNCTION("""COMPUTED_VALUE"""),"Jomon Shiba")</f>
        <v>Jomon Shiba</v>
      </c>
    </row>
    <row r="6173">
      <c r="A6173" s="3" t="str">
        <f>IFERROR(__xludf.DUMMYFUNCTION("""COMPUTED_VALUE"""),"jones-dao")</f>
        <v>jones-dao</v>
      </c>
      <c r="B6173" s="3" t="str">
        <f>IFERROR(__xludf.DUMMYFUNCTION("""COMPUTED_VALUE"""),"jones")</f>
        <v>jones</v>
      </c>
      <c r="C6173" s="3" t="str">
        <f>IFERROR(__xludf.DUMMYFUNCTION("""COMPUTED_VALUE"""),"Jones DAO")</f>
        <v>Jones DAO</v>
      </c>
    </row>
    <row r="6174">
      <c r="A6174" s="3" t="str">
        <f>IFERROR(__xludf.DUMMYFUNCTION("""COMPUTED_VALUE"""),"joorschain")</f>
        <v>joorschain</v>
      </c>
      <c r="B6174" s="3" t="str">
        <f>IFERROR(__xludf.DUMMYFUNCTION("""COMPUTED_VALUE"""),"jic")</f>
        <v>jic</v>
      </c>
      <c r="C6174" s="3" t="str">
        <f>IFERROR(__xludf.DUMMYFUNCTION("""COMPUTED_VALUE"""),"JoorsChain")</f>
        <v>JoorsChain</v>
      </c>
    </row>
    <row r="6175">
      <c r="A6175" s="3" t="str">
        <f>IFERROR(__xludf.DUMMYFUNCTION("""COMPUTED_VALUE"""),"joulecoin")</f>
        <v>joulecoin</v>
      </c>
      <c r="B6175" s="3" t="str">
        <f>IFERROR(__xludf.DUMMYFUNCTION("""COMPUTED_VALUE"""),"xjo")</f>
        <v>xjo</v>
      </c>
      <c r="C6175" s="3" t="str">
        <f>IFERROR(__xludf.DUMMYFUNCTION("""COMPUTED_VALUE"""),"Joulecoin")</f>
        <v>Joulecoin</v>
      </c>
    </row>
    <row r="6176">
      <c r="A6176" s="3" t="str">
        <f>IFERROR(__xludf.DUMMYFUNCTION("""COMPUTED_VALUE"""),"joys")</f>
        <v>joys</v>
      </c>
      <c r="B6176" s="3" t="str">
        <f>IFERROR(__xludf.DUMMYFUNCTION("""COMPUTED_VALUE"""),"joys")</f>
        <v>joys</v>
      </c>
      <c r="C6176" s="3" t="str">
        <f>IFERROR(__xludf.DUMMYFUNCTION("""COMPUTED_VALUE"""),"JOYS")</f>
        <v>JOYS</v>
      </c>
    </row>
    <row r="6177">
      <c r="A6177" s="3" t="str">
        <f>IFERROR(__xludf.DUMMYFUNCTION("""COMPUTED_VALUE"""),"joystick1")</f>
        <v>joystick1</v>
      </c>
      <c r="B6177" s="3" t="str">
        <f>IFERROR(__xludf.DUMMYFUNCTION("""COMPUTED_VALUE"""),"joy")</f>
        <v>joy</v>
      </c>
      <c r="C6177" s="3" t="str">
        <f>IFERROR(__xludf.DUMMYFUNCTION("""COMPUTED_VALUE"""),"Joystick")</f>
        <v>Joystick</v>
      </c>
    </row>
    <row r="6178">
      <c r="A6178" s="3" t="str">
        <f>IFERROR(__xludf.DUMMYFUNCTION("""COMPUTED_VALUE"""),"joystick-club")</f>
        <v>joystick-club</v>
      </c>
      <c r="B6178" s="3" t="str">
        <f>IFERROR(__xludf.DUMMYFUNCTION("""COMPUTED_VALUE"""),"joy")</f>
        <v>joy</v>
      </c>
      <c r="C6178" s="3" t="str">
        <f>IFERROR(__xludf.DUMMYFUNCTION("""COMPUTED_VALUE"""),"Joystick.club")</f>
        <v>Joystick.club</v>
      </c>
    </row>
    <row r="6179">
      <c r="A6179" s="3" t="str">
        <f>IFERROR(__xludf.DUMMYFUNCTION("""COMPUTED_VALUE"""),"jpeg-d")</f>
        <v>jpeg-d</v>
      </c>
      <c r="B6179" s="3" t="str">
        <f>IFERROR(__xludf.DUMMYFUNCTION("""COMPUTED_VALUE"""),"jpeg")</f>
        <v>jpeg</v>
      </c>
      <c r="C6179" s="3" t="str">
        <f>IFERROR(__xludf.DUMMYFUNCTION("""COMPUTED_VALUE"""),"JPEG'd")</f>
        <v>JPEG'd</v>
      </c>
    </row>
    <row r="6180">
      <c r="A6180" s="3" t="str">
        <f>IFERROR(__xludf.DUMMYFUNCTION("""COMPUTED_VALUE"""),"jpegvaultdao-2")</f>
        <v>jpegvaultdao-2</v>
      </c>
      <c r="B6180" s="3" t="str">
        <f>IFERROR(__xludf.DUMMYFUNCTION("""COMPUTED_VALUE"""),"jpeg")</f>
        <v>jpeg</v>
      </c>
      <c r="C6180" s="3" t="str">
        <f>IFERROR(__xludf.DUMMYFUNCTION("""COMPUTED_VALUE"""),"JPEGvaultDAO")</f>
        <v>JPEGvaultDAO</v>
      </c>
    </row>
    <row r="6181">
      <c r="A6181" s="3" t="str">
        <f>IFERROR(__xludf.DUMMYFUNCTION("""COMPUTED_VALUE"""),"jpex-coin")</f>
        <v>jpex-coin</v>
      </c>
      <c r="B6181" s="3" t="str">
        <f>IFERROR(__xludf.DUMMYFUNCTION("""COMPUTED_VALUE"""),"jpc")</f>
        <v>jpc</v>
      </c>
      <c r="C6181" s="3" t="str">
        <f>IFERROR(__xludf.DUMMYFUNCTION("""COMPUTED_VALUE"""),"JPEX Coin")</f>
        <v>JPEX Coin</v>
      </c>
    </row>
    <row r="6182">
      <c r="A6182" s="3" t="str">
        <f>IFERROR(__xludf.DUMMYFUNCTION("""COMPUTED_VALUE"""),"jpg-nft-index")</f>
        <v>jpg-nft-index</v>
      </c>
      <c r="B6182" s="3" t="str">
        <f>IFERROR(__xludf.DUMMYFUNCTION("""COMPUTED_VALUE"""),"jpg")</f>
        <v>jpg</v>
      </c>
      <c r="C6182" s="3" t="str">
        <f>IFERROR(__xludf.DUMMYFUNCTION("""COMPUTED_VALUE"""),"JPG NFT Index")</f>
        <v>JPG NFT Index</v>
      </c>
    </row>
    <row r="6183">
      <c r="A6183" s="3" t="str">
        <f>IFERROR(__xludf.DUMMYFUNCTION("""COMPUTED_VALUE"""),"jpgoldcoin")</f>
        <v>jpgoldcoin</v>
      </c>
      <c r="B6183" s="3" t="str">
        <f>IFERROR(__xludf.DUMMYFUNCTION("""COMPUTED_VALUE"""),"jpgc")</f>
        <v>jpgc</v>
      </c>
      <c r="C6183" s="3" t="str">
        <f>IFERROR(__xludf.DUMMYFUNCTION("""COMPUTED_VALUE"""),"JPGoldCoin")</f>
        <v>JPGoldCoin</v>
      </c>
    </row>
    <row r="6184">
      <c r="A6184" s="3" t="str">
        <f>IFERROR(__xludf.DUMMYFUNCTION("""COMPUTED_VALUE"""),"jpool")</f>
        <v>jpool</v>
      </c>
      <c r="B6184" s="3" t="str">
        <f>IFERROR(__xludf.DUMMYFUNCTION("""COMPUTED_VALUE"""),"jsol")</f>
        <v>jsol</v>
      </c>
      <c r="C6184" s="3" t="str">
        <f>IFERROR(__xludf.DUMMYFUNCTION("""COMPUTED_VALUE"""),"JPool")</f>
        <v>JPool</v>
      </c>
    </row>
    <row r="6185">
      <c r="A6185" s="3" t="str">
        <f>IFERROR(__xludf.DUMMYFUNCTION("""COMPUTED_VALUE"""),"jpyc")</f>
        <v>jpyc</v>
      </c>
      <c r="B6185" s="3" t="str">
        <f>IFERROR(__xludf.DUMMYFUNCTION("""COMPUTED_VALUE"""),"jpyc")</f>
        <v>jpyc</v>
      </c>
      <c r="C6185" s="3" t="str">
        <f>IFERROR(__xludf.DUMMYFUNCTION("""COMPUTED_VALUE"""),"JPY Coin v1")</f>
        <v>JPY Coin v1</v>
      </c>
    </row>
    <row r="6186">
      <c r="A6186" s="3" t="str">
        <f>IFERROR(__xludf.DUMMYFUNCTION("""COMPUTED_VALUE"""),"jpy-coin")</f>
        <v>jpy-coin</v>
      </c>
      <c r="B6186" s="3" t="str">
        <f>IFERROR(__xludf.DUMMYFUNCTION("""COMPUTED_VALUE"""),"jpyc")</f>
        <v>jpyc</v>
      </c>
      <c r="C6186" s="3" t="str">
        <f>IFERROR(__xludf.DUMMYFUNCTION("""COMPUTED_VALUE"""),"JPY Coin")</f>
        <v>JPY Coin</v>
      </c>
    </row>
    <row r="6187">
      <c r="A6187" s="3" t="str">
        <f>IFERROR(__xludf.DUMMYFUNCTION("""COMPUTED_VALUE"""),"jswap-finance")</f>
        <v>jswap-finance</v>
      </c>
      <c r="B6187" s="3" t="str">
        <f>IFERROR(__xludf.DUMMYFUNCTION("""COMPUTED_VALUE"""),"jf")</f>
        <v>jf</v>
      </c>
      <c r="C6187" s="3" t="str">
        <f>IFERROR(__xludf.DUMMYFUNCTION("""COMPUTED_VALUE"""),"Jswap.Finance")</f>
        <v>Jswap.Finance</v>
      </c>
    </row>
    <row r="6188">
      <c r="A6188" s="3" t="str">
        <f>IFERROR(__xludf.DUMMYFUNCTION("""COMPUTED_VALUE"""),"jubi-token")</f>
        <v>jubi-token</v>
      </c>
      <c r="B6188" s="3" t="str">
        <f>IFERROR(__xludf.DUMMYFUNCTION("""COMPUTED_VALUE"""),"jt")</f>
        <v>jt</v>
      </c>
      <c r="C6188" s="3" t="str">
        <f>IFERROR(__xludf.DUMMYFUNCTION("""COMPUTED_VALUE"""),"Jubi Token")</f>
        <v>Jubi Token</v>
      </c>
    </row>
    <row r="6189">
      <c r="A6189" s="3" t="str">
        <f>IFERROR(__xludf.DUMMYFUNCTION("""COMPUTED_VALUE"""),"juggernaut")</f>
        <v>juggernaut</v>
      </c>
      <c r="B6189" s="3" t="str">
        <f>IFERROR(__xludf.DUMMYFUNCTION("""COMPUTED_VALUE"""),"jgn")</f>
        <v>jgn</v>
      </c>
      <c r="C6189" s="3" t="str">
        <f>IFERROR(__xludf.DUMMYFUNCTION("""COMPUTED_VALUE"""),"Juggernaut")</f>
        <v>Juggernaut</v>
      </c>
    </row>
    <row r="6190">
      <c r="A6190" s="3" t="str">
        <f>IFERROR(__xludf.DUMMYFUNCTION("""COMPUTED_VALUE"""),"juicebox")</f>
        <v>juicebox</v>
      </c>
      <c r="B6190" s="3" t="str">
        <f>IFERROR(__xludf.DUMMYFUNCTION("""COMPUTED_VALUE"""),"jbx")</f>
        <v>jbx</v>
      </c>
      <c r="C6190" s="3" t="str">
        <f>IFERROR(__xludf.DUMMYFUNCTION("""COMPUTED_VALUE"""),"Juicebox")</f>
        <v>Juicebox</v>
      </c>
    </row>
    <row r="6191">
      <c r="A6191" s="3" t="str">
        <f>IFERROR(__xludf.DUMMYFUNCTION("""COMPUTED_VALUE"""),"julien")</f>
        <v>julien</v>
      </c>
      <c r="B6191" s="3" t="str">
        <f>IFERROR(__xludf.DUMMYFUNCTION("""COMPUTED_VALUE"""),"julien")</f>
        <v>julien</v>
      </c>
      <c r="C6191" s="3" t="str">
        <f>IFERROR(__xludf.DUMMYFUNCTION("""COMPUTED_VALUE"""),"JULIEN")</f>
        <v>JULIEN</v>
      </c>
    </row>
    <row r="6192">
      <c r="A6192" s="3" t="str">
        <f>IFERROR(__xludf.DUMMYFUNCTION("""COMPUTED_VALUE"""),"julswap")</f>
        <v>julswap</v>
      </c>
      <c r="B6192" s="3" t="str">
        <f>IFERROR(__xludf.DUMMYFUNCTION("""COMPUTED_VALUE"""),"juld")</f>
        <v>juld</v>
      </c>
      <c r="C6192" s="3" t="str">
        <f>IFERROR(__xludf.DUMMYFUNCTION("""COMPUTED_VALUE"""),"JulSwap")</f>
        <v>JulSwap</v>
      </c>
    </row>
    <row r="6193">
      <c r="A6193" s="3" t="str">
        <f>IFERROR(__xludf.DUMMYFUNCTION("""COMPUTED_VALUE"""),"jumbo-exchange")</f>
        <v>jumbo-exchange</v>
      </c>
      <c r="B6193" s="3" t="str">
        <f>IFERROR(__xludf.DUMMYFUNCTION("""COMPUTED_VALUE"""),"jumbo")</f>
        <v>jumbo</v>
      </c>
      <c r="C6193" s="3" t="str">
        <f>IFERROR(__xludf.DUMMYFUNCTION("""COMPUTED_VALUE"""),"Jumbo Exchange")</f>
        <v>Jumbo Exchange</v>
      </c>
    </row>
    <row r="6194">
      <c r="A6194" s="3" t="str">
        <f>IFERROR(__xludf.DUMMYFUNCTION("""COMPUTED_VALUE"""),"jump-defi")</f>
        <v>jump-defi</v>
      </c>
      <c r="B6194" s="3" t="str">
        <f>IFERROR(__xludf.DUMMYFUNCTION("""COMPUTED_VALUE"""),"jump")</f>
        <v>jump</v>
      </c>
      <c r="C6194" s="3" t="str">
        <f>IFERROR(__xludf.DUMMYFUNCTION("""COMPUTED_VALUE"""),"Jump DeFi")</f>
        <v>Jump DeFi</v>
      </c>
    </row>
    <row r="6195">
      <c r="A6195" s="3" t="str">
        <f>IFERROR(__xludf.DUMMYFUNCTION("""COMPUTED_VALUE"""),"jumptoken")</f>
        <v>jumptoken</v>
      </c>
      <c r="B6195" s="3" t="str">
        <f>IFERROR(__xludf.DUMMYFUNCTION("""COMPUTED_VALUE"""),"jmpt")</f>
        <v>jmpt</v>
      </c>
      <c r="C6195" s="3" t="str">
        <f>IFERROR(__xludf.DUMMYFUNCTION("""COMPUTED_VALUE"""),"JumpToken")</f>
        <v>JumpToken</v>
      </c>
    </row>
    <row r="6196">
      <c r="A6196" s="3" t="str">
        <f>IFERROR(__xludf.DUMMYFUNCTION("""COMPUTED_VALUE"""),"jumpx")</f>
        <v>jumpx</v>
      </c>
      <c r="B6196" s="3" t="str">
        <f>IFERROR(__xludf.DUMMYFUNCTION("""COMPUTED_VALUE"""),"jumpx")</f>
        <v>jumpx</v>
      </c>
      <c r="C6196" s="3" t="str">
        <f>IFERROR(__xludf.DUMMYFUNCTION("""COMPUTED_VALUE"""),"JumpX")</f>
        <v>JumpX</v>
      </c>
    </row>
    <row r="6197">
      <c r="A6197" s="3" t="str">
        <f>IFERROR(__xludf.DUMMYFUNCTION("""COMPUTED_VALUE"""),"junca-cash")</f>
        <v>junca-cash</v>
      </c>
      <c r="B6197" s="3" t="str">
        <f>IFERROR(__xludf.DUMMYFUNCTION("""COMPUTED_VALUE"""),"jcc")</f>
        <v>jcc</v>
      </c>
      <c r="C6197" s="3" t="str">
        <f>IFERROR(__xludf.DUMMYFUNCTION("""COMPUTED_VALUE"""),"Junca cash")</f>
        <v>Junca cash</v>
      </c>
    </row>
    <row r="6198">
      <c r="A6198" s="3" t="str">
        <f>IFERROR(__xludf.DUMMYFUNCTION("""COMPUTED_VALUE"""),"jungle")</f>
        <v>jungle</v>
      </c>
      <c r="B6198" s="3" t="str">
        <f>IFERROR(__xludf.DUMMYFUNCTION("""COMPUTED_VALUE"""),"jungle")</f>
        <v>jungle</v>
      </c>
      <c r="C6198" s="3" t="str">
        <f>IFERROR(__xludf.DUMMYFUNCTION("""COMPUTED_VALUE"""),"Jungle")</f>
        <v>Jungle</v>
      </c>
    </row>
    <row r="6199">
      <c r="A6199" s="3" t="str">
        <f>IFERROR(__xludf.DUMMYFUNCTION("""COMPUTED_VALUE"""),"jungle-defi")</f>
        <v>jungle-defi</v>
      </c>
      <c r="B6199" s="3" t="str">
        <f>IFERROR(__xludf.DUMMYFUNCTION("""COMPUTED_VALUE"""),"jfi")</f>
        <v>jfi</v>
      </c>
      <c r="C6199" s="3" t="str">
        <f>IFERROR(__xludf.DUMMYFUNCTION("""COMPUTED_VALUE"""),"Jungle DeFi")</f>
        <v>Jungle DeFi</v>
      </c>
    </row>
    <row r="6200">
      <c r="A6200" s="3" t="str">
        <f>IFERROR(__xludf.DUMMYFUNCTION("""COMPUTED_VALUE"""),"jungleking-tigercoin")</f>
        <v>jungleking-tigercoin</v>
      </c>
      <c r="B6200" s="3" t="str">
        <f>IFERROR(__xludf.DUMMYFUNCTION("""COMPUTED_VALUE"""),"tiger")</f>
        <v>tiger</v>
      </c>
      <c r="C6200" s="3" t="str">
        <f>IFERROR(__xludf.DUMMYFUNCTION("""COMPUTED_VALUE"""),"JungleKing TigerCoin")</f>
        <v>JungleKing TigerCoin</v>
      </c>
    </row>
    <row r="6201">
      <c r="A6201" s="3" t="str">
        <f>IFERROR(__xludf.DUMMYFUNCTION("""COMPUTED_VALUE"""),"juno-network")</f>
        <v>juno-network</v>
      </c>
      <c r="B6201" s="3" t="str">
        <f>IFERROR(__xludf.DUMMYFUNCTION("""COMPUTED_VALUE"""),"juno")</f>
        <v>juno</v>
      </c>
      <c r="C6201" s="3" t="str">
        <f>IFERROR(__xludf.DUMMYFUNCTION("""COMPUTED_VALUE"""),"JUNO")</f>
        <v>JUNO</v>
      </c>
    </row>
    <row r="6202">
      <c r="A6202" s="3" t="str">
        <f>IFERROR(__xludf.DUMMYFUNCTION("""COMPUTED_VALUE"""),"juno-punk")</f>
        <v>juno-punk</v>
      </c>
      <c r="B6202" s="3" t="str">
        <f>IFERROR(__xludf.DUMMYFUNCTION("""COMPUTED_VALUE"""),"punk")</f>
        <v>punk</v>
      </c>
      <c r="C6202" s="3" t="str">
        <f>IFERROR(__xludf.DUMMYFUNCTION("""COMPUTED_VALUE"""),"JUNO PUNK")</f>
        <v>JUNO PUNK</v>
      </c>
    </row>
    <row r="6203">
      <c r="A6203" s="3" t="str">
        <f>IFERROR(__xludf.DUMMYFUNCTION("""COMPUTED_VALUE"""),"junoswap-raw-dao")</f>
        <v>junoswap-raw-dao</v>
      </c>
      <c r="B6203" s="3" t="str">
        <f>IFERROR(__xludf.DUMMYFUNCTION("""COMPUTED_VALUE"""),"raw")</f>
        <v>raw</v>
      </c>
      <c r="C6203" s="3" t="str">
        <f>IFERROR(__xludf.DUMMYFUNCTION("""COMPUTED_VALUE"""),"JunoSwap")</f>
        <v>JunoSwap</v>
      </c>
    </row>
    <row r="6204">
      <c r="A6204" s="3" t="str">
        <f>IFERROR(__xludf.DUMMYFUNCTION("""COMPUTED_VALUE"""),"junsonmingchancoin")</f>
        <v>junsonmingchancoin</v>
      </c>
      <c r="B6204" s="3" t="str">
        <f>IFERROR(__xludf.DUMMYFUNCTION("""COMPUTED_VALUE"""),"jmc")</f>
        <v>jmc</v>
      </c>
      <c r="C6204" s="3" t="str">
        <f>IFERROR(__xludf.DUMMYFUNCTION("""COMPUTED_VALUE"""),"Junsonmingchancoin")</f>
        <v>Junsonmingchancoin</v>
      </c>
    </row>
    <row r="6205">
      <c r="A6205" s="3" t="str">
        <f>IFERROR(__xludf.DUMMYFUNCTION("""COMPUTED_VALUE"""),"jupiter")</f>
        <v>jupiter</v>
      </c>
      <c r="B6205" s="3" t="str">
        <f>IFERROR(__xludf.DUMMYFUNCTION("""COMPUTED_VALUE"""),"jup")</f>
        <v>jup</v>
      </c>
      <c r="C6205" s="3" t="str">
        <f>IFERROR(__xludf.DUMMYFUNCTION("""COMPUTED_VALUE"""),"Jupiter")</f>
        <v>Jupiter</v>
      </c>
    </row>
    <row r="6206">
      <c r="A6206" s="3" t="str">
        <f>IFERROR(__xludf.DUMMYFUNCTION("""COMPUTED_VALUE"""),"jur")</f>
        <v>jur</v>
      </c>
      <c r="B6206" s="3" t="str">
        <f>IFERROR(__xludf.DUMMYFUNCTION("""COMPUTED_VALUE"""),"jur")</f>
        <v>jur</v>
      </c>
      <c r="C6206" s="3" t="str">
        <f>IFERROR(__xludf.DUMMYFUNCTION("""COMPUTED_VALUE"""),"Jur")</f>
        <v>Jur</v>
      </c>
    </row>
    <row r="6207">
      <c r="A6207" s="3" t="str">
        <f>IFERROR(__xludf.DUMMYFUNCTION("""COMPUTED_VALUE"""),"jurassic_nodes")</f>
        <v>jurassic_nodes</v>
      </c>
      <c r="B6207" s="3" t="str">
        <f>IFERROR(__xludf.DUMMYFUNCTION("""COMPUTED_VALUE"""),"dino")</f>
        <v>dino</v>
      </c>
      <c r="C6207" s="3" t="str">
        <f>IFERROR(__xludf.DUMMYFUNCTION("""COMPUTED_VALUE"""),"Jurassic Nodes")</f>
        <v>Jurassic Nodes</v>
      </c>
    </row>
    <row r="6208">
      <c r="A6208" s="3" t="str">
        <f>IFERROR(__xludf.DUMMYFUNCTION("""COMPUTED_VALUE"""),"just")</f>
        <v>just</v>
      </c>
      <c r="B6208" s="3" t="str">
        <f>IFERROR(__xludf.DUMMYFUNCTION("""COMPUTED_VALUE"""),"jst")</f>
        <v>jst</v>
      </c>
      <c r="C6208" s="3" t="str">
        <f>IFERROR(__xludf.DUMMYFUNCTION("""COMPUTED_VALUE"""),"JUST")</f>
        <v>JUST</v>
      </c>
    </row>
    <row r="6209">
      <c r="A6209" s="3" t="str">
        <f>IFERROR(__xludf.DUMMYFUNCTION("""COMPUTED_VALUE"""),"justcarbon-governance")</f>
        <v>justcarbon-governance</v>
      </c>
      <c r="B6209" s="3" t="str">
        <f>IFERROR(__xludf.DUMMYFUNCTION("""COMPUTED_VALUE"""),"jcg")</f>
        <v>jcg</v>
      </c>
      <c r="C6209" s="3" t="str">
        <f>IFERROR(__xludf.DUMMYFUNCTION("""COMPUTED_VALUE"""),"JustCarbon Governance")</f>
        <v>JustCarbon Governance</v>
      </c>
    </row>
    <row r="6210">
      <c r="A6210" s="3" t="str">
        <f>IFERROR(__xludf.DUMMYFUNCTION("""COMPUTED_VALUE"""),"justcarbon-removal")</f>
        <v>justcarbon-removal</v>
      </c>
      <c r="B6210" s="3" t="str">
        <f>IFERROR(__xludf.DUMMYFUNCTION("""COMPUTED_VALUE"""),"jcr")</f>
        <v>jcr</v>
      </c>
      <c r="C6210" s="3" t="str">
        <f>IFERROR(__xludf.DUMMYFUNCTION("""COMPUTED_VALUE"""),"JustCarbon Removal")</f>
        <v>JustCarbon Removal</v>
      </c>
    </row>
    <row r="6211">
      <c r="A6211" s="3" t="str">
        <f>IFERROR(__xludf.DUMMYFUNCTION("""COMPUTED_VALUE"""),"justfarm")</f>
        <v>justfarm</v>
      </c>
      <c r="B6211" s="3" t="str">
        <f>IFERROR(__xludf.DUMMYFUNCTION("""COMPUTED_VALUE"""),"jfm")</f>
        <v>jfm</v>
      </c>
      <c r="C6211" s="3" t="str">
        <f>IFERROR(__xludf.DUMMYFUNCTION("""COMPUTED_VALUE"""),"JustFarm")</f>
        <v>JustFarm</v>
      </c>
    </row>
    <row r="6212">
      <c r="A6212" s="3" t="str">
        <f>IFERROR(__xludf.DUMMYFUNCTION("""COMPUTED_VALUE"""),"justmoney-2")</f>
        <v>justmoney-2</v>
      </c>
      <c r="B6212" s="3" t="str">
        <f>IFERROR(__xludf.DUMMYFUNCTION("""COMPUTED_VALUE"""),"jm")</f>
        <v>jm</v>
      </c>
      <c r="C6212" s="3" t="str">
        <f>IFERROR(__xludf.DUMMYFUNCTION("""COMPUTED_VALUE"""),"JustMoney")</f>
        <v>JustMoney</v>
      </c>
    </row>
    <row r="6213">
      <c r="A6213" s="3" t="str">
        <f>IFERROR(__xludf.DUMMYFUNCTION("""COMPUTED_VALUE"""),"just-stablecoin")</f>
        <v>just-stablecoin</v>
      </c>
      <c r="B6213" s="3" t="str">
        <f>IFERROR(__xludf.DUMMYFUNCTION("""COMPUTED_VALUE"""),"usdj")</f>
        <v>usdj</v>
      </c>
      <c r="C6213" s="3" t="str">
        <f>IFERROR(__xludf.DUMMYFUNCTION("""COMPUTED_VALUE"""),"JUST Stablecoin")</f>
        <v>JUST Stablecoin</v>
      </c>
    </row>
    <row r="6214">
      <c r="A6214" s="3" t="str">
        <f>IFERROR(__xludf.DUMMYFUNCTION("""COMPUTED_VALUE"""),"juventus-fan-token")</f>
        <v>juventus-fan-token</v>
      </c>
      <c r="B6214" s="3" t="str">
        <f>IFERROR(__xludf.DUMMYFUNCTION("""COMPUTED_VALUE"""),"juv")</f>
        <v>juv</v>
      </c>
      <c r="C6214" s="3" t="str">
        <f>IFERROR(__xludf.DUMMYFUNCTION("""COMPUTED_VALUE"""),"Juventus Fan Token")</f>
        <v>Juventus Fan Token</v>
      </c>
    </row>
    <row r="6215">
      <c r="A6215" s="3" t="str">
        <f>IFERROR(__xludf.DUMMYFUNCTION("""COMPUTED_VALUE"""),"k21")</f>
        <v>k21</v>
      </c>
      <c r="B6215" s="3" t="str">
        <f>IFERROR(__xludf.DUMMYFUNCTION("""COMPUTED_VALUE"""),"k21")</f>
        <v>k21</v>
      </c>
      <c r="C6215" s="3" t="str">
        <f>IFERROR(__xludf.DUMMYFUNCTION("""COMPUTED_VALUE"""),"K21")</f>
        <v>K21</v>
      </c>
    </row>
    <row r="6216">
      <c r="A6216" s="3" t="str">
        <f>IFERROR(__xludf.DUMMYFUNCTION("""COMPUTED_VALUE"""),"kaafila")</f>
        <v>kaafila</v>
      </c>
      <c r="B6216" s="3" t="str">
        <f>IFERROR(__xludf.DUMMYFUNCTION("""COMPUTED_VALUE"""),"kfl")</f>
        <v>kfl</v>
      </c>
      <c r="C6216" s="3" t="str">
        <f>IFERROR(__xludf.DUMMYFUNCTION("""COMPUTED_VALUE"""),"Kaafila")</f>
        <v>Kaafila</v>
      </c>
    </row>
    <row r="6217">
      <c r="A6217" s="3" t="str">
        <f>IFERROR(__xludf.DUMMYFUNCTION("""COMPUTED_VALUE"""),"kabosu")</f>
        <v>kabosu</v>
      </c>
      <c r="B6217" s="3" t="str">
        <f>IFERROR(__xludf.DUMMYFUNCTION("""COMPUTED_VALUE"""),"kabosu")</f>
        <v>kabosu</v>
      </c>
      <c r="C6217" s="3" t="str">
        <f>IFERROR(__xludf.DUMMYFUNCTION("""COMPUTED_VALUE"""),"Kabosu")</f>
        <v>Kabosu</v>
      </c>
    </row>
    <row r="6218">
      <c r="A6218" s="3" t="str">
        <f>IFERROR(__xludf.DUMMYFUNCTION("""COMPUTED_VALUE"""),"kaby-arena")</f>
        <v>kaby-arena</v>
      </c>
      <c r="B6218" s="3" t="str">
        <f>IFERROR(__xludf.DUMMYFUNCTION("""COMPUTED_VALUE"""),"kaby")</f>
        <v>kaby</v>
      </c>
      <c r="C6218" s="3" t="str">
        <f>IFERROR(__xludf.DUMMYFUNCTION("""COMPUTED_VALUE"""),"Kaby Arena")</f>
        <v>Kaby Arena</v>
      </c>
    </row>
    <row r="6219">
      <c r="A6219" s="3" t="str">
        <f>IFERROR(__xludf.DUMMYFUNCTION("""COMPUTED_VALUE"""),"kaby-gaming-token")</f>
        <v>kaby-gaming-token</v>
      </c>
      <c r="B6219" s="3" t="str">
        <f>IFERROR(__xludf.DUMMYFUNCTION("""COMPUTED_VALUE"""),"kgt")</f>
        <v>kgt</v>
      </c>
      <c r="C6219" s="3" t="str">
        <f>IFERROR(__xludf.DUMMYFUNCTION("""COMPUTED_VALUE"""),"Kaby Gaming")</f>
        <v>Kaby Gaming</v>
      </c>
    </row>
    <row r="6220">
      <c r="A6220" s="3" t="str">
        <f>IFERROR(__xludf.DUMMYFUNCTION("""COMPUTED_VALUE"""),"kaddex")</f>
        <v>kaddex</v>
      </c>
      <c r="B6220" s="3" t="str">
        <f>IFERROR(__xludf.DUMMYFUNCTION("""COMPUTED_VALUE"""),"kdx")</f>
        <v>kdx</v>
      </c>
      <c r="C6220" s="3" t="str">
        <f>IFERROR(__xludf.DUMMYFUNCTION("""COMPUTED_VALUE"""),"Kaddex")</f>
        <v>Kaddex</v>
      </c>
    </row>
    <row r="6221">
      <c r="A6221" s="3" t="str">
        <f>IFERROR(__xludf.DUMMYFUNCTION("""COMPUTED_VALUE"""),"kadena")</f>
        <v>kadena</v>
      </c>
      <c r="B6221" s="3" t="str">
        <f>IFERROR(__xludf.DUMMYFUNCTION("""COMPUTED_VALUE"""),"kda")</f>
        <v>kda</v>
      </c>
      <c r="C6221" s="3" t="str">
        <f>IFERROR(__xludf.DUMMYFUNCTION("""COMPUTED_VALUE"""),"Kadena")</f>
        <v>Kadena</v>
      </c>
    </row>
    <row r="6222">
      <c r="A6222" s="3" t="str">
        <f>IFERROR(__xludf.DUMMYFUNCTION("""COMPUTED_VALUE"""),"kaeri")</f>
        <v>kaeri</v>
      </c>
      <c r="B6222" s="3" t="str">
        <f>IFERROR(__xludf.DUMMYFUNCTION("""COMPUTED_VALUE"""),"kaeri")</f>
        <v>kaeri</v>
      </c>
      <c r="C6222" s="3" t="str">
        <f>IFERROR(__xludf.DUMMYFUNCTION("""COMPUTED_VALUE"""),"Kaeri")</f>
        <v>Kaeri</v>
      </c>
    </row>
    <row r="6223">
      <c r="A6223" s="3" t="str">
        <f>IFERROR(__xludf.DUMMYFUNCTION("""COMPUTED_VALUE"""),"kagla-finance")</f>
        <v>kagla-finance</v>
      </c>
      <c r="B6223" s="3" t="str">
        <f>IFERROR(__xludf.DUMMYFUNCTION("""COMPUTED_VALUE"""),"kgl")</f>
        <v>kgl</v>
      </c>
      <c r="C6223" s="3" t="str">
        <f>IFERROR(__xludf.DUMMYFUNCTION("""COMPUTED_VALUE"""),"Kagla Finance")</f>
        <v>Kagla Finance</v>
      </c>
    </row>
    <row r="6224">
      <c r="A6224" s="3" t="str">
        <f>IFERROR(__xludf.DUMMYFUNCTION("""COMPUTED_VALUE"""),"kaiba-defi")</f>
        <v>kaiba-defi</v>
      </c>
      <c r="B6224" s="3" t="str">
        <f>IFERROR(__xludf.DUMMYFUNCTION("""COMPUTED_VALUE"""),"kaiba")</f>
        <v>kaiba</v>
      </c>
      <c r="C6224" s="3" t="str">
        <f>IFERROR(__xludf.DUMMYFUNCTION("""COMPUTED_VALUE"""),"Kaiba Defi")</f>
        <v>Kaiba Defi</v>
      </c>
    </row>
    <row r="6225">
      <c r="A6225" s="3" t="str">
        <f>IFERROR(__xludf.DUMMYFUNCTION("""COMPUTED_VALUE"""),"kaidex")</f>
        <v>kaidex</v>
      </c>
      <c r="B6225" s="3" t="str">
        <f>IFERROR(__xludf.DUMMYFUNCTION("""COMPUTED_VALUE"""),"kdx")</f>
        <v>kdx</v>
      </c>
      <c r="C6225" s="3" t="str">
        <f>IFERROR(__xludf.DUMMYFUNCTION("""COMPUTED_VALUE"""),"Kaidex")</f>
        <v>Kaidex</v>
      </c>
    </row>
    <row r="6226">
      <c r="A6226" s="3" t="str">
        <f>IFERROR(__xludf.DUMMYFUNCTION("""COMPUTED_VALUE"""),"kai-inu")</f>
        <v>kai-inu</v>
      </c>
      <c r="B6226" s="3" t="str">
        <f>IFERROR(__xludf.DUMMYFUNCTION("""COMPUTED_VALUE"""),"kaiinu")</f>
        <v>kaiinu</v>
      </c>
      <c r="C6226" s="3" t="str">
        <f>IFERROR(__xludf.DUMMYFUNCTION("""COMPUTED_VALUE"""),"Kai Inu")</f>
        <v>Kai Inu</v>
      </c>
    </row>
    <row r="6227">
      <c r="A6227" s="3" t="str">
        <f>IFERROR(__xludf.DUMMYFUNCTION("""COMPUTED_VALUE"""),"kaiju-worlds")</f>
        <v>kaiju-worlds</v>
      </c>
      <c r="B6227" s="3" t="str">
        <f>IFERROR(__xludf.DUMMYFUNCTION("""COMPUTED_VALUE"""),"kaiju")</f>
        <v>kaiju</v>
      </c>
      <c r="C6227" s="3" t="str">
        <f>IFERROR(__xludf.DUMMYFUNCTION("""COMPUTED_VALUE"""),"Kaiju Worlds")</f>
        <v>Kaiju Worlds</v>
      </c>
    </row>
    <row r="6228">
      <c r="A6228" s="3" t="str">
        <f>IFERROR(__xludf.DUMMYFUNCTION("""COMPUTED_VALUE"""),"kaiken-shiba")</f>
        <v>kaiken-shiba</v>
      </c>
      <c r="B6228" s="3" t="str">
        <f>IFERROR(__xludf.DUMMYFUNCTION("""COMPUTED_VALUE"""),"kshib")</f>
        <v>kshib</v>
      </c>
      <c r="C6228" s="3" t="str">
        <f>IFERROR(__xludf.DUMMYFUNCTION("""COMPUTED_VALUE"""),"Kaiken Shiba")</f>
        <v>Kaiken Shiba</v>
      </c>
    </row>
    <row r="6229">
      <c r="A6229" s="3" t="str">
        <f>IFERROR(__xludf.DUMMYFUNCTION("""COMPUTED_VALUE"""),"kainet")</f>
        <v>kainet</v>
      </c>
      <c r="B6229" s="3" t="str">
        <f>IFERROR(__xludf.DUMMYFUNCTION("""COMPUTED_VALUE"""),"kainet")</f>
        <v>kainet</v>
      </c>
      <c r="C6229" s="3" t="str">
        <f>IFERROR(__xludf.DUMMYFUNCTION("""COMPUTED_VALUE"""),"KAINET")</f>
        <v>KAINET</v>
      </c>
    </row>
    <row r="6230">
      <c r="A6230" s="3" t="str">
        <f>IFERROR(__xludf.DUMMYFUNCTION("""COMPUTED_VALUE"""),"kaizen")</f>
        <v>kaizen</v>
      </c>
      <c r="B6230" s="3" t="str">
        <f>IFERROR(__xludf.DUMMYFUNCTION("""COMPUTED_VALUE"""),"kzen")</f>
        <v>kzen</v>
      </c>
      <c r="C6230" s="3" t="str">
        <f>IFERROR(__xludf.DUMMYFUNCTION("""COMPUTED_VALUE"""),"Kaizen")</f>
        <v>Kaizen</v>
      </c>
    </row>
    <row r="6231">
      <c r="A6231" s="3" t="str">
        <f>IFERROR(__xludf.DUMMYFUNCTION("""COMPUTED_VALUE"""),"kaizilla")</f>
        <v>kaizilla</v>
      </c>
      <c r="B6231" s="3" t="str">
        <f>IFERROR(__xludf.DUMMYFUNCTION("""COMPUTED_VALUE"""),"kaizilla")</f>
        <v>kaizilla</v>
      </c>
      <c r="C6231" s="3" t="str">
        <f>IFERROR(__xludf.DUMMYFUNCTION("""COMPUTED_VALUE"""),"Kaizilla")</f>
        <v>Kaizilla</v>
      </c>
    </row>
    <row r="6232">
      <c r="A6232" s="3" t="str">
        <f>IFERROR(__xludf.DUMMYFUNCTION("""COMPUTED_VALUE"""),"kaka-nft-world")</f>
        <v>kaka-nft-world</v>
      </c>
      <c r="B6232" s="3" t="str">
        <f>IFERROR(__xludf.DUMMYFUNCTION("""COMPUTED_VALUE"""),"kaka")</f>
        <v>kaka</v>
      </c>
      <c r="C6232" s="3" t="str">
        <f>IFERROR(__xludf.DUMMYFUNCTION("""COMPUTED_VALUE"""),"KAKA NFT World")</f>
        <v>KAKA NFT World</v>
      </c>
    </row>
    <row r="6233">
      <c r="A6233" s="3" t="str">
        <f>IFERROR(__xludf.DUMMYFUNCTION("""COMPUTED_VALUE"""),"kala")</f>
        <v>kala</v>
      </c>
      <c r="B6233" s="3" t="str">
        <f>IFERROR(__xludf.DUMMYFUNCTION("""COMPUTED_VALUE"""),"kala")</f>
        <v>kala</v>
      </c>
      <c r="C6233" s="3" t="str">
        <f>IFERROR(__xludf.DUMMYFUNCTION("""COMPUTED_VALUE"""),"Kala")</f>
        <v>Kala</v>
      </c>
    </row>
    <row r="6234">
      <c r="A6234" s="3" t="str">
        <f>IFERROR(__xludf.DUMMYFUNCTION("""COMPUTED_VALUE"""),"kalamint")</f>
        <v>kalamint</v>
      </c>
      <c r="B6234" s="3" t="str">
        <f>IFERROR(__xludf.DUMMYFUNCTION("""COMPUTED_VALUE"""),"kalam")</f>
        <v>kalam</v>
      </c>
      <c r="C6234" s="3" t="str">
        <f>IFERROR(__xludf.DUMMYFUNCTION("""COMPUTED_VALUE"""),"Kalamint")</f>
        <v>Kalamint</v>
      </c>
    </row>
    <row r="6235">
      <c r="A6235" s="3" t="str">
        <f>IFERROR(__xludf.DUMMYFUNCTION("""COMPUTED_VALUE"""),"kalao")</f>
        <v>kalao</v>
      </c>
      <c r="B6235" s="3" t="str">
        <f>IFERROR(__xludf.DUMMYFUNCTION("""COMPUTED_VALUE"""),"klo")</f>
        <v>klo</v>
      </c>
      <c r="C6235" s="3" t="str">
        <f>IFERROR(__xludf.DUMMYFUNCTION("""COMPUTED_VALUE"""),"Kalao")</f>
        <v>Kalao</v>
      </c>
    </row>
    <row r="6236">
      <c r="A6236" s="3" t="str">
        <f>IFERROR(__xludf.DUMMYFUNCTION("""COMPUTED_VALUE"""),"kalera-nft")</f>
        <v>kalera-nft</v>
      </c>
      <c r="B6236" s="3" t="str">
        <f>IFERROR(__xludf.DUMMYFUNCTION("""COMPUTED_VALUE"""),"kln")</f>
        <v>kln</v>
      </c>
      <c r="C6236" s="3" t="str">
        <f>IFERROR(__xludf.DUMMYFUNCTION("""COMPUTED_VALUE"""),"Kalera NFT")</f>
        <v>Kalera NFT</v>
      </c>
    </row>
    <row r="6237">
      <c r="A6237" s="3" t="str">
        <f>IFERROR(__xludf.DUMMYFUNCTION("""COMPUTED_VALUE"""),"kalissa")</f>
        <v>kalissa</v>
      </c>
      <c r="B6237" s="3" t="str">
        <f>IFERROR(__xludf.DUMMYFUNCTION("""COMPUTED_VALUE"""),"kali")</f>
        <v>kali</v>
      </c>
      <c r="C6237" s="3" t="str">
        <f>IFERROR(__xludf.DUMMYFUNCTION("""COMPUTED_VALUE"""),"Kalissa")</f>
        <v>Kalissa</v>
      </c>
    </row>
    <row r="6238">
      <c r="A6238" s="3" t="str">
        <f>IFERROR(__xludf.DUMMYFUNCTION("""COMPUTED_VALUE"""),"kalisten")</f>
        <v>kalisten</v>
      </c>
      <c r="B6238" s="3" t="str">
        <f>IFERROR(__xludf.DUMMYFUNCTION("""COMPUTED_VALUE"""),"ks")</f>
        <v>ks</v>
      </c>
      <c r="C6238" s="3" t="str">
        <f>IFERROR(__xludf.DUMMYFUNCTION("""COMPUTED_VALUE"""),"Kalisten")</f>
        <v>Kalisten</v>
      </c>
    </row>
    <row r="6239">
      <c r="A6239" s="3" t="str">
        <f>IFERROR(__xludf.DUMMYFUNCTION("""COMPUTED_VALUE"""),"kalkicoin")</f>
        <v>kalkicoin</v>
      </c>
      <c r="B6239" s="3" t="str">
        <f>IFERROR(__xludf.DUMMYFUNCTION("""COMPUTED_VALUE"""),"klc")</f>
        <v>klc</v>
      </c>
      <c r="C6239" s="3" t="str">
        <f>IFERROR(__xludf.DUMMYFUNCTION("""COMPUTED_VALUE"""),"Kalkicoin")</f>
        <v>Kalkicoin</v>
      </c>
    </row>
    <row r="6240">
      <c r="A6240" s="3" t="str">
        <f>IFERROR(__xludf.DUMMYFUNCTION("""COMPUTED_VALUE"""),"kalmar")</f>
        <v>kalmar</v>
      </c>
      <c r="B6240" s="3" t="str">
        <f>IFERROR(__xludf.DUMMYFUNCTION("""COMPUTED_VALUE"""),"kalm")</f>
        <v>kalm</v>
      </c>
      <c r="C6240" s="3" t="str">
        <f>IFERROR(__xludf.DUMMYFUNCTION("""COMPUTED_VALUE"""),"KALM")</f>
        <v>KALM</v>
      </c>
    </row>
    <row r="6241">
      <c r="A6241" s="3" t="str">
        <f>IFERROR(__xludf.DUMMYFUNCTION("""COMPUTED_VALUE"""),"kalori")</f>
        <v>kalori</v>
      </c>
      <c r="B6241" s="3" t="str">
        <f>IFERROR(__xludf.DUMMYFUNCTION("""COMPUTED_VALUE"""),"klr")</f>
        <v>klr</v>
      </c>
      <c r="C6241" s="3" t="str">
        <f>IFERROR(__xludf.DUMMYFUNCTION("""COMPUTED_VALUE"""),"Kalori")</f>
        <v>Kalori</v>
      </c>
    </row>
    <row r="6242">
      <c r="A6242" s="3" t="str">
        <f>IFERROR(__xludf.DUMMYFUNCTION("""COMPUTED_VALUE"""),"kalycoin")</f>
        <v>kalycoin</v>
      </c>
      <c r="B6242" s="3" t="str">
        <f>IFERROR(__xludf.DUMMYFUNCTION("""COMPUTED_VALUE"""),"klc")</f>
        <v>klc</v>
      </c>
      <c r="C6242" s="3" t="str">
        <f>IFERROR(__xludf.DUMMYFUNCTION("""COMPUTED_VALUE"""),"Kalycoin")</f>
        <v>Kalycoin</v>
      </c>
    </row>
    <row r="6243">
      <c r="A6243" s="3" t="str">
        <f>IFERROR(__xludf.DUMMYFUNCTION("""COMPUTED_VALUE"""),"kamaleont")</f>
        <v>kamaleont</v>
      </c>
      <c r="B6243" s="3" t="str">
        <f>IFERROR(__xludf.DUMMYFUNCTION("""COMPUTED_VALUE"""),"klt")</f>
        <v>klt</v>
      </c>
      <c r="C6243" s="3" t="str">
        <f>IFERROR(__xludf.DUMMYFUNCTION("""COMPUTED_VALUE"""),"Kamaleont")</f>
        <v>Kamaleont</v>
      </c>
    </row>
    <row r="6244">
      <c r="A6244" s="3" t="str">
        <f>IFERROR(__xludf.DUMMYFUNCTION("""COMPUTED_VALUE"""),"kambria")</f>
        <v>kambria</v>
      </c>
      <c r="B6244" s="3" t="str">
        <f>IFERROR(__xludf.DUMMYFUNCTION("""COMPUTED_VALUE"""),"kat")</f>
        <v>kat</v>
      </c>
      <c r="C6244" s="3" t="str">
        <f>IFERROR(__xludf.DUMMYFUNCTION("""COMPUTED_VALUE"""),"Kambria")</f>
        <v>Kambria</v>
      </c>
    </row>
    <row r="6245">
      <c r="A6245" s="3" t="str">
        <f>IFERROR(__xludf.DUMMYFUNCTION("""COMPUTED_VALUE"""),"kampay")</f>
        <v>kampay</v>
      </c>
      <c r="B6245" s="3" t="str">
        <f>IFERROR(__xludf.DUMMYFUNCTION("""COMPUTED_VALUE"""),"kampay")</f>
        <v>kampay</v>
      </c>
      <c r="C6245" s="3" t="str">
        <f>IFERROR(__xludf.DUMMYFUNCTION("""COMPUTED_VALUE"""),"Kampay")</f>
        <v>Kampay</v>
      </c>
    </row>
    <row r="6246">
      <c r="A6246" s="3" t="str">
        <f>IFERROR(__xludf.DUMMYFUNCTION("""COMPUTED_VALUE"""),"kan")</f>
        <v>kan</v>
      </c>
      <c r="B6246" s="3" t="str">
        <f>IFERROR(__xludf.DUMMYFUNCTION("""COMPUTED_VALUE"""),"kan")</f>
        <v>kan</v>
      </c>
      <c r="C6246" s="3" t="str">
        <f>IFERROR(__xludf.DUMMYFUNCTION("""COMPUTED_VALUE"""),"BitKan")</f>
        <v>BitKan</v>
      </c>
    </row>
    <row r="6247">
      <c r="A6247" s="3" t="str">
        <f>IFERROR(__xludf.DUMMYFUNCTION("""COMPUTED_VALUE"""),"kanagawa-nami")</f>
        <v>kanagawa-nami</v>
      </c>
      <c r="B6247" s="3" t="str">
        <f>IFERROR(__xludf.DUMMYFUNCTION("""COMPUTED_VALUE"""),"okinami")</f>
        <v>okinami</v>
      </c>
      <c r="C6247" s="3" t="str">
        <f>IFERROR(__xludf.DUMMYFUNCTION("""COMPUTED_VALUE"""),"Kanagawa Nami")</f>
        <v>Kanagawa Nami</v>
      </c>
    </row>
    <row r="6248">
      <c r="A6248" s="3" t="str">
        <f>IFERROR(__xludf.DUMMYFUNCTION("""COMPUTED_VALUE"""),"kanaloa-network")</f>
        <v>kanaloa-network</v>
      </c>
      <c r="B6248" s="3" t="str">
        <f>IFERROR(__xludf.DUMMYFUNCTION("""COMPUTED_VALUE"""),"kana")</f>
        <v>kana</v>
      </c>
      <c r="C6248" s="3" t="str">
        <f>IFERROR(__xludf.DUMMYFUNCTION("""COMPUTED_VALUE"""),"Kanaloa Network")</f>
        <v>Kanaloa Network</v>
      </c>
    </row>
    <row r="6249">
      <c r="A6249" s="3" t="str">
        <f>IFERROR(__xludf.DUMMYFUNCTION("""COMPUTED_VALUE"""),"kang3n")</f>
        <v>kang3n</v>
      </c>
      <c r="B6249" s="3" t="str">
        <f>IFERROR(__xludf.DUMMYFUNCTION("""COMPUTED_VALUE"""),"kang3n")</f>
        <v>kang3n</v>
      </c>
      <c r="C6249" s="3" t="str">
        <f>IFERROR(__xludf.DUMMYFUNCTION("""COMPUTED_VALUE"""),"kang3n")</f>
        <v>kang3n</v>
      </c>
    </row>
    <row r="6250">
      <c r="A6250" s="3" t="str">
        <f>IFERROR(__xludf.DUMMYFUNCTION("""COMPUTED_VALUE"""),"kanga-exchange")</f>
        <v>kanga-exchange</v>
      </c>
      <c r="B6250" s="3" t="str">
        <f>IFERROR(__xludf.DUMMYFUNCTION("""COMPUTED_VALUE"""),"kng")</f>
        <v>kng</v>
      </c>
      <c r="C6250" s="3" t="str">
        <f>IFERROR(__xludf.DUMMYFUNCTION("""COMPUTED_VALUE"""),"Kanga Exchange")</f>
        <v>Kanga Exchange</v>
      </c>
    </row>
    <row r="6251">
      <c r="A6251" s="3" t="str">
        <f>IFERROR(__xludf.DUMMYFUNCTION("""COMPUTED_VALUE"""),"kangal")</f>
        <v>kangal</v>
      </c>
      <c r="B6251" s="3" t="str">
        <f>IFERROR(__xludf.DUMMYFUNCTION("""COMPUTED_VALUE"""),"kangal")</f>
        <v>kangal</v>
      </c>
      <c r="C6251" s="3" t="str">
        <f>IFERROR(__xludf.DUMMYFUNCTION("""COMPUTED_VALUE"""),"Kangal")</f>
        <v>Kangal</v>
      </c>
    </row>
    <row r="6252">
      <c r="A6252" s="3" t="str">
        <f>IFERROR(__xludf.DUMMYFUNCTION("""COMPUTED_VALUE"""),"kangaroo")</f>
        <v>kangaroo</v>
      </c>
      <c r="B6252" s="3" t="str">
        <f>IFERROR(__xludf.DUMMYFUNCTION("""COMPUTED_VALUE"""),"gar")</f>
        <v>gar</v>
      </c>
      <c r="C6252" s="3" t="str">
        <f>IFERROR(__xludf.DUMMYFUNCTION("""COMPUTED_VALUE"""),"Kangaroo")</f>
        <v>Kangaroo</v>
      </c>
    </row>
    <row r="6253">
      <c r="A6253" s="3" t="str">
        <f>IFERROR(__xludf.DUMMYFUNCTION("""COMPUTED_VALUE"""),"kanpeki")</f>
        <v>kanpeki</v>
      </c>
      <c r="B6253" s="3" t="str">
        <f>IFERROR(__xludf.DUMMYFUNCTION("""COMPUTED_VALUE"""),"kae")</f>
        <v>kae</v>
      </c>
      <c r="C6253" s="3" t="str">
        <f>IFERROR(__xludf.DUMMYFUNCTION("""COMPUTED_VALUE"""),"Kanpeki")</f>
        <v>Kanpeki</v>
      </c>
    </row>
    <row r="6254">
      <c r="A6254" s="3" t="str">
        <f>IFERROR(__xludf.DUMMYFUNCTION("""COMPUTED_VALUE"""),"kaoya")</f>
        <v>kaoya</v>
      </c>
      <c r="B6254" s="3" t="str">
        <f>IFERROR(__xludf.DUMMYFUNCTION("""COMPUTED_VALUE"""),"kaoya")</f>
        <v>kaoya</v>
      </c>
      <c r="C6254" s="3" t="str">
        <f>IFERROR(__xludf.DUMMYFUNCTION("""COMPUTED_VALUE"""),"KAOYA")</f>
        <v>KAOYA</v>
      </c>
    </row>
    <row r="6255">
      <c r="A6255" s="3" t="str">
        <f>IFERROR(__xludf.DUMMYFUNCTION("""COMPUTED_VALUE"""),"kapital-dao")</f>
        <v>kapital-dao</v>
      </c>
      <c r="B6255" s="3" t="str">
        <f>IFERROR(__xludf.DUMMYFUNCTION("""COMPUTED_VALUE"""),"kap")</f>
        <v>kap</v>
      </c>
      <c r="C6255" s="3" t="str">
        <f>IFERROR(__xludf.DUMMYFUNCTION("""COMPUTED_VALUE"""),"Kapital DAO")</f>
        <v>Kapital DAO</v>
      </c>
    </row>
    <row r="6256">
      <c r="A6256" s="3" t="str">
        <f>IFERROR(__xludf.DUMMYFUNCTION("""COMPUTED_VALUE"""),"kappa")</f>
        <v>kappa</v>
      </c>
      <c r="B6256" s="3" t="str">
        <f>IFERROR(__xludf.DUMMYFUNCTION("""COMPUTED_VALUE"""),"kappa")</f>
        <v>kappa</v>
      </c>
      <c r="C6256" s="3" t="str">
        <f>IFERROR(__xludf.DUMMYFUNCTION("""COMPUTED_VALUE"""),"Kappa")</f>
        <v>Kappa</v>
      </c>
    </row>
    <row r="6257">
      <c r="A6257" s="3" t="str">
        <f>IFERROR(__xludf.DUMMYFUNCTION("""COMPUTED_VALUE"""),"karastar-kara")</f>
        <v>karastar-kara</v>
      </c>
      <c r="B6257" s="3" t="str">
        <f>IFERROR(__xludf.DUMMYFUNCTION("""COMPUTED_VALUE"""),"kara")</f>
        <v>kara</v>
      </c>
      <c r="C6257" s="3" t="str">
        <f>IFERROR(__xludf.DUMMYFUNCTION("""COMPUTED_VALUE"""),"KaraStar")</f>
        <v>KaraStar</v>
      </c>
    </row>
    <row r="6258">
      <c r="A6258" s="3" t="str">
        <f>IFERROR(__xludf.DUMMYFUNCTION("""COMPUTED_VALUE"""),"karastar-umy")</f>
        <v>karastar-umy</v>
      </c>
      <c r="B6258" s="3" t="str">
        <f>IFERROR(__xludf.DUMMYFUNCTION("""COMPUTED_VALUE"""),"umy")</f>
        <v>umy</v>
      </c>
      <c r="C6258" s="3" t="str">
        <f>IFERROR(__xludf.DUMMYFUNCTION("""COMPUTED_VALUE"""),"KaraStar UMY")</f>
        <v>KaraStar UMY</v>
      </c>
    </row>
    <row r="6259">
      <c r="A6259" s="3" t="str">
        <f>IFERROR(__xludf.DUMMYFUNCTION("""COMPUTED_VALUE"""),"karbo")</f>
        <v>karbo</v>
      </c>
      <c r="B6259" s="3" t="str">
        <f>IFERROR(__xludf.DUMMYFUNCTION("""COMPUTED_VALUE"""),"krb")</f>
        <v>krb</v>
      </c>
      <c r="C6259" s="3" t="str">
        <f>IFERROR(__xludf.DUMMYFUNCTION("""COMPUTED_VALUE"""),"Karbo")</f>
        <v>Karbo</v>
      </c>
    </row>
    <row r="6260">
      <c r="A6260" s="3" t="str">
        <f>IFERROR(__xludf.DUMMYFUNCTION("""COMPUTED_VALUE"""),"kardiachain")</f>
        <v>kardiachain</v>
      </c>
      <c r="B6260" s="3" t="str">
        <f>IFERROR(__xludf.DUMMYFUNCTION("""COMPUTED_VALUE"""),"kai")</f>
        <v>kai</v>
      </c>
      <c r="C6260" s="3" t="str">
        <f>IFERROR(__xludf.DUMMYFUNCTION("""COMPUTED_VALUE"""),"KardiaChain")</f>
        <v>KardiaChain</v>
      </c>
    </row>
    <row r="6261">
      <c r="A6261" s="3" t="str">
        <f>IFERROR(__xludf.DUMMYFUNCTION("""COMPUTED_VALUE"""),"karencoin")</f>
        <v>karencoin</v>
      </c>
      <c r="B6261" s="3" t="str">
        <f>IFERROR(__xludf.DUMMYFUNCTION("""COMPUTED_VALUE"""),"karen")</f>
        <v>karen</v>
      </c>
      <c r="C6261" s="3" t="str">
        <f>IFERROR(__xludf.DUMMYFUNCTION("""COMPUTED_VALUE"""),"KarenCoin")</f>
        <v>KarenCoin</v>
      </c>
    </row>
    <row r="6262">
      <c r="A6262" s="3" t="str">
        <f>IFERROR(__xludf.DUMMYFUNCTION("""COMPUTED_VALUE"""),"karmadao")</f>
        <v>karmadao</v>
      </c>
      <c r="B6262" s="3" t="str">
        <f>IFERROR(__xludf.DUMMYFUNCTION("""COMPUTED_VALUE"""),"kdao")</f>
        <v>kdao</v>
      </c>
      <c r="C6262" s="3" t="str">
        <f>IFERROR(__xludf.DUMMYFUNCTION("""COMPUTED_VALUE"""),"KarmaDao")</f>
        <v>KarmaDao</v>
      </c>
    </row>
    <row r="6263">
      <c r="A6263" s="3" t="str">
        <f>IFERROR(__xludf.DUMMYFUNCTION("""COMPUTED_VALUE"""),"karma-dao")</f>
        <v>karma-dao</v>
      </c>
      <c r="B6263" s="3" t="str">
        <f>IFERROR(__xludf.DUMMYFUNCTION("""COMPUTED_VALUE"""),"karma")</f>
        <v>karma</v>
      </c>
      <c r="C6263" s="3" t="str">
        <f>IFERROR(__xludf.DUMMYFUNCTION("""COMPUTED_VALUE"""),"Karma DAO")</f>
        <v>Karma DAO</v>
      </c>
    </row>
    <row r="6264">
      <c r="A6264" s="3" t="str">
        <f>IFERROR(__xludf.DUMMYFUNCTION("""COMPUTED_VALUE"""),"karmaverse")</f>
        <v>karmaverse</v>
      </c>
      <c r="B6264" s="3" t="str">
        <f>IFERROR(__xludf.DUMMYFUNCTION("""COMPUTED_VALUE"""),"knot")</f>
        <v>knot</v>
      </c>
      <c r="C6264" s="3" t="str">
        <f>IFERROR(__xludf.DUMMYFUNCTION("""COMPUTED_VALUE"""),"Karmaverse")</f>
        <v>Karmaverse</v>
      </c>
    </row>
    <row r="6265">
      <c r="A6265" s="3" t="str">
        <f>IFERROR(__xludf.DUMMYFUNCTION("""COMPUTED_VALUE"""),"karmaverse-zombie-serum")</f>
        <v>karmaverse-zombie-serum</v>
      </c>
      <c r="B6265" s="3" t="str">
        <f>IFERROR(__xludf.DUMMYFUNCTION("""COMPUTED_VALUE"""),"serum")</f>
        <v>serum</v>
      </c>
      <c r="C6265" s="3" t="str">
        <f>IFERROR(__xludf.DUMMYFUNCTION("""COMPUTED_VALUE"""),"Karmaverse Zombie Serum")</f>
        <v>Karmaverse Zombie Serum</v>
      </c>
    </row>
    <row r="6266">
      <c r="A6266" s="3" t="str">
        <f>IFERROR(__xludf.DUMMYFUNCTION("""COMPUTED_VALUE"""),"karsiyaka-taraftar-token")</f>
        <v>karsiyaka-taraftar-token</v>
      </c>
      <c r="B6266" s="3" t="str">
        <f>IFERROR(__xludf.DUMMYFUNCTION("""COMPUTED_VALUE"""),"ksk")</f>
        <v>ksk</v>
      </c>
      <c r="C6266" s="3" t="str">
        <f>IFERROR(__xludf.DUMMYFUNCTION("""COMPUTED_VALUE"""),"Karşıyaka Taraftar Fan Token")</f>
        <v>Karşıyaka Taraftar Fan Token</v>
      </c>
    </row>
    <row r="6267">
      <c r="A6267" s="3" t="str">
        <f>IFERROR(__xludf.DUMMYFUNCTION("""COMPUTED_VALUE"""),"karura")</f>
        <v>karura</v>
      </c>
      <c r="B6267" s="3" t="str">
        <f>IFERROR(__xludf.DUMMYFUNCTION("""COMPUTED_VALUE"""),"kar")</f>
        <v>kar</v>
      </c>
      <c r="C6267" s="3" t="str">
        <f>IFERROR(__xludf.DUMMYFUNCTION("""COMPUTED_VALUE"""),"Karura")</f>
        <v>Karura</v>
      </c>
    </row>
    <row r="6268">
      <c r="A6268" s="3" t="str">
        <f>IFERROR(__xludf.DUMMYFUNCTION("""COMPUTED_VALUE"""),"kashhcoin")</f>
        <v>kashhcoin</v>
      </c>
      <c r="B6268" s="3" t="str">
        <f>IFERROR(__xludf.DUMMYFUNCTION("""COMPUTED_VALUE"""),"kashh")</f>
        <v>kashh</v>
      </c>
      <c r="C6268" s="3" t="str">
        <f>IFERROR(__xludf.DUMMYFUNCTION("""COMPUTED_VALUE"""),"Kashhcoin")</f>
        <v>Kashhcoin</v>
      </c>
    </row>
    <row r="6269">
      <c r="A6269" s="3" t="str">
        <f>IFERROR(__xludf.DUMMYFUNCTION("""COMPUTED_VALUE"""),"kaspa")</f>
        <v>kaspa</v>
      </c>
      <c r="B6269" s="3" t="str">
        <f>IFERROR(__xludf.DUMMYFUNCTION("""COMPUTED_VALUE"""),"kas")</f>
        <v>kas</v>
      </c>
      <c r="C6269" s="3" t="str">
        <f>IFERROR(__xludf.DUMMYFUNCTION("""COMPUTED_VALUE"""),"Kaspa")</f>
        <v>Kaspa</v>
      </c>
    </row>
    <row r="6270">
      <c r="A6270" s="3" t="str">
        <f>IFERROR(__xludf.DUMMYFUNCTION("""COMPUTED_VALUE"""),"kassandra")</f>
        <v>kassandra</v>
      </c>
      <c r="B6270" s="3" t="str">
        <f>IFERROR(__xludf.DUMMYFUNCTION("""COMPUTED_VALUE"""),"kacy")</f>
        <v>kacy</v>
      </c>
      <c r="C6270" s="3" t="str">
        <f>IFERROR(__xludf.DUMMYFUNCTION("""COMPUTED_VALUE"""),"Kassandra")</f>
        <v>Kassandra</v>
      </c>
    </row>
    <row r="6271">
      <c r="A6271" s="3" t="str">
        <f>IFERROR(__xludf.DUMMYFUNCTION("""COMPUTED_VALUE"""),"kasta")</f>
        <v>kasta</v>
      </c>
      <c r="B6271" s="3" t="str">
        <f>IFERROR(__xludf.DUMMYFUNCTION("""COMPUTED_VALUE"""),"kasta")</f>
        <v>kasta</v>
      </c>
      <c r="C6271" s="3" t="str">
        <f>IFERROR(__xludf.DUMMYFUNCTION("""COMPUTED_VALUE"""),"Kasta")</f>
        <v>Kasta</v>
      </c>
    </row>
    <row r="6272">
      <c r="A6272" s="3" t="str">
        <f>IFERROR(__xludf.DUMMYFUNCTION("""COMPUTED_VALUE"""),"katalyo")</f>
        <v>katalyo</v>
      </c>
      <c r="B6272" s="3" t="str">
        <f>IFERROR(__xludf.DUMMYFUNCTION("""COMPUTED_VALUE"""),"ktlyo")</f>
        <v>ktlyo</v>
      </c>
      <c r="C6272" s="3" t="str">
        <f>IFERROR(__xludf.DUMMYFUNCTION("""COMPUTED_VALUE"""),"Katalyo")</f>
        <v>Katalyo</v>
      </c>
    </row>
    <row r="6273">
      <c r="A6273" s="3" t="str">
        <f>IFERROR(__xludf.DUMMYFUNCTION("""COMPUTED_VALUE"""),"katana-finance")</f>
        <v>katana-finance</v>
      </c>
      <c r="B6273" s="3" t="str">
        <f>IFERROR(__xludf.DUMMYFUNCTION("""COMPUTED_VALUE"""),"katana")</f>
        <v>katana</v>
      </c>
      <c r="C6273" s="3" t="str">
        <f>IFERROR(__xludf.DUMMYFUNCTION("""COMPUTED_VALUE"""),"Katana Finance")</f>
        <v>Katana Finance</v>
      </c>
    </row>
    <row r="6274">
      <c r="A6274" s="3" t="str">
        <f>IFERROR(__xludf.DUMMYFUNCTION("""COMPUTED_VALUE"""),"katana-inu")</f>
        <v>katana-inu</v>
      </c>
      <c r="B6274" s="3" t="str">
        <f>IFERROR(__xludf.DUMMYFUNCTION("""COMPUTED_VALUE"""),"kata")</f>
        <v>kata</v>
      </c>
      <c r="C6274" s="3" t="str">
        <f>IFERROR(__xludf.DUMMYFUNCTION("""COMPUTED_VALUE"""),"Katana Inu")</f>
        <v>Katana Inu</v>
      </c>
    </row>
    <row r="6275">
      <c r="A6275" s="3" t="str">
        <f>IFERROR(__xludf.DUMMYFUNCTION("""COMPUTED_VALUE"""),"katsumi")</f>
        <v>katsumi</v>
      </c>
      <c r="B6275" s="3" t="str">
        <f>IFERROR(__xludf.DUMMYFUNCTION("""COMPUTED_VALUE"""),"katsumi")</f>
        <v>katsumi</v>
      </c>
      <c r="C6275" s="3" t="str">
        <f>IFERROR(__xludf.DUMMYFUNCTION("""COMPUTED_VALUE"""),"Katsumi")</f>
        <v>Katsumi</v>
      </c>
    </row>
    <row r="6276">
      <c r="A6276" s="3" t="str">
        <f>IFERROR(__xludf.DUMMYFUNCTION("""COMPUTED_VALUE"""),"kattana")</f>
        <v>kattana</v>
      </c>
      <c r="B6276" s="3" t="str">
        <f>IFERROR(__xludf.DUMMYFUNCTION("""COMPUTED_VALUE"""),"ktn")</f>
        <v>ktn</v>
      </c>
      <c r="C6276" s="3" t="str">
        <f>IFERROR(__xludf.DUMMYFUNCTION("""COMPUTED_VALUE"""),"Kattana")</f>
        <v>Kattana</v>
      </c>
    </row>
    <row r="6277">
      <c r="A6277" s="3" t="str">
        <f>IFERROR(__xludf.DUMMYFUNCTION("""COMPUTED_VALUE"""),"katz-token")</f>
        <v>katz-token</v>
      </c>
      <c r="B6277" s="3" t="str">
        <f>IFERROR(__xludf.DUMMYFUNCTION("""COMPUTED_VALUE"""),"katz")</f>
        <v>katz</v>
      </c>
      <c r="C6277" s="3" t="str">
        <f>IFERROR(__xludf.DUMMYFUNCTION("""COMPUTED_VALUE"""),"KATZ House")</f>
        <v>KATZ House</v>
      </c>
    </row>
    <row r="6278">
      <c r="A6278" s="3" t="str">
        <f>IFERROR(__xludf.DUMMYFUNCTION("""COMPUTED_VALUE"""),"kauri")</f>
        <v>kauri</v>
      </c>
      <c r="B6278" s="3" t="str">
        <f>IFERROR(__xludf.DUMMYFUNCTION("""COMPUTED_VALUE"""),"kau")</f>
        <v>kau</v>
      </c>
      <c r="C6278" s="3" t="str">
        <f>IFERROR(__xludf.DUMMYFUNCTION("""COMPUTED_VALUE"""),"Kauri")</f>
        <v>Kauri</v>
      </c>
    </row>
    <row r="6279">
      <c r="A6279" s="3" t="str">
        <f>IFERROR(__xludf.DUMMYFUNCTION("""COMPUTED_VALUE"""),"kava")</f>
        <v>kava</v>
      </c>
      <c r="B6279" s="3" t="str">
        <f>IFERROR(__xludf.DUMMYFUNCTION("""COMPUTED_VALUE"""),"kava")</f>
        <v>kava</v>
      </c>
      <c r="C6279" s="3" t="str">
        <f>IFERROR(__xludf.DUMMYFUNCTION("""COMPUTED_VALUE"""),"Kava")</f>
        <v>Kava</v>
      </c>
    </row>
    <row r="6280">
      <c r="A6280" s="3" t="str">
        <f>IFERROR(__xludf.DUMMYFUNCTION("""COMPUTED_VALUE"""),"kava-lend")</f>
        <v>kava-lend</v>
      </c>
      <c r="B6280" s="3" t="str">
        <f>IFERROR(__xludf.DUMMYFUNCTION("""COMPUTED_VALUE"""),"hard")</f>
        <v>hard</v>
      </c>
      <c r="C6280" s="3" t="str">
        <f>IFERROR(__xludf.DUMMYFUNCTION("""COMPUTED_VALUE"""),"Kava Lend")</f>
        <v>Kava Lend</v>
      </c>
    </row>
    <row r="6281">
      <c r="A6281" s="3" t="str">
        <f>IFERROR(__xludf.DUMMYFUNCTION("""COMPUTED_VALUE"""),"kava-swap")</f>
        <v>kava-swap</v>
      </c>
      <c r="B6281" s="3" t="str">
        <f>IFERROR(__xludf.DUMMYFUNCTION("""COMPUTED_VALUE"""),"swp")</f>
        <v>swp</v>
      </c>
      <c r="C6281" s="3" t="str">
        <f>IFERROR(__xludf.DUMMYFUNCTION("""COMPUTED_VALUE"""),"Kava Swap")</f>
        <v>Kava Swap</v>
      </c>
    </row>
    <row r="6282">
      <c r="A6282" s="3" t="str">
        <f>IFERROR(__xludf.DUMMYFUNCTION("""COMPUTED_VALUE"""),"kawaii-islands")</f>
        <v>kawaii-islands</v>
      </c>
      <c r="B6282" s="3" t="str">
        <f>IFERROR(__xludf.DUMMYFUNCTION("""COMPUTED_VALUE"""),"kwt")</f>
        <v>kwt</v>
      </c>
      <c r="C6282" s="3" t="str">
        <f>IFERROR(__xludf.DUMMYFUNCTION("""COMPUTED_VALUE"""),"Kawaii Islands")</f>
        <v>Kawaii Islands</v>
      </c>
    </row>
    <row r="6283">
      <c r="A6283" s="3" t="str">
        <f>IFERROR(__xludf.DUMMYFUNCTION("""COMPUTED_VALUE"""),"kawaiinu")</f>
        <v>kawaiinu</v>
      </c>
      <c r="B6283" s="3" t="str">
        <f>IFERROR(__xludf.DUMMYFUNCTION("""COMPUTED_VALUE"""),"kawaii")</f>
        <v>kawaii</v>
      </c>
      <c r="C6283" s="3" t="str">
        <f>IFERROR(__xludf.DUMMYFUNCTION("""COMPUTED_VALUE"""),"kawaiINU")</f>
        <v>kawaiINU</v>
      </c>
    </row>
    <row r="6284">
      <c r="A6284" s="3" t="str">
        <f>IFERROR(__xludf.DUMMYFUNCTION("""COMPUTED_VALUE"""),"kawai-shiba")</f>
        <v>kawai-shiba</v>
      </c>
      <c r="B6284" s="3" t="str">
        <f>IFERROR(__xludf.DUMMYFUNCTION("""COMPUTED_VALUE"""),"kshiba")</f>
        <v>kshiba</v>
      </c>
      <c r="C6284" s="3" t="str">
        <f>IFERROR(__xludf.DUMMYFUNCTION("""COMPUTED_VALUE"""),"Kawai Shiba")</f>
        <v>Kawai Shiba</v>
      </c>
    </row>
    <row r="6285">
      <c r="A6285" s="3" t="str">
        <f>IFERROR(__xludf.DUMMYFUNCTION("""COMPUTED_VALUE"""),"kawakami")</f>
        <v>kawakami</v>
      </c>
      <c r="B6285" s="3" t="str">
        <f>IFERROR(__xludf.DUMMYFUNCTION("""COMPUTED_VALUE"""),"kawa")</f>
        <v>kawa</v>
      </c>
      <c r="C6285" s="3" t="str">
        <f>IFERROR(__xludf.DUMMYFUNCTION("""COMPUTED_VALUE"""),"Kawakami")</f>
        <v>Kawakami</v>
      </c>
    </row>
    <row r="6286">
      <c r="A6286" s="3" t="str">
        <f>IFERROR(__xludf.DUMMYFUNCTION("""COMPUTED_VALUE"""),"kay-pacha")</f>
        <v>kay-pacha</v>
      </c>
      <c r="B6286" s="3" t="str">
        <f>IFERROR(__xludf.DUMMYFUNCTION("""COMPUTED_VALUE"""),"pacha")</f>
        <v>pacha</v>
      </c>
      <c r="C6286" s="3" t="str">
        <f>IFERROR(__xludf.DUMMYFUNCTION("""COMPUTED_VALUE"""),"Kay Pacha")</f>
        <v>Kay Pacha</v>
      </c>
    </row>
    <row r="6287">
      <c r="A6287" s="3" t="str">
        <f>IFERROR(__xludf.DUMMYFUNCTION("""COMPUTED_VALUE"""),"kayserispor")</f>
        <v>kayserispor</v>
      </c>
      <c r="B6287" s="3" t="str">
        <f>IFERROR(__xludf.DUMMYFUNCTION("""COMPUTED_VALUE"""),"kysr")</f>
        <v>kysr</v>
      </c>
      <c r="C6287" s="3" t="str">
        <f>IFERROR(__xludf.DUMMYFUNCTION("""COMPUTED_VALUE"""),"Kayserispor")</f>
        <v>Kayserispor</v>
      </c>
    </row>
    <row r="6288">
      <c r="A6288" s="3" t="str">
        <f>IFERROR(__xludf.DUMMYFUNCTION("""COMPUTED_VALUE"""),"kazama-senshi")</f>
        <v>kazama-senshi</v>
      </c>
      <c r="B6288" s="3" t="str">
        <f>IFERROR(__xludf.DUMMYFUNCTION("""COMPUTED_VALUE"""),"kazama")</f>
        <v>kazama</v>
      </c>
      <c r="C6288" s="3" t="str">
        <f>IFERROR(__xludf.DUMMYFUNCTION("""COMPUTED_VALUE"""),"Kazama Senshi")</f>
        <v>Kazama Senshi</v>
      </c>
    </row>
    <row r="6289">
      <c r="A6289" s="3" t="str">
        <f>IFERROR(__xludf.DUMMYFUNCTION("""COMPUTED_VALUE"""),"kazano")</f>
        <v>kazano</v>
      </c>
      <c r="B6289" s="3" t="str">
        <f>IFERROR(__xludf.DUMMYFUNCTION("""COMPUTED_VALUE"""),"kaz")</f>
        <v>kaz</v>
      </c>
      <c r="C6289" s="3" t="str">
        <f>IFERROR(__xludf.DUMMYFUNCTION("""COMPUTED_VALUE"""),"Kazano")</f>
        <v>Kazano</v>
      </c>
    </row>
    <row r="6290">
      <c r="A6290" s="3" t="str">
        <f>IFERROR(__xludf.DUMMYFUNCTION("""COMPUTED_VALUE"""),"kazoku-inu")</f>
        <v>kazoku-inu</v>
      </c>
      <c r="B6290" s="3" t="str">
        <f>IFERROR(__xludf.DUMMYFUNCTION("""COMPUTED_VALUE"""),"kazoku")</f>
        <v>kazoku</v>
      </c>
      <c r="C6290" s="3" t="str">
        <f>IFERROR(__xludf.DUMMYFUNCTION("""COMPUTED_VALUE"""),"Kazoku INU")</f>
        <v>Kazoku INU</v>
      </c>
    </row>
    <row r="6291">
      <c r="A6291" s="3" t="str">
        <f>IFERROR(__xludf.DUMMYFUNCTION("""COMPUTED_VALUE"""),"kcal")</f>
        <v>kcal</v>
      </c>
      <c r="B6291" s="3" t="str">
        <f>IFERROR(__xludf.DUMMYFUNCTION("""COMPUTED_VALUE"""),"kcal")</f>
        <v>kcal</v>
      </c>
      <c r="C6291" s="3" t="str">
        <f>IFERROR(__xludf.DUMMYFUNCTION("""COMPUTED_VALUE"""),"KCAL")</f>
        <v>KCAL</v>
      </c>
    </row>
    <row r="6292">
      <c r="A6292" s="3" t="str">
        <f>IFERROR(__xludf.DUMMYFUNCTION("""COMPUTED_VALUE"""),"kcash")</f>
        <v>kcash</v>
      </c>
      <c r="B6292" s="3" t="str">
        <f>IFERROR(__xludf.DUMMYFUNCTION("""COMPUTED_VALUE"""),"kcash")</f>
        <v>kcash</v>
      </c>
      <c r="C6292" s="3" t="str">
        <f>IFERROR(__xludf.DUMMYFUNCTION("""COMPUTED_VALUE"""),"Kcash")</f>
        <v>Kcash</v>
      </c>
    </row>
    <row r="6293">
      <c r="A6293" s="3" t="str">
        <f>IFERROR(__xludf.DUMMYFUNCTION("""COMPUTED_VALUE"""),"kcc-memepad")</f>
        <v>kcc-memepad</v>
      </c>
      <c r="B6293" s="3" t="str">
        <f>IFERROR(__xludf.DUMMYFUNCTION("""COMPUTED_VALUE"""),"kccm")</f>
        <v>kccm</v>
      </c>
      <c r="C6293" s="3" t="str">
        <f>IFERROR(__xludf.DUMMYFUNCTION("""COMPUTED_VALUE"""),"KCC MemePad")</f>
        <v>KCC MemePad</v>
      </c>
    </row>
    <row r="6294">
      <c r="A6294" s="3" t="str">
        <f>IFERROR(__xludf.DUMMYFUNCTION("""COMPUTED_VALUE"""),"kccpad")</f>
        <v>kccpad</v>
      </c>
      <c r="B6294" s="3" t="str">
        <f>IFERROR(__xludf.DUMMYFUNCTION("""COMPUTED_VALUE"""),"kccpad")</f>
        <v>kccpad</v>
      </c>
      <c r="C6294" s="3" t="str">
        <f>IFERROR(__xludf.DUMMYFUNCTION("""COMPUTED_VALUE"""),"KCCPad")</f>
        <v>KCCPad</v>
      </c>
    </row>
    <row r="6295">
      <c r="A6295" s="3" t="str">
        <f>IFERROR(__xludf.DUMMYFUNCTION("""COMPUTED_VALUE"""),"kdag")</f>
        <v>kdag</v>
      </c>
      <c r="B6295" s="3" t="str">
        <f>IFERROR(__xludf.DUMMYFUNCTION("""COMPUTED_VALUE"""),"kdag")</f>
        <v>kdag</v>
      </c>
      <c r="C6295" s="3" t="str">
        <f>IFERROR(__xludf.DUMMYFUNCTION("""COMPUTED_VALUE"""),"King DAG")</f>
        <v>King DAG</v>
      </c>
    </row>
    <row r="6296">
      <c r="A6296" s="3" t="str">
        <f>IFERROR(__xludf.DUMMYFUNCTION("""COMPUTED_VALUE"""),"kdlaunch")</f>
        <v>kdlaunch</v>
      </c>
      <c r="B6296" s="3" t="str">
        <f>IFERROR(__xludf.DUMMYFUNCTION("""COMPUTED_VALUE"""),"kdl")</f>
        <v>kdl</v>
      </c>
      <c r="C6296" s="3" t="str">
        <f>IFERROR(__xludf.DUMMYFUNCTION("""COMPUTED_VALUE"""),"KDLaunch")</f>
        <v>KDLaunch</v>
      </c>
    </row>
    <row r="6297">
      <c r="A6297" s="3" t="str">
        <f>IFERROR(__xludf.DUMMYFUNCTION("""COMPUTED_VALUE"""),"kdswap")</f>
        <v>kdswap</v>
      </c>
      <c r="B6297" s="3" t="str">
        <f>IFERROR(__xludf.DUMMYFUNCTION("""COMPUTED_VALUE"""),"kds")</f>
        <v>kds</v>
      </c>
      <c r="C6297" s="3" t="str">
        <f>IFERROR(__xludf.DUMMYFUNCTION("""COMPUTED_VALUE"""),"KDSwap")</f>
        <v>KDSwap</v>
      </c>
    </row>
    <row r="6298">
      <c r="A6298" s="3" t="str">
        <f>IFERROR(__xludf.DUMMYFUNCTION("""COMPUTED_VALUE"""),"keecoin")</f>
        <v>keecoin</v>
      </c>
      <c r="B6298" s="3" t="str">
        <f>IFERROR(__xludf.DUMMYFUNCTION("""COMPUTED_VALUE"""),"keec")</f>
        <v>keec</v>
      </c>
      <c r="C6298" s="3" t="str">
        <f>IFERROR(__xludf.DUMMYFUNCTION("""COMPUTED_VALUE"""),"KeeCoin")</f>
        <v>KeeCoin</v>
      </c>
    </row>
    <row r="6299">
      <c r="A6299" s="3" t="str">
        <f>IFERROR(__xludf.DUMMYFUNCTION("""COMPUTED_VALUE"""),"keep3rv1")</f>
        <v>keep3rv1</v>
      </c>
      <c r="B6299" s="3" t="str">
        <f>IFERROR(__xludf.DUMMYFUNCTION("""COMPUTED_VALUE"""),"kp3r")</f>
        <v>kp3r</v>
      </c>
      <c r="C6299" s="3" t="str">
        <f>IFERROR(__xludf.DUMMYFUNCTION("""COMPUTED_VALUE"""),"Keep3rV1")</f>
        <v>Keep3rV1</v>
      </c>
    </row>
    <row r="6300">
      <c r="A6300" s="3" t="str">
        <f>IFERROR(__xludf.DUMMYFUNCTION("""COMPUTED_VALUE"""),"keep4r")</f>
        <v>keep4r</v>
      </c>
      <c r="B6300" s="3" t="str">
        <f>IFERROR(__xludf.DUMMYFUNCTION("""COMPUTED_VALUE"""),"kp4r")</f>
        <v>kp4r</v>
      </c>
      <c r="C6300" s="3" t="str">
        <f>IFERROR(__xludf.DUMMYFUNCTION("""COMPUTED_VALUE"""),"Keep4r")</f>
        <v>Keep4r</v>
      </c>
    </row>
    <row r="6301">
      <c r="A6301" s="3" t="str">
        <f>IFERROR(__xludf.DUMMYFUNCTION("""COMPUTED_VALUE"""),"keep-network")</f>
        <v>keep-network</v>
      </c>
      <c r="B6301" s="3" t="str">
        <f>IFERROR(__xludf.DUMMYFUNCTION("""COMPUTED_VALUE"""),"keep")</f>
        <v>keep</v>
      </c>
      <c r="C6301" s="3" t="str">
        <f>IFERROR(__xludf.DUMMYFUNCTION("""COMPUTED_VALUE"""),"Keep Network")</f>
        <v>Keep Network</v>
      </c>
    </row>
    <row r="6302">
      <c r="A6302" s="3" t="str">
        <f>IFERROR(__xludf.DUMMYFUNCTION("""COMPUTED_VALUE"""),"keeps-coin")</f>
        <v>keeps-coin</v>
      </c>
      <c r="B6302" s="3" t="str">
        <f>IFERROR(__xludf.DUMMYFUNCTION("""COMPUTED_VALUE"""),"kverse")</f>
        <v>kverse</v>
      </c>
      <c r="C6302" s="3" t="str">
        <f>IFERROR(__xludf.DUMMYFUNCTION("""COMPUTED_VALUE"""),"KEEPs Coin")</f>
        <v>KEEPs Coin</v>
      </c>
    </row>
    <row r="6303">
      <c r="A6303" s="3" t="str">
        <f>IFERROR(__xludf.DUMMYFUNCTION("""COMPUTED_VALUE"""),"keeshond")</f>
        <v>keeshond</v>
      </c>
      <c r="B6303" s="3" t="str">
        <f>IFERROR(__xludf.DUMMYFUNCTION("""COMPUTED_VALUE"""),"$ksh")</f>
        <v>$ksh</v>
      </c>
      <c r="C6303" s="3" t="str">
        <f>IFERROR(__xludf.DUMMYFUNCTION("""COMPUTED_VALUE"""),"Keeshond")</f>
        <v>Keeshond</v>
      </c>
    </row>
    <row r="6304">
      <c r="A6304" s="3" t="str">
        <f>IFERROR(__xludf.DUMMYFUNCTION("""COMPUTED_VALUE"""),"keisuke-inu")</f>
        <v>keisuke-inu</v>
      </c>
      <c r="B6304" s="3" t="str">
        <f>IFERROR(__xludf.DUMMYFUNCTION("""COMPUTED_VALUE"""),"$kei")</f>
        <v>$kei</v>
      </c>
      <c r="C6304" s="3" t="str">
        <f>IFERROR(__xludf.DUMMYFUNCTION("""COMPUTED_VALUE"""),"Keisuke Inu")</f>
        <v>Keisuke Inu</v>
      </c>
    </row>
    <row r="6305">
      <c r="A6305" s="3" t="str">
        <f>IFERROR(__xludf.DUMMYFUNCTION("""COMPUTED_VALUE"""),"kekchain")</f>
        <v>kekchain</v>
      </c>
      <c r="B6305" s="3" t="str">
        <f>IFERROR(__xludf.DUMMYFUNCTION("""COMPUTED_VALUE"""),"kek")</f>
        <v>kek</v>
      </c>
      <c r="C6305" s="3" t="str">
        <f>IFERROR(__xludf.DUMMYFUNCTION("""COMPUTED_VALUE"""),"KeKChain")</f>
        <v>KeKChain</v>
      </c>
    </row>
    <row r="6306">
      <c r="A6306" s="3" t="str">
        <f>IFERROR(__xludf.DUMMYFUNCTION("""COMPUTED_VALUE"""),"kekwcoin")</f>
        <v>kekwcoin</v>
      </c>
      <c r="B6306" s="3" t="str">
        <f>IFERROR(__xludf.DUMMYFUNCTION("""COMPUTED_VALUE"""),"kekw")</f>
        <v>kekw</v>
      </c>
      <c r="C6306" s="3" t="str">
        <f>IFERROR(__xludf.DUMMYFUNCTION("""COMPUTED_VALUE"""),"Kekwcoin")</f>
        <v>Kekwcoin</v>
      </c>
    </row>
    <row r="6307">
      <c r="A6307" s="3" t="str">
        <f>IFERROR(__xludf.DUMMYFUNCTION("""COMPUTED_VALUE"""),"kelvin")</f>
        <v>kelvin</v>
      </c>
      <c r="B6307" s="3" t="str">
        <f>IFERROR(__xludf.DUMMYFUNCTION("""COMPUTED_VALUE"""),"kelvin")</f>
        <v>kelvin</v>
      </c>
      <c r="C6307" s="3" t="str">
        <f>IFERROR(__xludf.DUMMYFUNCTION("""COMPUTED_VALUE"""),"Kelvin")</f>
        <v>Kelvin</v>
      </c>
    </row>
    <row r="6308">
      <c r="A6308" s="3" t="str">
        <f>IFERROR(__xludf.DUMMYFUNCTION("""COMPUTED_VALUE"""),"kelvpn")</f>
        <v>kelvpn</v>
      </c>
      <c r="B6308" s="3" t="str">
        <f>IFERROR(__xludf.DUMMYFUNCTION("""COMPUTED_VALUE"""),"kel")</f>
        <v>kel</v>
      </c>
      <c r="C6308" s="3" t="str">
        <f>IFERROR(__xludf.DUMMYFUNCTION("""COMPUTED_VALUE"""),"KelVPN")</f>
        <v>KelVPN</v>
      </c>
    </row>
    <row r="6309">
      <c r="A6309" s="3" t="str">
        <f>IFERROR(__xludf.DUMMYFUNCTION("""COMPUTED_VALUE"""),"kemacoin")</f>
        <v>kemacoin</v>
      </c>
      <c r="B6309" s="3" t="str">
        <f>IFERROR(__xludf.DUMMYFUNCTION("""COMPUTED_VALUE"""),"kema")</f>
        <v>kema</v>
      </c>
      <c r="C6309" s="3" t="str">
        <f>IFERROR(__xludf.DUMMYFUNCTION("""COMPUTED_VALUE"""),"KemaCoin")</f>
        <v>KemaCoin</v>
      </c>
    </row>
    <row r="6310">
      <c r="A6310" s="3" t="str">
        <f>IFERROR(__xludf.DUMMYFUNCTION("""COMPUTED_VALUE"""),"kenshi")</f>
        <v>kenshi</v>
      </c>
      <c r="B6310" s="3" t="str">
        <f>IFERROR(__xludf.DUMMYFUNCTION("""COMPUTED_VALUE"""),"kenshi")</f>
        <v>kenshi</v>
      </c>
      <c r="C6310" s="3" t="str">
        <f>IFERROR(__xludf.DUMMYFUNCTION("""COMPUTED_VALUE"""),"Kenshi")</f>
        <v>Kenshi</v>
      </c>
    </row>
    <row r="6311">
      <c r="A6311" s="3" t="str">
        <f>IFERROR(__xludf.DUMMYFUNCTION("""COMPUTED_VALUE"""),"kentucky-fried-crypto")</f>
        <v>kentucky-fried-crypto</v>
      </c>
      <c r="B6311" s="3" t="str">
        <f>IFERROR(__xludf.DUMMYFUNCTION("""COMPUTED_VALUE"""),"kfc")</f>
        <v>kfc</v>
      </c>
      <c r="C6311" s="3" t="str">
        <f>IFERROR(__xludf.DUMMYFUNCTION("""COMPUTED_VALUE"""),"Kentucky Fried Crypto")</f>
        <v>Kentucky Fried Crypto</v>
      </c>
    </row>
    <row r="6312">
      <c r="A6312" s="3" t="str">
        <f>IFERROR(__xludf.DUMMYFUNCTION("""COMPUTED_VALUE"""),"kephi-gallery")</f>
        <v>kephi-gallery</v>
      </c>
      <c r="B6312" s="3" t="str">
        <f>IFERROR(__xludf.DUMMYFUNCTION("""COMPUTED_VALUE"""),"kphi")</f>
        <v>kphi</v>
      </c>
      <c r="C6312" s="3" t="str">
        <f>IFERROR(__xludf.DUMMYFUNCTION("""COMPUTED_VALUE"""),"Kephi Gallery")</f>
        <v>Kephi Gallery</v>
      </c>
    </row>
    <row r="6313">
      <c r="A6313" s="3" t="str">
        <f>IFERROR(__xludf.DUMMYFUNCTION("""COMPUTED_VALUE"""),"kepler452b")</f>
        <v>kepler452b</v>
      </c>
      <c r="B6313" s="3" t="str">
        <f>IFERROR(__xludf.DUMMYFUNCTION("""COMPUTED_VALUE"""),"452b")</f>
        <v>452b</v>
      </c>
      <c r="C6313" s="3" t="str">
        <f>IFERROR(__xludf.DUMMYFUNCTION("""COMPUTED_VALUE"""),"Kepler452b")</f>
        <v>Kepler452b</v>
      </c>
    </row>
    <row r="6314">
      <c r="A6314" s="3" t="str">
        <f>IFERROR(__xludf.DUMMYFUNCTION("""COMPUTED_VALUE"""),"kepler-network")</f>
        <v>kepler-network</v>
      </c>
      <c r="B6314" s="3" t="str">
        <f>IFERROR(__xludf.DUMMYFUNCTION("""COMPUTED_VALUE"""),"kmw")</f>
        <v>kmw</v>
      </c>
      <c r="C6314" s="3" t="str">
        <f>IFERROR(__xludf.DUMMYFUNCTION("""COMPUTED_VALUE"""),"Kepler Network")</f>
        <v>Kepler Network</v>
      </c>
    </row>
    <row r="6315">
      <c r="A6315" s="3" t="str">
        <f>IFERROR(__xludf.DUMMYFUNCTION("""COMPUTED_VALUE"""),"kerman")</f>
        <v>kerman</v>
      </c>
      <c r="B6315" s="3" t="str">
        <f>IFERROR(__xludf.DUMMYFUNCTION("""COMPUTED_VALUE"""),"kerman")</f>
        <v>kerman</v>
      </c>
      <c r="C6315" s="3" t="str">
        <f>IFERROR(__xludf.DUMMYFUNCTION("""COMPUTED_VALUE"""),"KERMAN")</f>
        <v>KERMAN</v>
      </c>
    </row>
    <row r="6316">
      <c r="A6316" s="3" t="str">
        <f>IFERROR(__xludf.DUMMYFUNCTION("""COMPUTED_VALUE"""),"kermit")</f>
        <v>kermit</v>
      </c>
      <c r="B6316" s="3" t="str">
        <f>IFERROR(__xludf.DUMMYFUNCTION("""COMPUTED_VALUE"""),"kermit")</f>
        <v>kermit</v>
      </c>
      <c r="C6316" s="3" t="str">
        <f>IFERROR(__xludf.DUMMYFUNCTION("""COMPUTED_VALUE"""),"Kermit Finance")</f>
        <v>Kermit Finance</v>
      </c>
    </row>
    <row r="6317">
      <c r="A6317" s="3" t="str">
        <f>IFERROR(__xludf.DUMMYFUNCTION("""COMPUTED_VALUE"""),"kermit-inu")</f>
        <v>kermit-inu</v>
      </c>
      <c r="B6317" s="3" t="str">
        <f>IFERROR(__xludf.DUMMYFUNCTION("""COMPUTED_VALUE"""),"kti")</f>
        <v>kti</v>
      </c>
      <c r="C6317" s="3" t="str">
        <f>IFERROR(__xludf.DUMMYFUNCTION("""COMPUTED_VALUE"""),"Kermit Inu")</f>
        <v>Kermit Inu</v>
      </c>
    </row>
    <row r="6318">
      <c r="A6318" s="3" t="str">
        <f>IFERROR(__xludf.DUMMYFUNCTION("""COMPUTED_VALUE"""),"kevacoin")</f>
        <v>kevacoin</v>
      </c>
      <c r="B6318" s="3" t="str">
        <f>IFERROR(__xludf.DUMMYFUNCTION("""COMPUTED_VALUE"""),"kva")</f>
        <v>kva</v>
      </c>
      <c r="C6318" s="3" t="str">
        <f>IFERROR(__xludf.DUMMYFUNCTION("""COMPUTED_VALUE"""),"Kevacoin")</f>
        <v>Kevacoin</v>
      </c>
    </row>
    <row r="6319">
      <c r="A6319" s="3" t="str">
        <f>IFERROR(__xludf.DUMMYFUNCTION("""COMPUTED_VALUE"""),"key")</f>
        <v>key</v>
      </c>
      <c r="B6319" s="3" t="str">
        <f>IFERROR(__xludf.DUMMYFUNCTION("""COMPUTED_VALUE"""),"key")</f>
        <v>key</v>
      </c>
      <c r="C6319" s="3" t="str">
        <f>IFERROR(__xludf.DUMMYFUNCTION("""COMPUTED_VALUE"""),"Key")</f>
        <v>Key</v>
      </c>
    </row>
    <row r="6320">
      <c r="A6320" s="3" t="str">
        <f>IFERROR(__xludf.DUMMYFUNCTION("""COMPUTED_VALUE"""),"keyco")</f>
        <v>keyco</v>
      </c>
      <c r="B6320" s="3" t="str">
        <f>IFERROR(__xludf.DUMMYFUNCTION("""COMPUTED_VALUE"""),"kec")</f>
        <v>kec</v>
      </c>
      <c r="C6320" s="3" t="str">
        <f>IFERROR(__xludf.DUMMYFUNCTION("""COMPUTED_VALUE"""),"Keyco")</f>
        <v>Keyco</v>
      </c>
    </row>
    <row r="6321">
      <c r="A6321" s="3" t="str">
        <f>IFERROR(__xludf.DUMMYFUNCTION("""COMPUTED_VALUE"""),"keyfi")</f>
        <v>keyfi</v>
      </c>
      <c r="B6321" s="3" t="str">
        <f>IFERROR(__xludf.DUMMYFUNCTION("""COMPUTED_VALUE"""),"keyfi")</f>
        <v>keyfi</v>
      </c>
      <c r="C6321" s="3" t="str">
        <f>IFERROR(__xludf.DUMMYFUNCTION("""COMPUTED_VALUE"""),"KeyFi")</f>
        <v>KeyFi</v>
      </c>
    </row>
    <row r="6322">
      <c r="A6322" s="3" t="str">
        <f>IFERROR(__xludf.DUMMYFUNCTION("""COMPUTED_VALUE"""),"keys-token")</f>
        <v>keys-token</v>
      </c>
      <c r="B6322" s="3" t="str">
        <f>IFERROR(__xludf.DUMMYFUNCTION("""COMPUTED_VALUE"""),"keys")</f>
        <v>keys</v>
      </c>
      <c r="C6322" s="3" t="str">
        <f>IFERROR(__xludf.DUMMYFUNCTION("""COMPUTED_VALUE"""),"Keys")</f>
        <v>Keys</v>
      </c>
    </row>
    <row r="6323">
      <c r="A6323" s="3" t="str">
        <f>IFERROR(__xludf.DUMMYFUNCTION("""COMPUTED_VALUE"""),"keyswap")</f>
        <v>keyswap</v>
      </c>
      <c r="B6323" s="3" t="str">
        <f>IFERROR(__xludf.DUMMYFUNCTION("""COMPUTED_VALUE"""),"key")</f>
        <v>key</v>
      </c>
      <c r="C6323" s="3" t="str">
        <f>IFERROR(__xludf.DUMMYFUNCTION("""COMPUTED_VALUE"""),"KeySwap")</f>
        <v>KeySwap</v>
      </c>
    </row>
    <row r="6324">
      <c r="A6324" s="3" t="str">
        <f>IFERROR(__xludf.DUMMYFUNCTION("""COMPUTED_VALUE"""),"keytango")</f>
        <v>keytango</v>
      </c>
      <c r="B6324" s="3" t="str">
        <f>IFERROR(__xludf.DUMMYFUNCTION("""COMPUTED_VALUE"""),"tango")</f>
        <v>tango</v>
      </c>
      <c r="C6324" s="3" t="str">
        <f>IFERROR(__xludf.DUMMYFUNCTION("""COMPUTED_VALUE"""),"keyTango")</f>
        <v>keyTango</v>
      </c>
    </row>
    <row r="6325">
      <c r="A6325" s="3" t="str">
        <f>IFERROR(__xludf.DUMMYFUNCTION("""COMPUTED_VALUE"""),"kfan-token")</f>
        <v>kfan-token</v>
      </c>
      <c r="B6325" s="3" t="str">
        <f>IFERROR(__xludf.DUMMYFUNCTION("""COMPUTED_VALUE"""),"kfan")</f>
        <v>kfan</v>
      </c>
      <c r="C6325" s="3" t="str">
        <f>IFERROR(__xludf.DUMMYFUNCTION("""COMPUTED_VALUE"""),"KFan")</f>
        <v>KFan</v>
      </c>
    </row>
    <row r="6326">
      <c r="A6326" s="3" t="str">
        <f>IFERROR(__xludf.DUMMYFUNCTION("""COMPUTED_VALUE"""),"khalifa-finance")</f>
        <v>khalifa-finance</v>
      </c>
      <c r="B6326" s="3" t="str">
        <f>IFERROR(__xludf.DUMMYFUNCTION("""COMPUTED_VALUE"""),"khalifa")</f>
        <v>khalifa</v>
      </c>
      <c r="C6326" s="3" t="str">
        <f>IFERROR(__xludf.DUMMYFUNCTION("""COMPUTED_VALUE"""),"Khalifa Finance")</f>
        <v>Khalifa Finance</v>
      </c>
    </row>
    <row r="6327">
      <c r="A6327" s="3" t="str">
        <f>IFERROR(__xludf.DUMMYFUNCTION("""COMPUTED_VALUE"""),"khaos-finance")</f>
        <v>khaos-finance</v>
      </c>
      <c r="B6327" s="3" t="str">
        <f>IFERROR(__xludf.DUMMYFUNCTION("""COMPUTED_VALUE"""),"khaos")</f>
        <v>khaos</v>
      </c>
      <c r="C6327" s="3" t="str">
        <f>IFERROR(__xludf.DUMMYFUNCTION("""COMPUTED_VALUE"""),"Khaos Finance")</f>
        <v>Khaos Finance</v>
      </c>
    </row>
    <row r="6328">
      <c r="A6328" s="3" t="str">
        <f>IFERROR(__xludf.DUMMYFUNCTION("""COMPUTED_VALUE"""),"ki")</f>
        <v>ki</v>
      </c>
      <c r="B6328" s="3" t="str">
        <f>IFERROR(__xludf.DUMMYFUNCTION("""COMPUTED_VALUE"""),"xki")</f>
        <v>xki</v>
      </c>
      <c r="C6328" s="3" t="str">
        <f>IFERROR(__xludf.DUMMYFUNCTION("""COMPUTED_VALUE"""),"KI")</f>
        <v>KI</v>
      </c>
    </row>
    <row r="6329">
      <c r="A6329" s="3" t="str">
        <f>IFERROR(__xludf.DUMMYFUNCTION("""COMPUTED_VALUE"""),"kiba-inu")</f>
        <v>kiba-inu</v>
      </c>
      <c r="B6329" s="3" t="str">
        <f>IFERROR(__xludf.DUMMYFUNCTION("""COMPUTED_VALUE"""),"kiba")</f>
        <v>kiba</v>
      </c>
      <c r="C6329" s="3" t="str">
        <f>IFERROR(__xludf.DUMMYFUNCTION("""COMPUTED_VALUE"""),"Kiba Inu")</f>
        <v>Kiba Inu</v>
      </c>
    </row>
    <row r="6330">
      <c r="A6330" s="3" t="str">
        <f>IFERROR(__xludf.DUMMYFUNCTION("""COMPUTED_VALUE"""),"kibbleswap")</f>
        <v>kibbleswap</v>
      </c>
      <c r="B6330" s="3" t="str">
        <f>IFERROR(__xludf.DUMMYFUNCTION("""COMPUTED_VALUE"""),"kib")</f>
        <v>kib</v>
      </c>
      <c r="C6330" s="3" t="str">
        <f>IFERROR(__xludf.DUMMYFUNCTION("""COMPUTED_VALUE"""),"KibbleSwap")</f>
        <v>KibbleSwap</v>
      </c>
    </row>
    <row r="6331">
      <c r="A6331" s="3" t="str">
        <f>IFERROR(__xludf.DUMMYFUNCTION("""COMPUTED_VALUE"""),"kichicoin")</f>
        <v>kichicoin</v>
      </c>
      <c r="B6331" s="3" t="str">
        <f>IFERROR(__xludf.DUMMYFUNCTION("""COMPUTED_VALUE"""),"kich")</f>
        <v>kich</v>
      </c>
      <c r="C6331" s="3" t="str">
        <f>IFERROR(__xludf.DUMMYFUNCTION("""COMPUTED_VALUE"""),"KichiCoin")</f>
        <v>KichiCoin</v>
      </c>
    </row>
    <row r="6332">
      <c r="A6332" s="3" t="str">
        <f>IFERROR(__xludf.DUMMYFUNCTION("""COMPUTED_VALUE"""),"kick")</f>
        <v>kick</v>
      </c>
      <c r="B6332" s="3" t="str">
        <f>IFERROR(__xludf.DUMMYFUNCTION("""COMPUTED_VALUE"""),"kick")</f>
        <v>kick</v>
      </c>
      <c r="C6332" s="3" t="str">
        <f>IFERROR(__xludf.DUMMYFUNCTION("""COMPUTED_VALUE"""),"Kick")</f>
        <v>Kick</v>
      </c>
    </row>
    <row r="6333">
      <c r="A6333" s="3" t="str">
        <f>IFERROR(__xludf.DUMMYFUNCTION("""COMPUTED_VALUE"""),"kick-io")</f>
        <v>kick-io</v>
      </c>
      <c r="B6333" s="3" t="str">
        <f>IFERROR(__xludf.DUMMYFUNCTION("""COMPUTED_VALUE"""),"kick")</f>
        <v>kick</v>
      </c>
      <c r="C6333" s="4" t="str">
        <f>IFERROR(__xludf.DUMMYFUNCTION("""COMPUTED_VALUE"""),"KICK.IO")</f>
        <v>KICK.IO</v>
      </c>
    </row>
    <row r="6334">
      <c r="A6334" s="3" t="str">
        <f>IFERROR(__xludf.DUMMYFUNCTION("""COMPUTED_VALUE"""),"kickpad")</f>
        <v>kickpad</v>
      </c>
      <c r="B6334" s="3" t="str">
        <f>IFERROR(__xludf.DUMMYFUNCTION("""COMPUTED_VALUE"""),"kpad")</f>
        <v>kpad</v>
      </c>
      <c r="C6334" s="3" t="str">
        <f>IFERROR(__xludf.DUMMYFUNCTION("""COMPUTED_VALUE"""),"KickPad")</f>
        <v>KickPad</v>
      </c>
    </row>
    <row r="6335">
      <c r="A6335" s="3" t="str">
        <f>IFERROR(__xludf.DUMMYFUNCTION("""COMPUTED_VALUE"""),"kiki")</f>
        <v>kiki</v>
      </c>
      <c r="B6335" s="3" t="str">
        <f>IFERROR(__xludf.DUMMYFUNCTION("""COMPUTED_VALUE"""),"kiki")</f>
        <v>kiki</v>
      </c>
      <c r="C6335" s="3" t="str">
        <f>IFERROR(__xludf.DUMMYFUNCTION("""COMPUTED_VALUE"""),"Kiki")</f>
        <v>Kiki</v>
      </c>
    </row>
    <row r="6336">
      <c r="A6336" s="3" t="str">
        <f>IFERROR(__xludf.DUMMYFUNCTION("""COMPUTED_VALUE"""),"kiki-finance")</f>
        <v>kiki-finance</v>
      </c>
      <c r="B6336" s="3" t="str">
        <f>IFERROR(__xludf.DUMMYFUNCTION("""COMPUTED_VALUE"""),"kiki")</f>
        <v>kiki</v>
      </c>
      <c r="C6336" s="3" t="str">
        <f>IFERROR(__xludf.DUMMYFUNCTION("""COMPUTED_VALUE"""),"Kiki Finance")</f>
        <v>Kiki Finance</v>
      </c>
    </row>
    <row r="6337">
      <c r="A6337" s="3" t="str">
        <f>IFERROR(__xludf.DUMMYFUNCTION("""COMPUTED_VALUE"""),"kikswap")</f>
        <v>kikswap</v>
      </c>
      <c r="B6337" s="3" t="str">
        <f>IFERROR(__xludf.DUMMYFUNCTION("""COMPUTED_VALUE"""),"kik")</f>
        <v>kik</v>
      </c>
      <c r="C6337" s="3" t="str">
        <f>IFERROR(__xludf.DUMMYFUNCTION("""COMPUTED_VALUE"""),"Kikswap")</f>
        <v>Kikswap</v>
      </c>
    </row>
    <row r="6338">
      <c r="A6338" s="3" t="str">
        <f>IFERROR(__xludf.DUMMYFUNCTION("""COMPUTED_VALUE"""),"killswitch")</f>
        <v>killswitch</v>
      </c>
      <c r="B6338" s="3" t="str">
        <f>IFERROR(__xludf.DUMMYFUNCTION("""COMPUTED_VALUE"""),"ksw")</f>
        <v>ksw</v>
      </c>
      <c r="C6338" s="3" t="str">
        <f>IFERROR(__xludf.DUMMYFUNCTION("""COMPUTED_VALUE"""),"KillSwitch")</f>
        <v>KillSwitch</v>
      </c>
    </row>
    <row r="6339">
      <c r="A6339" s="3" t="str">
        <f>IFERROR(__xludf.DUMMYFUNCTION("""COMPUTED_VALUE"""),"killthezero")</f>
        <v>killthezero</v>
      </c>
      <c r="B6339" s="3" t="str">
        <f>IFERROR(__xludf.DUMMYFUNCTION("""COMPUTED_VALUE"""),"ktz")</f>
        <v>ktz</v>
      </c>
      <c r="C6339" s="3" t="str">
        <f>IFERROR(__xludf.DUMMYFUNCTION("""COMPUTED_VALUE"""),"KILLTHEZERO")</f>
        <v>KILLTHEZERO</v>
      </c>
    </row>
    <row r="6340">
      <c r="A6340" s="3" t="str">
        <f>IFERROR(__xludf.DUMMYFUNCTION("""COMPUTED_VALUE"""),"kiloample")</f>
        <v>kiloample</v>
      </c>
      <c r="B6340" s="3" t="str">
        <f>IFERROR(__xludf.DUMMYFUNCTION("""COMPUTED_VALUE"""),"kmpl")</f>
        <v>kmpl</v>
      </c>
      <c r="C6340" s="3" t="str">
        <f>IFERROR(__xludf.DUMMYFUNCTION("""COMPUTED_VALUE"""),"KiloAmple")</f>
        <v>KiloAmple</v>
      </c>
    </row>
    <row r="6341">
      <c r="A6341" s="3" t="str">
        <f>IFERROR(__xludf.DUMMYFUNCTION("""COMPUTED_VALUE"""),"kilo-shiba-inu")</f>
        <v>kilo-shiba-inu</v>
      </c>
      <c r="B6341" s="3" t="str">
        <f>IFERROR(__xludf.DUMMYFUNCTION("""COMPUTED_VALUE"""),"kshib")</f>
        <v>kshib</v>
      </c>
      <c r="C6341" s="3" t="str">
        <f>IFERROR(__xludf.DUMMYFUNCTION("""COMPUTED_VALUE"""),"Kilo Shiba Inu")</f>
        <v>Kilo Shiba Inu</v>
      </c>
    </row>
    <row r="6342">
      <c r="A6342" s="3" t="str">
        <f>IFERROR(__xludf.DUMMYFUNCTION("""COMPUTED_VALUE"""),"kilt-protocol")</f>
        <v>kilt-protocol</v>
      </c>
      <c r="B6342" s="3" t="str">
        <f>IFERROR(__xludf.DUMMYFUNCTION("""COMPUTED_VALUE"""),"kilt")</f>
        <v>kilt</v>
      </c>
      <c r="C6342" s="3" t="str">
        <f>IFERROR(__xludf.DUMMYFUNCTION("""COMPUTED_VALUE"""),"KILT Protocol")</f>
        <v>KILT Protocol</v>
      </c>
    </row>
    <row r="6343">
      <c r="A6343" s="3" t="str">
        <f>IFERROR(__xludf.DUMMYFUNCTION("""COMPUTED_VALUE"""),"kimchi-finance")</f>
        <v>kimchi-finance</v>
      </c>
      <c r="B6343" s="3" t="str">
        <f>IFERROR(__xludf.DUMMYFUNCTION("""COMPUTED_VALUE"""),"kimchi")</f>
        <v>kimchi</v>
      </c>
      <c r="C6343" s="3" t="str">
        <f>IFERROR(__xludf.DUMMYFUNCTION("""COMPUTED_VALUE"""),"KIMCHI.finance")</f>
        <v>KIMCHI.finance</v>
      </c>
    </row>
    <row r="6344">
      <c r="A6344" s="3" t="str">
        <f>IFERROR(__xludf.DUMMYFUNCTION("""COMPUTED_VALUE"""),"kimex")</f>
        <v>kimex</v>
      </c>
      <c r="B6344" s="3" t="str">
        <f>IFERROR(__xludf.DUMMYFUNCTION("""COMPUTED_VALUE"""),"kmx")</f>
        <v>kmx</v>
      </c>
      <c r="C6344" s="3" t="str">
        <f>IFERROR(__xludf.DUMMYFUNCTION("""COMPUTED_VALUE"""),"KIMEX")</f>
        <v>KIMEX</v>
      </c>
    </row>
    <row r="6345">
      <c r="A6345" s="3" t="str">
        <f>IFERROR(__xludf.DUMMYFUNCTION("""COMPUTED_VALUE"""),"kin")</f>
        <v>kin</v>
      </c>
      <c r="B6345" s="3" t="str">
        <f>IFERROR(__xludf.DUMMYFUNCTION("""COMPUTED_VALUE"""),"kin")</f>
        <v>kin</v>
      </c>
      <c r="C6345" s="3" t="str">
        <f>IFERROR(__xludf.DUMMYFUNCTION("""COMPUTED_VALUE"""),"Kin")</f>
        <v>Kin</v>
      </c>
    </row>
    <row r="6346">
      <c r="A6346" s="3" t="str">
        <f>IFERROR(__xludf.DUMMYFUNCTION("""COMPUTED_VALUE"""),"kind-ads-token")</f>
        <v>kind-ads-token</v>
      </c>
      <c r="B6346" s="3" t="str">
        <f>IFERROR(__xludf.DUMMYFUNCTION("""COMPUTED_VALUE"""),"kind")</f>
        <v>kind</v>
      </c>
      <c r="C6346" s="3" t="str">
        <f>IFERROR(__xludf.DUMMYFUNCTION("""COMPUTED_VALUE"""),"Kind Ads")</f>
        <v>Kind Ads</v>
      </c>
    </row>
    <row r="6347">
      <c r="A6347" s="3" t="str">
        <f>IFERROR(__xludf.DUMMYFUNCTION("""COMPUTED_VALUE"""),"kindcow-finance")</f>
        <v>kindcow-finance</v>
      </c>
      <c r="B6347" s="3" t="str">
        <f>IFERROR(__xludf.DUMMYFUNCTION("""COMPUTED_VALUE"""),"kind")</f>
        <v>kind</v>
      </c>
      <c r="C6347" s="3" t="str">
        <f>IFERROR(__xludf.DUMMYFUNCTION("""COMPUTED_VALUE"""),"Kindcow Finance")</f>
        <v>Kindcow Finance</v>
      </c>
    </row>
    <row r="6348">
      <c r="A6348" s="3" t="str">
        <f>IFERROR(__xludf.DUMMYFUNCTION("""COMPUTED_VALUE"""),"kindly")</f>
        <v>kindly</v>
      </c>
      <c r="B6348" s="3" t="str">
        <f>IFERROR(__xludf.DUMMYFUNCTION("""COMPUTED_VALUE"""),"kind")</f>
        <v>kind</v>
      </c>
      <c r="C6348" s="3" t="str">
        <f>IFERROR(__xludf.DUMMYFUNCTION("""COMPUTED_VALUE"""),"Kindly")</f>
        <v>Kindly</v>
      </c>
    </row>
    <row r="6349">
      <c r="A6349" s="3" t="str">
        <f>IFERROR(__xludf.DUMMYFUNCTION("""COMPUTED_VALUE"""),"kindness-for-soul")</f>
        <v>kindness-for-soul</v>
      </c>
      <c r="B6349" s="3" t="str">
        <f>IFERROR(__xludf.DUMMYFUNCTION("""COMPUTED_VALUE"""),"kfs g")</f>
        <v>kfs g</v>
      </c>
      <c r="C6349" s="3" t="str">
        <f>IFERROR(__xludf.DUMMYFUNCTION("""COMPUTED_VALUE"""),"Kindness For Soul")</f>
        <v>Kindness For Soul</v>
      </c>
    </row>
    <row r="6350">
      <c r="A6350" s="3" t="str">
        <f>IFERROR(__xludf.DUMMYFUNCTION("""COMPUTED_VALUE"""),"kineko")</f>
        <v>kineko</v>
      </c>
      <c r="B6350" s="3" t="str">
        <f>IFERROR(__xludf.DUMMYFUNCTION("""COMPUTED_VALUE"""),"kko")</f>
        <v>kko</v>
      </c>
      <c r="C6350" s="3" t="str">
        <f>IFERROR(__xludf.DUMMYFUNCTION("""COMPUTED_VALUE"""),"KKO Protocol")</f>
        <v>KKO Protocol</v>
      </c>
    </row>
    <row r="6351">
      <c r="A6351" s="3" t="str">
        <f>IFERROR(__xludf.DUMMYFUNCTION("""COMPUTED_VALUE"""),"kineko-knk")</f>
        <v>kineko-knk</v>
      </c>
      <c r="B6351" s="3" t="str">
        <f>IFERROR(__xludf.DUMMYFUNCTION("""COMPUTED_VALUE"""),"knk")</f>
        <v>knk</v>
      </c>
      <c r="C6351" s="3" t="str">
        <f>IFERROR(__xludf.DUMMYFUNCTION("""COMPUTED_VALUE"""),"Kineko")</f>
        <v>Kineko</v>
      </c>
    </row>
    <row r="6352">
      <c r="A6352" s="3" t="str">
        <f>IFERROR(__xludf.DUMMYFUNCTION("""COMPUTED_VALUE"""),"kine-protocol")</f>
        <v>kine-protocol</v>
      </c>
      <c r="B6352" s="3" t="str">
        <f>IFERROR(__xludf.DUMMYFUNCTION("""COMPUTED_VALUE"""),"kine")</f>
        <v>kine</v>
      </c>
      <c r="C6352" s="3" t="str">
        <f>IFERROR(__xludf.DUMMYFUNCTION("""COMPUTED_VALUE"""),"Kine Protocol")</f>
        <v>Kine Protocol</v>
      </c>
    </row>
    <row r="6353">
      <c r="A6353" s="3" t="str">
        <f>IFERROR(__xludf.DUMMYFUNCTION("""COMPUTED_VALUE"""),"king-arthur")</f>
        <v>king-arthur</v>
      </c>
      <c r="B6353" s="3" t="str">
        <f>IFERROR(__xludf.DUMMYFUNCTION("""COMPUTED_VALUE"""),"bking")</f>
        <v>bking</v>
      </c>
      <c r="C6353" s="3" t="str">
        <f>IFERROR(__xludf.DUMMYFUNCTION("""COMPUTED_VALUE"""),"King Arthur")</f>
        <v>King Arthur</v>
      </c>
    </row>
    <row r="6354">
      <c r="A6354" s="3" t="str">
        <f>IFERROR(__xludf.DUMMYFUNCTION("""COMPUTED_VALUE"""),"kingaru")</f>
        <v>kingaru</v>
      </c>
      <c r="B6354" s="3" t="str">
        <f>IFERROR(__xludf.DUMMYFUNCTION("""COMPUTED_VALUE"""),"kru")</f>
        <v>kru</v>
      </c>
      <c r="C6354" s="3" t="str">
        <f>IFERROR(__xludf.DUMMYFUNCTION("""COMPUTED_VALUE"""),"Kingaru")</f>
        <v>Kingaru</v>
      </c>
    </row>
    <row r="6355">
      <c r="A6355" s="3" t="str">
        <f>IFERROR(__xludf.DUMMYFUNCTION("""COMPUTED_VALUE"""),"kingcorgi-chain")</f>
        <v>kingcorgi-chain</v>
      </c>
      <c r="B6355" s="3" t="str">
        <f>IFERROR(__xludf.DUMMYFUNCTION("""COMPUTED_VALUE"""),"kcc")</f>
        <v>kcc</v>
      </c>
      <c r="C6355" s="3" t="str">
        <f>IFERROR(__xludf.DUMMYFUNCTION("""COMPUTED_VALUE"""),"KingCorgi Chain")</f>
        <v>KingCorgi Chain</v>
      </c>
    </row>
    <row r="6356">
      <c r="A6356" s="3" t="str">
        <f>IFERROR(__xludf.DUMMYFUNCTION("""COMPUTED_VALUE"""),"kingdoge")</f>
        <v>kingdoge</v>
      </c>
      <c r="B6356" s="3" t="str">
        <f>IFERROR(__xludf.DUMMYFUNCTION("""COMPUTED_VALUE"""),"kdoge")</f>
        <v>kdoge</v>
      </c>
      <c r="C6356" s="3" t="str">
        <f>IFERROR(__xludf.DUMMYFUNCTION("""COMPUTED_VALUE"""),"KingDoge")</f>
        <v>KingDoge</v>
      </c>
    </row>
    <row r="6357">
      <c r="A6357" s="3" t="str">
        <f>IFERROR(__xludf.DUMMYFUNCTION("""COMPUTED_VALUE"""),"king-dog-inu")</f>
        <v>king-dog-inu</v>
      </c>
      <c r="B6357" s="3" t="str">
        <f>IFERROR(__xludf.DUMMYFUNCTION("""COMPUTED_VALUE"""),"kingdog")</f>
        <v>kingdog</v>
      </c>
      <c r="C6357" s="3" t="str">
        <f>IFERROR(__xludf.DUMMYFUNCTION("""COMPUTED_VALUE"""),"King Dog Inu")</f>
        <v>King Dog Inu</v>
      </c>
    </row>
    <row r="6358">
      <c r="A6358" s="3" t="str">
        <f>IFERROR(__xludf.DUMMYFUNCTION("""COMPUTED_VALUE"""),"kingdom-clash")</f>
        <v>kingdom-clash</v>
      </c>
      <c r="B6358" s="3" t="str">
        <f>IFERROR(__xludf.DUMMYFUNCTION("""COMPUTED_VALUE"""),"kct")</f>
        <v>kct</v>
      </c>
      <c r="C6358" s="3" t="str">
        <f>IFERROR(__xludf.DUMMYFUNCTION("""COMPUTED_VALUE"""),"Kingdom Clash")</f>
        <v>Kingdom Clash</v>
      </c>
    </row>
    <row r="6359">
      <c r="A6359" s="3" t="str">
        <f>IFERROR(__xludf.DUMMYFUNCTION("""COMPUTED_VALUE"""),"kingdom-game-4-0")</f>
        <v>kingdom-game-4-0</v>
      </c>
      <c r="B6359" s="3" t="str">
        <f>IFERROR(__xludf.DUMMYFUNCTION("""COMPUTED_VALUE"""),"kdg")</f>
        <v>kdg</v>
      </c>
      <c r="C6359" s="3" t="str">
        <f>IFERROR(__xludf.DUMMYFUNCTION("""COMPUTED_VALUE"""),"Kingdom Game 4.0")</f>
        <v>Kingdom Game 4.0</v>
      </c>
    </row>
    <row r="6360">
      <c r="A6360" s="3" t="str">
        <f>IFERROR(__xludf.DUMMYFUNCTION("""COMPUTED_VALUE"""),"kingdom-karnage")</f>
        <v>kingdom-karnage</v>
      </c>
      <c r="B6360" s="3" t="str">
        <f>IFERROR(__xludf.DUMMYFUNCTION("""COMPUTED_VALUE"""),"kkt")</f>
        <v>kkt</v>
      </c>
      <c r="C6360" s="3" t="str">
        <f>IFERROR(__xludf.DUMMYFUNCTION("""COMPUTED_VALUE"""),"Kingdom Karnage")</f>
        <v>Kingdom Karnage</v>
      </c>
    </row>
    <row r="6361">
      <c r="A6361" s="3" t="str">
        <f>IFERROR(__xludf.DUMMYFUNCTION("""COMPUTED_VALUE"""),"kingdom-quest")</f>
        <v>kingdom-quest</v>
      </c>
      <c r="B6361" s="3" t="str">
        <f>IFERROR(__xludf.DUMMYFUNCTION("""COMPUTED_VALUE"""),"kgc")</f>
        <v>kgc</v>
      </c>
      <c r="C6361" s="3" t="str">
        <f>IFERROR(__xludf.DUMMYFUNCTION("""COMPUTED_VALUE"""),"Kingdom Quest")</f>
        <v>Kingdom Quest</v>
      </c>
    </row>
    <row r="6362">
      <c r="A6362" s="3" t="str">
        <f>IFERROR(__xludf.DUMMYFUNCTION("""COMPUTED_VALUE"""),"kingdom-raids")</f>
        <v>kingdom-raids</v>
      </c>
      <c r="B6362" s="3" t="str">
        <f>IFERROR(__xludf.DUMMYFUNCTION("""COMPUTED_VALUE"""),"krs")</f>
        <v>krs</v>
      </c>
      <c r="C6362" s="3" t="str">
        <f>IFERROR(__xludf.DUMMYFUNCTION("""COMPUTED_VALUE"""),"Kingdom Raids")</f>
        <v>Kingdom Raids</v>
      </c>
    </row>
    <row r="6363">
      <c r="A6363" s="3" t="str">
        <f>IFERROR(__xludf.DUMMYFUNCTION("""COMPUTED_VALUE"""),"kingdomswap")</f>
        <v>kingdomswap</v>
      </c>
      <c r="B6363" s="3" t="str">
        <f>IFERROR(__xludf.DUMMYFUNCTION("""COMPUTED_VALUE"""),"ks")</f>
        <v>ks</v>
      </c>
      <c r="C6363" s="3" t="str">
        <f>IFERROR(__xludf.DUMMYFUNCTION("""COMPUTED_VALUE"""),"Kingdomswap [OLD]")</f>
        <v>Kingdomswap [OLD]</v>
      </c>
    </row>
    <row r="6364">
      <c r="A6364" s="3" t="str">
        <f>IFERROR(__xludf.DUMMYFUNCTION("""COMPUTED_VALUE"""),"kingdomswap-2")</f>
        <v>kingdomswap-2</v>
      </c>
      <c r="B6364" s="3" t="str">
        <f>IFERROR(__xludf.DUMMYFUNCTION("""COMPUTED_VALUE"""),"ks2")</f>
        <v>ks2</v>
      </c>
      <c r="C6364" s="3" t="str">
        <f>IFERROR(__xludf.DUMMYFUNCTION("""COMPUTED_VALUE"""),"Kingdom Swap 2.0")</f>
        <v>Kingdom Swap 2.0</v>
      </c>
    </row>
    <row r="6365">
      <c r="A6365" s="3" t="str">
        <f>IFERROR(__xludf.DUMMYFUNCTION("""COMPUTED_VALUE"""),"kingdomx")</f>
        <v>kingdomx</v>
      </c>
      <c r="B6365" s="3" t="str">
        <f>IFERROR(__xludf.DUMMYFUNCTION("""COMPUTED_VALUE"""),"kt")</f>
        <v>kt</v>
      </c>
      <c r="C6365" s="3" t="str">
        <f>IFERROR(__xludf.DUMMYFUNCTION("""COMPUTED_VALUE"""),"KingdomX")</f>
        <v>KingdomX</v>
      </c>
    </row>
    <row r="6366">
      <c r="A6366" s="3" t="str">
        <f>IFERROR(__xludf.DUMMYFUNCTION("""COMPUTED_VALUE"""),"king-forever")</f>
        <v>king-forever</v>
      </c>
      <c r="B6366" s="3" t="str">
        <f>IFERROR(__xludf.DUMMYFUNCTION("""COMPUTED_VALUE"""),"kfr")</f>
        <v>kfr</v>
      </c>
      <c r="C6366" s="3" t="str">
        <f>IFERROR(__xludf.DUMMYFUNCTION("""COMPUTED_VALUE"""),"KING FOREVER")</f>
        <v>KING FOREVER</v>
      </c>
    </row>
    <row r="6367">
      <c r="A6367" s="3" t="str">
        <f>IFERROR(__xludf.DUMMYFUNCTION("""COMPUTED_VALUE"""),"king-money")</f>
        <v>king-money</v>
      </c>
      <c r="B6367" s="3" t="str">
        <f>IFERROR(__xludf.DUMMYFUNCTION("""COMPUTED_VALUE"""),"kim")</f>
        <v>kim</v>
      </c>
      <c r="C6367" s="3" t="str">
        <f>IFERROR(__xludf.DUMMYFUNCTION("""COMPUTED_VALUE"""),"King Money")</f>
        <v>King Money</v>
      </c>
    </row>
    <row r="6368">
      <c r="A6368" s="3" t="str">
        <f>IFERROR(__xludf.DUMMYFUNCTION("""COMPUTED_VALUE"""),"king-of-legends-2")</f>
        <v>king-of-legends-2</v>
      </c>
      <c r="B6368" s="3" t="str">
        <f>IFERROR(__xludf.DUMMYFUNCTION("""COMPUTED_VALUE"""),"kol")</f>
        <v>kol</v>
      </c>
      <c r="C6368" s="3" t="str">
        <f>IFERROR(__xludf.DUMMYFUNCTION("""COMPUTED_VALUE"""),"King of Legends")</f>
        <v>King of Legends</v>
      </c>
    </row>
    <row r="6369">
      <c r="A6369" s="3" t="str">
        <f>IFERROR(__xludf.DUMMYFUNCTION("""COMPUTED_VALUE"""),"king-of-shiba")</f>
        <v>king-of-shiba</v>
      </c>
      <c r="B6369" s="3" t="str">
        <f>IFERROR(__xludf.DUMMYFUNCTION("""COMPUTED_VALUE"""),"kingshiba")</f>
        <v>kingshiba</v>
      </c>
      <c r="C6369" s="3" t="str">
        <f>IFERROR(__xludf.DUMMYFUNCTION("""COMPUTED_VALUE"""),"King of Shiba")</f>
        <v>King of Shiba</v>
      </c>
    </row>
    <row r="6370">
      <c r="A6370" s="3" t="str">
        <f>IFERROR(__xludf.DUMMYFUNCTION("""COMPUTED_VALUE"""),"kingpad")</f>
        <v>kingpad</v>
      </c>
      <c r="B6370" s="3" t="str">
        <f>IFERROR(__xludf.DUMMYFUNCTION("""COMPUTED_VALUE"""),"crown")</f>
        <v>crown</v>
      </c>
      <c r="C6370" s="3" t="str">
        <f>IFERROR(__xludf.DUMMYFUNCTION("""COMPUTED_VALUE"""),"KingPad")</f>
        <v>KingPad</v>
      </c>
    </row>
    <row r="6371">
      <c r="A6371" s="3" t="str">
        <f>IFERROR(__xludf.DUMMYFUNCTION("""COMPUTED_VALUE"""),"king-samo")</f>
        <v>king-samo</v>
      </c>
      <c r="B6371" s="3" t="str">
        <f>IFERROR(__xludf.DUMMYFUNCTION("""COMPUTED_VALUE"""),"ksamo")</f>
        <v>ksamo</v>
      </c>
      <c r="C6371" s="3" t="str">
        <f>IFERROR(__xludf.DUMMYFUNCTION("""COMPUTED_VALUE"""),"King Samo")</f>
        <v>King Samo</v>
      </c>
    </row>
    <row r="6372">
      <c r="A6372" s="3" t="str">
        <f>IFERROR(__xludf.DUMMYFUNCTION("""COMPUTED_VALUE"""),"kings-coin")</f>
        <v>kings-coin</v>
      </c>
      <c r="B6372" s="3" t="str">
        <f>IFERROR(__xludf.DUMMYFUNCTION("""COMPUTED_VALUE"""),"kings")</f>
        <v>kings</v>
      </c>
      <c r="C6372" s="3" t="str">
        <f>IFERROR(__xludf.DUMMYFUNCTION("""COMPUTED_VALUE"""),"Kings Coin")</f>
        <v>Kings Coin</v>
      </c>
    </row>
    <row r="6373">
      <c r="A6373" s="3" t="str">
        <f>IFERROR(__xludf.DUMMYFUNCTION("""COMPUTED_VALUE"""),"king-shiba")</f>
        <v>king-shiba</v>
      </c>
      <c r="B6373" s="3" t="str">
        <f>IFERROR(__xludf.DUMMYFUNCTION("""COMPUTED_VALUE"""),"kingshib")</f>
        <v>kingshib</v>
      </c>
      <c r="C6373" s="3" t="str">
        <f>IFERROR(__xludf.DUMMYFUNCTION("""COMPUTED_VALUE"""),"King Shiba")</f>
        <v>King Shiba</v>
      </c>
    </row>
    <row r="6374">
      <c r="A6374" s="3" t="str">
        <f>IFERROR(__xludf.DUMMYFUNCTION("""COMPUTED_VALUE"""),"kingspeed")</f>
        <v>kingspeed</v>
      </c>
      <c r="B6374" s="3" t="str">
        <f>IFERROR(__xludf.DUMMYFUNCTION("""COMPUTED_VALUE"""),"ksc")</f>
        <v>ksc</v>
      </c>
      <c r="C6374" s="3" t="str">
        <f>IFERROR(__xludf.DUMMYFUNCTION("""COMPUTED_VALUE"""),"KingSpeed")</f>
        <v>KingSpeed</v>
      </c>
    </row>
    <row r="6375">
      <c r="A6375" s="3" t="str">
        <f>IFERROR(__xludf.DUMMYFUNCTION("""COMPUTED_VALUE"""),"king-swap")</f>
        <v>king-swap</v>
      </c>
      <c r="B6375" s="3" t="str">
        <f>IFERROR(__xludf.DUMMYFUNCTION("""COMPUTED_VALUE"""),"$king")</f>
        <v>$king</v>
      </c>
      <c r="C6375" s="3" t="str">
        <f>IFERROR(__xludf.DUMMYFUNCTION("""COMPUTED_VALUE"""),"King Swap")</f>
        <v>King Swap</v>
      </c>
    </row>
    <row r="6376">
      <c r="A6376" s="3" t="str">
        <f>IFERROR(__xludf.DUMMYFUNCTION("""COMPUTED_VALUE"""),"kingxchain")</f>
        <v>kingxchain</v>
      </c>
      <c r="B6376" s="3" t="str">
        <f>IFERROR(__xludf.DUMMYFUNCTION("""COMPUTED_VALUE"""),"kxc")</f>
        <v>kxc</v>
      </c>
      <c r="C6376" s="3" t="str">
        <f>IFERROR(__xludf.DUMMYFUNCTION("""COMPUTED_VALUE"""),"KingXChain")</f>
        <v>KingXChain</v>
      </c>
    </row>
    <row r="6377">
      <c r="A6377" s="3" t="str">
        <f>IFERROR(__xludf.DUMMYFUNCTION("""COMPUTED_VALUE"""),"kino")</f>
        <v>kino</v>
      </c>
      <c r="B6377" s="3" t="str">
        <f>IFERROR(__xludf.DUMMYFUNCTION("""COMPUTED_VALUE"""),"kino")</f>
        <v>kino</v>
      </c>
      <c r="C6377" s="3" t="str">
        <f>IFERROR(__xludf.DUMMYFUNCTION("""COMPUTED_VALUE"""),"Kino")</f>
        <v>Kino</v>
      </c>
    </row>
    <row r="6378">
      <c r="A6378" s="3" t="str">
        <f>IFERROR(__xludf.DUMMYFUNCTION("""COMPUTED_VALUE"""),"kintsugi")</f>
        <v>kintsugi</v>
      </c>
      <c r="B6378" s="3" t="str">
        <f>IFERROR(__xludf.DUMMYFUNCTION("""COMPUTED_VALUE"""),"kint")</f>
        <v>kint</v>
      </c>
      <c r="C6378" s="3" t="str">
        <f>IFERROR(__xludf.DUMMYFUNCTION("""COMPUTED_VALUE"""),"Kintsugi")</f>
        <v>Kintsugi</v>
      </c>
    </row>
    <row r="6379">
      <c r="A6379" s="3" t="str">
        <f>IFERROR(__xludf.DUMMYFUNCTION("""COMPUTED_VALUE"""),"kintsugi-btc")</f>
        <v>kintsugi-btc</v>
      </c>
      <c r="B6379" s="3" t="str">
        <f>IFERROR(__xludf.DUMMYFUNCTION("""COMPUTED_VALUE"""),"kbtc")</f>
        <v>kbtc</v>
      </c>
      <c r="C6379" s="3" t="str">
        <f>IFERROR(__xludf.DUMMYFUNCTION("""COMPUTED_VALUE"""),"Kintsugi BTC")</f>
        <v>Kintsugi BTC</v>
      </c>
    </row>
    <row r="6380">
      <c r="A6380" s="3" t="str">
        <f>IFERROR(__xludf.DUMMYFUNCTION("""COMPUTED_VALUE"""),"kira")</f>
        <v>kira</v>
      </c>
      <c r="B6380" s="3" t="str">
        <f>IFERROR(__xludf.DUMMYFUNCTION("""COMPUTED_VALUE"""),"kira")</f>
        <v>kira</v>
      </c>
      <c r="C6380" s="3" t="str">
        <f>IFERROR(__xludf.DUMMYFUNCTION("""COMPUTED_VALUE"""),"KIRA")</f>
        <v>KIRA</v>
      </c>
    </row>
    <row r="6381">
      <c r="A6381" s="3" t="str">
        <f>IFERROR(__xludf.DUMMYFUNCTION("""COMPUTED_VALUE"""),"kiradoge-coin")</f>
        <v>kiradoge-coin</v>
      </c>
      <c r="B6381" s="3" t="str">
        <f>IFERROR(__xludf.DUMMYFUNCTION("""COMPUTED_VALUE"""),"kiradoge")</f>
        <v>kiradoge</v>
      </c>
      <c r="C6381" s="3" t="str">
        <f>IFERROR(__xludf.DUMMYFUNCTION("""COMPUTED_VALUE"""),"Kiradoge")</f>
        <v>Kiradoge</v>
      </c>
    </row>
    <row r="6382">
      <c r="A6382" s="3" t="str">
        <f>IFERROR(__xludf.DUMMYFUNCTION("""COMPUTED_VALUE"""),"kira-network")</f>
        <v>kira-network</v>
      </c>
      <c r="B6382" s="3" t="str">
        <f>IFERROR(__xludf.DUMMYFUNCTION("""COMPUTED_VALUE"""),"kex")</f>
        <v>kex</v>
      </c>
      <c r="C6382" s="3" t="str">
        <f>IFERROR(__xludf.DUMMYFUNCTION("""COMPUTED_VALUE"""),"KIRA Network")</f>
        <v>KIRA Network</v>
      </c>
    </row>
    <row r="6383">
      <c r="A6383" s="3" t="str">
        <f>IFERROR(__xludf.DUMMYFUNCTION("""COMPUTED_VALUE"""),"kirby")</f>
        <v>kirby</v>
      </c>
      <c r="B6383" s="3" t="str">
        <f>IFERROR(__xludf.DUMMYFUNCTION("""COMPUTED_VALUE"""),"kirby")</f>
        <v>kirby</v>
      </c>
      <c r="C6383" s="3" t="str">
        <f>IFERROR(__xludf.DUMMYFUNCTION("""COMPUTED_VALUE"""),"Kirby")</f>
        <v>Kirby</v>
      </c>
    </row>
    <row r="6384">
      <c r="A6384" s="3" t="str">
        <f>IFERROR(__xludf.DUMMYFUNCTION("""COMPUTED_VALUE"""),"kirobo")</f>
        <v>kirobo</v>
      </c>
      <c r="B6384" s="3" t="str">
        <f>IFERROR(__xludf.DUMMYFUNCTION("""COMPUTED_VALUE"""),"kiro")</f>
        <v>kiro</v>
      </c>
      <c r="C6384" s="3" t="str">
        <f>IFERROR(__xludf.DUMMYFUNCTION("""COMPUTED_VALUE"""),"Kirobo")</f>
        <v>Kirobo</v>
      </c>
    </row>
    <row r="6385">
      <c r="A6385" s="3" t="str">
        <f>IFERROR(__xludf.DUMMYFUNCTION("""COMPUTED_VALUE"""),"kishiburno")</f>
        <v>kishiburno</v>
      </c>
      <c r="B6385" s="3" t="str">
        <f>IFERROR(__xludf.DUMMYFUNCTION("""COMPUTED_VALUE"""),"kishiburno")</f>
        <v>kishiburno</v>
      </c>
      <c r="C6385" s="3" t="str">
        <f>IFERROR(__xludf.DUMMYFUNCTION("""COMPUTED_VALUE"""),"Kishiburno")</f>
        <v>Kishiburno</v>
      </c>
    </row>
    <row r="6386">
      <c r="A6386" s="3" t="str">
        <f>IFERROR(__xludf.DUMMYFUNCTION("""COMPUTED_VALUE"""),"kishimoto")</f>
        <v>kishimoto</v>
      </c>
      <c r="B6386" s="3" t="str">
        <f>IFERROR(__xludf.DUMMYFUNCTION("""COMPUTED_VALUE"""),"kishimoto")</f>
        <v>kishimoto</v>
      </c>
      <c r="C6386" s="3" t="str">
        <f>IFERROR(__xludf.DUMMYFUNCTION("""COMPUTED_VALUE"""),"Kishimoto")</f>
        <v>Kishimoto</v>
      </c>
    </row>
    <row r="6387">
      <c r="A6387" s="3" t="str">
        <f>IFERROR(__xludf.DUMMYFUNCTION("""COMPUTED_VALUE"""),"kishimoto-inu")</f>
        <v>kishimoto-inu</v>
      </c>
      <c r="B6387" s="3" t="str">
        <f>IFERROR(__xludf.DUMMYFUNCTION("""COMPUTED_VALUE"""),"kishimoto")</f>
        <v>kishimoto</v>
      </c>
      <c r="C6387" s="3" t="str">
        <f>IFERROR(__xludf.DUMMYFUNCTION("""COMPUTED_VALUE"""),"Kishimoto (old)")</f>
        <v>Kishimoto (old)</v>
      </c>
    </row>
    <row r="6388">
      <c r="A6388" s="3" t="str">
        <f>IFERROR(__xludf.DUMMYFUNCTION("""COMPUTED_VALUE"""),"kishu-baby")</f>
        <v>kishu-baby</v>
      </c>
      <c r="B6388" s="3" t="str">
        <f>IFERROR(__xludf.DUMMYFUNCTION("""COMPUTED_VALUE"""),"kishubaby")</f>
        <v>kishubaby</v>
      </c>
      <c r="C6388" s="3" t="str">
        <f>IFERROR(__xludf.DUMMYFUNCTION("""COMPUTED_VALUE"""),"Kishu Baby")</f>
        <v>Kishu Baby</v>
      </c>
    </row>
    <row r="6389">
      <c r="A6389" s="3" t="str">
        <f>IFERROR(__xludf.DUMMYFUNCTION("""COMPUTED_VALUE"""),"kishu-inu")</f>
        <v>kishu-inu</v>
      </c>
      <c r="B6389" s="3" t="str">
        <f>IFERROR(__xludf.DUMMYFUNCTION("""COMPUTED_VALUE"""),"kishu")</f>
        <v>kishu</v>
      </c>
      <c r="C6389" s="3" t="str">
        <f>IFERROR(__xludf.DUMMYFUNCTION("""COMPUTED_VALUE"""),"Kishu Inu")</f>
        <v>Kishu Inu</v>
      </c>
    </row>
    <row r="6390">
      <c r="A6390" s="3" t="str">
        <f>IFERROR(__xludf.DUMMYFUNCTION("""COMPUTED_VALUE"""),"kishu-ken")</f>
        <v>kishu-ken</v>
      </c>
      <c r="B6390" s="3" t="str">
        <f>IFERROR(__xludf.DUMMYFUNCTION("""COMPUTED_VALUE"""),"kishk")</f>
        <v>kishk</v>
      </c>
      <c r="C6390" s="3" t="str">
        <f>IFERROR(__xludf.DUMMYFUNCTION("""COMPUTED_VALUE"""),"Kishu Ken")</f>
        <v>Kishu Ken</v>
      </c>
    </row>
    <row r="6391">
      <c r="A6391" s="3" t="str">
        <f>IFERROR(__xludf.DUMMYFUNCTION("""COMPUTED_VALUE"""),"kishutama")</f>
        <v>kishutama</v>
      </c>
      <c r="B6391" s="3" t="str">
        <f>IFERROR(__xludf.DUMMYFUNCTION("""COMPUTED_VALUE"""),"kishutama")</f>
        <v>kishutama</v>
      </c>
      <c r="C6391" s="3" t="str">
        <f>IFERROR(__xludf.DUMMYFUNCTION("""COMPUTED_VALUE"""),"Kishutama")</f>
        <v>Kishutama</v>
      </c>
    </row>
    <row r="6392">
      <c r="A6392" s="3" t="str">
        <f>IFERROR(__xludf.DUMMYFUNCTION("""COMPUTED_VALUE"""),"kissan")</f>
        <v>kissan</v>
      </c>
      <c r="B6392" s="3" t="str">
        <f>IFERROR(__xludf.DUMMYFUNCTION("""COMPUTED_VALUE"""),"ksn")</f>
        <v>ksn</v>
      </c>
      <c r="C6392" s="3" t="str">
        <f>IFERROR(__xludf.DUMMYFUNCTION("""COMPUTED_VALUE"""),"Kissan")</f>
        <v>Kissan</v>
      </c>
    </row>
    <row r="6393">
      <c r="A6393" s="3" t="str">
        <f>IFERROR(__xludf.DUMMYFUNCTION("""COMPUTED_VALUE"""),"kissmymoon")</f>
        <v>kissmymoon</v>
      </c>
      <c r="B6393" s="3" t="str">
        <f>IFERROR(__xludf.DUMMYFUNCTION("""COMPUTED_VALUE"""),"kissmymoon")</f>
        <v>kissmymoon</v>
      </c>
      <c r="C6393" s="3" t="str">
        <f>IFERROR(__xludf.DUMMYFUNCTION("""COMPUTED_VALUE"""),"KissMyMoon")</f>
        <v>KissMyMoon</v>
      </c>
    </row>
    <row r="6394">
      <c r="A6394" s="3" t="str">
        <f>IFERROR(__xludf.DUMMYFUNCTION("""COMPUTED_VALUE"""),"kite-sync")</f>
        <v>kite-sync</v>
      </c>
      <c r="B6394" s="3" t="str">
        <f>IFERROR(__xludf.DUMMYFUNCTION("""COMPUTED_VALUE"""),"kite")</f>
        <v>kite</v>
      </c>
      <c r="C6394" s="3" t="str">
        <f>IFERROR(__xludf.DUMMYFUNCTION("""COMPUTED_VALUE"""),"Kite Sync")</f>
        <v>Kite Sync</v>
      </c>
    </row>
    <row r="6395">
      <c r="A6395" s="3" t="str">
        <f>IFERROR(__xludf.DUMMYFUNCTION("""COMPUTED_VALUE"""),"kitsumon")</f>
        <v>kitsumon</v>
      </c>
      <c r="B6395" s="3" t="str">
        <f>IFERROR(__xludf.DUMMYFUNCTION("""COMPUTED_VALUE"""),"$kmc")</f>
        <v>$kmc</v>
      </c>
      <c r="C6395" s="3" t="str">
        <f>IFERROR(__xludf.DUMMYFUNCTION("""COMPUTED_VALUE"""),"Kitsumon")</f>
        <v>Kitsumon</v>
      </c>
    </row>
    <row r="6396">
      <c r="A6396" s="3" t="str">
        <f>IFERROR(__xludf.DUMMYFUNCTION("""COMPUTED_VALUE"""),"kitsune-inu-2")</f>
        <v>kitsune-inu-2</v>
      </c>
      <c r="B6396" s="3" t="str">
        <f>IFERROR(__xludf.DUMMYFUNCTION("""COMPUTED_VALUE"""),"kitsune")</f>
        <v>kitsune</v>
      </c>
      <c r="C6396" s="3" t="str">
        <f>IFERROR(__xludf.DUMMYFUNCTION("""COMPUTED_VALUE"""),"Kitsune Inu")</f>
        <v>Kitsune Inu</v>
      </c>
    </row>
    <row r="6397">
      <c r="A6397" s="3" t="str">
        <f>IFERROR(__xludf.DUMMYFUNCTION("""COMPUTED_VALUE"""),"kitsune-mask")</f>
        <v>kitsune-mask</v>
      </c>
      <c r="B6397" s="3" t="str">
        <f>IFERROR(__xludf.DUMMYFUNCTION("""COMPUTED_VALUE"""),"kmask")</f>
        <v>kmask</v>
      </c>
      <c r="C6397" s="3" t="str">
        <f>IFERROR(__xludf.DUMMYFUNCTION("""COMPUTED_VALUE"""),"Kitsune Mask")</f>
        <v>Kitsune Mask</v>
      </c>
    </row>
    <row r="6398">
      <c r="A6398" s="3" t="str">
        <f>IFERROR(__xludf.DUMMYFUNCTION("""COMPUTED_VALUE"""),"kitten-coin")</f>
        <v>kitten-coin</v>
      </c>
      <c r="B6398" s="3" t="str">
        <f>IFERROR(__xludf.DUMMYFUNCTION("""COMPUTED_VALUE"""),"kittens")</f>
        <v>kittens</v>
      </c>
      <c r="C6398" s="3" t="str">
        <f>IFERROR(__xludf.DUMMYFUNCTION("""COMPUTED_VALUE"""),"Kitten Coin")</f>
        <v>Kitten Coin</v>
      </c>
    </row>
    <row r="6399">
      <c r="A6399" s="3" t="str">
        <f>IFERROR(__xludf.DUMMYFUNCTION("""COMPUTED_VALUE"""),"kittenfinance")</f>
        <v>kittenfinance</v>
      </c>
      <c r="B6399" s="3" t="str">
        <f>IFERROR(__xludf.DUMMYFUNCTION("""COMPUTED_VALUE"""),"kif")</f>
        <v>kif</v>
      </c>
      <c r="C6399" s="3" t="str">
        <f>IFERROR(__xludf.DUMMYFUNCTION("""COMPUTED_VALUE"""),"KittenFinance")</f>
        <v>KittenFinance</v>
      </c>
    </row>
    <row r="6400">
      <c r="A6400" s="3" t="str">
        <f>IFERROR(__xludf.DUMMYFUNCTION("""COMPUTED_VALUE"""),"kitty")</f>
        <v>kitty</v>
      </c>
      <c r="B6400" s="3" t="str">
        <f>IFERROR(__xludf.DUMMYFUNCTION("""COMPUTED_VALUE"""),"kit")</f>
        <v>kit</v>
      </c>
      <c r="C6400" s="3" t="str">
        <f>IFERROR(__xludf.DUMMYFUNCTION("""COMPUTED_VALUE"""),"Kitty")</f>
        <v>Kitty</v>
      </c>
    </row>
    <row r="6401">
      <c r="A6401" s="3" t="str">
        <f>IFERROR(__xludf.DUMMYFUNCTION("""COMPUTED_VALUE"""),"kittycake")</f>
        <v>kittycake</v>
      </c>
      <c r="B6401" s="3" t="str">
        <f>IFERROR(__xludf.DUMMYFUNCTION("""COMPUTED_VALUE"""),"kcake")</f>
        <v>kcake</v>
      </c>
      <c r="C6401" s="3" t="str">
        <f>IFERROR(__xludf.DUMMYFUNCTION("""COMPUTED_VALUE"""),"KittyCake")</f>
        <v>KittyCake</v>
      </c>
    </row>
    <row r="6402">
      <c r="A6402" s="3" t="str">
        <f>IFERROR(__xludf.DUMMYFUNCTION("""COMPUTED_VALUE"""),"kittycoin")</f>
        <v>kittycoin</v>
      </c>
      <c r="B6402" s="3" t="str">
        <f>IFERROR(__xludf.DUMMYFUNCTION("""COMPUTED_VALUE"""),"kitty")</f>
        <v>kitty</v>
      </c>
      <c r="C6402" s="3" t="str">
        <f>IFERROR(__xludf.DUMMYFUNCTION("""COMPUTED_VALUE"""),"Kitty Coin")</f>
        <v>Kitty Coin</v>
      </c>
    </row>
    <row r="6403">
      <c r="A6403" s="3" t="str">
        <f>IFERROR(__xludf.DUMMYFUNCTION("""COMPUTED_VALUE"""),"kitty-coin-solana")</f>
        <v>kitty-coin-solana</v>
      </c>
      <c r="B6403" s="3" t="str">
        <f>IFERROR(__xludf.DUMMYFUNCTION("""COMPUTED_VALUE"""),"kitty")</f>
        <v>kitty</v>
      </c>
      <c r="C6403" s="3" t="str">
        <f>IFERROR(__xludf.DUMMYFUNCTION("""COMPUTED_VALUE"""),"Kitty Coin Solana")</f>
        <v>Kitty Coin Solana</v>
      </c>
    </row>
    <row r="6404">
      <c r="A6404" s="3" t="str">
        <f>IFERROR(__xludf.DUMMYFUNCTION("""COMPUTED_VALUE"""),"kitty-finance")</f>
        <v>kitty-finance</v>
      </c>
      <c r="B6404" s="3" t="str">
        <f>IFERROR(__xludf.DUMMYFUNCTION("""COMPUTED_VALUE"""),"kitty")</f>
        <v>kitty</v>
      </c>
      <c r="C6404" s="3" t="str">
        <f>IFERROR(__xludf.DUMMYFUNCTION("""COMPUTED_VALUE"""),"Kitty Finance")</f>
        <v>Kitty Finance</v>
      </c>
    </row>
    <row r="6405">
      <c r="A6405" s="3" t="str">
        <f>IFERROR(__xludf.DUMMYFUNCTION("""COMPUTED_VALUE"""),"kitty-inu")</f>
        <v>kitty-inu</v>
      </c>
      <c r="B6405" s="3" t="str">
        <f>IFERROR(__xludf.DUMMYFUNCTION("""COMPUTED_VALUE"""),"kitty")</f>
        <v>kitty</v>
      </c>
      <c r="C6405" s="3" t="str">
        <f>IFERROR(__xludf.DUMMYFUNCTION("""COMPUTED_VALUE"""),"Kitty Inu")</f>
        <v>Kitty Inu</v>
      </c>
    </row>
    <row r="6406">
      <c r="A6406" s="3" t="str">
        <f>IFERROR(__xludf.DUMMYFUNCTION("""COMPUTED_VALUE"""),"kitty-solana")</f>
        <v>kitty-solana</v>
      </c>
      <c r="B6406" s="3" t="str">
        <f>IFERROR(__xludf.DUMMYFUNCTION("""COMPUTED_VALUE"""),"kitty")</f>
        <v>kitty</v>
      </c>
      <c r="C6406" s="3" t="str">
        <f>IFERROR(__xludf.DUMMYFUNCTION("""COMPUTED_VALUE"""),"Kitty Solana")</f>
        <v>Kitty Solana</v>
      </c>
    </row>
    <row r="6407">
      <c r="A6407" s="3" t="str">
        <f>IFERROR(__xludf.DUMMYFUNCTION("""COMPUTED_VALUE"""),"kitty-vault-nftx")</f>
        <v>kitty-vault-nftx</v>
      </c>
      <c r="B6407" s="3" t="str">
        <f>IFERROR(__xludf.DUMMYFUNCTION("""COMPUTED_VALUE"""),"kitty")</f>
        <v>kitty</v>
      </c>
      <c r="C6407" s="3" t="str">
        <f>IFERROR(__xludf.DUMMYFUNCTION("""COMPUTED_VALUE"""),"KITTY Vault (NFTX)")</f>
        <v>KITTY Vault (NFTX)</v>
      </c>
    </row>
    <row r="6408">
      <c r="A6408" s="3" t="str">
        <f>IFERROR(__xludf.DUMMYFUNCTION("""COMPUTED_VALUE"""),"kiwe-markets")</f>
        <v>kiwe-markets</v>
      </c>
      <c r="B6408" s="3" t="str">
        <f>IFERROR(__xludf.DUMMYFUNCTION("""COMPUTED_VALUE"""),"kiwe")</f>
        <v>kiwe</v>
      </c>
      <c r="C6408" s="3" t="str">
        <f>IFERROR(__xludf.DUMMYFUNCTION("""COMPUTED_VALUE"""),"Kiwe Markets")</f>
        <v>Kiwe Markets</v>
      </c>
    </row>
    <row r="6409">
      <c r="A6409" s="3" t="str">
        <f>IFERROR(__xludf.DUMMYFUNCTION("""COMPUTED_VALUE"""),"kiwigo")</f>
        <v>kiwigo</v>
      </c>
      <c r="B6409" s="3" t="str">
        <f>IFERROR(__xludf.DUMMYFUNCTION("""COMPUTED_VALUE"""),"kgo")</f>
        <v>kgo</v>
      </c>
      <c r="C6409" s="3" t="str">
        <f>IFERROR(__xludf.DUMMYFUNCTION("""COMPUTED_VALUE"""),"Kiwigo")</f>
        <v>Kiwigo</v>
      </c>
    </row>
    <row r="6410">
      <c r="A6410" s="3" t="str">
        <f>IFERROR(__xludf.DUMMYFUNCTION("""COMPUTED_VALUE"""),"klap-finance")</f>
        <v>klap-finance</v>
      </c>
      <c r="B6410" s="3" t="str">
        <f>IFERROR(__xludf.DUMMYFUNCTION("""COMPUTED_VALUE"""),"klap")</f>
        <v>klap</v>
      </c>
      <c r="C6410" s="3" t="str">
        <f>IFERROR(__xludf.DUMMYFUNCTION("""COMPUTED_VALUE"""),"Klap Finance")</f>
        <v>Klap Finance</v>
      </c>
    </row>
    <row r="6411">
      <c r="A6411" s="3" t="str">
        <f>IFERROR(__xludf.DUMMYFUNCTION("""COMPUTED_VALUE"""),"klaycity-orb")</f>
        <v>klaycity-orb</v>
      </c>
      <c r="B6411" s="3" t="str">
        <f>IFERROR(__xludf.DUMMYFUNCTION("""COMPUTED_VALUE"""),"orb")</f>
        <v>orb</v>
      </c>
      <c r="C6411" s="3" t="str">
        <f>IFERROR(__xludf.DUMMYFUNCTION("""COMPUTED_VALUE"""),"KlayCity ORB")</f>
        <v>KlayCity ORB</v>
      </c>
    </row>
    <row r="6412">
      <c r="A6412" s="3" t="str">
        <f>IFERROR(__xludf.DUMMYFUNCTION("""COMPUTED_VALUE"""),"klaydice")</f>
        <v>klaydice</v>
      </c>
      <c r="B6412" s="3" t="str">
        <f>IFERROR(__xludf.DUMMYFUNCTION("""COMPUTED_VALUE"""),"dice")</f>
        <v>dice</v>
      </c>
      <c r="C6412" s="3" t="str">
        <f>IFERROR(__xludf.DUMMYFUNCTION("""COMPUTED_VALUE"""),"Klaydice")</f>
        <v>Klaydice</v>
      </c>
    </row>
    <row r="6413">
      <c r="A6413" s="3" t="str">
        <f>IFERROR(__xludf.DUMMYFUNCTION("""COMPUTED_VALUE"""),"klayfi-finance")</f>
        <v>klayfi-finance</v>
      </c>
      <c r="B6413" s="3" t="str">
        <f>IFERROR(__xludf.DUMMYFUNCTION("""COMPUTED_VALUE"""),"kfi")</f>
        <v>kfi</v>
      </c>
      <c r="C6413" s="3" t="str">
        <f>IFERROR(__xludf.DUMMYFUNCTION("""COMPUTED_VALUE"""),"KlayFi Finance")</f>
        <v>KlayFi Finance</v>
      </c>
    </row>
    <row r="6414">
      <c r="A6414" s="3" t="str">
        <f>IFERROR(__xludf.DUMMYFUNCTION("""COMPUTED_VALUE"""),"klayswap-protocol")</f>
        <v>klayswap-protocol</v>
      </c>
      <c r="B6414" s="3" t="str">
        <f>IFERROR(__xludf.DUMMYFUNCTION("""COMPUTED_VALUE"""),"ksp")</f>
        <v>ksp</v>
      </c>
      <c r="C6414" s="3" t="str">
        <f>IFERROR(__xludf.DUMMYFUNCTION("""COMPUTED_VALUE"""),"KlaySwap Protocol")</f>
        <v>KlaySwap Protocol</v>
      </c>
    </row>
    <row r="6415">
      <c r="A6415" s="3" t="str">
        <f>IFERROR(__xludf.DUMMYFUNCTION("""COMPUTED_VALUE"""),"klaytn-dai")</f>
        <v>klaytn-dai</v>
      </c>
      <c r="B6415" s="3" t="str">
        <f>IFERROR(__xludf.DUMMYFUNCTION("""COMPUTED_VALUE"""),"kdai")</f>
        <v>kdai</v>
      </c>
      <c r="C6415" s="3" t="str">
        <f>IFERROR(__xludf.DUMMYFUNCTION("""COMPUTED_VALUE"""),"Klaytn Dai")</f>
        <v>Klaytn Dai</v>
      </c>
    </row>
    <row r="6416">
      <c r="A6416" s="3" t="str">
        <f>IFERROR(__xludf.DUMMYFUNCTION("""COMPUTED_VALUE"""),"klay-token")</f>
        <v>klay-token</v>
      </c>
      <c r="B6416" s="3" t="str">
        <f>IFERROR(__xludf.DUMMYFUNCTION("""COMPUTED_VALUE"""),"klay")</f>
        <v>klay</v>
      </c>
      <c r="C6416" s="3" t="str">
        <f>IFERROR(__xludf.DUMMYFUNCTION("""COMPUTED_VALUE"""),"Klaytn")</f>
        <v>Klaytn</v>
      </c>
    </row>
    <row r="6417">
      <c r="A6417" s="3" t="str">
        <f>IFERROR(__xludf.DUMMYFUNCTION("""COMPUTED_VALUE"""),"klayuniverse")</f>
        <v>klayuniverse</v>
      </c>
      <c r="B6417" s="3" t="str">
        <f>IFERROR(__xludf.DUMMYFUNCTION("""COMPUTED_VALUE"""),"kut")</f>
        <v>kut</v>
      </c>
      <c r="C6417" s="3" t="str">
        <f>IFERROR(__xludf.DUMMYFUNCTION("""COMPUTED_VALUE"""),"KlayUniverse")</f>
        <v>KlayUniverse</v>
      </c>
    </row>
    <row r="6418">
      <c r="A6418" s="3" t="str">
        <f>IFERROR(__xludf.DUMMYFUNCTION("""COMPUTED_VALUE"""),"kleekai")</f>
        <v>kleekai</v>
      </c>
      <c r="B6418" s="3" t="str">
        <f>IFERROR(__xludf.DUMMYFUNCTION("""COMPUTED_VALUE"""),"klee")</f>
        <v>klee</v>
      </c>
      <c r="C6418" s="3" t="str">
        <f>IFERROR(__xludf.DUMMYFUNCTION("""COMPUTED_VALUE"""),"KleeKai")</f>
        <v>KleeKai</v>
      </c>
    </row>
    <row r="6419">
      <c r="A6419" s="3" t="str">
        <f>IFERROR(__xludf.DUMMYFUNCTION("""COMPUTED_VALUE"""),"klend")</f>
        <v>klend</v>
      </c>
      <c r="B6419" s="3" t="str">
        <f>IFERROR(__xludf.DUMMYFUNCTION("""COMPUTED_VALUE"""),"klt")</f>
        <v>klt</v>
      </c>
      <c r="C6419" s="3" t="str">
        <f>IFERROR(__xludf.DUMMYFUNCTION("""COMPUTED_VALUE"""),"KLend")</f>
        <v>KLend</v>
      </c>
    </row>
    <row r="6420">
      <c r="A6420" s="3" t="str">
        <f>IFERROR(__xludf.DUMMYFUNCTION("""COMPUTED_VALUE"""),"kleros")</f>
        <v>kleros</v>
      </c>
      <c r="B6420" s="3" t="str">
        <f>IFERROR(__xludf.DUMMYFUNCTION("""COMPUTED_VALUE"""),"pnk")</f>
        <v>pnk</v>
      </c>
      <c r="C6420" s="3" t="str">
        <f>IFERROR(__xludf.DUMMYFUNCTION("""COMPUTED_VALUE"""),"Kleros")</f>
        <v>Kleros</v>
      </c>
    </row>
    <row r="6421">
      <c r="A6421" s="3" t="str">
        <f>IFERROR(__xludf.DUMMYFUNCTION("""COMPUTED_VALUE"""),"kleva")</f>
        <v>kleva</v>
      </c>
      <c r="B6421" s="3" t="str">
        <f>IFERROR(__xludf.DUMMYFUNCTION("""COMPUTED_VALUE"""),"kleva")</f>
        <v>kleva</v>
      </c>
      <c r="C6421" s="3" t="str">
        <f>IFERROR(__xludf.DUMMYFUNCTION("""COMPUTED_VALUE"""),"KLEVA")</f>
        <v>KLEVA</v>
      </c>
    </row>
    <row r="6422">
      <c r="A6422" s="3" t="str">
        <f>IFERROR(__xludf.DUMMYFUNCTION("""COMPUTED_VALUE"""),"klever")</f>
        <v>klever</v>
      </c>
      <c r="B6422" s="3" t="str">
        <f>IFERROR(__xludf.DUMMYFUNCTION("""COMPUTED_VALUE"""),"klv")</f>
        <v>klv</v>
      </c>
      <c r="C6422" s="3" t="str">
        <f>IFERROR(__xludf.DUMMYFUNCTION("""COMPUTED_VALUE"""),"Klever")</f>
        <v>Klever</v>
      </c>
    </row>
    <row r="6423">
      <c r="A6423" s="3" t="str">
        <f>IFERROR(__xludf.DUMMYFUNCTION("""COMPUTED_VALUE"""),"klever-finance")</f>
        <v>klever-finance</v>
      </c>
      <c r="B6423" s="3" t="str">
        <f>IFERROR(__xludf.DUMMYFUNCTION("""COMPUTED_VALUE"""),"kfi")</f>
        <v>kfi</v>
      </c>
      <c r="C6423" s="3" t="str">
        <f>IFERROR(__xludf.DUMMYFUNCTION("""COMPUTED_VALUE"""),"Klever Finance")</f>
        <v>Klever Finance</v>
      </c>
    </row>
    <row r="6424">
      <c r="A6424" s="3" t="str">
        <f>IFERROR(__xludf.DUMMYFUNCTION("""COMPUTED_VALUE"""),"klex")</f>
        <v>klex</v>
      </c>
      <c r="B6424" s="3" t="str">
        <f>IFERROR(__xludf.DUMMYFUNCTION("""COMPUTED_VALUE"""),"klex")</f>
        <v>klex</v>
      </c>
      <c r="C6424" s="3" t="str">
        <f>IFERROR(__xludf.DUMMYFUNCTION("""COMPUTED_VALUE"""),"KLEX")</f>
        <v>KLEX</v>
      </c>
    </row>
    <row r="6425">
      <c r="A6425" s="3" t="str">
        <f>IFERROR(__xludf.DUMMYFUNCTION("""COMPUTED_VALUE"""),"klima-dao")</f>
        <v>klima-dao</v>
      </c>
      <c r="B6425" s="3" t="str">
        <f>IFERROR(__xludf.DUMMYFUNCTION("""COMPUTED_VALUE"""),"klima")</f>
        <v>klima</v>
      </c>
      <c r="C6425" s="3" t="str">
        <f>IFERROR(__xludf.DUMMYFUNCTION("""COMPUTED_VALUE"""),"Klima DAO")</f>
        <v>Klima DAO</v>
      </c>
    </row>
    <row r="6426">
      <c r="A6426" s="3" t="str">
        <f>IFERROR(__xludf.DUMMYFUNCTION("""COMPUTED_VALUE"""),"klimatas")</f>
        <v>klimatas</v>
      </c>
      <c r="B6426" s="3" t="str">
        <f>IFERROR(__xludf.DUMMYFUNCTION("""COMPUTED_VALUE"""),"kts")</f>
        <v>kts</v>
      </c>
      <c r="C6426" s="3" t="str">
        <f>IFERROR(__xludf.DUMMYFUNCTION("""COMPUTED_VALUE"""),"Klimatas")</f>
        <v>Klimatas</v>
      </c>
    </row>
    <row r="6427">
      <c r="A6427" s="3" t="str">
        <f>IFERROR(__xludf.DUMMYFUNCTION("""COMPUTED_VALUE"""),"kling")</f>
        <v>kling</v>
      </c>
      <c r="B6427" s="3" t="str">
        <f>IFERROR(__xludf.DUMMYFUNCTION("""COMPUTED_VALUE"""),"kling")</f>
        <v>kling</v>
      </c>
      <c r="C6427" s="3" t="str">
        <f>IFERROR(__xludf.DUMMYFUNCTION("""COMPUTED_VALUE"""),"Kling")</f>
        <v>Kling</v>
      </c>
    </row>
    <row r="6428">
      <c r="A6428" s="3" t="str">
        <f>IFERROR(__xludf.DUMMYFUNCTION("""COMPUTED_VALUE"""),"klist-protocol")</f>
        <v>klist-protocol</v>
      </c>
      <c r="B6428" s="3" t="str">
        <f>IFERROR(__xludf.DUMMYFUNCTION("""COMPUTED_VALUE"""),"list")</f>
        <v>list</v>
      </c>
      <c r="C6428" s="3" t="str">
        <f>IFERROR(__xludf.DUMMYFUNCTION("""COMPUTED_VALUE"""),"KList Protocol")</f>
        <v>KList Protocol</v>
      </c>
    </row>
    <row r="6429">
      <c r="A6429" s="3" t="str">
        <f>IFERROR(__xludf.DUMMYFUNCTION("""COMPUTED_VALUE"""),"klondike-btc")</f>
        <v>klondike-btc</v>
      </c>
      <c r="B6429" s="3" t="str">
        <f>IFERROR(__xludf.DUMMYFUNCTION("""COMPUTED_VALUE"""),"kbtc")</f>
        <v>kbtc</v>
      </c>
      <c r="C6429" s="3" t="str">
        <f>IFERROR(__xludf.DUMMYFUNCTION("""COMPUTED_VALUE"""),"Klondike BTC")</f>
        <v>Klondike BTC</v>
      </c>
    </row>
    <row r="6430">
      <c r="A6430" s="3" t="str">
        <f>IFERROR(__xludf.DUMMYFUNCTION("""COMPUTED_VALUE"""),"kmushicoin")</f>
        <v>kmushicoin</v>
      </c>
      <c r="B6430" s="3" t="str">
        <f>IFERROR(__xludf.DUMMYFUNCTION("""COMPUTED_VALUE"""),"ktv")</f>
        <v>ktv</v>
      </c>
      <c r="C6430" s="3" t="str">
        <f>IFERROR(__xludf.DUMMYFUNCTION("""COMPUTED_VALUE"""),"Kmushicoin")</f>
        <v>Kmushicoin</v>
      </c>
    </row>
    <row r="6431">
      <c r="A6431" s="3" t="str">
        <f>IFERROR(__xludf.DUMMYFUNCTION("""COMPUTED_VALUE"""),"knekted")</f>
        <v>knekted</v>
      </c>
      <c r="B6431" s="3" t="str">
        <f>IFERROR(__xludf.DUMMYFUNCTION("""COMPUTED_VALUE"""),"knt")</f>
        <v>knt</v>
      </c>
      <c r="C6431" s="3" t="str">
        <f>IFERROR(__xludf.DUMMYFUNCTION("""COMPUTED_VALUE"""),"Knekted")</f>
        <v>Knekted</v>
      </c>
    </row>
    <row r="6432">
      <c r="A6432" s="3" t="str">
        <f>IFERROR(__xludf.DUMMYFUNCTION("""COMPUTED_VALUE"""),"knights-peasants")</f>
        <v>knights-peasants</v>
      </c>
      <c r="B6432" s="3" t="str">
        <f>IFERROR(__xludf.DUMMYFUNCTION("""COMPUTED_VALUE"""),"knight")</f>
        <v>knight</v>
      </c>
      <c r="C6432" s="3" t="str">
        <f>IFERROR(__xludf.DUMMYFUNCTION("""COMPUTED_VALUE"""),"Knights &amp; Peasants")</f>
        <v>Knights &amp; Peasants</v>
      </c>
    </row>
    <row r="6433">
      <c r="A6433" s="3" t="str">
        <f>IFERROR(__xludf.DUMMYFUNCTION("""COMPUTED_VALUE"""),"knightswap")</f>
        <v>knightswap</v>
      </c>
      <c r="B6433" s="3" t="str">
        <f>IFERROR(__xludf.DUMMYFUNCTION("""COMPUTED_VALUE"""),"knight")</f>
        <v>knight</v>
      </c>
      <c r="C6433" s="3" t="str">
        <f>IFERROR(__xludf.DUMMYFUNCTION("""COMPUTED_VALUE"""),"KnightSwap")</f>
        <v>KnightSwap</v>
      </c>
    </row>
    <row r="6434">
      <c r="A6434" s="3" t="str">
        <f>IFERROR(__xludf.DUMMYFUNCTION("""COMPUTED_VALUE"""),"knight-war-spirits")</f>
        <v>knight-war-spirits</v>
      </c>
      <c r="B6434" s="3" t="str">
        <f>IFERROR(__xludf.DUMMYFUNCTION("""COMPUTED_VALUE"""),"kws")</f>
        <v>kws</v>
      </c>
      <c r="C6434" s="3" t="str">
        <f>IFERROR(__xludf.DUMMYFUNCTION("""COMPUTED_VALUE"""),"Knight War Spirits")</f>
        <v>Knight War Spirits</v>
      </c>
    </row>
    <row r="6435">
      <c r="A6435" s="3" t="str">
        <f>IFERROR(__xludf.DUMMYFUNCTION("""COMPUTED_VALUE"""),"knit-finance")</f>
        <v>knit-finance</v>
      </c>
      <c r="B6435" s="3" t="str">
        <f>IFERROR(__xludf.DUMMYFUNCTION("""COMPUTED_VALUE"""),"kft")</f>
        <v>kft</v>
      </c>
      <c r="C6435" s="3" t="str">
        <f>IFERROR(__xludf.DUMMYFUNCTION("""COMPUTED_VALUE"""),"Knit Finance")</f>
        <v>Knit Finance</v>
      </c>
    </row>
    <row r="6436">
      <c r="A6436" s="3" t="str">
        <f>IFERROR(__xludf.DUMMYFUNCTION("""COMPUTED_VALUE"""),"knoxfs")</f>
        <v>knoxfs</v>
      </c>
      <c r="B6436" s="3" t="str">
        <f>IFERROR(__xludf.DUMMYFUNCTION("""COMPUTED_VALUE"""),"kfx")</f>
        <v>kfx</v>
      </c>
      <c r="C6436" s="3" t="str">
        <f>IFERROR(__xludf.DUMMYFUNCTION("""COMPUTED_VALUE"""),"KnoxFS")</f>
        <v>KnoxFS</v>
      </c>
    </row>
    <row r="6437">
      <c r="A6437" s="3" t="str">
        <f>IFERROR(__xludf.DUMMYFUNCTION("""COMPUTED_VALUE"""),"koacombat")</f>
        <v>koacombat</v>
      </c>
      <c r="B6437" s="3" t="str">
        <f>IFERROR(__xludf.DUMMYFUNCTION("""COMPUTED_VALUE"""),"koacombat")</f>
        <v>koacombat</v>
      </c>
      <c r="C6437" s="3" t="str">
        <f>IFERROR(__xludf.DUMMYFUNCTION("""COMPUTED_VALUE"""),"KoaCombat")</f>
        <v>KoaCombat</v>
      </c>
    </row>
    <row r="6438">
      <c r="A6438" s="3" t="str">
        <f>IFERROR(__xludf.DUMMYFUNCTION("""COMPUTED_VALUE"""),"koala-token")</f>
        <v>koala-token</v>
      </c>
      <c r="B6438" s="3" t="str">
        <f>IFERROR(__xludf.DUMMYFUNCTION("""COMPUTED_VALUE"""),"mkoala")</f>
        <v>mkoala</v>
      </c>
      <c r="C6438" s="3" t="str">
        <f>IFERROR(__xludf.DUMMYFUNCTION("""COMPUTED_VALUE"""),"Koala")</f>
        <v>Koala</v>
      </c>
    </row>
    <row r="6439">
      <c r="A6439" s="3" t="str">
        <f>IFERROR(__xludf.DUMMYFUNCTION("""COMPUTED_VALUE"""),"kobocoin")</f>
        <v>kobocoin</v>
      </c>
      <c r="B6439" s="3" t="str">
        <f>IFERROR(__xludf.DUMMYFUNCTION("""COMPUTED_VALUE"""),"kobo")</f>
        <v>kobo</v>
      </c>
      <c r="C6439" s="3" t="str">
        <f>IFERROR(__xludf.DUMMYFUNCTION("""COMPUTED_VALUE"""),"Kobocoin")</f>
        <v>Kobocoin</v>
      </c>
    </row>
    <row r="6440">
      <c r="A6440" s="3" t="str">
        <f>IFERROR(__xludf.DUMMYFUNCTION("""COMPUTED_VALUE"""),"kocaelispor-fan-token")</f>
        <v>kocaelispor-fan-token</v>
      </c>
      <c r="B6440" s="3" t="str">
        <f>IFERROR(__xludf.DUMMYFUNCTION("""COMPUTED_VALUE"""),"kstt")</f>
        <v>kstt</v>
      </c>
      <c r="C6440" s="3" t="str">
        <f>IFERROR(__xludf.DUMMYFUNCTION("""COMPUTED_VALUE"""),"Kocaelispor Fan Token")</f>
        <v>Kocaelispor Fan Token</v>
      </c>
    </row>
    <row r="6441">
      <c r="A6441" s="3" t="str">
        <f>IFERROR(__xludf.DUMMYFUNCTION("""COMPUTED_VALUE"""),"kodachi-token")</f>
        <v>kodachi-token</v>
      </c>
      <c r="B6441" s="3" t="str">
        <f>IFERROR(__xludf.DUMMYFUNCTION("""COMPUTED_VALUE"""),"kodachi")</f>
        <v>kodachi</v>
      </c>
      <c r="C6441" s="3" t="str">
        <f>IFERROR(__xludf.DUMMYFUNCTION("""COMPUTED_VALUE"""),"Kodachi Token")</f>
        <v>Kodachi Token</v>
      </c>
    </row>
    <row r="6442">
      <c r="A6442" s="3" t="str">
        <f>IFERROR(__xludf.DUMMYFUNCTION("""COMPUTED_VALUE"""),"koda-finance")</f>
        <v>koda-finance</v>
      </c>
      <c r="B6442" s="3" t="str">
        <f>IFERROR(__xludf.DUMMYFUNCTION("""COMPUTED_VALUE"""),"koda")</f>
        <v>koda</v>
      </c>
      <c r="C6442" s="3" t="str">
        <f>IFERROR(__xludf.DUMMYFUNCTION("""COMPUTED_VALUE"""),"Koda Cryptocurrency")</f>
        <v>Koda Cryptocurrency</v>
      </c>
    </row>
    <row r="6443">
      <c r="A6443" s="3" t="str">
        <f>IFERROR(__xludf.DUMMYFUNCTION("""COMPUTED_VALUE"""),"kodi")</f>
        <v>kodi</v>
      </c>
      <c r="B6443" s="3" t="str">
        <f>IFERROR(__xludf.DUMMYFUNCTION("""COMPUTED_VALUE"""),"kodi")</f>
        <v>kodi</v>
      </c>
      <c r="C6443" s="3" t="str">
        <f>IFERROR(__xludf.DUMMYFUNCTION("""COMPUTED_VALUE"""),"KODI")</f>
        <v>KODI</v>
      </c>
    </row>
    <row r="6444">
      <c r="A6444" s="3" t="str">
        <f>IFERROR(__xludf.DUMMYFUNCTION("""COMPUTED_VALUE"""),"koel-coin")</f>
        <v>koel-coin</v>
      </c>
      <c r="B6444" s="3" t="str">
        <f>IFERROR(__xludf.DUMMYFUNCTION("""COMPUTED_VALUE"""),"koel")</f>
        <v>koel</v>
      </c>
      <c r="C6444" s="3" t="str">
        <f>IFERROR(__xludf.DUMMYFUNCTION("""COMPUTED_VALUE"""),"Koel Coin")</f>
        <v>Koel Coin</v>
      </c>
    </row>
    <row r="6445">
      <c r="A6445" s="3" t="str">
        <f>IFERROR(__xludf.DUMMYFUNCTION("""COMPUTED_VALUE"""),"kogecoin")</f>
        <v>kogecoin</v>
      </c>
      <c r="B6445" s="3" t="str">
        <f>IFERROR(__xludf.DUMMYFUNCTION("""COMPUTED_VALUE"""),"kogecoin")</f>
        <v>kogecoin</v>
      </c>
      <c r="C6445" s="3" t="str">
        <f>IFERROR(__xludf.DUMMYFUNCTION("""COMPUTED_VALUE"""),"KogeCoin")</f>
        <v>KogeCoin</v>
      </c>
    </row>
    <row r="6446">
      <c r="A6446" s="3" t="str">
        <f>IFERROR(__xludf.DUMMYFUNCTION("""COMPUTED_VALUE"""),"koi-network")</f>
        <v>koi-network</v>
      </c>
      <c r="B6446" s="3" t="str">
        <f>IFERROR(__xludf.DUMMYFUNCTION("""COMPUTED_VALUE"""),"koi")</f>
        <v>koi</v>
      </c>
      <c r="C6446" s="3" t="str">
        <f>IFERROR(__xludf.DUMMYFUNCTION("""COMPUTED_VALUE"""),"Koi Network")</f>
        <v>Koi Network</v>
      </c>
    </row>
    <row r="6447">
      <c r="A6447" s="3" t="str">
        <f>IFERROR(__xludf.DUMMYFUNCTION("""COMPUTED_VALUE"""),"koinos")</f>
        <v>koinos</v>
      </c>
      <c r="B6447" s="3" t="str">
        <f>IFERROR(__xludf.DUMMYFUNCTION("""COMPUTED_VALUE"""),"koin")</f>
        <v>koin</v>
      </c>
      <c r="C6447" s="3" t="str">
        <f>IFERROR(__xludf.DUMMYFUNCTION("""COMPUTED_VALUE"""),"Koinos")</f>
        <v>Koinos</v>
      </c>
    </row>
    <row r="6448">
      <c r="A6448" s="3" t="str">
        <f>IFERROR(__xludf.DUMMYFUNCTION("""COMPUTED_VALUE"""),"koisan")</f>
        <v>koisan</v>
      </c>
      <c r="B6448" s="3" t="str">
        <f>IFERROR(__xludf.DUMMYFUNCTION("""COMPUTED_VALUE"""),"kic")</f>
        <v>kic</v>
      </c>
      <c r="C6448" s="3" t="str">
        <f>IFERROR(__xludf.DUMMYFUNCTION("""COMPUTED_VALUE"""),"Koisan")</f>
        <v>Koisan</v>
      </c>
    </row>
    <row r="6449">
      <c r="A6449" s="3" t="str">
        <f>IFERROR(__xludf.DUMMYFUNCTION("""COMPUTED_VALUE"""),"koji")</f>
        <v>koji</v>
      </c>
      <c r="B6449" s="3" t="str">
        <f>IFERROR(__xludf.DUMMYFUNCTION("""COMPUTED_VALUE"""),"koji")</f>
        <v>koji</v>
      </c>
      <c r="C6449" s="3" t="str">
        <f>IFERROR(__xludf.DUMMYFUNCTION("""COMPUTED_VALUE"""),"Koji")</f>
        <v>Koji</v>
      </c>
    </row>
    <row r="6450">
      <c r="A6450" s="3" t="str">
        <f>IFERROR(__xludf.DUMMYFUNCTION("""COMPUTED_VALUE"""),"kok")</f>
        <v>kok</v>
      </c>
      <c r="B6450" s="3" t="str">
        <f>IFERROR(__xludf.DUMMYFUNCTION("""COMPUTED_VALUE"""),"kok")</f>
        <v>kok</v>
      </c>
      <c r="C6450" s="3" t="str">
        <f>IFERROR(__xludf.DUMMYFUNCTION("""COMPUTED_VALUE"""),"KOK")</f>
        <v>KOK</v>
      </c>
    </row>
    <row r="6451">
      <c r="A6451" s="3" t="str">
        <f>IFERROR(__xludf.DUMMYFUNCTION("""COMPUTED_VALUE"""),"kokoa-finance")</f>
        <v>kokoa-finance</v>
      </c>
      <c r="B6451" s="3" t="str">
        <f>IFERROR(__xludf.DUMMYFUNCTION("""COMPUTED_VALUE"""),"kokoa")</f>
        <v>kokoa</v>
      </c>
      <c r="C6451" s="3" t="str">
        <f>IFERROR(__xludf.DUMMYFUNCTION("""COMPUTED_VALUE"""),"Kokoa Finance")</f>
        <v>Kokoa Finance</v>
      </c>
    </row>
    <row r="6452">
      <c r="A6452" s="3" t="str">
        <f>IFERROR(__xludf.DUMMYFUNCTION("""COMPUTED_VALUE"""),"kokoa-stable-dollar")</f>
        <v>kokoa-stable-dollar</v>
      </c>
      <c r="B6452" s="3" t="str">
        <f>IFERROR(__xludf.DUMMYFUNCTION("""COMPUTED_VALUE"""),"ksd")</f>
        <v>ksd</v>
      </c>
      <c r="C6452" s="3" t="str">
        <f>IFERROR(__xludf.DUMMYFUNCTION("""COMPUTED_VALUE"""),"Kokoa Stable Dollar")</f>
        <v>Kokoa Stable Dollar</v>
      </c>
    </row>
    <row r="6453">
      <c r="A6453" s="3" t="str">
        <f>IFERROR(__xludf.DUMMYFUNCTION("""COMPUTED_VALUE"""),"kokoswap")</f>
        <v>kokoswap</v>
      </c>
      <c r="B6453" s="3" t="str">
        <f>IFERROR(__xludf.DUMMYFUNCTION("""COMPUTED_VALUE"""),"koko")</f>
        <v>koko</v>
      </c>
      <c r="C6453" s="3" t="str">
        <f>IFERROR(__xludf.DUMMYFUNCTION("""COMPUTED_VALUE"""),"KokoSwap")</f>
        <v>KokoSwap</v>
      </c>
    </row>
    <row r="6454">
      <c r="A6454" s="3" t="str">
        <f>IFERROR(__xludf.DUMMYFUNCTION("""COMPUTED_VALUE"""),"kolibri-dao")</f>
        <v>kolibri-dao</v>
      </c>
      <c r="B6454" s="3" t="str">
        <f>IFERROR(__xludf.DUMMYFUNCTION("""COMPUTED_VALUE"""),"kdao")</f>
        <v>kdao</v>
      </c>
      <c r="C6454" s="3" t="str">
        <f>IFERROR(__xludf.DUMMYFUNCTION("""COMPUTED_VALUE"""),"Kolibri DAO")</f>
        <v>Kolibri DAO</v>
      </c>
    </row>
    <row r="6455">
      <c r="A6455" s="3" t="str">
        <f>IFERROR(__xludf.DUMMYFUNCTION("""COMPUTED_VALUE"""),"kolibri-usd")</f>
        <v>kolibri-usd</v>
      </c>
      <c r="B6455" s="3" t="str">
        <f>IFERROR(__xludf.DUMMYFUNCTION("""COMPUTED_VALUE"""),"kusd")</f>
        <v>kusd</v>
      </c>
      <c r="C6455" s="3" t="str">
        <f>IFERROR(__xludf.DUMMYFUNCTION("""COMPUTED_VALUE"""),"Kolibri USD")</f>
        <v>Kolibri USD</v>
      </c>
    </row>
    <row r="6456">
      <c r="A6456" s="3" t="str">
        <f>IFERROR(__xludf.DUMMYFUNCTION("""COMPUTED_VALUE"""),"kollect")</f>
        <v>kollect</v>
      </c>
      <c r="B6456" s="3" t="str">
        <f>IFERROR(__xludf.DUMMYFUNCTION("""COMPUTED_VALUE"""),"kol")</f>
        <v>kol</v>
      </c>
      <c r="C6456" s="3" t="str">
        <f>IFERROR(__xludf.DUMMYFUNCTION("""COMPUTED_VALUE"""),"Kollect")</f>
        <v>Kollect</v>
      </c>
    </row>
    <row r="6457">
      <c r="A6457" s="3" t="str">
        <f>IFERROR(__xludf.DUMMYFUNCTION("""COMPUTED_VALUE"""),"kollector")</f>
        <v>kollector</v>
      </c>
      <c r="B6457" s="3" t="str">
        <f>IFERROR(__xludf.DUMMYFUNCTION("""COMPUTED_VALUE"""),"kltr")</f>
        <v>kltr</v>
      </c>
      <c r="C6457" s="3" t="str">
        <f>IFERROR(__xludf.DUMMYFUNCTION("""COMPUTED_VALUE"""),"Kollector")</f>
        <v>Kollector</v>
      </c>
    </row>
    <row r="6458">
      <c r="A6458" s="3" t="str">
        <f>IFERROR(__xludf.DUMMYFUNCTION("""COMPUTED_VALUE"""),"kolnet")</f>
        <v>kolnet</v>
      </c>
      <c r="B6458" s="3" t="str">
        <f>IFERROR(__xludf.DUMMYFUNCTION("""COMPUTED_VALUE"""),"kolnet")</f>
        <v>kolnet</v>
      </c>
      <c r="C6458" s="3" t="str">
        <f>IFERROR(__xludf.DUMMYFUNCTION("""COMPUTED_VALUE"""),"KOLNET")</f>
        <v>KOLNET</v>
      </c>
    </row>
    <row r="6459">
      <c r="A6459" s="3" t="str">
        <f>IFERROR(__xludf.DUMMYFUNCTION("""COMPUTED_VALUE"""),"kols-offering-token")</f>
        <v>kols-offering-token</v>
      </c>
      <c r="B6459" s="3" t="str">
        <f>IFERROR(__xludf.DUMMYFUNCTION("""COMPUTED_VALUE"""),"kot")</f>
        <v>kot</v>
      </c>
      <c r="C6459" s="3" t="str">
        <f>IFERROR(__xludf.DUMMYFUNCTION("""COMPUTED_VALUE"""),"Kols Offering")</f>
        <v>Kols Offering</v>
      </c>
    </row>
    <row r="6460">
      <c r="A6460" s="3" t="str">
        <f>IFERROR(__xludf.DUMMYFUNCTION("""COMPUTED_VALUE"""),"komet")</f>
        <v>komet</v>
      </c>
      <c r="B6460" s="3" t="str">
        <f>IFERROR(__xludf.DUMMYFUNCTION("""COMPUTED_VALUE"""),"komet")</f>
        <v>komet</v>
      </c>
      <c r="C6460" s="3" t="str">
        <f>IFERROR(__xludf.DUMMYFUNCTION("""COMPUTED_VALUE"""),"Komet")</f>
        <v>Komet</v>
      </c>
    </row>
    <row r="6461">
      <c r="A6461" s="3" t="str">
        <f>IFERROR(__xludf.DUMMYFUNCTION("""COMPUTED_VALUE"""),"kommunitas")</f>
        <v>kommunitas</v>
      </c>
      <c r="B6461" s="3" t="str">
        <f>IFERROR(__xludf.DUMMYFUNCTION("""COMPUTED_VALUE"""),"kom")</f>
        <v>kom</v>
      </c>
      <c r="C6461" s="3" t="str">
        <f>IFERROR(__xludf.DUMMYFUNCTION("""COMPUTED_VALUE"""),"Kommunitas")</f>
        <v>Kommunitas</v>
      </c>
    </row>
    <row r="6462">
      <c r="A6462" s="3" t="str">
        <f>IFERROR(__xludf.DUMMYFUNCTION("""COMPUTED_VALUE"""),"komodo")</f>
        <v>komodo</v>
      </c>
      <c r="B6462" s="3" t="str">
        <f>IFERROR(__xludf.DUMMYFUNCTION("""COMPUTED_VALUE"""),"kmd")</f>
        <v>kmd</v>
      </c>
      <c r="C6462" s="3" t="str">
        <f>IFERROR(__xludf.DUMMYFUNCTION("""COMPUTED_VALUE"""),"Komodo")</f>
        <v>Komodo</v>
      </c>
    </row>
    <row r="6463">
      <c r="A6463" s="3" t="str">
        <f>IFERROR(__xludf.DUMMYFUNCTION("""COMPUTED_VALUE"""),"kompete")</f>
        <v>kompete</v>
      </c>
      <c r="B6463" s="3" t="str">
        <f>IFERROR(__xludf.DUMMYFUNCTION("""COMPUTED_VALUE"""),"kompete")</f>
        <v>kompete</v>
      </c>
      <c r="C6463" s="3" t="str">
        <f>IFERROR(__xludf.DUMMYFUNCTION("""COMPUTED_VALUE"""),"Kompete")</f>
        <v>Kompete</v>
      </c>
    </row>
    <row r="6464">
      <c r="A6464" s="3" t="str">
        <f>IFERROR(__xludf.DUMMYFUNCTION("""COMPUTED_VALUE"""),"kondux")</f>
        <v>kondux</v>
      </c>
      <c r="B6464" s="3" t="str">
        <f>IFERROR(__xludf.DUMMYFUNCTION("""COMPUTED_VALUE"""),"kndx")</f>
        <v>kndx</v>
      </c>
      <c r="C6464" s="3" t="str">
        <f>IFERROR(__xludf.DUMMYFUNCTION("""COMPUTED_VALUE"""),"Kondux")</f>
        <v>Kondux</v>
      </c>
    </row>
    <row r="6465">
      <c r="A6465" s="3" t="str">
        <f>IFERROR(__xludf.DUMMYFUNCTION("""COMPUTED_VALUE"""),"kong-land-alpha-citizenship")</f>
        <v>kong-land-alpha-citizenship</v>
      </c>
      <c r="B6465" s="3" t="str">
        <f>IFERROR(__xludf.DUMMYFUNCTION("""COMPUTED_VALUE"""),"citizen")</f>
        <v>citizen</v>
      </c>
      <c r="C6465" s="3" t="str">
        <f>IFERROR(__xludf.DUMMYFUNCTION("""COMPUTED_VALUE"""),"KONG Land Alpha Citizenship")</f>
        <v>KONG Land Alpha Citizenship</v>
      </c>
    </row>
    <row r="6466">
      <c r="A6466" s="3" t="str">
        <f>IFERROR(__xludf.DUMMYFUNCTION("""COMPUTED_VALUE"""),"kongtama")</f>
        <v>kongtama</v>
      </c>
      <c r="B6466" s="3" t="str">
        <f>IFERROR(__xludf.DUMMYFUNCTION("""COMPUTED_VALUE"""),"kongtama")</f>
        <v>kongtama</v>
      </c>
      <c r="C6466" s="3" t="str">
        <f>IFERROR(__xludf.DUMMYFUNCTION("""COMPUTED_VALUE"""),"Kongtama")</f>
        <v>Kongtama</v>
      </c>
    </row>
    <row r="6467">
      <c r="A6467" s="3" t="str">
        <f>IFERROR(__xludf.DUMMYFUNCTION("""COMPUTED_VALUE"""),"kongz-vault-nftx")</f>
        <v>kongz-vault-nftx</v>
      </c>
      <c r="B6467" s="3" t="str">
        <f>IFERROR(__xludf.DUMMYFUNCTION("""COMPUTED_VALUE"""),"kongz")</f>
        <v>kongz</v>
      </c>
      <c r="C6467" s="3" t="str">
        <f>IFERROR(__xludf.DUMMYFUNCTION("""COMPUTED_VALUE"""),"KONGZ Vault (NFTX)")</f>
        <v>KONGZ Vault (NFTX)</v>
      </c>
    </row>
    <row r="6468">
      <c r="A6468" s="3" t="str">
        <f>IFERROR(__xludf.DUMMYFUNCTION("""COMPUTED_VALUE"""),"konjungate")</f>
        <v>konjungate</v>
      </c>
      <c r="B6468" s="3" t="str">
        <f>IFERROR(__xludf.DUMMYFUNCTION("""COMPUTED_VALUE"""),"konj")</f>
        <v>konj</v>
      </c>
      <c r="C6468" s="3" t="str">
        <f>IFERROR(__xludf.DUMMYFUNCTION("""COMPUTED_VALUE"""),"KONJUNGATE")</f>
        <v>KONJUNGATE</v>
      </c>
    </row>
    <row r="6469">
      <c r="A6469" s="3" t="str">
        <f>IFERROR(__xludf.DUMMYFUNCTION("""COMPUTED_VALUE"""),"konnect")</f>
        <v>konnect</v>
      </c>
      <c r="B6469" s="3" t="str">
        <f>IFERROR(__xludf.DUMMYFUNCTION("""COMPUTED_VALUE"""),"kct")</f>
        <v>kct</v>
      </c>
      <c r="C6469" s="3" t="str">
        <f>IFERROR(__xludf.DUMMYFUNCTION("""COMPUTED_VALUE"""),"Konnect")</f>
        <v>Konnect</v>
      </c>
    </row>
    <row r="6470">
      <c r="A6470" s="3" t="str">
        <f>IFERROR(__xludf.DUMMYFUNCTION("""COMPUTED_VALUE"""),"konomi-network")</f>
        <v>konomi-network</v>
      </c>
      <c r="B6470" s="3" t="str">
        <f>IFERROR(__xludf.DUMMYFUNCTION("""COMPUTED_VALUE"""),"kono")</f>
        <v>kono</v>
      </c>
      <c r="C6470" s="3" t="str">
        <f>IFERROR(__xludf.DUMMYFUNCTION("""COMPUTED_VALUE"""),"Konomi Network")</f>
        <v>Konomi Network</v>
      </c>
    </row>
    <row r="6471">
      <c r="A6471" s="3" t="str">
        <f>IFERROR(__xludf.DUMMYFUNCTION("""COMPUTED_VALUE"""),"konpay")</f>
        <v>konpay</v>
      </c>
      <c r="B6471" s="3" t="str">
        <f>IFERROR(__xludf.DUMMYFUNCTION("""COMPUTED_VALUE"""),"kon")</f>
        <v>kon</v>
      </c>
      <c r="C6471" s="3" t="str">
        <f>IFERROR(__xludf.DUMMYFUNCTION("""COMPUTED_VALUE"""),"KonPay")</f>
        <v>KonPay</v>
      </c>
    </row>
    <row r="6472">
      <c r="A6472" s="3" t="str">
        <f>IFERROR(__xludf.DUMMYFUNCTION("""COMPUTED_VALUE"""),"koraplay")</f>
        <v>koraplay</v>
      </c>
      <c r="B6472" s="3" t="str">
        <f>IFERROR(__xludf.DUMMYFUNCTION("""COMPUTED_VALUE"""),"kplay")</f>
        <v>kplay</v>
      </c>
      <c r="C6472" s="3" t="str">
        <f>IFERROR(__xludf.DUMMYFUNCTION("""COMPUTED_VALUE"""),"Koraplay")</f>
        <v>Koraplay</v>
      </c>
    </row>
    <row r="6473">
      <c r="A6473" s="3" t="str">
        <f>IFERROR(__xludf.DUMMYFUNCTION("""COMPUTED_VALUE"""),"koreadoge")</f>
        <v>koreadoge</v>
      </c>
      <c r="B6473" s="3" t="str">
        <f>IFERROR(__xludf.DUMMYFUNCTION("""COMPUTED_VALUE"""),"kdoge")</f>
        <v>kdoge</v>
      </c>
      <c r="C6473" s="3" t="str">
        <f>IFERROR(__xludf.DUMMYFUNCTION("""COMPUTED_VALUE"""),"Koreadoge")</f>
        <v>Koreadoge</v>
      </c>
    </row>
    <row r="6474">
      <c r="A6474" s="3" t="str">
        <f>IFERROR(__xludf.DUMMYFUNCTION("""COMPUTED_VALUE"""),"korea-entertainment-education-shopping")</f>
        <v>korea-entertainment-education-shopping</v>
      </c>
      <c r="B6474" s="3" t="str">
        <f>IFERROR(__xludf.DUMMYFUNCTION("""COMPUTED_VALUE"""),"kees")</f>
        <v>kees</v>
      </c>
      <c r="C6474" s="3" t="str">
        <f>IFERROR(__xludf.DUMMYFUNCTION("""COMPUTED_VALUE"""),"Korea Entertainment Education &amp; Shopping")</f>
        <v>Korea Entertainment Education &amp; Shopping</v>
      </c>
    </row>
    <row r="6475">
      <c r="A6475" s="3" t="str">
        <f>IFERROR(__xludf.DUMMYFUNCTION("""COMPUTED_VALUE"""),"kori-inu")</f>
        <v>kori-inu</v>
      </c>
      <c r="B6475" s="3" t="str">
        <f>IFERROR(__xludf.DUMMYFUNCTION("""COMPUTED_VALUE"""),"kori")</f>
        <v>kori</v>
      </c>
      <c r="C6475" s="3" t="str">
        <f>IFERROR(__xludf.DUMMYFUNCTION("""COMPUTED_VALUE"""),"Kori Inu")</f>
        <v>Kori Inu</v>
      </c>
    </row>
    <row r="6476">
      <c r="A6476" s="3" t="str">
        <f>IFERROR(__xludf.DUMMYFUNCTION("""COMPUTED_VALUE"""),"koromaru")</f>
        <v>koromaru</v>
      </c>
      <c r="B6476" s="3" t="str">
        <f>IFERROR(__xludf.DUMMYFUNCTION("""COMPUTED_VALUE"""),"koromaru")</f>
        <v>koromaru</v>
      </c>
      <c r="C6476" s="3" t="str">
        <f>IFERROR(__xludf.DUMMYFUNCTION("""COMPUTED_VALUE"""),"KOROMARU")</f>
        <v>KOROMARU</v>
      </c>
    </row>
    <row r="6477">
      <c r="A6477" s="3" t="str">
        <f>IFERROR(__xludf.DUMMYFUNCTION("""COMPUTED_VALUE"""),"korss-chain-launchpad")</f>
        <v>korss-chain-launchpad</v>
      </c>
      <c r="B6477" s="3" t="str">
        <f>IFERROR(__xludf.DUMMYFUNCTION("""COMPUTED_VALUE"""),"kclp")</f>
        <v>kclp</v>
      </c>
      <c r="C6477" s="3" t="str">
        <f>IFERROR(__xludf.DUMMYFUNCTION("""COMPUTED_VALUE"""),"Kross Chain Launchpad")</f>
        <v>Kross Chain Launchpad</v>
      </c>
    </row>
    <row r="6478">
      <c r="A6478" s="3" t="str">
        <f>IFERROR(__xludf.DUMMYFUNCTION("""COMPUTED_VALUE"""),"kostren-finance")</f>
        <v>kostren-finance</v>
      </c>
      <c r="B6478" s="3" t="str">
        <f>IFERROR(__xludf.DUMMYFUNCTION("""COMPUTED_VALUE"""),"ktn")</f>
        <v>ktn</v>
      </c>
      <c r="C6478" s="3" t="str">
        <f>IFERROR(__xludf.DUMMYFUNCTION("""COMPUTED_VALUE"""),"Kostren Finance")</f>
        <v>Kostren Finance</v>
      </c>
    </row>
    <row r="6479">
      <c r="A6479" s="3" t="str">
        <f>IFERROR(__xludf.DUMMYFUNCTION("""COMPUTED_VALUE"""),"koto")</f>
        <v>koto</v>
      </c>
      <c r="B6479" s="3" t="str">
        <f>IFERROR(__xludf.DUMMYFUNCTION("""COMPUTED_VALUE"""),"koto")</f>
        <v>koto</v>
      </c>
      <c r="C6479" s="3" t="str">
        <f>IFERROR(__xludf.DUMMYFUNCTION("""COMPUTED_VALUE"""),"Koto")</f>
        <v>Koto</v>
      </c>
    </row>
    <row r="6480">
      <c r="A6480" s="3" t="str">
        <f>IFERROR(__xludf.DUMMYFUNCTION("""COMPUTED_VALUE"""),"kounotori")</f>
        <v>kounotori</v>
      </c>
      <c r="B6480" s="3" t="str">
        <f>IFERROR(__xludf.DUMMYFUNCTION("""COMPUTED_VALUE"""),"kto")</f>
        <v>kto</v>
      </c>
      <c r="C6480" s="3" t="str">
        <f>IFERROR(__xludf.DUMMYFUNCTION("""COMPUTED_VALUE"""),"Kounotori")</f>
        <v>Kounotori</v>
      </c>
    </row>
    <row r="6481">
      <c r="A6481" s="3" t="str">
        <f>IFERROR(__xludf.DUMMYFUNCTION("""COMPUTED_VALUE"""),"koyo")</f>
        <v>koyo</v>
      </c>
      <c r="B6481" s="3" t="str">
        <f>IFERROR(__xludf.DUMMYFUNCTION("""COMPUTED_VALUE"""),"kyo")</f>
        <v>kyo</v>
      </c>
      <c r="C6481" s="3" t="str">
        <f>IFERROR(__xludf.DUMMYFUNCTION("""COMPUTED_VALUE"""),"Kōyō")</f>
        <v>Kōyō</v>
      </c>
    </row>
    <row r="6482">
      <c r="A6482" s="3" t="str">
        <f>IFERROR(__xludf.DUMMYFUNCTION("""COMPUTED_VALUE"""),"kpop-coin")</f>
        <v>kpop-coin</v>
      </c>
      <c r="B6482" s="3" t="str">
        <f>IFERROR(__xludf.DUMMYFUNCTION("""COMPUTED_VALUE"""),"kpop")</f>
        <v>kpop</v>
      </c>
      <c r="C6482" s="3" t="str">
        <f>IFERROR(__xludf.DUMMYFUNCTION("""COMPUTED_VALUE"""),"KPOP Coin")</f>
        <v>KPOP Coin</v>
      </c>
    </row>
    <row r="6483">
      <c r="A6483" s="3" t="str">
        <f>IFERROR(__xludf.DUMMYFUNCTION("""COMPUTED_VALUE"""),"krabots")</f>
        <v>krabots</v>
      </c>
      <c r="B6483" s="3" t="str">
        <f>IFERROR(__xludf.DUMMYFUNCTION("""COMPUTED_VALUE"""),"krac")</f>
        <v>krac</v>
      </c>
      <c r="C6483" s="3" t="str">
        <f>IFERROR(__xludf.DUMMYFUNCTION("""COMPUTED_VALUE"""),"Krabots")</f>
        <v>Krabots</v>
      </c>
    </row>
    <row r="6484">
      <c r="A6484" s="3" t="str">
        <f>IFERROR(__xludf.DUMMYFUNCTION("""COMPUTED_VALUE"""),"kragger-inu")</f>
        <v>kragger-inu</v>
      </c>
      <c r="B6484" s="3" t="str">
        <f>IFERROR(__xludf.DUMMYFUNCTION("""COMPUTED_VALUE"""),"kinu")</f>
        <v>kinu</v>
      </c>
      <c r="C6484" s="3" t="str">
        <f>IFERROR(__xludf.DUMMYFUNCTION("""COMPUTED_VALUE"""),"Kragger Inu")</f>
        <v>Kragger Inu</v>
      </c>
    </row>
    <row r="6485">
      <c r="A6485" s="3" t="str">
        <f>IFERROR(__xludf.DUMMYFUNCTION("""COMPUTED_VALUE"""),"krakenpad")</f>
        <v>krakenpad</v>
      </c>
      <c r="B6485" s="3" t="str">
        <f>IFERROR(__xludf.DUMMYFUNCTION("""COMPUTED_VALUE"""),"krp")</f>
        <v>krp</v>
      </c>
      <c r="C6485" s="3" t="str">
        <f>IFERROR(__xludf.DUMMYFUNCTION("""COMPUTED_VALUE"""),"Krakenpad")</f>
        <v>Krakenpad</v>
      </c>
    </row>
    <row r="6486">
      <c r="A6486" s="3" t="str">
        <f>IFERROR(__xludf.DUMMYFUNCTION("""COMPUTED_VALUE"""),"kranz-token")</f>
        <v>kranz-token</v>
      </c>
      <c r="B6486" s="3" t="str">
        <f>IFERROR(__xludf.DUMMYFUNCTION("""COMPUTED_VALUE"""),"krz")</f>
        <v>krz</v>
      </c>
      <c r="C6486" s="3" t="str">
        <f>IFERROR(__xludf.DUMMYFUNCTION("""COMPUTED_VALUE"""),"Kranz")</f>
        <v>Kranz</v>
      </c>
    </row>
    <row r="6487">
      <c r="A6487" s="3" t="str">
        <f>IFERROR(__xludf.DUMMYFUNCTION("""COMPUTED_VALUE"""),"krause")</f>
        <v>krause</v>
      </c>
      <c r="B6487" s="3" t="str">
        <f>IFERROR(__xludf.DUMMYFUNCTION("""COMPUTED_VALUE"""),"$krause")</f>
        <v>$krause</v>
      </c>
      <c r="C6487" s="3" t="str">
        <f>IFERROR(__xludf.DUMMYFUNCTION("""COMPUTED_VALUE"""),"KRAUSE")</f>
        <v>KRAUSE</v>
      </c>
    </row>
    <row r="6488">
      <c r="A6488" s="3" t="str">
        <f>IFERROR(__xludf.DUMMYFUNCTION("""COMPUTED_VALUE"""),"kred")</f>
        <v>kred</v>
      </c>
      <c r="B6488" s="3" t="str">
        <f>IFERROR(__xludf.DUMMYFUNCTION("""COMPUTED_VALUE"""),"kred")</f>
        <v>kred</v>
      </c>
      <c r="C6488" s="3" t="str">
        <f>IFERROR(__xludf.DUMMYFUNCTION("""COMPUTED_VALUE"""),"KRED")</f>
        <v>KRED</v>
      </c>
    </row>
    <row r="6489">
      <c r="A6489" s="3" t="str">
        <f>IFERROR(__xludf.DUMMYFUNCTION("""COMPUTED_VALUE"""),"krida-fans")</f>
        <v>krida-fans</v>
      </c>
      <c r="B6489" s="3" t="str">
        <f>IFERROR(__xludf.DUMMYFUNCTION("""COMPUTED_VALUE"""),"krida")</f>
        <v>krida</v>
      </c>
      <c r="C6489" s="3" t="str">
        <f>IFERROR(__xludf.DUMMYFUNCTION("""COMPUTED_VALUE"""),"Krida Fans")</f>
        <v>Krida Fans</v>
      </c>
    </row>
    <row r="6490">
      <c r="A6490" s="3" t="str">
        <f>IFERROR(__xludf.DUMMYFUNCTION("""COMPUTED_VALUE"""),"krill")</f>
        <v>krill</v>
      </c>
      <c r="B6490" s="3" t="str">
        <f>IFERROR(__xludf.DUMMYFUNCTION("""COMPUTED_VALUE"""),"krill")</f>
        <v>krill</v>
      </c>
      <c r="C6490" s="3" t="str">
        <f>IFERROR(__xludf.DUMMYFUNCTION("""COMPUTED_VALUE"""),"Krill")</f>
        <v>Krill</v>
      </c>
    </row>
    <row r="6491">
      <c r="A6491" s="3" t="str">
        <f>IFERROR(__xludf.DUMMYFUNCTION("""COMPUTED_VALUE"""),"kripto")</f>
        <v>kripto</v>
      </c>
      <c r="B6491" s="3" t="str">
        <f>IFERROR(__xludf.DUMMYFUNCTION("""COMPUTED_VALUE"""),"kripto")</f>
        <v>kripto</v>
      </c>
      <c r="C6491" s="3" t="str">
        <f>IFERROR(__xludf.DUMMYFUNCTION("""COMPUTED_VALUE"""),"Kripto")</f>
        <v>Kripto</v>
      </c>
    </row>
    <row r="6492">
      <c r="A6492" s="3" t="str">
        <f>IFERROR(__xludf.DUMMYFUNCTION("""COMPUTED_VALUE"""),"kripto-galaxy-battle")</f>
        <v>kripto-galaxy-battle</v>
      </c>
      <c r="B6492" s="3" t="str">
        <f>IFERROR(__xludf.DUMMYFUNCTION("""COMPUTED_VALUE"""),"kaba")</f>
        <v>kaba</v>
      </c>
      <c r="C6492" s="3" t="str">
        <f>IFERROR(__xludf.DUMMYFUNCTION("""COMPUTED_VALUE"""),"Kripto Galaxy Battle")</f>
        <v>Kripto Galaxy Battle</v>
      </c>
    </row>
    <row r="6493">
      <c r="A6493" s="3" t="str">
        <f>IFERROR(__xludf.DUMMYFUNCTION("""COMPUTED_VALUE"""),"krogan")</f>
        <v>krogan</v>
      </c>
      <c r="B6493" s="3" t="str">
        <f>IFERROR(__xludf.DUMMYFUNCTION("""COMPUTED_VALUE"""),"kro")</f>
        <v>kro</v>
      </c>
      <c r="C6493" s="3" t="str">
        <f>IFERROR(__xludf.DUMMYFUNCTION("""COMPUTED_VALUE"""),"Krogan")</f>
        <v>Krogan</v>
      </c>
    </row>
    <row r="6494">
      <c r="A6494" s="3" t="str">
        <f>IFERROR(__xludf.DUMMYFUNCTION("""COMPUTED_VALUE"""),"kromatika")</f>
        <v>kromatika</v>
      </c>
      <c r="B6494" s="3" t="str">
        <f>IFERROR(__xludf.DUMMYFUNCTION("""COMPUTED_VALUE"""),"krom")</f>
        <v>krom</v>
      </c>
      <c r="C6494" s="3" t="str">
        <f>IFERROR(__xludf.DUMMYFUNCTION("""COMPUTED_VALUE"""),"Kromatika")</f>
        <v>Kromatika</v>
      </c>
    </row>
    <row r="6495">
      <c r="A6495" s="3" t="str">
        <f>IFERROR(__xludf.DUMMYFUNCTION("""COMPUTED_VALUE"""),"krome-shares")</f>
        <v>krome-shares</v>
      </c>
      <c r="B6495" s="3" t="str">
        <f>IFERROR(__xludf.DUMMYFUNCTION("""COMPUTED_VALUE"""),"krome")</f>
        <v>krome</v>
      </c>
      <c r="C6495" s="3" t="str">
        <f>IFERROR(__xludf.DUMMYFUNCTION("""COMPUTED_VALUE"""),"KROME Shares")</f>
        <v>KROME Shares</v>
      </c>
    </row>
    <row r="6496">
      <c r="A6496" s="3" t="str">
        <f>IFERROR(__xludf.DUMMYFUNCTION("""COMPUTED_VALUE"""),"krome-stablecoin")</f>
        <v>krome-stablecoin</v>
      </c>
      <c r="B6496" s="3" t="str">
        <f>IFERROR(__xludf.DUMMYFUNCTION("""COMPUTED_VALUE"""),"usdk")</f>
        <v>usdk</v>
      </c>
      <c r="C6496" s="3" t="str">
        <f>IFERROR(__xludf.DUMMYFUNCTION("""COMPUTED_VALUE"""),"KROME stablecoin")</f>
        <v>KROME stablecoin</v>
      </c>
    </row>
    <row r="6497">
      <c r="A6497" s="3" t="str">
        <f>IFERROR(__xludf.DUMMYFUNCTION("""COMPUTED_VALUE"""),"kronobit")</f>
        <v>kronobit</v>
      </c>
      <c r="B6497" s="3" t="str">
        <f>IFERROR(__xludf.DUMMYFUNCTION("""COMPUTED_VALUE"""),"knb")</f>
        <v>knb</v>
      </c>
      <c r="C6497" s="3" t="str">
        <f>IFERROR(__xludf.DUMMYFUNCTION("""COMPUTED_VALUE"""),"Kronobit")</f>
        <v>Kronobit</v>
      </c>
    </row>
    <row r="6498">
      <c r="A6498" s="3" t="str">
        <f>IFERROR(__xludf.DUMMYFUNCTION("""COMPUTED_VALUE"""),"krook-coin")</f>
        <v>krook-coin</v>
      </c>
      <c r="B6498" s="3" t="str">
        <f>IFERROR(__xludf.DUMMYFUNCTION("""COMPUTED_VALUE"""),"krook")</f>
        <v>krook</v>
      </c>
      <c r="C6498" s="3" t="str">
        <f>IFERROR(__xludf.DUMMYFUNCTION("""COMPUTED_VALUE"""),"Krook Coin")</f>
        <v>Krook Coin</v>
      </c>
    </row>
    <row r="6499">
      <c r="A6499" s="3" t="str">
        <f>IFERROR(__xludf.DUMMYFUNCTION("""COMPUTED_VALUE"""),"k-root-wallet")</f>
        <v>k-root-wallet</v>
      </c>
      <c r="B6499" s="3" t="str">
        <f>IFERROR(__xludf.DUMMYFUNCTION("""COMPUTED_VALUE"""),"kroot")</f>
        <v>kroot</v>
      </c>
      <c r="C6499" s="3" t="str">
        <f>IFERROR(__xludf.DUMMYFUNCTION("""COMPUTED_VALUE"""),"K-Root Wallet")</f>
        <v>K-Root Wallet</v>
      </c>
    </row>
    <row r="6500">
      <c r="A6500" s="3" t="str">
        <f>IFERROR(__xludf.DUMMYFUNCTION("""COMPUTED_VALUE"""),"krown")</f>
        <v>krown</v>
      </c>
      <c r="B6500" s="3" t="str">
        <f>IFERROR(__xludf.DUMMYFUNCTION("""COMPUTED_VALUE"""),"krw")</f>
        <v>krw</v>
      </c>
      <c r="C6500" s="3" t="str">
        <f>IFERROR(__xludf.DUMMYFUNCTION("""COMPUTED_VALUE"""),"KROWN")</f>
        <v>KROWN</v>
      </c>
    </row>
    <row r="6501">
      <c r="A6501" s="3" t="str">
        <f>IFERROR(__xludf.DUMMYFUNCTION("""COMPUTED_VALUE"""),"kryll")</f>
        <v>kryll</v>
      </c>
      <c r="B6501" s="3" t="str">
        <f>IFERROR(__xludf.DUMMYFUNCTION("""COMPUTED_VALUE"""),"krl")</f>
        <v>krl</v>
      </c>
      <c r="C6501" s="3" t="str">
        <f>IFERROR(__xludf.DUMMYFUNCTION("""COMPUTED_VALUE"""),"KRYLL")</f>
        <v>KRYLL</v>
      </c>
    </row>
    <row r="6502">
      <c r="A6502" s="3" t="str">
        <f>IFERROR(__xludf.DUMMYFUNCTION("""COMPUTED_VALUE"""),"kryptobellion")</f>
        <v>kryptobellion</v>
      </c>
      <c r="B6502" s="3" t="str">
        <f>IFERROR(__xludf.DUMMYFUNCTION("""COMPUTED_VALUE"""),"krypto")</f>
        <v>krypto</v>
      </c>
      <c r="C6502" s="3" t="str">
        <f>IFERROR(__xludf.DUMMYFUNCTION("""COMPUTED_VALUE"""),"Kryptobellion")</f>
        <v>Kryptobellion</v>
      </c>
    </row>
    <row r="6503">
      <c r="A6503" s="3" t="str">
        <f>IFERROR(__xludf.DUMMYFUNCTION("""COMPUTED_VALUE"""),"krypto-kitty")</f>
        <v>krypto-kitty</v>
      </c>
      <c r="B6503" s="3" t="str">
        <f>IFERROR(__xludf.DUMMYFUNCTION("""COMPUTED_VALUE"""),"kty")</f>
        <v>kty</v>
      </c>
      <c r="C6503" s="3" t="str">
        <f>IFERROR(__xludf.DUMMYFUNCTION("""COMPUTED_VALUE"""),"Krypto Kitty")</f>
        <v>Krypto Kitty</v>
      </c>
    </row>
    <row r="6504">
      <c r="A6504" s="3" t="str">
        <f>IFERROR(__xludf.DUMMYFUNCTION("""COMPUTED_VALUE"""),"kryptomon")</f>
        <v>kryptomon</v>
      </c>
      <c r="B6504" s="3" t="str">
        <f>IFERROR(__xludf.DUMMYFUNCTION("""COMPUTED_VALUE"""),"kmon")</f>
        <v>kmon</v>
      </c>
      <c r="C6504" s="3" t="str">
        <f>IFERROR(__xludf.DUMMYFUNCTION("""COMPUTED_VALUE"""),"Kryptomon")</f>
        <v>Kryptomon</v>
      </c>
    </row>
    <row r="6505">
      <c r="A6505" s="3" t="str">
        <f>IFERROR(__xludf.DUMMYFUNCTION("""COMPUTED_VALUE"""),"krypton-dao")</f>
        <v>krypton-dao</v>
      </c>
      <c r="B6505" s="3" t="str">
        <f>IFERROR(__xludf.DUMMYFUNCTION("""COMPUTED_VALUE"""),"krd")</f>
        <v>krd</v>
      </c>
      <c r="C6505" s="3" t="str">
        <f>IFERROR(__xludf.DUMMYFUNCTION("""COMPUTED_VALUE"""),"Krypton DAO")</f>
        <v>Krypton DAO</v>
      </c>
    </row>
    <row r="6506">
      <c r="A6506" s="3" t="str">
        <f>IFERROR(__xludf.DUMMYFUNCTION("""COMPUTED_VALUE"""),"krypton-token")</f>
        <v>krypton-token</v>
      </c>
      <c r="B6506" s="3" t="str">
        <f>IFERROR(__xludf.DUMMYFUNCTION("""COMPUTED_VALUE"""),"kgc")</f>
        <v>kgc</v>
      </c>
      <c r="C6506" s="3" t="str">
        <f>IFERROR(__xludf.DUMMYFUNCTION("""COMPUTED_VALUE"""),"Krypton Galaxy Coin")</f>
        <v>Krypton Galaxy Coin</v>
      </c>
    </row>
    <row r="6507">
      <c r="A6507" s="3" t="str">
        <f>IFERROR(__xludf.DUMMYFUNCTION("""COMPUTED_VALUE"""),"kryptopets")</f>
        <v>kryptopets</v>
      </c>
      <c r="B6507" s="3" t="str">
        <f>IFERROR(__xludf.DUMMYFUNCTION("""COMPUTED_VALUE"""),"kpets")</f>
        <v>kpets</v>
      </c>
      <c r="C6507" s="3" t="str">
        <f>IFERROR(__xludf.DUMMYFUNCTION("""COMPUTED_VALUE"""),"KryptoPets")</f>
        <v>KryptoPets</v>
      </c>
    </row>
    <row r="6508">
      <c r="A6508" s="3" t="str">
        <f>IFERROR(__xludf.DUMMYFUNCTION("""COMPUTED_VALUE"""),"kryptview")</f>
        <v>kryptview</v>
      </c>
      <c r="B6508" s="3" t="str">
        <f>IFERROR(__xludf.DUMMYFUNCTION("""COMPUTED_VALUE"""),"kvt")</f>
        <v>kvt</v>
      </c>
      <c r="C6508" s="3" t="str">
        <f>IFERROR(__xludf.DUMMYFUNCTION("""COMPUTED_VALUE"""),"Kryptview")</f>
        <v>Kryptview</v>
      </c>
    </row>
    <row r="6509">
      <c r="A6509" s="3" t="str">
        <f>IFERROR(__xludf.DUMMYFUNCTION("""COMPUTED_VALUE"""),"kryxivia-game")</f>
        <v>kryxivia-game</v>
      </c>
      <c r="B6509" s="3" t="str">
        <f>IFERROR(__xludf.DUMMYFUNCTION("""COMPUTED_VALUE"""),"kxa")</f>
        <v>kxa</v>
      </c>
      <c r="C6509" s="3" t="str">
        <f>IFERROR(__xludf.DUMMYFUNCTION("""COMPUTED_VALUE"""),"Kryxivia Game")</f>
        <v>Kryxivia Game</v>
      </c>
    </row>
    <row r="6510">
      <c r="A6510" s="3" t="str">
        <f>IFERROR(__xludf.DUMMYFUNCTION("""COMPUTED_VALUE"""),"kryza-network")</f>
        <v>kryza-network</v>
      </c>
      <c r="B6510" s="3" t="str">
        <f>IFERROR(__xludf.DUMMYFUNCTION("""COMPUTED_VALUE"""),"krn")</f>
        <v>krn</v>
      </c>
      <c r="C6510" s="3" t="str">
        <f>IFERROR(__xludf.DUMMYFUNCTION("""COMPUTED_VALUE"""),"KRYZA Network")</f>
        <v>KRYZA Network</v>
      </c>
    </row>
    <row r="6511">
      <c r="A6511" s="3" t="str">
        <f>IFERROR(__xludf.DUMMYFUNCTION("""COMPUTED_VALUE"""),"ksm-starter")</f>
        <v>ksm-starter</v>
      </c>
      <c r="B6511" s="3" t="str">
        <f>IFERROR(__xludf.DUMMYFUNCTION("""COMPUTED_VALUE"""),"kst")</f>
        <v>kst</v>
      </c>
      <c r="C6511" s="3" t="str">
        <f>IFERROR(__xludf.DUMMYFUNCTION("""COMPUTED_VALUE"""),"Karus Starter")</f>
        <v>Karus Starter</v>
      </c>
    </row>
    <row r="6512">
      <c r="A6512" s="3" t="str">
        <f>IFERROR(__xludf.DUMMYFUNCTION("""COMPUTED_VALUE"""),"kstarcoin")</f>
        <v>kstarcoin</v>
      </c>
      <c r="B6512" s="3" t="str">
        <f>IFERROR(__xludf.DUMMYFUNCTION("""COMPUTED_VALUE"""),"ksc")</f>
        <v>ksc</v>
      </c>
      <c r="C6512" s="3" t="str">
        <f>IFERROR(__xludf.DUMMYFUNCTION("""COMPUTED_VALUE"""),"KStarCoin")</f>
        <v>KStarCoin</v>
      </c>
    </row>
    <row r="6513">
      <c r="A6513" s="3" t="str">
        <f>IFERROR(__xludf.DUMMYFUNCTION("""COMPUTED_VALUE"""),"k-tune")</f>
        <v>k-tune</v>
      </c>
      <c r="B6513" s="3" t="str">
        <f>IFERROR(__xludf.DUMMYFUNCTION("""COMPUTED_VALUE"""),"ktt")</f>
        <v>ktt</v>
      </c>
      <c r="C6513" s="3" t="str">
        <f>IFERROR(__xludf.DUMMYFUNCTION("""COMPUTED_VALUE"""),"K-Tune")</f>
        <v>K-Tune</v>
      </c>
    </row>
    <row r="6514">
      <c r="A6514" s="3" t="str">
        <f>IFERROR(__xludf.DUMMYFUNCTION("""COMPUTED_VALUE"""),"kuaitoken")</f>
        <v>kuaitoken</v>
      </c>
      <c r="B6514" s="3" t="str">
        <f>IFERROR(__xludf.DUMMYFUNCTION("""COMPUTED_VALUE"""),"kt")</f>
        <v>kt</v>
      </c>
      <c r="C6514" s="3" t="str">
        <f>IFERROR(__xludf.DUMMYFUNCTION("""COMPUTED_VALUE"""),"Kuai")</f>
        <v>Kuai</v>
      </c>
    </row>
    <row r="6515">
      <c r="A6515" s="3" t="str">
        <f>IFERROR(__xludf.DUMMYFUNCTION("""COMPUTED_VALUE"""),"kubecoin")</f>
        <v>kubecoin</v>
      </c>
      <c r="B6515" s="3" t="str">
        <f>IFERROR(__xludf.DUMMYFUNCTION("""COMPUTED_VALUE"""),"kube")</f>
        <v>kube</v>
      </c>
      <c r="C6515" s="3" t="str">
        <f>IFERROR(__xludf.DUMMYFUNCTION("""COMPUTED_VALUE"""),"KubeCoin")</f>
        <v>KubeCoin</v>
      </c>
    </row>
    <row r="6516">
      <c r="A6516" s="3" t="str">
        <f>IFERROR(__xludf.DUMMYFUNCTION("""COMPUTED_VALUE"""),"kubic")</f>
        <v>kubic</v>
      </c>
      <c r="B6516" s="3" t="str">
        <f>IFERROR(__xludf.DUMMYFUNCTION("""COMPUTED_VALUE"""),"kubic")</f>
        <v>kubic</v>
      </c>
      <c r="C6516" s="3" t="str">
        <f>IFERROR(__xludf.DUMMYFUNCTION("""COMPUTED_VALUE"""),"Kubic")</f>
        <v>Kubic</v>
      </c>
    </row>
    <row r="6517">
      <c r="A6517" s="3" t="str">
        <f>IFERROR(__xludf.DUMMYFUNCTION("""COMPUTED_VALUE"""),"kucoin-shares")</f>
        <v>kucoin-shares</v>
      </c>
      <c r="B6517" s="3" t="str">
        <f>IFERROR(__xludf.DUMMYFUNCTION("""COMPUTED_VALUE"""),"kcs")</f>
        <v>kcs</v>
      </c>
      <c r="C6517" s="3" t="str">
        <f>IFERROR(__xludf.DUMMYFUNCTION("""COMPUTED_VALUE"""),"KuCoin")</f>
        <v>KuCoin</v>
      </c>
    </row>
    <row r="6518">
      <c r="A6518" s="3" t="str">
        <f>IFERROR(__xludf.DUMMYFUNCTION("""COMPUTED_VALUE"""),"kudoge")</f>
        <v>kudoge</v>
      </c>
      <c r="B6518" s="3" t="str">
        <f>IFERROR(__xludf.DUMMYFUNCTION("""COMPUTED_VALUE"""),"kudo")</f>
        <v>kudo</v>
      </c>
      <c r="C6518" s="3" t="str">
        <f>IFERROR(__xludf.DUMMYFUNCTION("""COMPUTED_VALUE"""),"KuDoge")</f>
        <v>KuDoge</v>
      </c>
    </row>
    <row r="6519">
      <c r="A6519" s="3" t="str">
        <f>IFERROR(__xludf.DUMMYFUNCTION("""COMPUTED_VALUE"""),"kujira")</f>
        <v>kujira</v>
      </c>
      <c r="B6519" s="3" t="str">
        <f>IFERROR(__xludf.DUMMYFUNCTION("""COMPUTED_VALUE"""),"kuji")</f>
        <v>kuji</v>
      </c>
      <c r="C6519" s="3" t="str">
        <f>IFERROR(__xludf.DUMMYFUNCTION("""COMPUTED_VALUE"""),"Kujira")</f>
        <v>Kujira</v>
      </c>
    </row>
    <row r="6520">
      <c r="A6520" s="3" t="str">
        <f>IFERROR(__xludf.DUMMYFUNCTION("""COMPUTED_VALUE"""),"kuky-star")</f>
        <v>kuky-star</v>
      </c>
      <c r="B6520" s="3" t="str">
        <f>IFERROR(__xludf.DUMMYFUNCTION("""COMPUTED_VALUE"""),"kuky")</f>
        <v>kuky</v>
      </c>
      <c r="C6520" s="3" t="str">
        <f>IFERROR(__xludf.DUMMYFUNCTION("""COMPUTED_VALUE"""),"Kuky Star")</f>
        <v>Kuky Star</v>
      </c>
    </row>
    <row r="6521">
      <c r="A6521" s="3" t="str">
        <f>IFERROR(__xludf.DUMMYFUNCTION("""COMPUTED_VALUE"""),"kulupu")</f>
        <v>kulupu</v>
      </c>
      <c r="B6521" s="3" t="str">
        <f>IFERROR(__xludf.DUMMYFUNCTION("""COMPUTED_VALUE"""),"klp")</f>
        <v>klp</v>
      </c>
      <c r="C6521" s="3" t="str">
        <f>IFERROR(__xludf.DUMMYFUNCTION("""COMPUTED_VALUE"""),"Kulupu")</f>
        <v>Kulupu</v>
      </c>
    </row>
    <row r="6522">
      <c r="A6522" s="3" t="str">
        <f>IFERROR(__xludf.DUMMYFUNCTION("""COMPUTED_VALUE"""),"kumadex-token")</f>
        <v>kumadex-token</v>
      </c>
      <c r="B6522" s="3" t="str">
        <f>IFERROR(__xludf.DUMMYFUNCTION("""COMPUTED_VALUE"""),"dkuma")</f>
        <v>dkuma</v>
      </c>
      <c r="C6522" s="3" t="str">
        <f>IFERROR(__xludf.DUMMYFUNCTION("""COMPUTED_VALUE"""),"KumaDex Token")</f>
        <v>KumaDex Token</v>
      </c>
    </row>
    <row r="6523">
      <c r="A6523" s="3" t="str">
        <f>IFERROR(__xludf.DUMMYFUNCTION("""COMPUTED_VALUE"""),"kuma-inu")</f>
        <v>kuma-inu</v>
      </c>
      <c r="B6523" s="3" t="str">
        <f>IFERROR(__xludf.DUMMYFUNCTION("""COMPUTED_VALUE"""),"kuma")</f>
        <v>kuma</v>
      </c>
      <c r="C6523" s="3" t="str">
        <f>IFERROR(__xludf.DUMMYFUNCTION("""COMPUTED_VALUE"""),"Kuma Inu")</f>
        <v>Kuma Inu</v>
      </c>
    </row>
    <row r="6524">
      <c r="A6524" s="3" t="str">
        <f>IFERROR(__xludf.DUMMYFUNCTION("""COMPUTED_VALUE"""),"kumu-finance")</f>
        <v>kumu-finance</v>
      </c>
      <c r="B6524" s="3" t="str">
        <f>IFERROR(__xludf.DUMMYFUNCTION("""COMPUTED_VALUE"""),"kumu")</f>
        <v>kumu</v>
      </c>
      <c r="C6524" s="3" t="str">
        <f>IFERROR(__xludf.DUMMYFUNCTION("""COMPUTED_VALUE"""),"Kumu Finance")</f>
        <v>Kumu Finance</v>
      </c>
    </row>
    <row r="6525">
      <c r="A6525" s="3" t="str">
        <f>IFERROR(__xludf.DUMMYFUNCTION("""COMPUTED_VALUE"""),"kunci-coin")</f>
        <v>kunci-coin</v>
      </c>
      <c r="B6525" s="3" t="str">
        <f>IFERROR(__xludf.DUMMYFUNCTION("""COMPUTED_VALUE"""),"kunci")</f>
        <v>kunci</v>
      </c>
      <c r="C6525" s="3" t="str">
        <f>IFERROR(__xludf.DUMMYFUNCTION("""COMPUTED_VALUE"""),"Kunci Coin")</f>
        <v>Kunci Coin</v>
      </c>
    </row>
    <row r="6526">
      <c r="A6526" s="3" t="str">
        <f>IFERROR(__xludf.DUMMYFUNCTION("""COMPUTED_VALUE"""),"kunoichix")</f>
        <v>kunoichix</v>
      </c>
      <c r="B6526" s="3" t="str">
        <f>IFERROR(__xludf.DUMMYFUNCTION("""COMPUTED_VALUE"""),"kuno")</f>
        <v>kuno</v>
      </c>
      <c r="C6526" s="3" t="str">
        <f>IFERROR(__xludf.DUMMYFUNCTION("""COMPUTED_VALUE"""),"KunoichiX")</f>
        <v>KunoichiX</v>
      </c>
    </row>
    <row r="6527">
      <c r="A6527" s="3" t="str">
        <f>IFERROR(__xludf.DUMMYFUNCTION("""COMPUTED_VALUE"""),"kurai-inu")</f>
        <v>kurai-inu</v>
      </c>
      <c r="B6527" s="3" t="str">
        <f>IFERROR(__xludf.DUMMYFUNCTION("""COMPUTED_VALUE"""),"kurai")</f>
        <v>kurai</v>
      </c>
      <c r="C6527" s="3" t="str">
        <f>IFERROR(__xludf.DUMMYFUNCTION("""COMPUTED_VALUE"""),"Kurai Inu")</f>
        <v>Kurai Inu</v>
      </c>
    </row>
    <row r="6528">
      <c r="A6528" s="3" t="str">
        <f>IFERROR(__xludf.DUMMYFUNCTION("""COMPUTED_VALUE"""),"kuramainu")</f>
        <v>kuramainu</v>
      </c>
      <c r="B6528" s="3" t="str">
        <f>IFERROR(__xludf.DUMMYFUNCTION("""COMPUTED_VALUE"""),"kunu")</f>
        <v>kunu</v>
      </c>
      <c r="C6528" s="3" t="str">
        <f>IFERROR(__xludf.DUMMYFUNCTION("""COMPUTED_VALUE"""),"KuramaInu")</f>
        <v>KuramaInu</v>
      </c>
    </row>
    <row r="6529">
      <c r="A6529" s="3" t="str">
        <f>IFERROR(__xludf.DUMMYFUNCTION("""COMPUTED_VALUE"""),"kurobi")</f>
        <v>kurobi</v>
      </c>
      <c r="B6529" s="3" t="str">
        <f>IFERROR(__xludf.DUMMYFUNCTION("""COMPUTED_VALUE"""),"kuro")</f>
        <v>kuro</v>
      </c>
      <c r="C6529" s="3" t="str">
        <f>IFERROR(__xludf.DUMMYFUNCTION("""COMPUTED_VALUE"""),"Kurobi")</f>
        <v>Kurobi</v>
      </c>
    </row>
    <row r="6530">
      <c r="A6530" s="3" t="str">
        <f>IFERROR(__xludf.DUMMYFUNCTION("""COMPUTED_VALUE"""),"kuro-shiba")</f>
        <v>kuro-shiba</v>
      </c>
      <c r="B6530" s="3" t="str">
        <f>IFERROR(__xludf.DUMMYFUNCTION("""COMPUTED_VALUE"""),"kuro")</f>
        <v>kuro</v>
      </c>
      <c r="C6530" s="3" t="str">
        <f>IFERROR(__xludf.DUMMYFUNCTION("""COMPUTED_VALUE"""),"Kuro Shiba")</f>
        <v>Kuro Shiba</v>
      </c>
    </row>
    <row r="6531">
      <c r="A6531" s="3" t="str">
        <f>IFERROR(__xludf.DUMMYFUNCTION("""COMPUTED_VALUE"""),"kurrent")</f>
        <v>kurrent</v>
      </c>
      <c r="B6531" s="3" t="str">
        <f>IFERROR(__xludf.DUMMYFUNCTION("""COMPUTED_VALUE"""),"kurt")</f>
        <v>kurt</v>
      </c>
      <c r="C6531" s="3" t="str">
        <f>IFERROR(__xludf.DUMMYFUNCTION("""COMPUTED_VALUE"""),"Kurrent")</f>
        <v>Kurrent</v>
      </c>
    </row>
    <row r="6532">
      <c r="A6532" s="3" t="str">
        <f>IFERROR(__xludf.DUMMYFUNCTION("""COMPUTED_VALUE"""),"kusama")</f>
        <v>kusama</v>
      </c>
      <c r="B6532" s="3" t="str">
        <f>IFERROR(__xludf.DUMMYFUNCTION("""COMPUTED_VALUE"""),"ksm")</f>
        <v>ksm</v>
      </c>
      <c r="C6532" s="3" t="str">
        <f>IFERROR(__xludf.DUMMYFUNCTION("""COMPUTED_VALUE"""),"Kusama")</f>
        <v>Kusama</v>
      </c>
    </row>
    <row r="6533">
      <c r="A6533" s="3" t="str">
        <f>IFERROR(__xludf.DUMMYFUNCTION("""COMPUTED_VALUE"""),"kusd-t")</f>
        <v>kusd-t</v>
      </c>
      <c r="B6533" s="3" t="str">
        <f>IFERROR(__xludf.DUMMYFUNCTION("""COMPUTED_VALUE"""),"kusd-t")</f>
        <v>kusd-t</v>
      </c>
      <c r="C6533" s="3" t="str">
        <f>IFERROR(__xludf.DUMMYFUNCTION("""COMPUTED_VALUE"""),"KUSD-T")</f>
        <v>KUSD-T</v>
      </c>
    </row>
    <row r="6534">
      <c r="A6534" s="3" t="str">
        <f>IFERROR(__xludf.DUMMYFUNCTION("""COMPUTED_VALUE"""),"kush-finance")</f>
        <v>kush-finance</v>
      </c>
      <c r="B6534" s="3" t="str">
        <f>IFERROR(__xludf.DUMMYFUNCTION("""COMPUTED_VALUE"""),"kseed")</f>
        <v>kseed</v>
      </c>
      <c r="C6534" s="3" t="str">
        <f>IFERROR(__xludf.DUMMYFUNCTION("""COMPUTED_VALUE"""),"Kush Finance")</f>
        <v>Kush Finance</v>
      </c>
    </row>
    <row r="6535">
      <c r="A6535" s="3" t="str">
        <f>IFERROR(__xludf.DUMMYFUNCTION("""COMPUTED_VALUE"""),"kusunoki-samurai")</f>
        <v>kusunoki-samurai</v>
      </c>
      <c r="B6535" s="3" t="str">
        <f>IFERROR(__xludf.DUMMYFUNCTION("""COMPUTED_VALUE"""),"kusunoki")</f>
        <v>kusunoki</v>
      </c>
      <c r="C6535" s="3" t="str">
        <f>IFERROR(__xludf.DUMMYFUNCTION("""COMPUTED_VALUE"""),"Kusunoki Samurai")</f>
        <v>Kusunoki Samurai</v>
      </c>
    </row>
    <row r="6536">
      <c r="A6536" s="3" t="str">
        <f>IFERROR(__xludf.DUMMYFUNCTION("""COMPUTED_VALUE"""),"kuswap")</f>
        <v>kuswap</v>
      </c>
      <c r="B6536" s="3" t="str">
        <f>IFERROR(__xludf.DUMMYFUNCTION("""COMPUTED_VALUE"""),"kus")</f>
        <v>kus</v>
      </c>
      <c r="C6536" s="3" t="str">
        <f>IFERROR(__xludf.DUMMYFUNCTION("""COMPUTED_VALUE"""),"KuSwap")</f>
        <v>KuSwap</v>
      </c>
    </row>
    <row r="6537">
      <c r="A6537" s="3" t="str">
        <f>IFERROR(__xludf.DUMMYFUNCTION("""COMPUTED_VALUE"""),"kuwa-oracle")</f>
        <v>kuwa-oracle</v>
      </c>
      <c r="B6537" s="3" t="str">
        <f>IFERROR(__xludf.DUMMYFUNCTION("""COMPUTED_VALUE"""),"kuor")</f>
        <v>kuor</v>
      </c>
      <c r="C6537" s="3" t="str">
        <f>IFERROR(__xludf.DUMMYFUNCTION("""COMPUTED_VALUE"""),"Kuwa Oracle")</f>
        <v>Kuwa Oracle</v>
      </c>
    </row>
    <row r="6538">
      <c r="A6538" s="3" t="str">
        <f>IFERROR(__xludf.DUMMYFUNCTION("""COMPUTED_VALUE"""),"kuy-token")</f>
        <v>kuy-token</v>
      </c>
      <c r="B6538" s="3" t="str">
        <f>IFERROR(__xludf.DUMMYFUNCTION("""COMPUTED_VALUE"""),"kuy")</f>
        <v>kuy</v>
      </c>
      <c r="C6538" s="3" t="str">
        <f>IFERROR(__xludf.DUMMYFUNCTION("""COMPUTED_VALUE"""),"KUY")</f>
        <v>KUY</v>
      </c>
    </row>
    <row r="6539">
      <c r="A6539" s="3" t="str">
        <f>IFERROR(__xludf.DUMMYFUNCTION("""COMPUTED_VALUE"""),"kwenta")</f>
        <v>kwenta</v>
      </c>
      <c r="B6539" s="3" t="str">
        <f>IFERROR(__xludf.DUMMYFUNCTION("""COMPUTED_VALUE"""),"kwenta")</f>
        <v>kwenta</v>
      </c>
      <c r="C6539" s="3" t="str">
        <f>IFERROR(__xludf.DUMMYFUNCTION("""COMPUTED_VALUE"""),"Kwenta")</f>
        <v>Kwenta</v>
      </c>
    </row>
    <row r="6540">
      <c r="A6540" s="3" t="str">
        <f>IFERROR(__xludf.DUMMYFUNCTION("""COMPUTED_VALUE"""),"kwiktrust")</f>
        <v>kwiktrust</v>
      </c>
      <c r="B6540" s="3" t="str">
        <f>IFERROR(__xludf.DUMMYFUNCTION("""COMPUTED_VALUE"""),"ktx")</f>
        <v>ktx</v>
      </c>
      <c r="C6540" s="3" t="str">
        <f>IFERROR(__xludf.DUMMYFUNCTION("""COMPUTED_VALUE"""),"KwikTrust")</f>
        <v>KwikTrust</v>
      </c>
    </row>
    <row r="6541">
      <c r="A6541" s="3" t="str">
        <f>IFERROR(__xludf.DUMMYFUNCTION("""COMPUTED_VALUE"""),"kyanite")</f>
        <v>kyanite</v>
      </c>
      <c r="B6541" s="3" t="str">
        <f>IFERROR(__xludf.DUMMYFUNCTION("""COMPUTED_VALUE"""),"kyan")</f>
        <v>kyan</v>
      </c>
      <c r="C6541" s="3" t="str">
        <f>IFERROR(__xludf.DUMMYFUNCTION("""COMPUTED_VALUE"""),"Kyanite")</f>
        <v>Kyanite</v>
      </c>
    </row>
    <row r="6542">
      <c r="A6542" s="3" t="str">
        <f>IFERROR(__xludf.DUMMYFUNCTION("""COMPUTED_VALUE"""),"kyberdyne")</f>
        <v>kyberdyne</v>
      </c>
      <c r="B6542" s="3" t="str">
        <f>IFERROR(__xludf.DUMMYFUNCTION("""COMPUTED_VALUE"""),"kbd")</f>
        <v>kbd</v>
      </c>
      <c r="C6542" s="3" t="str">
        <f>IFERROR(__xludf.DUMMYFUNCTION("""COMPUTED_VALUE"""),"Kyberdyne")</f>
        <v>Kyberdyne</v>
      </c>
    </row>
    <row r="6543">
      <c r="A6543" s="3" t="str">
        <f>IFERROR(__xludf.DUMMYFUNCTION("""COMPUTED_VALUE"""),"kyber-network")</f>
        <v>kyber-network</v>
      </c>
      <c r="B6543" s="3" t="str">
        <f>IFERROR(__xludf.DUMMYFUNCTION("""COMPUTED_VALUE"""),"kncl")</f>
        <v>kncl</v>
      </c>
      <c r="C6543" s="3" t="str">
        <f>IFERROR(__xludf.DUMMYFUNCTION("""COMPUTED_VALUE"""),"Kyber Network Crystal Legacy")</f>
        <v>Kyber Network Crystal Legacy</v>
      </c>
    </row>
    <row r="6544">
      <c r="A6544" s="3" t="str">
        <f>IFERROR(__xludf.DUMMYFUNCTION("""COMPUTED_VALUE"""),"kyber-network-crystal")</f>
        <v>kyber-network-crystal</v>
      </c>
      <c r="B6544" s="3" t="str">
        <f>IFERROR(__xludf.DUMMYFUNCTION("""COMPUTED_VALUE"""),"knc")</f>
        <v>knc</v>
      </c>
      <c r="C6544" s="3" t="str">
        <f>IFERROR(__xludf.DUMMYFUNCTION("""COMPUTED_VALUE"""),"Kyber Network Crystal")</f>
        <v>Kyber Network Crystal</v>
      </c>
    </row>
    <row r="6545">
      <c r="A6545" s="3" t="str">
        <f>IFERROR(__xludf.DUMMYFUNCTION("""COMPUTED_VALUE"""),"kyccoin")</f>
        <v>kyccoin</v>
      </c>
      <c r="B6545" s="3" t="str">
        <f>IFERROR(__xludf.DUMMYFUNCTION("""COMPUTED_VALUE"""),"kycc")</f>
        <v>kycc</v>
      </c>
      <c r="C6545" s="3" t="str">
        <f>IFERROR(__xludf.DUMMYFUNCTION("""COMPUTED_VALUE"""),"KYCCOIN")</f>
        <v>KYCCOIN</v>
      </c>
    </row>
    <row r="6546">
      <c r="A6546" s="3" t="str">
        <f>IFERROR(__xludf.DUMMYFUNCTION("""COMPUTED_VALUE"""),"kylin-network")</f>
        <v>kylin-network</v>
      </c>
      <c r="B6546" s="3" t="str">
        <f>IFERROR(__xludf.DUMMYFUNCTION("""COMPUTED_VALUE"""),"kyl")</f>
        <v>kyl</v>
      </c>
      <c r="C6546" s="3" t="str">
        <f>IFERROR(__xludf.DUMMYFUNCTION("""COMPUTED_VALUE"""),"Kylin Network")</f>
        <v>Kylin Network</v>
      </c>
    </row>
    <row r="6547">
      <c r="A6547" s="3" t="str">
        <f>IFERROR(__xludf.DUMMYFUNCTION("""COMPUTED_VALUE"""),"kyoko")</f>
        <v>kyoko</v>
      </c>
      <c r="B6547" s="3" t="str">
        <f>IFERROR(__xludf.DUMMYFUNCTION("""COMPUTED_VALUE"""),"kyoko")</f>
        <v>kyoko</v>
      </c>
      <c r="C6547" s="3" t="str">
        <f>IFERROR(__xludf.DUMMYFUNCTION("""COMPUTED_VALUE"""),"Kyoko")</f>
        <v>Kyoko</v>
      </c>
    </row>
    <row r="6548">
      <c r="A6548" s="3" t="str">
        <f>IFERROR(__xludf.DUMMYFUNCTION("""COMPUTED_VALUE"""),"kyrrex")</f>
        <v>kyrrex</v>
      </c>
      <c r="B6548" s="3" t="str">
        <f>IFERROR(__xludf.DUMMYFUNCTION("""COMPUTED_VALUE"""),"krrx")</f>
        <v>krrx</v>
      </c>
      <c r="C6548" s="3" t="str">
        <f>IFERROR(__xludf.DUMMYFUNCTION("""COMPUTED_VALUE"""),"Kyrrex")</f>
        <v>Kyrrex</v>
      </c>
    </row>
    <row r="6549">
      <c r="A6549" s="3" t="str">
        <f>IFERROR(__xludf.DUMMYFUNCTION("""COMPUTED_VALUE"""),"kyte-one")</f>
        <v>kyte-one</v>
      </c>
      <c r="B6549" s="3" t="str">
        <f>IFERROR(__xludf.DUMMYFUNCTION("""COMPUTED_VALUE"""),"kte")</f>
        <v>kte</v>
      </c>
      <c r="C6549" s="3" t="str">
        <f>IFERROR(__xludf.DUMMYFUNCTION("""COMPUTED_VALUE"""),"Kyte.One")</f>
        <v>Kyte.One</v>
      </c>
    </row>
    <row r="6550">
      <c r="A6550" s="3" t="str">
        <f>IFERROR(__xludf.DUMMYFUNCTION("""COMPUTED_VALUE"""),"kyve-network")</f>
        <v>kyve-network</v>
      </c>
      <c r="B6550" s="3" t="str">
        <f>IFERROR(__xludf.DUMMYFUNCTION("""COMPUTED_VALUE"""),"kyve")</f>
        <v>kyve</v>
      </c>
      <c r="C6550" s="3" t="str">
        <f>IFERROR(__xludf.DUMMYFUNCTION("""COMPUTED_VALUE"""),"Kyve Network")</f>
        <v>Kyve Network</v>
      </c>
    </row>
    <row r="6551">
      <c r="A6551" s="3" t="str">
        <f>IFERROR(__xludf.DUMMYFUNCTION("""COMPUTED_VALUE"""),"kzcash")</f>
        <v>kzcash</v>
      </c>
      <c r="B6551" s="3" t="str">
        <f>IFERROR(__xludf.DUMMYFUNCTION("""COMPUTED_VALUE"""),"kzc")</f>
        <v>kzc</v>
      </c>
      <c r="C6551" s="3" t="str">
        <f>IFERROR(__xludf.DUMMYFUNCTION("""COMPUTED_VALUE"""),"Kzcash")</f>
        <v>Kzcash</v>
      </c>
    </row>
    <row r="6552">
      <c r="A6552" s="3" t="str">
        <f>IFERROR(__xludf.DUMMYFUNCTION("""COMPUTED_VALUE"""),"l2pad")</f>
        <v>l2pad</v>
      </c>
      <c r="B6552" s="3" t="str">
        <f>IFERROR(__xludf.DUMMYFUNCTION("""COMPUTED_VALUE"""),"l2pad")</f>
        <v>l2pad</v>
      </c>
      <c r="C6552" s="3" t="str">
        <f>IFERROR(__xludf.DUMMYFUNCTION("""COMPUTED_VALUE"""),"L2PAD")</f>
        <v>L2PAD</v>
      </c>
    </row>
    <row r="6553">
      <c r="A6553" s="3" t="str">
        <f>IFERROR(__xludf.DUMMYFUNCTION("""COMPUTED_VALUE"""),"l3usd")</f>
        <v>l3usd</v>
      </c>
      <c r="B6553" s="3" t="str">
        <f>IFERROR(__xludf.DUMMYFUNCTION("""COMPUTED_VALUE"""),"l3usd")</f>
        <v>l3usd</v>
      </c>
      <c r="C6553" s="3" t="str">
        <f>IFERROR(__xludf.DUMMYFUNCTION("""COMPUTED_VALUE"""),"L3USD")</f>
        <v>L3USD</v>
      </c>
    </row>
    <row r="6554">
      <c r="A6554" s="3" t="str">
        <f>IFERROR(__xludf.DUMMYFUNCTION("""COMPUTED_VALUE"""),"label-foundation")</f>
        <v>label-foundation</v>
      </c>
      <c r="B6554" s="3" t="str">
        <f>IFERROR(__xludf.DUMMYFUNCTION("""COMPUTED_VALUE"""),"lbl")</f>
        <v>lbl</v>
      </c>
      <c r="C6554" s="3" t="str">
        <f>IFERROR(__xludf.DUMMYFUNCTION("""COMPUTED_VALUE"""),"LABEL Foundation")</f>
        <v>LABEL Foundation</v>
      </c>
    </row>
    <row r="6555">
      <c r="A6555" s="3" t="str">
        <f>IFERROR(__xludf.DUMMYFUNCTION("""COMPUTED_VALUE"""),"labracoin")</f>
        <v>labracoin</v>
      </c>
      <c r="B6555" s="3" t="str">
        <f>IFERROR(__xludf.DUMMYFUNCTION("""COMPUTED_VALUE"""),"labra")</f>
        <v>labra</v>
      </c>
      <c r="C6555" s="3" t="str">
        <f>IFERROR(__xludf.DUMMYFUNCTION("""COMPUTED_VALUE"""),"LabraCoin")</f>
        <v>LabraCoin</v>
      </c>
    </row>
    <row r="6556">
      <c r="A6556" s="3" t="str">
        <f>IFERROR(__xludf.DUMMYFUNCTION("""COMPUTED_VALUE"""),"labs-group")</f>
        <v>labs-group</v>
      </c>
      <c r="B6556" s="3" t="str">
        <f>IFERROR(__xludf.DUMMYFUNCTION("""COMPUTED_VALUE"""),"labs")</f>
        <v>labs</v>
      </c>
      <c r="C6556" s="3" t="str">
        <f>IFERROR(__xludf.DUMMYFUNCTION("""COMPUTED_VALUE"""),"LABS Group")</f>
        <v>LABS Group</v>
      </c>
    </row>
    <row r="6557">
      <c r="A6557" s="3" t="str">
        <f>IFERROR(__xludf.DUMMYFUNCTION("""COMPUTED_VALUE"""),"labs-protocol")</f>
        <v>labs-protocol</v>
      </c>
      <c r="B6557" s="3" t="str">
        <f>IFERROR(__xludf.DUMMYFUNCTION("""COMPUTED_VALUE"""),"labs")</f>
        <v>labs</v>
      </c>
      <c r="C6557" s="3" t="str">
        <f>IFERROR(__xludf.DUMMYFUNCTION("""COMPUTED_VALUE"""),"LABS Protocol")</f>
        <v>LABS Protocol</v>
      </c>
    </row>
    <row r="6558">
      <c r="A6558" s="3" t="str">
        <f>IFERROR(__xludf.DUMMYFUNCTION("""COMPUTED_VALUE"""),"la-casa-de-papel")</f>
        <v>la-casa-de-papel</v>
      </c>
      <c r="B6558" s="3" t="str">
        <f>IFERROR(__xludf.DUMMYFUNCTION("""COMPUTED_VALUE"""),"lcdp")</f>
        <v>lcdp</v>
      </c>
      <c r="C6558" s="3" t="str">
        <f>IFERROR(__xludf.DUMMYFUNCTION("""COMPUTED_VALUE"""),"La Casa De Papel")</f>
        <v>La Casa De Papel</v>
      </c>
    </row>
    <row r="6559">
      <c r="A6559" s="3" t="str">
        <f>IFERROR(__xludf.DUMMYFUNCTION("""COMPUTED_VALUE"""),"laddercaster")</f>
        <v>laddercaster</v>
      </c>
      <c r="B6559" s="3" t="str">
        <f>IFERROR(__xludf.DUMMYFUNCTION("""COMPUTED_VALUE"""),"lada")</f>
        <v>lada</v>
      </c>
      <c r="C6559" s="3" t="str">
        <f>IFERROR(__xludf.DUMMYFUNCTION("""COMPUTED_VALUE"""),"LadderCaster")</f>
        <v>LadderCaster</v>
      </c>
    </row>
    <row r="6560">
      <c r="A6560" s="3" t="str">
        <f>IFERROR(__xludf.DUMMYFUNCTION("""COMPUTED_VALUE"""),"lady-uni")</f>
        <v>lady-uni</v>
      </c>
      <c r="B6560" s="3" t="str">
        <f>IFERROR(__xludf.DUMMYFUNCTION("""COMPUTED_VALUE"""),"luni")</f>
        <v>luni</v>
      </c>
      <c r="C6560" s="3" t="str">
        <f>IFERROR(__xludf.DUMMYFUNCTION("""COMPUTED_VALUE"""),"Lady Uni")</f>
        <v>Lady Uni</v>
      </c>
    </row>
    <row r="6561">
      <c r="A6561" s="3" t="str">
        <f>IFERROR(__xludf.DUMMYFUNCTION("""COMPUTED_VALUE"""),"ladz")</f>
        <v>ladz</v>
      </c>
      <c r="B6561" s="3" t="str">
        <f>IFERROR(__xludf.DUMMYFUNCTION("""COMPUTED_VALUE"""),"ladz")</f>
        <v>ladz</v>
      </c>
      <c r="C6561" s="3" t="str">
        <f>IFERROR(__xludf.DUMMYFUNCTION("""COMPUTED_VALUE"""),"LADZ")</f>
        <v>LADZ</v>
      </c>
    </row>
    <row r="6562">
      <c r="A6562" s="3" t="str">
        <f>IFERROR(__xludf.DUMMYFUNCTION("""COMPUTED_VALUE"""),"laeeb")</f>
        <v>laeeb</v>
      </c>
      <c r="B6562" s="3" t="str">
        <f>IFERROR(__xludf.DUMMYFUNCTION("""COMPUTED_VALUE"""),"laeeb")</f>
        <v>laeeb</v>
      </c>
      <c r="C6562" s="3" t="str">
        <f>IFERROR(__xludf.DUMMYFUNCTION("""COMPUTED_VALUE"""),"LaEeb")</f>
        <v>LaEeb</v>
      </c>
    </row>
    <row r="6563">
      <c r="A6563" s="3" t="str">
        <f>IFERROR(__xludf.DUMMYFUNCTION("""COMPUTED_VALUE"""),"la-eeb")</f>
        <v>la-eeb</v>
      </c>
      <c r="B6563" s="3" t="str">
        <f>IFERROR(__xludf.DUMMYFUNCTION("""COMPUTED_VALUE"""),"la´eeb")</f>
        <v>la´eeb</v>
      </c>
      <c r="C6563" s="3" t="str">
        <f>IFERROR(__xludf.DUMMYFUNCTION("""COMPUTED_VALUE"""),"La´eeb")</f>
        <v>La´eeb</v>
      </c>
    </row>
    <row r="6564">
      <c r="A6564" s="3" t="str">
        <f>IFERROR(__xludf.DUMMYFUNCTION("""COMPUTED_VALUE"""),"la-eeb-football")</f>
        <v>la-eeb-football</v>
      </c>
      <c r="B6564" s="3" t="str">
        <f>IFERROR(__xludf.DUMMYFUNCTION("""COMPUTED_VALUE"""),"laeeb")</f>
        <v>laeeb</v>
      </c>
      <c r="C6564" s="3" t="str">
        <f>IFERROR(__xludf.DUMMYFUNCTION("""COMPUTED_VALUE"""),"La'eeb Football")</f>
        <v>La'eeb Football</v>
      </c>
    </row>
    <row r="6565">
      <c r="A6565" s="3" t="str">
        <f>IFERROR(__xludf.DUMMYFUNCTION("""COMPUTED_VALUE"""),"laeeb-inu")</f>
        <v>laeeb-inu</v>
      </c>
      <c r="B6565" s="3" t="str">
        <f>IFERROR(__xludf.DUMMYFUNCTION("""COMPUTED_VALUE"""),"laeeb")</f>
        <v>laeeb</v>
      </c>
      <c r="C6565" s="3" t="str">
        <f>IFERROR(__xludf.DUMMYFUNCTION("""COMPUTED_VALUE"""),"Laeeb Inu")</f>
        <v>Laeeb Inu</v>
      </c>
    </row>
    <row r="6566">
      <c r="A6566" s="3" t="str">
        <f>IFERROR(__xludf.DUMMYFUNCTION("""COMPUTED_VALUE"""),"laeeb-inu-erc")</f>
        <v>laeeb-inu-erc</v>
      </c>
      <c r="B6566" s="3" t="str">
        <f>IFERROR(__xludf.DUMMYFUNCTION("""COMPUTED_VALUE"""),"laeeb")</f>
        <v>laeeb</v>
      </c>
      <c r="C6566" s="3" t="str">
        <f>IFERROR(__xludf.DUMMYFUNCTION("""COMPUTED_VALUE"""),"Laeeb Inu ERC")</f>
        <v>Laeeb Inu ERC</v>
      </c>
    </row>
    <row r="6567">
      <c r="A6567" s="3" t="str">
        <f>IFERROR(__xludf.DUMMYFUNCTION("""COMPUTED_VALUE"""),"laika")</f>
        <v>laika</v>
      </c>
      <c r="B6567" s="3" t="str">
        <f>IFERROR(__xludf.DUMMYFUNCTION("""COMPUTED_VALUE"""),"laika")</f>
        <v>laika</v>
      </c>
      <c r="C6567" s="3" t="str">
        <f>IFERROR(__xludf.DUMMYFUNCTION("""COMPUTED_VALUE"""),"Laika")</f>
        <v>Laika</v>
      </c>
    </row>
    <row r="6568">
      <c r="A6568" s="3" t="str">
        <f>IFERROR(__xludf.DUMMYFUNCTION("""COMPUTED_VALUE"""),"laine-stake")</f>
        <v>laine-stake</v>
      </c>
      <c r="B6568" s="3" t="str">
        <f>IFERROR(__xludf.DUMMYFUNCTION("""COMPUTED_VALUE"""),"lainesol")</f>
        <v>lainesol</v>
      </c>
      <c r="C6568" s="3" t="str">
        <f>IFERROR(__xludf.DUMMYFUNCTION("""COMPUTED_VALUE"""),"Laine Stake")</f>
        <v>Laine Stake</v>
      </c>
    </row>
    <row r="6569">
      <c r="A6569" s="3" t="str">
        <f>IFERROR(__xludf.DUMMYFUNCTION("""COMPUTED_VALUE"""),"lakeviewmeta")</f>
        <v>lakeviewmeta</v>
      </c>
      <c r="B6569" s="3" t="str">
        <f>IFERROR(__xludf.DUMMYFUNCTION("""COMPUTED_VALUE"""),"lvm")</f>
        <v>lvm</v>
      </c>
      <c r="C6569" s="3" t="str">
        <f>IFERROR(__xludf.DUMMYFUNCTION("""COMPUTED_VALUE"""),"LakeViewMeta")</f>
        <v>LakeViewMeta</v>
      </c>
    </row>
    <row r="6570">
      <c r="A6570" s="3" t="str">
        <f>IFERROR(__xludf.DUMMYFUNCTION("""COMPUTED_VALUE"""),"lambda")</f>
        <v>lambda</v>
      </c>
      <c r="B6570" s="3" t="str">
        <f>IFERROR(__xludf.DUMMYFUNCTION("""COMPUTED_VALUE"""),"lamb")</f>
        <v>lamb</v>
      </c>
      <c r="C6570" s="3" t="str">
        <f>IFERROR(__xludf.DUMMYFUNCTION("""COMPUTED_VALUE"""),"Lambda")</f>
        <v>Lambda</v>
      </c>
    </row>
    <row r="6571">
      <c r="A6571" s="3" t="str">
        <f>IFERROR(__xludf.DUMMYFUNCTION("""COMPUTED_VALUE"""),"lamden")</f>
        <v>lamden</v>
      </c>
      <c r="B6571" s="3" t="str">
        <f>IFERROR(__xludf.DUMMYFUNCTION("""COMPUTED_VALUE"""),"tau")</f>
        <v>tau</v>
      </c>
      <c r="C6571" s="3" t="str">
        <f>IFERROR(__xludf.DUMMYFUNCTION("""COMPUTED_VALUE"""),"Lamden")</f>
        <v>Lamden</v>
      </c>
    </row>
    <row r="6572">
      <c r="A6572" s="3" t="str">
        <f>IFERROR(__xludf.DUMMYFUNCTION("""COMPUTED_VALUE"""),"lamea")</f>
        <v>lamea</v>
      </c>
      <c r="B6572" s="3" t="str">
        <f>IFERROR(__xludf.DUMMYFUNCTION("""COMPUTED_VALUE"""),"lamea")</f>
        <v>lamea</v>
      </c>
      <c r="C6572" s="3" t="str">
        <f>IFERROR(__xludf.DUMMYFUNCTION("""COMPUTED_VALUE"""),"LAMEA")</f>
        <v>LAMEA</v>
      </c>
    </row>
    <row r="6573">
      <c r="A6573" s="3" t="str">
        <f>IFERROR(__xludf.DUMMYFUNCTION("""COMPUTED_VALUE"""),"lanacoin")</f>
        <v>lanacoin</v>
      </c>
      <c r="B6573" s="3" t="str">
        <f>IFERROR(__xludf.DUMMYFUNCTION("""COMPUTED_VALUE"""),"lana")</f>
        <v>lana</v>
      </c>
      <c r="C6573" s="3" t="str">
        <f>IFERROR(__xludf.DUMMYFUNCTION("""COMPUTED_VALUE"""),"LanaCoin")</f>
        <v>LanaCoin</v>
      </c>
    </row>
    <row r="6574">
      <c r="A6574" s="3" t="str">
        <f>IFERROR(__xludf.DUMMYFUNCTION("""COMPUTED_VALUE"""),"lance-coin")</f>
        <v>lance-coin</v>
      </c>
      <c r="B6574" s="3" t="str">
        <f>IFERROR(__xludf.DUMMYFUNCTION("""COMPUTED_VALUE"""),"lce")</f>
        <v>lce</v>
      </c>
      <c r="C6574" s="3" t="str">
        <f>IFERROR(__xludf.DUMMYFUNCTION("""COMPUTED_VALUE"""),"Lance Coin")</f>
        <v>Lance Coin</v>
      </c>
    </row>
    <row r="6575">
      <c r="A6575" s="3" t="str">
        <f>IFERROR(__xludf.DUMMYFUNCTION("""COMPUTED_VALUE"""),"lanceria")</f>
        <v>lanceria</v>
      </c>
      <c r="B6575" s="3" t="str">
        <f>IFERROR(__xludf.DUMMYFUNCTION("""COMPUTED_VALUE"""),"lanc")</f>
        <v>lanc</v>
      </c>
      <c r="C6575" s="3" t="str">
        <f>IFERROR(__xludf.DUMMYFUNCTION("""COMPUTED_VALUE"""),"Lanceria")</f>
        <v>Lanceria</v>
      </c>
    </row>
    <row r="6576">
      <c r="A6576" s="3" t="str">
        <f>IFERROR(__xludf.DUMMYFUNCTION("""COMPUTED_VALUE"""),"landboard")</f>
        <v>landboard</v>
      </c>
      <c r="B6576" s="3" t="str">
        <f>IFERROR(__xludf.DUMMYFUNCTION("""COMPUTED_VALUE"""),"land")</f>
        <v>land</v>
      </c>
      <c r="C6576" s="3" t="str">
        <f>IFERROR(__xludf.DUMMYFUNCTION("""COMPUTED_VALUE"""),"Landboard")</f>
        <v>Landboard</v>
      </c>
    </row>
    <row r="6577">
      <c r="A6577" s="3" t="str">
        <f>IFERROR(__xludf.DUMMYFUNCTION("""COMPUTED_VALUE"""),"land-of-conquest-slg")</f>
        <v>land-of-conquest-slg</v>
      </c>
      <c r="B6577" s="3" t="str">
        <f>IFERROR(__xludf.DUMMYFUNCTION("""COMPUTED_VALUE"""),"slg")</f>
        <v>slg</v>
      </c>
      <c r="C6577" s="3" t="str">
        <f>IFERROR(__xludf.DUMMYFUNCTION("""COMPUTED_VALUE"""),"Land Of Conquest SLG")</f>
        <v>Land Of Conquest SLG</v>
      </c>
    </row>
    <row r="6578">
      <c r="A6578" s="3" t="str">
        <f>IFERROR(__xludf.DUMMYFUNCTION("""COMPUTED_VALUE"""),"land-of-fantasy")</f>
        <v>land-of-fantasy</v>
      </c>
      <c r="B6578" s="3" t="str">
        <f>IFERROR(__xludf.DUMMYFUNCTION("""COMPUTED_VALUE"""),"lof")</f>
        <v>lof</v>
      </c>
      <c r="C6578" s="3" t="str">
        <f>IFERROR(__xludf.DUMMYFUNCTION("""COMPUTED_VALUE"""),"Land of Fantasy")</f>
        <v>Land of Fantasy</v>
      </c>
    </row>
    <row r="6579">
      <c r="A6579" s="3" t="str">
        <f>IFERROR(__xludf.DUMMYFUNCTION("""COMPUTED_VALUE"""),"landshare")</f>
        <v>landshare</v>
      </c>
      <c r="B6579" s="3" t="str">
        <f>IFERROR(__xludf.DUMMYFUNCTION("""COMPUTED_VALUE"""),"land")</f>
        <v>land</v>
      </c>
      <c r="C6579" s="3" t="str">
        <f>IFERROR(__xludf.DUMMYFUNCTION("""COMPUTED_VALUE"""),"Landshare")</f>
        <v>Landshare</v>
      </c>
    </row>
    <row r="6580">
      <c r="A6580" s="3" t="str">
        <f>IFERROR(__xludf.DUMMYFUNCTION("""COMPUTED_VALUE"""),"landworld")</f>
        <v>landworld</v>
      </c>
      <c r="B6580" s="3" t="str">
        <f>IFERROR(__xludf.DUMMYFUNCTION("""COMPUTED_VALUE"""),"lwd")</f>
        <v>lwd</v>
      </c>
      <c r="C6580" s="3" t="str">
        <f>IFERROR(__xludf.DUMMYFUNCTION("""COMPUTED_VALUE"""),"Landworld")</f>
        <v>Landworld</v>
      </c>
    </row>
    <row r="6581">
      <c r="A6581" s="3" t="str">
        <f>IFERROR(__xludf.DUMMYFUNCTION("""COMPUTED_VALUE"""),"lapad")</f>
        <v>lapad</v>
      </c>
      <c r="B6581" s="3" t="str">
        <f>IFERROR(__xludf.DUMMYFUNCTION("""COMPUTED_VALUE"""),"lpdt")</f>
        <v>lpdt</v>
      </c>
      <c r="C6581" s="3" t="str">
        <f>IFERROR(__xludf.DUMMYFUNCTION("""COMPUTED_VALUE"""),"LaPAD")</f>
        <v>LaPAD</v>
      </c>
    </row>
    <row r="6582">
      <c r="A6582" s="3" t="str">
        <f>IFERROR(__xludf.DUMMYFUNCTION("""COMPUTED_VALUE"""),"la-peseta")</f>
        <v>la-peseta</v>
      </c>
      <c r="B6582" s="3" t="str">
        <f>IFERROR(__xludf.DUMMYFUNCTION("""COMPUTED_VALUE"""),"pta")</f>
        <v>pta</v>
      </c>
      <c r="C6582" s="3" t="str">
        <f>IFERROR(__xludf.DUMMYFUNCTION("""COMPUTED_VALUE"""),"La Peseta")</f>
        <v>La Peseta</v>
      </c>
    </row>
    <row r="6583">
      <c r="A6583" s="3" t="str">
        <f>IFERROR(__xludf.DUMMYFUNCTION("""COMPUTED_VALUE"""),"lapislazuli")</f>
        <v>lapislazuli</v>
      </c>
      <c r="B6583" s="3" t="str">
        <f>IFERROR(__xludf.DUMMYFUNCTION("""COMPUTED_VALUE"""),"lilli")</f>
        <v>lilli</v>
      </c>
      <c r="C6583" s="3" t="str">
        <f>IFERROR(__xludf.DUMMYFUNCTION("""COMPUTED_VALUE"""),"Lapislazuli")</f>
        <v>Lapislazuli</v>
      </c>
    </row>
    <row r="6584">
      <c r="A6584" s="3" t="str">
        <f>IFERROR(__xludf.DUMMYFUNCTION("""COMPUTED_VALUE"""),"laqira-protocol")</f>
        <v>laqira-protocol</v>
      </c>
      <c r="B6584" s="3" t="str">
        <f>IFERROR(__xludf.DUMMYFUNCTION("""COMPUTED_VALUE"""),"lqr")</f>
        <v>lqr</v>
      </c>
      <c r="C6584" s="3" t="str">
        <f>IFERROR(__xludf.DUMMYFUNCTION("""COMPUTED_VALUE"""),"Laqira Protocol")</f>
        <v>Laqira Protocol</v>
      </c>
    </row>
    <row r="6585">
      <c r="A6585" s="3" t="str">
        <f>IFERROR(__xludf.DUMMYFUNCTION("""COMPUTED_VALUE"""),"largo-coin")</f>
        <v>largo-coin</v>
      </c>
      <c r="B6585" s="3" t="str">
        <f>IFERROR(__xludf.DUMMYFUNCTION("""COMPUTED_VALUE"""),"lrg")</f>
        <v>lrg</v>
      </c>
      <c r="C6585" s="3" t="str">
        <f>IFERROR(__xludf.DUMMYFUNCTION("""COMPUTED_VALUE"""),"Largo Coin")</f>
        <v>Largo Coin</v>
      </c>
    </row>
    <row r="6586">
      <c r="A6586" s="3" t="str">
        <f>IFERROR(__xludf.DUMMYFUNCTION("""COMPUTED_VALUE"""),"larix")</f>
        <v>larix</v>
      </c>
      <c r="B6586" s="3" t="str">
        <f>IFERROR(__xludf.DUMMYFUNCTION("""COMPUTED_VALUE"""),"larix")</f>
        <v>larix</v>
      </c>
      <c r="C6586" s="3" t="str">
        <f>IFERROR(__xludf.DUMMYFUNCTION("""COMPUTED_VALUE"""),"Larix")</f>
        <v>Larix</v>
      </c>
    </row>
    <row r="6587">
      <c r="A6587" s="3" t="str">
        <f>IFERROR(__xludf.DUMMYFUNCTION("""COMPUTED_VALUE"""),"laro")</f>
        <v>laro</v>
      </c>
      <c r="B6587" s="3" t="str">
        <f>IFERROR(__xludf.DUMMYFUNCTION("""COMPUTED_VALUE"""),"lrc")</f>
        <v>lrc</v>
      </c>
      <c r="C6587" s="3" t="str">
        <f>IFERROR(__xludf.DUMMYFUNCTION("""COMPUTED_VALUE"""),"Laro")</f>
        <v>Laro</v>
      </c>
    </row>
    <row r="6588">
      <c r="A6588" s="3" t="str">
        <f>IFERROR(__xludf.DUMMYFUNCTION("""COMPUTED_VALUE"""),"lasereyes")</f>
        <v>lasereyes</v>
      </c>
      <c r="B6588" s="3" t="str">
        <f>IFERROR(__xludf.DUMMYFUNCTION("""COMPUTED_VALUE"""),"lsr")</f>
        <v>lsr</v>
      </c>
      <c r="C6588" s="3" t="str">
        <f>IFERROR(__xludf.DUMMYFUNCTION("""COMPUTED_VALUE"""),"LaserEyes")</f>
        <v>LaserEyes</v>
      </c>
    </row>
    <row r="6589">
      <c r="A6589" s="3" t="str">
        <f>IFERROR(__xludf.DUMMYFUNCTION("""COMPUTED_VALUE"""),"laser-eyes")</f>
        <v>laser-eyes</v>
      </c>
      <c r="B6589" s="3" t="str">
        <f>IFERROR(__xludf.DUMMYFUNCTION("""COMPUTED_VALUE"""),"lasereyes")</f>
        <v>lasereyes</v>
      </c>
      <c r="C6589" s="3" t="str">
        <f>IFERROR(__xludf.DUMMYFUNCTION("""COMPUTED_VALUE"""),"Laser Eyes")</f>
        <v>Laser Eyes</v>
      </c>
    </row>
    <row r="6590">
      <c r="A6590" s="3" t="str">
        <f>IFERROR(__xludf.DUMMYFUNCTION("""COMPUTED_VALUE"""),"lasrever")</f>
        <v>lasrever</v>
      </c>
      <c r="B6590" s="3" t="str">
        <f>IFERROR(__xludf.DUMMYFUNCTION("""COMPUTED_VALUE"""),"lsvr")</f>
        <v>lsvr</v>
      </c>
      <c r="C6590" s="3" t="str">
        <f>IFERROR(__xludf.DUMMYFUNCTION("""COMPUTED_VALUE"""),"Lasrever")</f>
        <v>Lasrever</v>
      </c>
    </row>
    <row r="6591">
      <c r="A6591" s="3" t="str">
        <f>IFERROR(__xludf.DUMMYFUNCTION("""COMPUTED_VALUE"""),"last-survivor")</f>
        <v>last-survivor</v>
      </c>
      <c r="B6591" s="3" t="str">
        <f>IFERROR(__xludf.DUMMYFUNCTION("""COMPUTED_VALUE"""),"lsc")</f>
        <v>lsc</v>
      </c>
      <c r="C6591" s="3" t="str">
        <f>IFERROR(__xludf.DUMMYFUNCTION("""COMPUTED_VALUE"""),"Last Survivor")</f>
        <v>Last Survivor</v>
      </c>
    </row>
    <row r="6592">
      <c r="A6592" s="3" t="str">
        <f>IFERROR(__xludf.DUMMYFUNCTION("""COMPUTED_VALUE"""),"latiumx")</f>
        <v>latiumx</v>
      </c>
      <c r="B6592" s="3" t="str">
        <f>IFERROR(__xludf.DUMMYFUNCTION("""COMPUTED_VALUE"""),"latx")</f>
        <v>latx</v>
      </c>
      <c r="C6592" s="3" t="str">
        <f>IFERROR(__xludf.DUMMYFUNCTION("""COMPUTED_VALUE"""),"LatiumX")</f>
        <v>LatiumX</v>
      </c>
    </row>
    <row r="6593">
      <c r="A6593" s="3" t="str">
        <f>IFERROR(__xludf.DUMMYFUNCTION("""COMPUTED_VALUE"""),"latoken")</f>
        <v>latoken</v>
      </c>
      <c r="B6593" s="3" t="str">
        <f>IFERROR(__xludf.DUMMYFUNCTION("""COMPUTED_VALUE"""),"la")</f>
        <v>la</v>
      </c>
      <c r="C6593" s="3" t="str">
        <f>IFERROR(__xludf.DUMMYFUNCTION("""COMPUTED_VALUE"""),"LA")</f>
        <v>LA</v>
      </c>
    </row>
    <row r="6594">
      <c r="A6594" s="3" t="str">
        <f>IFERROR(__xludf.DUMMYFUNCTION("""COMPUTED_VALUE"""),"lattice-token")</f>
        <v>lattice-token</v>
      </c>
      <c r="B6594" s="3" t="str">
        <f>IFERROR(__xludf.DUMMYFUNCTION("""COMPUTED_VALUE"""),"ltx")</f>
        <v>ltx</v>
      </c>
      <c r="C6594" s="3" t="str">
        <f>IFERROR(__xludf.DUMMYFUNCTION("""COMPUTED_VALUE"""),"Lattice")</f>
        <v>Lattice</v>
      </c>
    </row>
    <row r="6595">
      <c r="A6595" s="3" t="str">
        <f>IFERROR(__xludf.DUMMYFUNCTION("""COMPUTED_VALUE"""),"launchblock")</f>
        <v>launchblock</v>
      </c>
      <c r="B6595" s="3" t="str">
        <f>IFERROR(__xludf.DUMMYFUNCTION("""COMPUTED_VALUE"""),"lbp")</f>
        <v>lbp</v>
      </c>
      <c r="C6595" s="3" t="str">
        <f>IFERROR(__xludf.DUMMYFUNCTION("""COMPUTED_VALUE"""),"LaunchBlock")</f>
        <v>LaunchBlock</v>
      </c>
    </row>
    <row r="6596">
      <c r="A6596" s="3" t="str">
        <f>IFERROR(__xludf.DUMMYFUNCTION("""COMPUTED_VALUE"""),"launchpool")</f>
        <v>launchpool</v>
      </c>
      <c r="B6596" s="3" t="str">
        <f>IFERROR(__xludf.DUMMYFUNCTION("""COMPUTED_VALUE"""),"lpool")</f>
        <v>lpool</v>
      </c>
      <c r="C6596" s="3" t="str">
        <f>IFERROR(__xludf.DUMMYFUNCTION("""COMPUTED_VALUE"""),"Launchpool")</f>
        <v>Launchpool</v>
      </c>
    </row>
    <row r="6597">
      <c r="A6597" s="3" t="str">
        <f>IFERROR(__xludf.DUMMYFUNCTION("""COMPUTED_VALUE"""),"launchwall")</f>
        <v>launchwall</v>
      </c>
      <c r="B6597" s="3" t="str">
        <f>IFERROR(__xludf.DUMMYFUNCTION("""COMPUTED_VALUE"""),"wall")</f>
        <v>wall</v>
      </c>
      <c r="C6597" s="3" t="str">
        <f>IFERROR(__xludf.DUMMYFUNCTION("""COMPUTED_VALUE"""),"LaunchWall")</f>
        <v>LaunchWall</v>
      </c>
    </row>
    <row r="6598">
      <c r="A6598" s="3" t="str">
        <f>IFERROR(__xludf.DUMMYFUNCTION("""COMPUTED_VALUE"""),"launchzone")</f>
        <v>launchzone</v>
      </c>
      <c r="B6598" s="3" t="str">
        <f>IFERROR(__xludf.DUMMYFUNCTION("""COMPUTED_VALUE"""),"lz")</f>
        <v>lz</v>
      </c>
      <c r="C6598" s="3" t="str">
        <f>IFERROR(__xludf.DUMMYFUNCTION("""COMPUTED_VALUE"""),"LaunchZone")</f>
        <v>LaunchZone</v>
      </c>
    </row>
    <row r="6599">
      <c r="A6599" s="3" t="str">
        <f>IFERROR(__xludf.DUMMYFUNCTION("""COMPUTED_VALUE"""),"laurus-coin")</f>
        <v>laurus-coin</v>
      </c>
      <c r="B6599" s="3" t="str">
        <f>IFERROR(__xludf.DUMMYFUNCTION("""COMPUTED_VALUE"""),"lscn")</f>
        <v>lscn</v>
      </c>
      <c r="C6599" s="3" t="str">
        <f>IFERROR(__xludf.DUMMYFUNCTION("""COMPUTED_VALUE"""),"Laurus Coin")</f>
        <v>Laurus Coin</v>
      </c>
    </row>
    <row r="6600">
      <c r="A6600" s="3" t="str">
        <f>IFERROR(__xludf.DUMMYFUNCTION("""COMPUTED_VALUE"""),"lavaswap")</f>
        <v>lavaswap</v>
      </c>
      <c r="B6600" s="3" t="str">
        <f>IFERROR(__xludf.DUMMYFUNCTION("""COMPUTED_VALUE"""),"lava")</f>
        <v>lava</v>
      </c>
      <c r="C6600" s="3" t="str">
        <f>IFERROR(__xludf.DUMMYFUNCTION("""COMPUTED_VALUE"""),"Lavaswap")</f>
        <v>Lavaswap</v>
      </c>
    </row>
    <row r="6601">
      <c r="A6601" s="3" t="str">
        <f>IFERROR(__xludf.DUMMYFUNCTION("""COMPUTED_VALUE"""),"lavax-labs")</f>
        <v>lavax-labs</v>
      </c>
      <c r="B6601" s="3" t="str">
        <f>IFERROR(__xludf.DUMMYFUNCTION("""COMPUTED_VALUE"""),"lavax")</f>
        <v>lavax</v>
      </c>
      <c r="C6601" s="3" t="str">
        <f>IFERROR(__xludf.DUMMYFUNCTION("""COMPUTED_VALUE"""),"LavaX Labs")</f>
        <v>LavaX Labs</v>
      </c>
    </row>
    <row r="6602">
      <c r="A6602" s="3" t="str">
        <f>IFERROR(__xludf.DUMMYFUNCTION("""COMPUTED_VALUE"""),"law")</f>
        <v>law</v>
      </c>
      <c r="B6602" s="3" t="str">
        <f>IFERROR(__xludf.DUMMYFUNCTION("""COMPUTED_VALUE"""),"law")</f>
        <v>law</v>
      </c>
      <c r="C6602" s="3" t="str">
        <f>IFERROR(__xludf.DUMMYFUNCTION("""COMPUTED_VALUE"""),"LAW")</f>
        <v>LAW</v>
      </c>
    </row>
    <row r="6603">
      <c r="A6603" s="3" t="str">
        <f>IFERROR(__xludf.DUMMYFUNCTION("""COMPUTED_VALUE"""),"law-blocks")</f>
        <v>law-blocks</v>
      </c>
      <c r="B6603" s="3" t="str">
        <f>IFERROR(__xludf.DUMMYFUNCTION("""COMPUTED_VALUE"""),"lbt")</f>
        <v>lbt</v>
      </c>
      <c r="C6603" s="3" t="str">
        <f>IFERROR(__xludf.DUMMYFUNCTION("""COMPUTED_VALUE"""),"Law Blocks")</f>
        <v>Law Blocks</v>
      </c>
    </row>
    <row r="6604">
      <c r="A6604" s="3" t="str">
        <f>IFERROR(__xludf.DUMMYFUNCTION("""COMPUTED_VALUE"""),"law-token")</f>
        <v>law-token</v>
      </c>
      <c r="B6604" s="3" t="str">
        <f>IFERROR(__xludf.DUMMYFUNCTION("""COMPUTED_VALUE"""),"law")</f>
        <v>law</v>
      </c>
      <c r="C6604" s="3" t="str">
        <f>IFERROR(__xludf.DUMMYFUNCTION("""COMPUTED_VALUE"""),"Law Token")</f>
        <v>Law Token</v>
      </c>
    </row>
    <row r="6605">
      <c r="A6605" s="3" t="str">
        <f>IFERROR(__xludf.DUMMYFUNCTION("""COMPUTED_VALUE"""),"layer2dao")</f>
        <v>layer2dao</v>
      </c>
      <c r="B6605" s="3" t="str">
        <f>IFERROR(__xludf.DUMMYFUNCTION("""COMPUTED_VALUE"""),"l2dao")</f>
        <v>l2dao</v>
      </c>
      <c r="C6605" s="3" t="str">
        <f>IFERROR(__xludf.DUMMYFUNCTION("""COMPUTED_VALUE"""),"Layer2DAO")</f>
        <v>Layer2DAO</v>
      </c>
    </row>
    <row r="6606">
      <c r="A6606" s="3" t="str">
        <f>IFERROR(__xludf.DUMMYFUNCTION("""COMPUTED_VALUE"""),"lazio-fan-token")</f>
        <v>lazio-fan-token</v>
      </c>
      <c r="B6606" s="3" t="str">
        <f>IFERROR(__xludf.DUMMYFUNCTION("""COMPUTED_VALUE"""),"lazio")</f>
        <v>lazio</v>
      </c>
      <c r="C6606" s="3" t="str">
        <f>IFERROR(__xludf.DUMMYFUNCTION("""COMPUTED_VALUE"""),"Lazio Fan Token")</f>
        <v>Lazio Fan Token</v>
      </c>
    </row>
    <row r="6607">
      <c r="A6607" s="3" t="str">
        <f>IFERROR(__xludf.DUMMYFUNCTION("""COMPUTED_VALUE"""),"lazy-shiba")</f>
        <v>lazy-shiba</v>
      </c>
      <c r="B6607" s="3" t="str">
        <f>IFERROR(__xludf.DUMMYFUNCTION("""COMPUTED_VALUE"""),"lazyshiba")</f>
        <v>lazyshiba</v>
      </c>
      <c r="C6607" s="3" t="str">
        <f>IFERROR(__xludf.DUMMYFUNCTION("""COMPUTED_VALUE"""),"Lazy Shiba")</f>
        <v>Lazy Shiba</v>
      </c>
    </row>
    <row r="6608">
      <c r="A6608" s="3" t="str">
        <f>IFERROR(__xludf.DUMMYFUNCTION("""COMPUTED_VALUE"""),"lbk")</f>
        <v>lbk</v>
      </c>
      <c r="B6608" s="3" t="str">
        <f>IFERROR(__xludf.DUMMYFUNCTION("""COMPUTED_VALUE"""),"lbk")</f>
        <v>lbk</v>
      </c>
      <c r="C6608" s="3" t="str">
        <f>IFERROR(__xludf.DUMMYFUNCTION("""COMPUTED_VALUE"""),"LBK")</f>
        <v>LBK</v>
      </c>
    </row>
    <row r="6609">
      <c r="A6609" s="3" t="str">
        <f>IFERROR(__xludf.DUMMYFUNCTION("""COMPUTED_VALUE"""),"lbry-credits")</f>
        <v>lbry-credits</v>
      </c>
      <c r="B6609" s="3" t="str">
        <f>IFERROR(__xludf.DUMMYFUNCTION("""COMPUTED_VALUE"""),"lbc")</f>
        <v>lbc</v>
      </c>
      <c r="C6609" s="3" t="str">
        <f>IFERROR(__xludf.DUMMYFUNCTION("""COMPUTED_VALUE"""),"LBRY Credits")</f>
        <v>LBRY Credits</v>
      </c>
    </row>
    <row r="6610">
      <c r="A6610" s="3" t="str">
        <f>IFERROR(__xludf.DUMMYFUNCTION("""COMPUTED_VALUE"""),"lcg")</f>
        <v>lcg</v>
      </c>
      <c r="B6610" s="3" t="str">
        <f>IFERROR(__xludf.DUMMYFUNCTION("""COMPUTED_VALUE"""),"lcg")</f>
        <v>lcg</v>
      </c>
      <c r="C6610" s="3" t="str">
        <f>IFERROR(__xludf.DUMMYFUNCTION("""COMPUTED_VALUE"""),"LCG")</f>
        <v>LCG</v>
      </c>
    </row>
    <row r="6611">
      <c r="A6611" s="3" t="str">
        <f>IFERROR(__xludf.DUMMYFUNCTION("""COMPUTED_VALUE"""),"lcms")</f>
        <v>lcms</v>
      </c>
      <c r="B6611" s="3" t="str">
        <f>IFERROR(__xludf.DUMMYFUNCTION("""COMPUTED_VALUE"""),"lcms")</f>
        <v>lcms</v>
      </c>
      <c r="C6611" s="3" t="str">
        <f>IFERROR(__xludf.DUMMYFUNCTION("""COMPUTED_VALUE"""),"LCMS")</f>
        <v>LCMS</v>
      </c>
    </row>
    <row r="6612">
      <c r="A6612" s="3" t="str">
        <f>IFERROR(__xludf.DUMMYFUNCTION("""COMPUTED_VALUE"""),"lcx")</f>
        <v>lcx</v>
      </c>
      <c r="B6612" s="3" t="str">
        <f>IFERROR(__xludf.DUMMYFUNCTION("""COMPUTED_VALUE"""),"lcx")</f>
        <v>lcx</v>
      </c>
      <c r="C6612" s="3" t="str">
        <f>IFERROR(__xludf.DUMMYFUNCTION("""COMPUTED_VALUE"""),"LCX")</f>
        <v>LCX</v>
      </c>
    </row>
    <row r="6613">
      <c r="A6613" s="3" t="str">
        <f>IFERROR(__xludf.DUMMYFUNCTION("""COMPUTED_VALUE"""),"lead-token")</f>
        <v>lead-token</v>
      </c>
      <c r="B6613" s="3" t="str">
        <f>IFERROR(__xludf.DUMMYFUNCTION("""COMPUTED_VALUE"""),"lead")</f>
        <v>lead</v>
      </c>
      <c r="C6613" s="3" t="str">
        <f>IFERROR(__xludf.DUMMYFUNCTION("""COMPUTED_VALUE"""),"Lead")</f>
        <v>Lead</v>
      </c>
    </row>
    <row r="6614">
      <c r="A6614" s="3" t="str">
        <f>IFERROR(__xludf.DUMMYFUNCTION("""COMPUTED_VALUE"""),"leafcoin")</f>
        <v>leafcoin</v>
      </c>
      <c r="B6614" s="3" t="str">
        <f>IFERROR(__xludf.DUMMYFUNCTION("""COMPUTED_VALUE"""),"leaf")</f>
        <v>leaf</v>
      </c>
      <c r="C6614" s="3" t="str">
        <f>IFERROR(__xludf.DUMMYFUNCTION("""COMPUTED_VALUE"""),"Leafcoin")</f>
        <v>Leafcoin</v>
      </c>
    </row>
    <row r="6615">
      <c r="A6615" s="3" t="str">
        <f>IFERROR(__xludf.DUMMYFUNCTION("""COMPUTED_VALUE"""),"leaguedao-governance-token")</f>
        <v>leaguedao-governance-token</v>
      </c>
      <c r="B6615" s="3" t="str">
        <f>IFERROR(__xludf.DUMMYFUNCTION("""COMPUTED_VALUE"""),"leag")</f>
        <v>leag</v>
      </c>
      <c r="C6615" s="3" t="str">
        <f>IFERROR(__xludf.DUMMYFUNCTION("""COMPUTED_VALUE"""),"LeagueDAO Governance")</f>
        <v>LeagueDAO Governance</v>
      </c>
    </row>
    <row r="6616">
      <c r="A6616" s="3" t="str">
        <f>IFERROR(__xludf.DUMMYFUNCTION("""COMPUTED_VALUE"""),"league-of-ancients")</f>
        <v>league-of-ancients</v>
      </c>
      <c r="B6616" s="3" t="str">
        <f>IFERROR(__xludf.DUMMYFUNCTION("""COMPUTED_VALUE"""),"loa")</f>
        <v>loa</v>
      </c>
      <c r="C6616" s="3" t="str">
        <f>IFERROR(__xludf.DUMMYFUNCTION("""COMPUTED_VALUE"""),"League of Ancients")</f>
        <v>League of Ancients</v>
      </c>
    </row>
    <row r="6617">
      <c r="A6617" s="3" t="str">
        <f>IFERROR(__xludf.DUMMYFUNCTION("""COMPUTED_VALUE"""),"league-of-kingdoms")</f>
        <v>league-of-kingdoms</v>
      </c>
      <c r="B6617" s="3" t="str">
        <f>IFERROR(__xludf.DUMMYFUNCTION("""COMPUTED_VALUE"""),"loka")</f>
        <v>loka</v>
      </c>
      <c r="C6617" s="3" t="str">
        <f>IFERROR(__xludf.DUMMYFUNCTION("""COMPUTED_VALUE"""),"League of Kingdoms")</f>
        <v>League of Kingdoms</v>
      </c>
    </row>
    <row r="6618">
      <c r="A6618" s="3" t="str">
        <f>IFERROR(__xludf.DUMMYFUNCTION("""COMPUTED_VALUE"""),"league-of-pets")</f>
        <v>league-of-pets</v>
      </c>
      <c r="B6618" s="3" t="str">
        <f>IFERROR(__xludf.DUMMYFUNCTION("""COMPUTED_VALUE"""),"glory")</f>
        <v>glory</v>
      </c>
      <c r="C6618" s="3" t="str">
        <f>IFERROR(__xludf.DUMMYFUNCTION("""COMPUTED_VALUE"""),"League Of Pets")</f>
        <v>League Of Pets</v>
      </c>
    </row>
    <row r="6619">
      <c r="A6619" s="3" t="str">
        <f>IFERROR(__xludf.DUMMYFUNCTION("""COMPUTED_VALUE"""),"league-of-zodiacs")</f>
        <v>league-of-zodiacs</v>
      </c>
      <c r="B6619" s="3" t="str">
        <f>IFERROR(__xludf.DUMMYFUNCTION("""COMPUTED_VALUE"""),"loz")</f>
        <v>loz</v>
      </c>
      <c r="C6619" s="3" t="str">
        <f>IFERROR(__xludf.DUMMYFUNCTION("""COMPUTED_VALUE"""),"League of Zodiacs")</f>
        <v>League of Zodiacs</v>
      </c>
    </row>
    <row r="6620">
      <c r="A6620" s="3" t="str">
        <f>IFERROR(__xludf.DUMMYFUNCTION("""COMPUTED_VALUE"""),"lean")</f>
        <v>lean</v>
      </c>
      <c r="B6620" s="3" t="str">
        <f>IFERROR(__xludf.DUMMYFUNCTION("""COMPUTED_VALUE"""),"lean")</f>
        <v>lean</v>
      </c>
      <c r="C6620" s="3" t="str">
        <f>IFERROR(__xludf.DUMMYFUNCTION("""COMPUTED_VALUE"""),"Lean")</f>
        <v>Lean</v>
      </c>
    </row>
    <row r="6621">
      <c r="A6621" s="3" t="str">
        <f>IFERROR(__xludf.DUMMYFUNCTION("""COMPUTED_VALUE"""),"lean-management-token")</f>
        <v>lean-management-token</v>
      </c>
      <c r="B6621" s="3" t="str">
        <f>IFERROR(__xludf.DUMMYFUNCTION("""COMPUTED_VALUE"""),"lean")</f>
        <v>lean</v>
      </c>
      <c r="C6621" s="3" t="str">
        <f>IFERROR(__xludf.DUMMYFUNCTION("""COMPUTED_VALUE"""),"Lean Management")</f>
        <v>Lean Management</v>
      </c>
    </row>
    <row r="6622">
      <c r="A6622" s="3" t="str">
        <f>IFERROR(__xludf.DUMMYFUNCTION("""COMPUTED_VALUE"""),"leapableio")</f>
        <v>leapableio</v>
      </c>
      <c r="B6622" s="3" t="str">
        <f>IFERROR(__xludf.DUMMYFUNCTION("""COMPUTED_VALUE"""),"lea")</f>
        <v>lea</v>
      </c>
      <c r="C6622" s="3" t="str">
        <f>IFERROR(__xludf.DUMMYFUNCTION("""COMPUTED_VALUE"""),"LeapableIO")</f>
        <v>LeapableIO</v>
      </c>
    </row>
    <row r="6623">
      <c r="A6623" s="3" t="str">
        <f>IFERROR(__xludf.DUMMYFUNCTION("""COMPUTED_VALUE"""),"leap-token")</f>
        <v>leap-token</v>
      </c>
      <c r="B6623" s="3" t="str">
        <f>IFERROR(__xludf.DUMMYFUNCTION("""COMPUTED_VALUE"""),"leap")</f>
        <v>leap</v>
      </c>
      <c r="C6623" s="3" t="str">
        <f>IFERROR(__xludf.DUMMYFUNCTION("""COMPUTED_VALUE"""),"LEAP Token")</f>
        <v>LEAP Token</v>
      </c>
    </row>
    <row r="6624">
      <c r="A6624" s="3" t="str">
        <f>IFERROR(__xludf.DUMMYFUNCTION("""COMPUTED_VALUE"""),"learning-cash")</f>
        <v>learning-cash</v>
      </c>
      <c r="B6624" s="3" t="str">
        <f>IFERROR(__xludf.DUMMYFUNCTION("""COMPUTED_VALUE"""),"ead")</f>
        <v>ead</v>
      </c>
      <c r="C6624" s="3" t="str">
        <f>IFERROR(__xludf.DUMMYFUNCTION("""COMPUTED_VALUE"""),"Learning Cash [OLD]")</f>
        <v>Learning Cash [OLD]</v>
      </c>
    </row>
    <row r="6625">
      <c r="A6625" s="3" t="str">
        <f>IFERROR(__xludf.DUMMYFUNCTION("""COMPUTED_VALUE"""),"learning-cash-2")</f>
        <v>learning-cash-2</v>
      </c>
      <c r="B6625" s="3" t="str">
        <f>IFERROR(__xludf.DUMMYFUNCTION("""COMPUTED_VALUE"""),"ead")</f>
        <v>ead</v>
      </c>
      <c r="C6625" s="3" t="str">
        <f>IFERROR(__xludf.DUMMYFUNCTION("""COMPUTED_VALUE"""),"Learning Cash")</f>
        <v>Learning Cash</v>
      </c>
    </row>
    <row r="6626">
      <c r="A6626" s="3" t="str">
        <f>IFERROR(__xludf.DUMMYFUNCTION("""COMPUTED_VALUE"""),"learning-star")</f>
        <v>learning-star</v>
      </c>
      <c r="B6626" s="3" t="str">
        <f>IFERROR(__xludf.DUMMYFUNCTION("""COMPUTED_VALUE"""),"lstar")</f>
        <v>lstar</v>
      </c>
      <c r="C6626" s="3" t="str">
        <f>IFERROR(__xludf.DUMMYFUNCTION("""COMPUTED_VALUE"""),"Learning Star")</f>
        <v>Learning Star</v>
      </c>
    </row>
    <row r="6627">
      <c r="A6627" s="3" t="str">
        <f>IFERROR(__xludf.DUMMYFUNCTION("""COMPUTED_VALUE"""),"leash")</f>
        <v>leash</v>
      </c>
      <c r="B6627" s="3" t="str">
        <f>IFERROR(__xludf.DUMMYFUNCTION("""COMPUTED_VALUE"""),"leash")</f>
        <v>leash</v>
      </c>
      <c r="C6627" s="3" t="str">
        <f>IFERROR(__xludf.DUMMYFUNCTION("""COMPUTED_VALUE"""),"Doge Killer")</f>
        <v>Doge Killer</v>
      </c>
    </row>
    <row r="6628">
      <c r="A6628" s="3" t="str">
        <f>IFERROR(__xludf.DUMMYFUNCTION("""COMPUTED_VALUE"""),"le-caliente")</f>
        <v>le-caliente</v>
      </c>
      <c r="B6628" s="3" t="str">
        <f>IFERROR(__xludf.DUMMYFUNCTION("""COMPUTED_VALUE"""),"lecliente")</f>
        <v>lecliente</v>
      </c>
      <c r="C6628" s="3" t="str">
        <f>IFERROR(__xludf.DUMMYFUNCTION("""COMPUTED_VALUE"""),"LE CALIENTE")</f>
        <v>LE CALIENTE</v>
      </c>
    </row>
    <row r="6629">
      <c r="A6629" s="3" t="str">
        <f>IFERROR(__xludf.DUMMYFUNCTION("""COMPUTED_VALUE"""),"ledgerscore")</f>
        <v>ledgerscore</v>
      </c>
      <c r="B6629" s="3" t="str">
        <f>IFERROR(__xludf.DUMMYFUNCTION("""COMPUTED_VALUE"""),"led")</f>
        <v>led</v>
      </c>
      <c r="C6629" s="3" t="str">
        <f>IFERROR(__xludf.DUMMYFUNCTION("""COMPUTED_VALUE"""),"LedgerScore")</f>
        <v>LedgerScore</v>
      </c>
    </row>
    <row r="6630">
      <c r="A6630" s="3" t="str">
        <f>IFERROR(__xludf.DUMMYFUNCTION("""COMPUTED_VALUE"""),"ledgis")</f>
        <v>ledgis</v>
      </c>
      <c r="B6630" s="3" t="str">
        <f>IFERROR(__xludf.DUMMYFUNCTION("""COMPUTED_VALUE"""),"led")</f>
        <v>led</v>
      </c>
      <c r="C6630" s="3" t="str">
        <f>IFERROR(__xludf.DUMMYFUNCTION("""COMPUTED_VALUE"""),"Ledgis")</f>
        <v>Ledgis</v>
      </c>
    </row>
    <row r="6631">
      <c r="A6631" s="3" t="str">
        <f>IFERROR(__xludf.DUMMYFUNCTION("""COMPUTED_VALUE"""),"ledgity")</f>
        <v>ledgity</v>
      </c>
      <c r="B6631" s="3" t="str">
        <f>IFERROR(__xludf.DUMMYFUNCTION("""COMPUTED_VALUE"""),"lty")</f>
        <v>lty</v>
      </c>
      <c r="C6631" s="3" t="str">
        <f>IFERROR(__xludf.DUMMYFUNCTION("""COMPUTED_VALUE"""),"Ledgity")</f>
        <v>Ledgity</v>
      </c>
    </row>
    <row r="6632">
      <c r="A6632" s="3" t="str">
        <f>IFERROR(__xludf.DUMMYFUNCTION("""COMPUTED_VALUE"""),"leeds-united-fan-token")</f>
        <v>leeds-united-fan-token</v>
      </c>
      <c r="B6632" s="3" t="str">
        <f>IFERROR(__xludf.DUMMYFUNCTION("""COMPUTED_VALUE"""),"lufc")</f>
        <v>lufc</v>
      </c>
      <c r="C6632" s="3" t="str">
        <f>IFERROR(__xludf.DUMMYFUNCTION("""COMPUTED_VALUE"""),"Leeds United Fan Token")</f>
        <v>Leeds United Fan Token</v>
      </c>
    </row>
    <row r="6633">
      <c r="A6633" s="3" t="str">
        <f>IFERROR(__xludf.DUMMYFUNCTION("""COMPUTED_VALUE"""),"leek-token")</f>
        <v>leek-token</v>
      </c>
      <c r="B6633" s="3" t="str">
        <f>IFERROR(__xludf.DUMMYFUNCTION("""COMPUTED_VALUE"""),"leek")</f>
        <v>leek</v>
      </c>
      <c r="C6633" s="3" t="str">
        <f>IFERROR(__xludf.DUMMYFUNCTION("""COMPUTED_VALUE"""),"Leek")</f>
        <v>Leek</v>
      </c>
    </row>
    <row r="6634">
      <c r="A6634" s="3" t="str">
        <f>IFERROR(__xludf.DUMMYFUNCTION("""COMPUTED_VALUE"""),"legacy-ichi")</f>
        <v>legacy-ichi</v>
      </c>
      <c r="B6634" s="3" t="str">
        <f>IFERROR(__xludf.DUMMYFUNCTION("""COMPUTED_VALUE"""),"ichi")</f>
        <v>ichi</v>
      </c>
      <c r="C6634" s="3" t="str">
        <f>IFERROR(__xludf.DUMMYFUNCTION("""COMPUTED_VALUE"""),"Legacy ICHI")</f>
        <v>Legacy ICHI</v>
      </c>
    </row>
    <row r="6635">
      <c r="A6635" s="3" t="str">
        <f>IFERROR(__xludf.DUMMYFUNCTION("""COMPUTED_VALUE"""),"legal-block")</f>
        <v>legal-block</v>
      </c>
      <c r="B6635" s="3" t="str">
        <f>IFERROR(__xludf.DUMMYFUNCTION("""COMPUTED_VALUE"""),"lbk")</f>
        <v>lbk</v>
      </c>
      <c r="C6635" s="3" t="str">
        <f>IFERROR(__xludf.DUMMYFUNCTION("""COMPUTED_VALUE"""),"Legal Block")</f>
        <v>Legal Block</v>
      </c>
    </row>
    <row r="6636">
      <c r="A6636" s="3" t="str">
        <f>IFERROR(__xludf.DUMMYFUNCTION("""COMPUTED_VALUE"""),"legend-of-fantasy-war")</f>
        <v>legend-of-fantasy-war</v>
      </c>
      <c r="B6636" s="3" t="str">
        <f>IFERROR(__xludf.DUMMYFUNCTION("""COMPUTED_VALUE"""),"lfw")</f>
        <v>lfw</v>
      </c>
      <c r="C6636" s="3" t="str">
        <f>IFERROR(__xludf.DUMMYFUNCTION("""COMPUTED_VALUE"""),"Legend of Fantasy War")</f>
        <v>Legend of Fantasy War</v>
      </c>
    </row>
    <row r="6637">
      <c r="A6637" s="3" t="str">
        <f>IFERROR(__xludf.DUMMYFUNCTION("""COMPUTED_VALUE"""),"legends-of-aria")</f>
        <v>legends-of-aria</v>
      </c>
      <c r="B6637" s="3" t="str">
        <f>IFERROR(__xludf.DUMMYFUNCTION("""COMPUTED_VALUE"""),"aria")</f>
        <v>aria</v>
      </c>
      <c r="C6637" s="3" t="str">
        <f>IFERROR(__xludf.DUMMYFUNCTION("""COMPUTED_VALUE"""),"Legends Of Aria")</f>
        <v>Legends Of Aria</v>
      </c>
    </row>
    <row r="6638">
      <c r="A6638" s="3" t="str">
        <f>IFERROR(__xludf.DUMMYFUNCTION("""COMPUTED_VALUE"""),"legends-of-elysium")</f>
        <v>legends-of-elysium</v>
      </c>
      <c r="B6638" s="3" t="str">
        <f>IFERROR(__xludf.DUMMYFUNCTION("""COMPUTED_VALUE"""),"loe")</f>
        <v>loe</v>
      </c>
      <c r="C6638" s="3" t="str">
        <f>IFERROR(__xludf.DUMMYFUNCTION("""COMPUTED_VALUE"""),"Legends of Elysium")</f>
        <v>Legends of Elysium</v>
      </c>
    </row>
    <row r="6639">
      <c r="A6639" s="3" t="str">
        <f>IFERROR(__xludf.DUMMYFUNCTION("""COMPUTED_VALUE"""),"legends-of-mitra")</f>
        <v>legends-of-mitra</v>
      </c>
      <c r="B6639" s="3" t="str">
        <f>IFERROR(__xludf.DUMMYFUNCTION("""COMPUTED_VALUE"""),"mita")</f>
        <v>mita</v>
      </c>
      <c r="C6639" s="3" t="str">
        <f>IFERROR(__xludf.DUMMYFUNCTION("""COMPUTED_VALUE"""),"Legends of Mitra")</f>
        <v>Legends of Mitra</v>
      </c>
    </row>
    <row r="6640">
      <c r="A6640" s="3" t="str">
        <f>IFERROR(__xludf.DUMMYFUNCTION("""COMPUTED_VALUE"""),"legends-room")</f>
        <v>legends-room</v>
      </c>
      <c r="B6640" s="3" t="str">
        <f>IFERROR(__xludf.DUMMYFUNCTION("""COMPUTED_VALUE"""),"more")</f>
        <v>more</v>
      </c>
      <c r="C6640" s="3" t="str">
        <f>IFERROR(__xludf.DUMMYFUNCTION("""COMPUTED_VALUE"""),"More")</f>
        <v>More</v>
      </c>
    </row>
    <row r="6641">
      <c r="A6641" s="3" t="str">
        <f>IFERROR(__xludf.DUMMYFUNCTION("""COMPUTED_VALUE"""),"legia-warsaw-fan-token")</f>
        <v>legia-warsaw-fan-token</v>
      </c>
      <c r="B6641" s="3" t="str">
        <f>IFERROR(__xludf.DUMMYFUNCTION("""COMPUTED_VALUE"""),"leg")</f>
        <v>leg</v>
      </c>
      <c r="C6641" s="3" t="str">
        <f>IFERROR(__xludf.DUMMYFUNCTION("""COMPUTED_VALUE"""),"Legia Warsaw Fan Token")</f>
        <v>Legia Warsaw Fan Token</v>
      </c>
    </row>
    <row r="6642">
      <c r="A6642" s="3" t="str">
        <f>IFERROR(__xludf.DUMMYFUNCTION("""COMPUTED_VALUE"""),"legiodao")</f>
        <v>legiodao</v>
      </c>
      <c r="B6642" s="3" t="str">
        <f>IFERROR(__xludf.DUMMYFUNCTION("""COMPUTED_VALUE"""),"lgo")</f>
        <v>lgo</v>
      </c>
      <c r="C6642" s="3" t="str">
        <f>IFERROR(__xludf.DUMMYFUNCTION("""COMPUTED_VALUE"""),"LegioDAO")</f>
        <v>LegioDAO</v>
      </c>
    </row>
    <row r="6643">
      <c r="A6643" s="3" t="str">
        <f>IFERROR(__xludf.DUMMYFUNCTION("""COMPUTED_VALUE"""),"legion-network")</f>
        <v>legion-network</v>
      </c>
      <c r="B6643" s="3" t="str">
        <f>IFERROR(__xludf.DUMMYFUNCTION("""COMPUTED_VALUE"""),"lgx")</f>
        <v>lgx</v>
      </c>
      <c r="C6643" s="3" t="str">
        <f>IFERROR(__xludf.DUMMYFUNCTION("""COMPUTED_VALUE"""),"Legion Network")</f>
        <v>Legion Network</v>
      </c>
    </row>
    <row r="6644">
      <c r="A6644" s="3" t="str">
        <f>IFERROR(__xludf.DUMMYFUNCTION("""COMPUTED_VALUE"""),"lego-coin")</f>
        <v>lego-coin</v>
      </c>
      <c r="B6644" s="3" t="str">
        <f>IFERROR(__xludf.DUMMYFUNCTION("""COMPUTED_VALUE"""),"lego")</f>
        <v>lego</v>
      </c>
      <c r="C6644" s="3" t="str">
        <f>IFERROR(__xludf.DUMMYFUNCTION("""COMPUTED_VALUE"""),"Lego Coin V1")</f>
        <v>Lego Coin V1</v>
      </c>
    </row>
    <row r="6645">
      <c r="A6645" s="3" t="str">
        <f>IFERROR(__xludf.DUMMYFUNCTION("""COMPUTED_VALUE"""),"lego-coin-v2")</f>
        <v>lego-coin-v2</v>
      </c>
      <c r="B6645" s="3" t="str">
        <f>IFERROR(__xludf.DUMMYFUNCTION("""COMPUTED_VALUE"""),"lego")</f>
        <v>lego</v>
      </c>
      <c r="C6645" s="3" t="str">
        <f>IFERROR(__xludf.DUMMYFUNCTION("""COMPUTED_VALUE"""),"Lego Coin V2")</f>
        <v>Lego Coin V2</v>
      </c>
    </row>
    <row r="6646">
      <c r="A6646" s="3" t="str">
        <f>IFERROR(__xludf.DUMMYFUNCTION("""COMPUTED_VALUE"""),"legolas-exchange")</f>
        <v>legolas-exchange</v>
      </c>
      <c r="B6646" s="3" t="str">
        <f>IFERROR(__xludf.DUMMYFUNCTION("""COMPUTED_VALUE"""),"lgo")</f>
        <v>lgo</v>
      </c>
      <c r="C6646" s="3" t="str">
        <f>IFERROR(__xludf.DUMMYFUNCTION("""COMPUTED_VALUE"""),"LGO")</f>
        <v>LGO</v>
      </c>
    </row>
    <row r="6647">
      <c r="A6647" s="3" t="str">
        <f>IFERROR(__xludf.DUMMYFUNCTION("""COMPUTED_VALUE"""),"leisure")</f>
        <v>leisure</v>
      </c>
      <c r="B6647" s="3" t="str">
        <f>IFERROR(__xludf.DUMMYFUNCTION("""COMPUTED_VALUE"""),"lis")</f>
        <v>lis</v>
      </c>
      <c r="C6647" s="3" t="str">
        <f>IFERROR(__xludf.DUMMYFUNCTION("""COMPUTED_VALUE"""),"Leisure")</f>
        <v>Leisure</v>
      </c>
    </row>
    <row r="6648">
      <c r="A6648" s="3" t="str">
        <f>IFERROR(__xludf.DUMMYFUNCTION("""COMPUTED_VALUE"""),"leisuremeta")</f>
        <v>leisuremeta</v>
      </c>
      <c r="B6648" s="3" t="str">
        <f>IFERROR(__xludf.DUMMYFUNCTION("""COMPUTED_VALUE"""),"lm")</f>
        <v>lm</v>
      </c>
      <c r="C6648" s="3" t="str">
        <f>IFERROR(__xludf.DUMMYFUNCTION("""COMPUTED_VALUE"""),"LeisureMeta")</f>
        <v>LeisureMeta</v>
      </c>
    </row>
    <row r="6649">
      <c r="A6649" s="3" t="str">
        <f>IFERROR(__xludf.DUMMYFUNCTION("""COMPUTED_VALUE"""),"leisurepay")</f>
        <v>leisurepay</v>
      </c>
      <c r="B6649" s="3" t="str">
        <f>IFERROR(__xludf.DUMMYFUNCTION("""COMPUTED_VALUE"""),"lpy")</f>
        <v>lpy</v>
      </c>
      <c r="C6649" s="3" t="str">
        <f>IFERROR(__xludf.DUMMYFUNCTION("""COMPUTED_VALUE"""),"LeisurePay")</f>
        <v>LeisurePay</v>
      </c>
    </row>
    <row r="6650">
      <c r="A6650" s="3" t="str">
        <f>IFERROR(__xludf.DUMMYFUNCTION("""COMPUTED_VALUE"""),"lemochain")</f>
        <v>lemochain</v>
      </c>
      <c r="B6650" s="3" t="str">
        <f>IFERROR(__xludf.DUMMYFUNCTION("""COMPUTED_VALUE"""),"lemo")</f>
        <v>lemo</v>
      </c>
      <c r="C6650" s="3" t="str">
        <f>IFERROR(__xludf.DUMMYFUNCTION("""COMPUTED_VALUE"""),"LemoChain")</f>
        <v>LemoChain</v>
      </c>
    </row>
    <row r="6651">
      <c r="A6651" s="3" t="str">
        <f>IFERROR(__xludf.DUMMYFUNCTION("""COMPUTED_VALUE"""),"lemon")</f>
        <v>lemon</v>
      </c>
      <c r="B6651" s="3" t="str">
        <f>IFERROR(__xludf.DUMMYFUNCTION("""COMPUTED_VALUE"""),"lemon")</f>
        <v>lemon</v>
      </c>
      <c r="C6651" s="3" t="str">
        <f>IFERROR(__xludf.DUMMYFUNCTION("""COMPUTED_VALUE"""),"Lemon")</f>
        <v>Lemon</v>
      </c>
    </row>
    <row r="6652">
      <c r="A6652" s="3" t="str">
        <f>IFERROR(__xludf.DUMMYFUNCTION("""COMPUTED_VALUE"""),"lemonchain")</f>
        <v>lemonchain</v>
      </c>
      <c r="B6652" s="3" t="str">
        <f>IFERROR(__xludf.DUMMYFUNCTION("""COMPUTED_VALUE"""),"lemc")</f>
        <v>lemc</v>
      </c>
      <c r="C6652" s="3" t="str">
        <f>IFERROR(__xludf.DUMMYFUNCTION("""COMPUTED_VALUE"""),"LemonChain")</f>
        <v>LemonChain</v>
      </c>
    </row>
    <row r="6653">
      <c r="A6653" s="3" t="str">
        <f>IFERROR(__xludf.DUMMYFUNCTION("""COMPUTED_VALUE"""),"lemond")</f>
        <v>lemond</v>
      </c>
      <c r="B6653" s="3" t="str">
        <f>IFERROR(__xludf.DUMMYFUNCTION("""COMPUTED_VALUE"""),"lemd")</f>
        <v>lemd</v>
      </c>
      <c r="C6653" s="3" t="str">
        <f>IFERROR(__xludf.DUMMYFUNCTION("""COMPUTED_VALUE"""),"Lemond")</f>
        <v>Lemond</v>
      </c>
    </row>
    <row r="6654">
      <c r="A6654" s="3" t="str">
        <f>IFERROR(__xludf.DUMMYFUNCTION("""COMPUTED_VALUE"""),"lemonn-token")</f>
        <v>lemonn-token</v>
      </c>
      <c r="B6654" s="3" t="str">
        <f>IFERROR(__xludf.DUMMYFUNCTION("""COMPUTED_VALUE"""),"lmn")</f>
        <v>lmn</v>
      </c>
      <c r="C6654" s="3" t="str">
        <f>IFERROR(__xludf.DUMMYFUNCTION("""COMPUTED_VALUE"""),"Lemonn")</f>
        <v>Lemonn</v>
      </c>
    </row>
    <row r="6655">
      <c r="A6655" s="3" t="str">
        <f>IFERROR(__xludf.DUMMYFUNCTION("""COMPUTED_VALUE"""),"lemon-token")</f>
        <v>lemon-token</v>
      </c>
      <c r="B6655" s="3" t="str">
        <f>IFERROR(__xludf.DUMMYFUNCTION("""COMPUTED_VALUE"""),"lemn")</f>
        <v>lemn</v>
      </c>
      <c r="C6655" s="3" t="str">
        <f>IFERROR(__xludf.DUMMYFUNCTION("""COMPUTED_VALUE"""),"Crypto Lemon")</f>
        <v>Crypto Lemon</v>
      </c>
    </row>
    <row r="6656">
      <c r="A6656" s="3" t="str">
        <f>IFERROR(__xludf.DUMMYFUNCTION("""COMPUTED_VALUE"""),"lenda")</f>
        <v>lenda</v>
      </c>
      <c r="B6656" s="3" t="str">
        <f>IFERROR(__xludf.DUMMYFUNCTION("""COMPUTED_VALUE"""),"lenda")</f>
        <v>lenda</v>
      </c>
      <c r="C6656" s="3" t="str">
        <f>IFERROR(__xludf.DUMMYFUNCTION("""COMPUTED_VALUE"""),"Lenda")</f>
        <v>Lenda</v>
      </c>
    </row>
    <row r="6657">
      <c r="A6657" s="3" t="str">
        <f>IFERROR(__xludf.DUMMYFUNCTION("""COMPUTED_VALUE"""),"lendefi")</f>
        <v>lendefi</v>
      </c>
      <c r="B6657" s="3" t="str">
        <f>IFERROR(__xludf.DUMMYFUNCTION("""COMPUTED_VALUE"""),"ldfi")</f>
        <v>ldfi</v>
      </c>
      <c r="C6657" s="3" t="str">
        <f>IFERROR(__xludf.DUMMYFUNCTION("""COMPUTED_VALUE"""),"Lendefi")</f>
        <v>Lendefi</v>
      </c>
    </row>
    <row r="6658">
      <c r="A6658" s="3" t="str">
        <f>IFERROR(__xludf.DUMMYFUNCTION("""COMPUTED_VALUE"""),"lend-flare-dao-token")</f>
        <v>lend-flare-dao-token</v>
      </c>
      <c r="B6658" s="3" t="str">
        <f>IFERROR(__xludf.DUMMYFUNCTION("""COMPUTED_VALUE"""),"lft")</f>
        <v>lft</v>
      </c>
      <c r="C6658" s="3" t="str">
        <f>IFERROR(__xludf.DUMMYFUNCTION("""COMPUTED_VALUE"""),"Lend Flare Dao")</f>
        <v>Lend Flare Dao</v>
      </c>
    </row>
    <row r="6659">
      <c r="A6659" s="3" t="str">
        <f>IFERROR(__xludf.DUMMYFUNCTION("""COMPUTED_VALUE"""),"lendhub")</f>
        <v>lendhub</v>
      </c>
      <c r="B6659" s="3" t="str">
        <f>IFERROR(__xludf.DUMMYFUNCTION("""COMPUTED_VALUE"""),"lhb")</f>
        <v>lhb</v>
      </c>
      <c r="C6659" s="3" t="str">
        <f>IFERROR(__xludf.DUMMYFUNCTION("""COMPUTED_VALUE"""),"Lendhub")</f>
        <v>Lendhub</v>
      </c>
    </row>
    <row r="6660">
      <c r="A6660" s="5" t="str">
        <f>IFERROR(__xludf.DUMMYFUNCTION("""COMPUTED_VALUE"""),"lendingblock")</f>
        <v>lendingblock</v>
      </c>
      <c r="B6660" s="3" t="str">
        <f>IFERROR(__xludf.DUMMYFUNCTION("""COMPUTED_VALUE"""),"lnd")</f>
        <v>lnd</v>
      </c>
      <c r="C6660" s="3" t="str">
        <f>IFERROR(__xludf.DUMMYFUNCTION("""COMPUTED_VALUE"""),"Lendingblock")</f>
        <v>Lendingblock</v>
      </c>
    </row>
    <row r="6661">
      <c r="A6661" s="3" t="str">
        <f>IFERROR(__xludf.DUMMYFUNCTION("""COMPUTED_VALUE"""),"lendroid-support-token")</f>
        <v>lendroid-support-token</v>
      </c>
      <c r="B6661" s="3" t="str">
        <f>IFERROR(__xludf.DUMMYFUNCTION("""COMPUTED_VALUE"""),"lst")</f>
        <v>lst</v>
      </c>
      <c r="C6661" s="3" t="str">
        <f>IFERROR(__xludf.DUMMYFUNCTION("""COMPUTED_VALUE"""),"Lendroid Support")</f>
        <v>Lendroid Support</v>
      </c>
    </row>
    <row r="6662">
      <c r="A6662" s="3" t="str">
        <f>IFERROR(__xludf.DUMMYFUNCTION("""COMPUTED_VALUE"""),"leo")</f>
        <v>leo</v>
      </c>
      <c r="B6662" s="3" t="str">
        <f>IFERROR(__xludf.DUMMYFUNCTION("""COMPUTED_VALUE"""),"leo")</f>
        <v>leo</v>
      </c>
      <c r="C6662" s="3" t="str">
        <f>IFERROR(__xludf.DUMMYFUNCTION("""COMPUTED_VALUE"""),"Leo")</f>
        <v>Leo</v>
      </c>
    </row>
    <row r="6663">
      <c r="A6663" s="3" t="str">
        <f>IFERROR(__xludf.DUMMYFUNCTION("""COMPUTED_VALUE"""),"leonicorn-swap")</f>
        <v>leonicorn-swap</v>
      </c>
      <c r="B6663" s="3" t="str">
        <f>IFERROR(__xludf.DUMMYFUNCTION("""COMPUTED_VALUE"""),"leos")</f>
        <v>leos</v>
      </c>
      <c r="C6663" s="3" t="str">
        <f>IFERROR(__xludf.DUMMYFUNCTION("""COMPUTED_VALUE"""),"Leonicorn Swap")</f>
        <v>Leonicorn Swap</v>
      </c>
    </row>
    <row r="6664">
      <c r="A6664" s="3" t="str">
        <f>IFERROR(__xludf.DUMMYFUNCTION("""COMPUTED_VALUE"""),"leonidas")</f>
        <v>leonidas</v>
      </c>
      <c r="B6664" s="3" t="str">
        <f>IFERROR(__xludf.DUMMYFUNCTION("""COMPUTED_VALUE"""),"leo")</f>
        <v>leo</v>
      </c>
      <c r="C6664" s="3" t="str">
        <f>IFERROR(__xludf.DUMMYFUNCTION("""COMPUTED_VALUE"""),"Leonidas")</f>
        <v>Leonidas</v>
      </c>
    </row>
    <row r="6665">
      <c r="A6665" s="3" t="str">
        <f>IFERROR(__xludf.DUMMYFUNCTION("""COMPUTED_VALUE"""),"leonidasbilic")</f>
        <v>leonidasbilic</v>
      </c>
      <c r="B6665" s="3" t="str">
        <f>IFERROR(__xludf.DUMMYFUNCTION("""COMPUTED_VALUE"""),"lio")</f>
        <v>lio</v>
      </c>
      <c r="C6665" s="3" t="str">
        <f>IFERROR(__xludf.DUMMYFUNCTION("""COMPUTED_VALUE"""),"Leonidasbilic")</f>
        <v>Leonidasbilic</v>
      </c>
    </row>
    <row r="6666">
      <c r="A6666" s="3" t="str">
        <f>IFERROR(__xludf.DUMMYFUNCTION("""COMPUTED_VALUE"""),"leonidas-token")</f>
        <v>leonidas-token</v>
      </c>
      <c r="B6666" s="3" t="str">
        <f>IFERROR(__xludf.DUMMYFUNCTION("""COMPUTED_VALUE"""),"leonidas")</f>
        <v>leonidas</v>
      </c>
      <c r="C6666" s="3" t="str">
        <f>IFERROR(__xludf.DUMMYFUNCTION("""COMPUTED_VALUE"""),"Leonidas Token")</f>
        <v>Leonidas Token</v>
      </c>
    </row>
    <row r="6667">
      <c r="A6667" s="3" t="str">
        <f>IFERROR(__xludf.DUMMYFUNCTION("""COMPUTED_VALUE"""),"leon-token")</f>
        <v>leon-token</v>
      </c>
      <c r="B6667" s="3" t="str">
        <f>IFERROR(__xludf.DUMMYFUNCTION("""COMPUTED_VALUE"""),"leon")</f>
        <v>leon</v>
      </c>
      <c r="C6667" s="3" t="str">
        <f>IFERROR(__xludf.DUMMYFUNCTION("""COMPUTED_VALUE"""),"Leonicorn LEON")</f>
        <v>Leonicorn LEON</v>
      </c>
    </row>
    <row r="6668">
      <c r="A6668" s="3" t="str">
        <f>IFERROR(__xludf.DUMMYFUNCTION("""COMPUTED_VALUE"""),"leopard")</f>
        <v>leopard</v>
      </c>
      <c r="B6668" s="3" t="str">
        <f>IFERROR(__xludf.DUMMYFUNCTION("""COMPUTED_VALUE"""),"leopard")</f>
        <v>leopard</v>
      </c>
      <c r="C6668" s="3" t="str">
        <f>IFERROR(__xludf.DUMMYFUNCTION("""COMPUTED_VALUE"""),"Leopard")</f>
        <v>Leopard</v>
      </c>
    </row>
    <row r="6669">
      <c r="A6669" s="3" t="str">
        <f>IFERROR(__xludf.DUMMYFUNCTION("""COMPUTED_VALUE"""),"leo-token")</f>
        <v>leo-token</v>
      </c>
      <c r="B6669" s="3" t="str">
        <f>IFERROR(__xludf.DUMMYFUNCTION("""COMPUTED_VALUE"""),"leo")</f>
        <v>leo</v>
      </c>
      <c r="C6669" s="3" t="str">
        <f>IFERROR(__xludf.DUMMYFUNCTION("""COMPUTED_VALUE"""),"LEO Token")</f>
        <v>LEO Token</v>
      </c>
    </row>
    <row r="6670">
      <c r="A6670" s="3" t="str">
        <f>IFERROR(__xludf.DUMMYFUNCTION("""COMPUTED_VALUE"""),"lepasa")</f>
        <v>lepasa</v>
      </c>
      <c r="B6670" s="3" t="str">
        <f>IFERROR(__xludf.DUMMYFUNCTION("""COMPUTED_VALUE"""),"lepa")</f>
        <v>lepa</v>
      </c>
      <c r="C6670" s="3" t="str">
        <f>IFERROR(__xludf.DUMMYFUNCTION("""COMPUTED_VALUE"""),"Lepasa")</f>
        <v>Lepasa</v>
      </c>
    </row>
    <row r="6671">
      <c r="A6671" s="3" t="str">
        <f>IFERROR(__xludf.DUMMYFUNCTION("""COMPUTED_VALUE"""),"leprechaun-finance")</f>
        <v>leprechaun-finance</v>
      </c>
      <c r="B6671" s="3" t="str">
        <f>IFERROR(__xludf.DUMMYFUNCTION("""COMPUTED_VALUE"""),"lep")</f>
        <v>lep</v>
      </c>
      <c r="C6671" s="3" t="str">
        <f>IFERROR(__xludf.DUMMYFUNCTION("""COMPUTED_VALUE"""),"Leprechaun Finance")</f>
        <v>Leprechaun Finance</v>
      </c>
    </row>
    <row r="6672">
      <c r="A6672" s="3" t="str">
        <f>IFERROR(__xludf.DUMMYFUNCTION("""COMPUTED_VALUE"""),"lepricon")</f>
        <v>lepricon</v>
      </c>
      <c r="B6672" s="3" t="str">
        <f>IFERROR(__xludf.DUMMYFUNCTION("""COMPUTED_VALUE"""),"l3p")</f>
        <v>l3p</v>
      </c>
      <c r="C6672" s="3" t="str">
        <f>IFERROR(__xludf.DUMMYFUNCTION("""COMPUTED_VALUE"""),"Lepricon")</f>
        <v>Lepricon</v>
      </c>
    </row>
    <row r="6673">
      <c r="A6673" s="3" t="str">
        <f>IFERROR(__xludf.DUMMYFUNCTION("""COMPUTED_VALUE"""),"leslar-metaverse")</f>
        <v>leslar-metaverse</v>
      </c>
      <c r="B6673" s="3" t="str">
        <f>IFERROR(__xludf.DUMMYFUNCTION("""COMPUTED_VALUE"""),"llverse")</f>
        <v>llverse</v>
      </c>
      <c r="C6673" s="3" t="str">
        <f>IFERROR(__xludf.DUMMYFUNCTION("""COMPUTED_VALUE"""),"LESLAR Metaverse")</f>
        <v>LESLAR Metaverse</v>
      </c>
    </row>
    <row r="6674">
      <c r="A6674" s="3" t="str">
        <f>IFERROR(__xludf.DUMMYFUNCTION("""COMPUTED_VALUE"""),"letcoinshop")</f>
        <v>letcoinshop</v>
      </c>
      <c r="B6674" s="3" t="str">
        <f>IFERROR(__xludf.DUMMYFUNCTION("""COMPUTED_VALUE"""),"lcs")</f>
        <v>lcs</v>
      </c>
      <c r="C6674" s="3" t="str">
        <f>IFERROR(__xludf.DUMMYFUNCTION("""COMPUTED_VALUE"""),"LetCoinShop")</f>
        <v>LetCoinShop</v>
      </c>
    </row>
    <row r="6675">
      <c r="A6675" s="3" t="str">
        <f>IFERROR(__xludf.DUMMYFUNCTION("""COMPUTED_VALUE"""),"lethean")</f>
        <v>lethean</v>
      </c>
      <c r="B6675" s="3" t="str">
        <f>IFERROR(__xludf.DUMMYFUNCTION("""COMPUTED_VALUE"""),"lthn")</f>
        <v>lthn</v>
      </c>
      <c r="C6675" s="3" t="str">
        <f>IFERROR(__xludf.DUMMYFUNCTION("""COMPUTED_VALUE"""),"Lethean")</f>
        <v>Lethean</v>
      </c>
    </row>
    <row r="6676">
      <c r="A6676" s="3" t="str">
        <f>IFERROR(__xludf.DUMMYFUNCTION("""COMPUTED_VALUE"""),"letitride")</f>
        <v>letitride</v>
      </c>
      <c r="B6676" s="3" t="str">
        <f>IFERROR(__xludf.DUMMYFUNCTION("""COMPUTED_VALUE"""),"lir")</f>
        <v>lir</v>
      </c>
      <c r="C6676" s="3" t="str">
        <f>IFERROR(__xludf.DUMMYFUNCTION("""COMPUTED_VALUE"""),"LetItRide")</f>
        <v>LetItRide</v>
      </c>
    </row>
    <row r="6677">
      <c r="A6677" s="3" t="str">
        <f>IFERROR(__xludf.DUMMYFUNCTION("""COMPUTED_VALUE"""),"lets-go-brandon")</f>
        <v>lets-go-brandon</v>
      </c>
      <c r="B6677" s="3" t="str">
        <f>IFERROR(__xludf.DUMMYFUNCTION("""COMPUTED_VALUE"""),"letsgo")</f>
        <v>letsgo</v>
      </c>
      <c r="C6677" s="3" t="str">
        <f>IFERROR(__xludf.DUMMYFUNCTION("""COMPUTED_VALUE"""),"Lets Go Brandon")</f>
        <v>Lets Go Brandon</v>
      </c>
    </row>
    <row r="6678">
      <c r="A6678" s="3" t="str">
        <f>IFERROR(__xludf.DUMMYFUNCTION("""COMPUTED_VALUE"""),"lets-go-farming")</f>
        <v>lets-go-farming</v>
      </c>
      <c r="B6678" s="3" t="str">
        <f>IFERROR(__xludf.DUMMYFUNCTION("""COMPUTED_VALUE"""),"lgf")</f>
        <v>lgf</v>
      </c>
      <c r="C6678" s="3" t="str">
        <f>IFERROR(__xludf.DUMMYFUNCTION("""COMPUTED_VALUE"""),"Let's Go Farming")</f>
        <v>Let's Go Farming</v>
      </c>
    </row>
    <row r="6679">
      <c r="A6679" s="3" t="str">
        <f>IFERROR(__xludf.DUMMYFUNCTION("""COMPUTED_VALUE"""),"levante-ud-fan-token")</f>
        <v>levante-ud-fan-token</v>
      </c>
      <c r="B6679" s="3" t="str">
        <f>IFERROR(__xludf.DUMMYFUNCTION("""COMPUTED_VALUE"""),"lev")</f>
        <v>lev</v>
      </c>
      <c r="C6679" s="3" t="str">
        <f>IFERROR(__xludf.DUMMYFUNCTION("""COMPUTED_VALUE"""),"Levante U.D. Fan Token")</f>
        <v>Levante U.D. Fan Token</v>
      </c>
    </row>
    <row r="6680">
      <c r="A6680" s="3" t="str">
        <f>IFERROR(__xludf.DUMMYFUNCTION("""COMPUTED_VALUE"""),"leve-invest")</f>
        <v>leve-invest</v>
      </c>
      <c r="B6680" s="3" t="str">
        <f>IFERROR(__xludf.DUMMYFUNCTION("""COMPUTED_VALUE"""),"leve")</f>
        <v>leve</v>
      </c>
      <c r="C6680" s="3" t="str">
        <f>IFERROR(__xludf.DUMMYFUNCTION("""COMPUTED_VALUE"""),"Leve Invest")</f>
        <v>Leve Invest</v>
      </c>
    </row>
    <row r="6681">
      <c r="A6681" s="3" t="str">
        <f>IFERROR(__xludf.DUMMYFUNCTION("""COMPUTED_VALUE"""),"levelapp")</f>
        <v>levelapp</v>
      </c>
      <c r="B6681" s="3" t="str">
        <f>IFERROR(__xludf.DUMMYFUNCTION("""COMPUTED_VALUE"""),"lvl")</f>
        <v>lvl</v>
      </c>
      <c r="C6681" s="3" t="str">
        <f>IFERROR(__xludf.DUMMYFUNCTION("""COMPUTED_VALUE"""),"LevelApp")</f>
        <v>LevelApp</v>
      </c>
    </row>
    <row r="6682">
      <c r="A6682" s="3" t="str">
        <f>IFERROR(__xludf.DUMMYFUNCTION("""COMPUTED_VALUE"""),"levelg")</f>
        <v>levelg</v>
      </c>
      <c r="B6682" s="3" t="str">
        <f>IFERROR(__xludf.DUMMYFUNCTION("""COMPUTED_VALUE"""),"levelg")</f>
        <v>levelg</v>
      </c>
      <c r="C6682" s="3" t="str">
        <f>IFERROR(__xludf.DUMMYFUNCTION("""COMPUTED_VALUE"""),"LEVELG")</f>
        <v>LEVELG</v>
      </c>
    </row>
    <row r="6683">
      <c r="A6683" s="3" t="str">
        <f>IFERROR(__xludf.DUMMYFUNCTION("""COMPUTED_VALUE"""),"levelup-gaming")</f>
        <v>levelup-gaming</v>
      </c>
      <c r="B6683" s="3" t="str">
        <f>IFERROR(__xludf.DUMMYFUNCTION("""COMPUTED_VALUE"""),"lvlup")</f>
        <v>lvlup</v>
      </c>
      <c r="C6683" s="3" t="str">
        <f>IFERROR(__xludf.DUMMYFUNCTION("""COMPUTED_VALUE"""),"LevelUp Gaming")</f>
        <v>LevelUp Gaming</v>
      </c>
    </row>
    <row r="6684">
      <c r="A6684" s="3" t="str">
        <f>IFERROR(__xludf.DUMMYFUNCTION("""COMPUTED_VALUE"""),"lever")</f>
        <v>lever</v>
      </c>
      <c r="B6684" s="3" t="str">
        <f>IFERROR(__xludf.DUMMYFUNCTION("""COMPUTED_VALUE"""),"lever")</f>
        <v>lever</v>
      </c>
      <c r="C6684" s="3" t="str">
        <f>IFERROR(__xludf.DUMMYFUNCTION("""COMPUTED_VALUE"""),"LeverFi")</f>
        <v>LeverFi</v>
      </c>
    </row>
    <row r="6685">
      <c r="A6685" s="3" t="str">
        <f>IFERROR(__xludf.DUMMYFUNCTION("""COMPUTED_VALUE"""),"leverageinu")</f>
        <v>leverageinu</v>
      </c>
      <c r="B6685" s="3" t="str">
        <f>IFERROR(__xludf.DUMMYFUNCTION("""COMPUTED_VALUE"""),"levi")</f>
        <v>levi</v>
      </c>
      <c r="C6685" s="3" t="str">
        <f>IFERROR(__xludf.DUMMYFUNCTION("""COMPUTED_VALUE"""),"LeverageInu")</f>
        <v>LeverageInu</v>
      </c>
    </row>
    <row r="6686">
      <c r="A6686" s="3" t="str">
        <f>IFERROR(__xludf.DUMMYFUNCTION("""COMPUTED_VALUE"""),"leverj-gluon")</f>
        <v>leverj-gluon</v>
      </c>
      <c r="B6686" s="3" t="str">
        <f>IFERROR(__xludf.DUMMYFUNCTION("""COMPUTED_VALUE"""),"l2")</f>
        <v>l2</v>
      </c>
      <c r="C6686" s="3" t="str">
        <f>IFERROR(__xludf.DUMMYFUNCTION("""COMPUTED_VALUE"""),"Leverj Gluon")</f>
        <v>Leverj Gluon</v>
      </c>
    </row>
    <row r="6687">
      <c r="A6687" s="3" t="str">
        <f>IFERROR(__xludf.DUMMYFUNCTION("""COMPUTED_VALUE"""),"lever-network")</f>
        <v>lever-network</v>
      </c>
      <c r="B6687" s="3" t="str">
        <f>IFERROR(__xludf.DUMMYFUNCTION("""COMPUTED_VALUE"""),"lev")</f>
        <v>lev</v>
      </c>
      <c r="C6687" s="3" t="str">
        <f>IFERROR(__xludf.DUMMYFUNCTION("""COMPUTED_VALUE"""),"Lever Network")</f>
        <v>Lever Network</v>
      </c>
    </row>
    <row r="6688">
      <c r="A6688" s="3" t="str">
        <f>IFERROR(__xludf.DUMMYFUNCTION("""COMPUTED_VALUE"""),"levin")</f>
        <v>levin</v>
      </c>
      <c r="B6688" s="3" t="str">
        <f>IFERROR(__xludf.DUMMYFUNCTION("""COMPUTED_VALUE"""),"levin")</f>
        <v>levin</v>
      </c>
      <c r="C6688" s="3" t="str">
        <f>IFERROR(__xludf.DUMMYFUNCTION("""COMPUTED_VALUE"""),"Levin")</f>
        <v>Levin</v>
      </c>
    </row>
    <row r="6689">
      <c r="A6689" s="3" t="str">
        <f>IFERROR(__xludf.DUMMYFUNCTION("""COMPUTED_VALUE"""),"levolution")</f>
        <v>levolution</v>
      </c>
      <c r="B6689" s="3" t="str">
        <f>IFERROR(__xludf.DUMMYFUNCTION("""COMPUTED_VALUE"""),"levl")</f>
        <v>levl</v>
      </c>
      <c r="C6689" s="3" t="str">
        <f>IFERROR(__xludf.DUMMYFUNCTION("""COMPUTED_VALUE"""),"Levolution")</f>
        <v>Levolution</v>
      </c>
    </row>
    <row r="6690">
      <c r="A6690" s="3" t="str">
        <f>IFERROR(__xludf.DUMMYFUNCTION("""COMPUTED_VALUE"""),"lexit-2")</f>
        <v>lexit-2</v>
      </c>
      <c r="B6690" s="3" t="str">
        <f>IFERROR(__xludf.DUMMYFUNCTION("""COMPUTED_VALUE"""),"lexi")</f>
        <v>lexi</v>
      </c>
      <c r="C6690" s="3" t="str">
        <f>IFERROR(__xludf.DUMMYFUNCTION("""COMPUTED_VALUE"""),"LEXIT")</f>
        <v>LEXIT</v>
      </c>
    </row>
    <row r="6691">
      <c r="A6691" s="3" t="str">
        <f>IFERROR(__xludf.DUMMYFUNCTION("""COMPUTED_VALUE"""),"lfgswap-finance")</f>
        <v>lfgswap-finance</v>
      </c>
      <c r="B6691" s="3" t="str">
        <f>IFERROR(__xludf.DUMMYFUNCTION("""COMPUTED_VALUE"""),"lfg")</f>
        <v>lfg</v>
      </c>
      <c r="C6691" s="3" t="str">
        <f>IFERROR(__xludf.DUMMYFUNCTION("""COMPUTED_VALUE"""),"LFGSwap Finance")</f>
        <v>LFGSwap Finance</v>
      </c>
    </row>
    <row r="6692">
      <c r="A6692" s="3" t="str">
        <f>IFERROR(__xludf.DUMMYFUNCTION("""COMPUTED_VALUE"""),"lgcy-network")</f>
        <v>lgcy-network</v>
      </c>
      <c r="B6692" s="3" t="str">
        <f>IFERROR(__xludf.DUMMYFUNCTION("""COMPUTED_VALUE"""),"lgcy")</f>
        <v>lgcy</v>
      </c>
      <c r="C6692" s="3" t="str">
        <f>IFERROR(__xludf.DUMMYFUNCTION("""COMPUTED_VALUE"""),"LGCY Network")</f>
        <v>LGCY Network</v>
      </c>
    </row>
    <row r="6693">
      <c r="A6693" s="3" t="str">
        <f>IFERROR(__xludf.DUMMYFUNCTION("""COMPUTED_VALUE"""),"lhcoin")</f>
        <v>lhcoin</v>
      </c>
      <c r="B6693" s="3" t="str">
        <f>IFERROR(__xludf.DUMMYFUNCTION("""COMPUTED_VALUE"""),"lhcoin")</f>
        <v>lhcoin</v>
      </c>
      <c r="C6693" s="3" t="str">
        <f>IFERROR(__xludf.DUMMYFUNCTION("""COMPUTED_VALUE"""),"LHCoin")</f>
        <v>LHCoin</v>
      </c>
    </row>
    <row r="6694">
      <c r="A6694" s="3" t="str">
        <f>IFERROR(__xludf.DUMMYFUNCTION("""COMPUTED_VALUE"""),"libera-financial")</f>
        <v>libera-financial</v>
      </c>
      <c r="B6694" s="3" t="str">
        <f>IFERROR(__xludf.DUMMYFUNCTION("""COMPUTED_VALUE"""),"libera")</f>
        <v>libera</v>
      </c>
      <c r="C6694" s="3" t="str">
        <f>IFERROR(__xludf.DUMMYFUNCTION("""COMPUTED_VALUE"""),"Libera Financial")</f>
        <v>Libera Financial</v>
      </c>
    </row>
    <row r="6695">
      <c r="A6695" s="3" t="str">
        <f>IFERROR(__xludf.DUMMYFUNCTION("""COMPUTED_VALUE"""),"liber-coin")</f>
        <v>liber-coin</v>
      </c>
      <c r="B6695" s="3" t="str">
        <f>IFERROR(__xludf.DUMMYFUNCTION("""COMPUTED_VALUE"""),"lbr")</f>
        <v>lbr</v>
      </c>
      <c r="C6695" s="3" t="str">
        <f>IFERROR(__xludf.DUMMYFUNCTION("""COMPUTED_VALUE"""),"LIBER COIN")</f>
        <v>LIBER COIN</v>
      </c>
    </row>
    <row r="6696">
      <c r="A6696" s="3" t="str">
        <f>IFERROR(__xludf.DUMMYFUNCTION("""COMPUTED_VALUE"""),"libero-financial")</f>
        <v>libero-financial</v>
      </c>
      <c r="B6696" s="3" t="str">
        <f>IFERROR(__xludf.DUMMYFUNCTION("""COMPUTED_VALUE"""),"libero")</f>
        <v>libero</v>
      </c>
      <c r="C6696" s="3" t="str">
        <f>IFERROR(__xludf.DUMMYFUNCTION("""COMPUTED_VALUE"""),"Libero Financial")</f>
        <v>Libero Financial</v>
      </c>
    </row>
    <row r="6697">
      <c r="A6697" s="3" t="str">
        <f>IFERROR(__xludf.DUMMYFUNCTION("""COMPUTED_VALUE"""),"libertas-token")</f>
        <v>libertas-token</v>
      </c>
      <c r="B6697" s="3" t="str">
        <f>IFERROR(__xludf.DUMMYFUNCTION("""COMPUTED_VALUE"""),"libertas")</f>
        <v>libertas</v>
      </c>
      <c r="C6697" s="3" t="str">
        <f>IFERROR(__xludf.DUMMYFUNCTION("""COMPUTED_VALUE"""),"LIBERTAS")</f>
        <v>LIBERTAS</v>
      </c>
    </row>
    <row r="6698">
      <c r="A6698" s="3" t="str">
        <f>IFERROR(__xludf.DUMMYFUNCTION("""COMPUTED_VALUE"""),"libfx")</f>
        <v>libfx</v>
      </c>
      <c r="B6698" s="3" t="str">
        <f>IFERROR(__xludf.DUMMYFUNCTION("""COMPUTED_VALUE"""),"libfx")</f>
        <v>libfx</v>
      </c>
      <c r="C6698" s="3" t="str">
        <f>IFERROR(__xludf.DUMMYFUNCTION("""COMPUTED_VALUE"""),"Libfx")</f>
        <v>Libfx</v>
      </c>
    </row>
    <row r="6699">
      <c r="A6699" s="3" t="str">
        <f>IFERROR(__xludf.DUMMYFUNCTION("""COMPUTED_VALUE"""),"libonomy")</f>
        <v>libonomy</v>
      </c>
      <c r="B6699" s="3" t="str">
        <f>IFERROR(__xludf.DUMMYFUNCTION("""COMPUTED_VALUE"""),"lby")</f>
        <v>lby</v>
      </c>
      <c r="C6699" s="3" t="str">
        <f>IFERROR(__xludf.DUMMYFUNCTION("""COMPUTED_VALUE"""),"Libonomy")</f>
        <v>Libonomy</v>
      </c>
    </row>
    <row r="6700">
      <c r="A6700" s="3" t="str">
        <f>IFERROR(__xludf.DUMMYFUNCTION("""COMPUTED_VALUE"""),"libra-credit")</f>
        <v>libra-credit</v>
      </c>
      <c r="B6700" s="3" t="str">
        <f>IFERROR(__xludf.DUMMYFUNCTION("""COMPUTED_VALUE"""),"lba")</f>
        <v>lba</v>
      </c>
      <c r="C6700" s="3" t="str">
        <f>IFERROR(__xludf.DUMMYFUNCTION("""COMPUTED_VALUE"""),"Libra Credit")</f>
        <v>Libra Credit</v>
      </c>
    </row>
    <row r="6701">
      <c r="A6701" s="3" t="str">
        <f>IFERROR(__xludf.DUMMYFUNCTION("""COMPUTED_VALUE"""),"lichang")</f>
        <v>lichang</v>
      </c>
      <c r="B6701" s="3" t="str">
        <f>IFERROR(__xludf.DUMMYFUNCTION("""COMPUTED_VALUE"""),"lc")</f>
        <v>lc</v>
      </c>
      <c r="C6701" s="3" t="str">
        <f>IFERROR(__xludf.DUMMYFUNCTION("""COMPUTED_VALUE"""),"Lichang")</f>
        <v>Lichang</v>
      </c>
    </row>
    <row r="6702">
      <c r="A6702" s="3" t="str">
        <f>IFERROR(__xludf.DUMMYFUNCTION("""COMPUTED_VALUE"""),"lido-dao")</f>
        <v>lido-dao</v>
      </c>
      <c r="B6702" s="3" t="str">
        <f>IFERROR(__xludf.DUMMYFUNCTION("""COMPUTED_VALUE"""),"ldo")</f>
        <v>ldo</v>
      </c>
      <c r="C6702" s="3" t="str">
        <f>IFERROR(__xludf.DUMMYFUNCTION("""COMPUTED_VALUE"""),"Lido DAO")</f>
        <v>Lido DAO</v>
      </c>
    </row>
    <row r="6703">
      <c r="A6703" s="3" t="str">
        <f>IFERROR(__xludf.DUMMYFUNCTION("""COMPUTED_VALUE"""),"lido-dao-wormhole")</f>
        <v>lido-dao-wormhole</v>
      </c>
      <c r="B6703" s="3" t="str">
        <f>IFERROR(__xludf.DUMMYFUNCTION("""COMPUTED_VALUE"""),"ldo")</f>
        <v>ldo</v>
      </c>
      <c r="C6703" s="3" t="str">
        <f>IFERROR(__xludf.DUMMYFUNCTION("""COMPUTED_VALUE"""),"Lido DAO (Wormhole)")</f>
        <v>Lido DAO (Wormhole)</v>
      </c>
    </row>
    <row r="6704">
      <c r="A6704" s="3" t="str">
        <f>IFERROR(__xludf.DUMMYFUNCTION("""COMPUTED_VALUE"""),"lido-on-kusama")</f>
        <v>lido-on-kusama</v>
      </c>
      <c r="B6704" s="3" t="str">
        <f>IFERROR(__xludf.DUMMYFUNCTION("""COMPUTED_VALUE"""),"wstksm")</f>
        <v>wstksm</v>
      </c>
      <c r="C6704" s="3" t="str">
        <f>IFERROR(__xludf.DUMMYFUNCTION("""COMPUTED_VALUE"""),"Lido on Kusama")</f>
        <v>Lido on Kusama</v>
      </c>
    </row>
    <row r="6705">
      <c r="A6705" s="3" t="str">
        <f>IFERROR(__xludf.DUMMYFUNCTION("""COMPUTED_VALUE"""),"lido-staked-matic")</f>
        <v>lido-staked-matic</v>
      </c>
      <c r="B6705" s="3" t="str">
        <f>IFERROR(__xludf.DUMMYFUNCTION("""COMPUTED_VALUE"""),"stmatic")</f>
        <v>stmatic</v>
      </c>
      <c r="C6705" s="3" t="str">
        <f>IFERROR(__xludf.DUMMYFUNCTION("""COMPUTED_VALUE"""),"Lido Staked Matic")</f>
        <v>Lido Staked Matic</v>
      </c>
    </row>
    <row r="6706">
      <c r="A6706" s="3" t="str">
        <f>IFERROR(__xludf.DUMMYFUNCTION("""COMPUTED_VALUE"""),"lido-staked-polkadot")</f>
        <v>lido-staked-polkadot</v>
      </c>
      <c r="B6706" s="3" t="str">
        <f>IFERROR(__xludf.DUMMYFUNCTION("""COMPUTED_VALUE"""),"stdot")</f>
        <v>stdot</v>
      </c>
      <c r="C6706" s="3" t="str">
        <f>IFERROR(__xludf.DUMMYFUNCTION("""COMPUTED_VALUE"""),"Lido Staked Polkadot")</f>
        <v>Lido Staked Polkadot</v>
      </c>
    </row>
    <row r="6707">
      <c r="A6707" s="3" t="str">
        <f>IFERROR(__xludf.DUMMYFUNCTION("""COMPUTED_VALUE"""),"lido-staked-sol")</f>
        <v>lido-staked-sol</v>
      </c>
      <c r="B6707" s="3" t="str">
        <f>IFERROR(__xludf.DUMMYFUNCTION("""COMPUTED_VALUE"""),"stsol")</f>
        <v>stsol</v>
      </c>
      <c r="C6707" s="3" t="str">
        <f>IFERROR(__xludf.DUMMYFUNCTION("""COMPUTED_VALUE"""),"Lido Staked SOL")</f>
        <v>Lido Staked SOL</v>
      </c>
    </row>
    <row r="6708">
      <c r="A6708" s="3" t="str">
        <f>IFERROR(__xludf.DUMMYFUNCTION("""COMPUTED_VALUE"""),"lien")</f>
        <v>lien</v>
      </c>
      <c r="B6708" s="3" t="str">
        <f>IFERROR(__xludf.DUMMYFUNCTION("""COMPUTED_VALUE"""),"lien")</f>
        <v>lien</v>
      </c>
      <c r="C6708" s="3" t="str">
        <f>IFERROR(__xludf.DUMMYFUNCTION("""COMPUTED_VALUE"""),"Lien")</f>
        <v>Lien</v>
      </c>
    </row>
    <row r="6709">
      <c r="A6709" s="3" t="str">
        <f>IFERROR(__xludf.DUMMYFUNCTION("""COMPUTED_VALUE"""),"lif3")</f>
        <v>lif3</v>
      </c>
      <c r="B6709" s="3" t="str">
        <f>IFERROR(__xludf.DUMMYFUNCTION("""COMPUTED_VALUE"""),"lif3")</f>
        <v>lif3</v>
      </c>
      <c r="C6709" s="3" t="str">
        <f>IFERROR(__xludf.DUMMYFUNCTION("""COMPUTED_VALUE"""),"LIF3")</f>
        <v>LIF3</v>
      </c>
    </row>
    <row r="6710">
      <c r="A6710" s="3" t="str">
        <f>IFERROR(__xludf.DUMMYFUNCTION("""COMPUTED_VALUE"""),"lif3-lshare")</f>
        <v>lif3-lshare</v>
      </c>
      <c r="B6710" s="3" t="str">
        <f>IFERROR(__xludf.DUMMYFUNCTION("""COMPUTED_VALUE"""),"lshare")</f>
        <v>lshare</v>
      </c>
      <c r="C6710" s="3" t="str">
        <f>IFERROR(__xludf.DUMMYFUNCTION("""COMPUTED_VALUE"""),"LIF3 LSHARE")</f>
        <v>LIF3 LSHARE</v>
      </c>
    </row>
    <row r="6711">
      <c r="A6711" s="3" t="str">
        <f>IFERROR(__xludf.DUMMYFUNCTION("""COMPUTED_VALUE"""),"life-coin")</f>
        <v>life-coin</v>
      </c>
      <c r="B6711" s="3" t="str">
        <f>IFERROR(__xludf.DUMMYFUNCTION("""COMPUTED_VALUE"""),"lfc")</f>
        <v>lfc</v>
      </c>
      <c r="C6711" s="3" t="str">
        <f>IFERROR(__xludf.DUMMYFUNCTION("""COMPUTED_VALUE"""),"Life Coin")</f>
        <v>Life Coin</v>
      </c>
    </row>
    <row r="6712">
      <c r="A6712" s="3" t="str">
        <f>IFERROR(__xludf.DUMMYFUNCTION("""COMPUTED_VALUE"""),"life-crypto")</f>
        <v>life-crypto</v>
      </c>
      <c r="B6712" s="3" t="str">
        <f>IFERROR(__xludf.DUMMYFUNCTION("""COMPUTED_VALUE"""),"life")</f>
        <v>life</v>
      </c>
      <c r="C6712" s="3" t="str">
        <f>IFERROR(__xludf.DUMMYFUNCTION("""COMPUTED_VALUE"""),"Life Crypto")</f>
        <v>Life Crypto</v>
      </c>
    </row>
    <row r="6713">
      <c r="A6713" s="3" t="str">
        <f>IFERROR(__xludf.DUMMYFUNCTION("""COMPUTED_VALUE"""),"life-dao")</f>
        <v>life-dao</v>
      </c>
      <c r="B6713" s="3" t="str">
        <f>IFERROR(__xludf.DUMMYFUNCTION("""COMPUTED_VALUE"""),"lf")</f>
        <v>lf</v>
      </c>
      <c r="C6713" s="3" t="str">
        <f>IFERROR(__xludf.DUMMYFUNCTION("""COMPUTED_VALUE"""),"Life DAO")</f>
        <v>Life DAO</v>
      </c>
    </row>
    <row r="6714">
      <c r="A6714" s="3" t="str">
        <f>IFERROR(__xludf.DUMMYFUNCTION("""COMPUTED_VALUE"""),"lifetime")</f>
        <v>lifetime</v>
      </c>
      <c r="B6714" s="3" t="str">
        <f>IFERROR(__xludf.DUMMYFUNCTION("""COMPUTED_VALUE"""),"lft")</f>
        <v>lft</v>
      </c>
      <c r="C6714" s="3" t="str">
        <f>IFERROR(__xludf.DUMMYFUNCTION("""COMPUTED_VALUE"""),"Lifetime")</f>
        <v>Lifetime</v>
      </c>
    </row>
    <row r="6715">
      <c r="A6715" s="3" t="str">
        <f>IFERROR(__xludf.DUMMYFUNCTION("""COMPUTED_VALUE"""),"life-token-v2")</f>
        <v>life-token-v2</v>
      </c>
      <c r="B6715" s="3" t="str">
        <f>IFERROR(__xludf.DUMMYFUNCTION("""COMPUTED_VALUE"""),"ltnv2")</f>
        <v>ltnv2</v>
      </c>
      <c r="C6715" s="3" t="str">
        <f>IFERROR(__xludf.DUMMYFUNCTION("""COMPUTED_VALUE"""),"Life v2")</f>
        <v>Life v2</v>
      </c>
    </row>
    <row r="6716">
      <c r="A6716" s="3" t="str">
        <f>IFERROR(__xludf.DUMMYFUNCTION("""COMPUTED_VALUE"""),"lifinity")</f>
        <v>lifinity</v>
      </c>
      <c r="B6716" s="3" t="str">
        <f>IFERROR(__xludf.DUMMYFUNCTION("""COMPUTED_VALUE"""),"lfnty")</f>
        <v>lfnty</v>
      </c>
      <c r="C6716" s="3" t="str">
        <f>IFERROR(__xludf.DUMMYFUNCTION("""COMPUTED_VALUE"""),"Lifinity")</f>
        <v>Lifinity</v>
      </c>
    </row>
    <row r="6717">
      <c r="A6717" s="3" t="str">
        <f>IFERROR(__xludf.DUMMYFUNCTION("""COMPUTED_VALUE"""),"lightcoin")</f>
        <v>lightcoin</v>
      </c>
      <c r="B6717" s="3" t="str">
        <f>IFERROR(__xludf.DUMMYFUNCTION("""COMPUTED_VALUE"""),"lhc")</f>
        <v>lhc</v>
      </c>
      <c r="C6717" s="3" t="str">
        <f>IFERROR(__xludf.DUMMYFUNCTION("""COMPUTED_VALUE"""),"Lightcoin")</f>
        <v>Lightcoin</v>
      </c>
    </row>
    <row r="6718">
      <c r="A6718" s="3" t="str">
        <f>IFERROR(__xludf.DUMMYFUNCTION("""COMPUTED_VALUE"""),"light-defi")</f>
        <v>light-defi</v>
      </c>
      <c r="B6718" s="3" t="str">
        <f>IFERROR(__xludf.DUMMYFUNCTION("""COMPUTED_VALUE"""),"light")</f>
        <v>light</v>
      </c>
      <c r="C6718" s="3" t="str">
        <f>IFERROR(__xludf.DUMMYFUNCTION("""COMPUTED_VALUE"""),"Light Defi")</f>
        <v>Light Defi</v>
      </c>
    </row>
    <row r="6719">
      <c r="A6719" s="3" t="str">
        <f>IFERROR(__xludf.DUMMYFUNCTION("""COMPUTED_VALUE"""),"lightening-cash")</f>
        <v>lightening-cash</v>
      </c>
      <c r="B6719" s="3" t="str">
        <f>IFERROR(__xludf.DUMMYFUNCTION("""COMPUTED_VALUE"""),"lic")</f>
        <v>lic</v>
      </c>
      <c r="C6719" s="3" t="str">
        <f>IFERROR(__xludf.DUMMYFUNCTION("""COMPUTED_VALUE"""),"Lightening Cash")</f>
        <v>Lightening Cash</v>
      </c>
    </row>
    <row r="6720">
      <c r="A6720" s="3" t="str">
        <f>IFERROR(__xludf.DUMMYFUNCTION("""COMPUTED_VALUE"""),"lightning-bitcoin")</f>
        <v>lightning-bitcoin</v>
      </c>
      <c r="B6720" s="3" t="str">
        <f>IFERROR(__xludf.DUMMYFUNCTION("""COMPUTED_VALUE"""),"lbtc")</f>
        <v>lbtc</v>
      </c>
      <c r="C6720" s="3" t="str">
        <f>IFERROR(__xludf.DUMMYFUNCTION("""COMPUTED_VALUE"""),"Lightning Bitcoin")</f>
        <v>Lightning Bitcoin</v>
      </c>
    </row>
    <row r="6721">
      <c r="A6721" s="3" t="str">
        <f>IFERROR(__xludf.DUMMYFUNCTION("""COMPUTED_VALUE"""),"lightningcash-gold")</f>
        <v>lightningcash-gold</v>
      </c>
      <c r="B6721" s="3" t="str">
        <f>IFERROR(__xludf.DUMMYFUNCTION("""COMPUTED_VALUE"""),"lnc")</f>
        <v>lnc</v>
      </c>
      <c r="C6721" s="3" t="str">
        <f>IFERROR(__xludf.DUMMYFUNCTION("""COMPUTED_VALUE"""),"LightningCash")</f>
        <v>LightningCash</v>
      </c>
    </row>
    <row r="6722">
      <c r="A6722" s="3" t="str">
        <f>IFERROR(__xludf.DUMMYFUNCTION("""COMPUTED_VALUE"""),"lightningcoin")</f>
        <v>lightningcoin</v>
      </c>
      <c r="B6722" s="3" t="str">
        <f>IFERROR(__xludf.DUMMYFUNCTION("""COMPUTED_VALUE"""),"lc")</f>
        <v>lc</v>
      </c>
      <c r="C6722" s="3" t="str">
        <f>IFERROR(__xludf.DUMMYFUNCTION("""COMPUTED_VALUE"""),"LightningCoin")</f>
        <v>LightningCoin</v>
      </c>
    </row>
    <row r="6723">
      <c r="A6723" s="3" t="str">
        <f>IFERROR(__xludf.DUMMYFUNCTION("""COMPUTED_VALUE"""),"lightning-protocol")</f>
        <v>lightning-protocol</v>
      </c>
      <c r="B6723" s="3" t="str">
        <f>IFERROR(__xludf.DUMMYFUNCTION("""COMPUTED_VALUE"""),"light")</f>
        <v>light</v>
      </c>
      <c r="C6723" s="3" t="str">
        <f>IFERROR(__xludf.DUMMYFUNCTION("""COMPUTED_VALUE"""),"Lightning Protocol")</f>
        <v>Lightning Protocol</v>
      </c>
    </row>
    <row r="6724">
      <c r="A6724" s="3" t="str">
        <f>IFERROR(__xludf.DUMMYFUNCTION("""COMPUTED_VALUE"""),"lightstreams")</f>
        <v>lightstreams</v>
      </c>
      <c r="B6724" s="3" t="str">
        <f>IFERROR(__xludf.DUMMYFUNCTION("""COMPUTED_VALUE"""),"pht")</f>
        <v>pht</v>
      </c>
      <c r="C6724" s="3" t="str">
        <f>IFERROR(__xludf.DUMMYFUNCTION("""COMPUTED_VALUE"""),"Lightstreams Photon")</f>
        <v>Lightstreams Photon</v>
      </c>
    </row>
    <row r="6725">
      <c r="A6725" s="3" t="str">
        <f>IFERROR(__xludf.DUMMYFUNCTION("""COMPUTED_VALUE"""),"light-year")</f>
        <v>light-year</v>
      </c>
      <c r="B6725" s="3" t="str">
        <f>IFERROR(__xludf.DUMMYFUNCTION("""COMPUTED_VALUE"""),"lc")</f>
        <v>lc</v>
      </c>
      <c r="C6725" s="3" t="str">
        <f>IFERROR(__xludf.DUMMYFUNCTION("""COMPUTED_VALUE"""),"Light Year")</f>
        <v>Light Year</v>
      </c>
    </row>
    <row r="6726">
      <c r="A6726" s="3" t="str">
        <f>IFERROR(__xludf.DUMMYFUNCTION("""COMPUTED_VALUE"""),"lightyears")</f>
        <v>lightyears</v>
      </c>
      <c r="B6726" s="3" t="str">
        <f>IFERROR(__xludf.DUMMYFUNCTION("""COMPUTED_VALUE"""),"year")</f>
        <v>year</v>
      </c>
      <c r="C6726" s="3" t="str">
        <f>IFERROR(__xludf.DUMMYFUNCTION("""COMPUTED_VALUE"""),"Lightyears")</f>
        <v>Lightyears</v>
      </c>
    </row>
    <row r="6727">
      <c r="A6727" s="3" t="str">
        <f>IFERROR(__xludf.DUMMYFUNCTION("""COMPUTED_VALUE"""),"likecoin")</f>
        <v>likecoin</v>
      </c>
      <c r="B6727" s="3" t="str">
        <f>IFERROR(__xludf.DUMMYFUNCTION("""COMPUTED_VALUE"""),"like")</f>
        <v>like</v>
      </c>
      <c r="C6727" s="3" t="str">
        <f>IFERROR(__xludf.DUMMYFUNCTION("""COMPUTED_VALUE"""),"LikeCoin")</f>
        <v>LikeCoin</v>
      </c>
    </row>
    <row r="6728">
      <c r="A6728" s="3" t="str">
        <f>IFERROR(__xludf.DUMMYFUNCTION("""COMPUTED_VALUE"""),"lil-floki")</f>
        <v>lil-floki</v>
      </c>
      <c r="B6728" s="3" t="str">
        <f>IFERROR(__xludf.DUMMYFUNCTION("""COMPUTED_VALUE"""),"lilfloki")</f>
        <v>lilfloki</v>
      </c>
      <c r="C6728" s="3" t="str">
        <f>IFERROR(__xludf.DUMMYFUNCTION("""COMPUTED_VALUE"""),"Lil Floki")</f>
        <v>Lil Floki</v>
      </c>
    </row>
    <row r="6729">
      <c r="A6729" s="3" t="str">
        <f>IFERROR(__xludf.DUMMYFUNCTION("""COMPUTED_VALUE"""),"lilflokiceo")</f>
        <v>lilflokiceo</v>
      </c>
      <c r="B6729" s="3" t="str">
        <f>IFERROR(__xludf.DUMMYFUNCTION("""COMPUTED_VALUE"""),"lilflokiceo")</f>
        <v>lilflokiceo</v>
      </c>
      <c r="C6729" s="3" t="str">
        <f>IFERROR(__xludf.DUMMYFUNCTION("""COMPUTED_VALUE"""),"LilFlokiCeo")</f>
        <v>LilFlokiCeo</v>
      </c>
    </row>
    <row r="6730">
      <c r="A6730" s="3" t="str">
        <f>IFERROR(__xludf.DUMMYFUNCTION("""COMPUTED_VALUE"""),"lilith-swap")</f>
        <v>lilith-swap</v>
      </c>
      <c r="B6730" s="3" t="str">
        <f>IFERROR(__xludf.DUMMYFUNCTION("""COMPUTED_VALUE"""),"llth")</f>
        <v>llth</v>
      </c>
      <c r="C6730" s="3" t="str">
        <f>IFERROR(__xludf.DUMMYFUNCTION("""COMPUTED_VALUE"""),"Lilith Swap")</f>
        <v>Lilith Swap</v>
      </c>
    </row>
    <row r="6731">
      <c r="A6731" s="3" t="str">
        <f>IFERROR(__xludf.DUMMYFUNCTION("""COMPUTED_VALUE"""),"lillion")</f>
        <v>lillion</v>
      </c>
      <c r="B6731" s="3" t="str">
        <f>IFERROR(__xludf.DUMMYFUNCTION("""COMPUTED_VALUE"""),"lil")</f>
        <v>lil</v>
      </c>
      <c r="C6731" s="3" t="str">
        <f>IFERROR(__xludf.DUMMYFUNCTION("""COMPUTED_VALUE"""),"Lillion")</f>
        <v>Lillion</v>
      </c>
    </row>
    <row r="6732">
      <c r="A6732" s="3" t="str">
        <f>IFERROR(__xludf.DUMMYFUNCTION("""COMPUTED_VALUE"""),"lilly-finance")</f>
        <v>lilly-finance</v>
      </c>
      <c r="B6732" s="3" t="str">
        <f>IFERROR(__xludf.DUMMYFUNCTION("""COMPUTED_VALUE"""),"ly")</f>
        <v>ly</v>
      </c>
      <c r="C6732" s="3" t="str">
        <f>IFERROR(__xludf.DUMMYFUNCTION("""COMPUTED_VALUE"""),"Lilly Finance")</f>
        <v>Lilly Finance</v>
      </c>
    </row>
    <row r="6733">
      <c r="A6733" s="3" t="str">
        <f>IFERROR(__xludf.DUMMYFUNCTION("""COMPUTED_VALUE"""),"limcore")</f>
        <v>limcore</v>
      </c>
      <c r="B6733" s="3" t="str">
        <f>IFERROR(__xludf.DUMMYFUNCTION("""COMPUTED_VALUE"""),"limc")</f>
        <v>limc</v>
      </c>
      <c r="C6733" s="3" t="str">
        <f>IFERROR(__xludf.DUMMYFUNCTION("""COMPUTED_VALUE"""),"LimCore")</f>
        <v>LimCore</v>
      </c>
    </row>
    <row r="6734">
      <c r="A6734" s="3" t="str">
        <f>IFERROR(__xludf.DUMMYFUNCTION("""COMPUTED_VALUE"""),"limestone-network")</f>
        <v>limestone-network</v>
      </c>
      <c r="B6734" s="3" t="str">
        <f>IFERROR(__xludf.DUMMYFUNCTION("""COMPUTED_VALUE"""),"limex")</f>
        <v>limex</v>
      </c>
      <c r="C6734" s="3" t="str">
        <f>IFERROR(__xludf.DUMMYFUNCTION("""COMPUTED_VALUE"""),"Limestone Network")</f>
        <v>Limestone Network</v>
      </c>
    </row>
    <row r="6735">
      <c r="A6735" s="3" t="str">
        <f>IFERROR(__xludf.DUMMYFUNCTION("""COMPUTED_VALUE"""),"limited-euro")</f>
        <v>limited-euro</v>
      </c>
      <c r="B6735" s="3" t="str">
        <f>IFERROR(__xludf.DUMMYFUNCTION("""COMPUTED_VALUE"""),"leur")</f>
        <v>leur</v>
      </c>
      <c r="C6735" s="3" t="str">
        <f>IFERROR(__xludf.DUMMYFUNCTION("""COMPUTED_VALUE"""),"Limited Euro")</f>
        <v>Limited Euro</v>
      </c>
    </row>
    <row r="6736">
      <c r="A6736" s="3" t="str">
        <f>IFERROR(__xludf.DUMMYFUNCTION("""COMPUTED_VALUE"""),"limited-usd")</f>
        <v>limited-usd</v>
      </c>
      <c r="B6736" s="3" t="str">
        <f>IFERROR(__xludf.DUMMYFUNCTION("""COMPUTED_VALUE"""),"lusd")</f>
        <v>lusd</v>
      </c>
      <c r="C6736" s="3" t="str">
        <f>IFERROR(__xludf.DUMMYFUNCTION("""COMPUTED_VALUE"""),"Limited USD")</f>
        <v>Limited USD</v>
      </c>
    </row>
    <row r="6737">
      <c r="A6737" s="3" t="str">
        <f>IFERROR(__xludf.DUMMYFUNCTION("""COMPUTED_VALUE"""),"limitswap")</f>
        <v>limitswap</v>
      </c>
      <c r="B6737" s="3" t="str">
        <f>IFERROR(__xludf.DUMMYFUNCTION("""COMPUTED_VALUE"""),"limit")</f>
        <v>limit</v>
      </c>
      <c r="C6737" s="3" t="str">
        <f>IFERROR(__xludf.DUMMYFUNCTION("""COMPUTED_VALUE"""),"LimitSwap")</f>
        <v>LimitSwap</v>
      </c>
    </row>
    <row r="6738">
      <c r="A6738" s="3" t="str">
        <f>IFERROR(__xludf.DUMMYFUNCTION("""COMPUTED_VALUE"""),"limocoin-swap")</f>
        <v>limocoin-swap</v>
      </c>
      <c r="B6738" s="3" t="str">
        <f>IFERROR(__xludf.DUMMYFUNCTION("""COMPUTED_VALUE"""),"lmcswap")</f>
        <v>lmcswap</v>
      </c>
      <c r="C6738" s="3" t="str">
        <f>IFERROR(__xludf.DUMMYFUNCTION("""COMPUTED_VALUE"""),"Limocoin Swap")</f>
        <v>Limocoin Swap</v>
      </c>
    </row>
    <row r="6739">
      <c r="A6739" s="3" t="str">
        <f>IFERROR(__xludf.DUMMYFUNCTION("""COMPUTED_VALUE"""),"lina")</f>
        <v>lina</v>
      </c>
      <c r="B6739" s="3" t="str">
        <f>IFERROR(__xludf.DUMMYFUNCTION("""COMPUTED_VALUE"""),"lina")</f>
        <v>lina</v>
      </c>
      <c r="C6739" s="3" t="str">
        <f>IFERROR(__xludf.DUMMYFUNCTION("""COMPUTED_VALUE"""),"LINA")</f>
        <v>LINA</v>
      </c>
    </row>
    <row r="6740">
      <c r="A6740" s="3" t="str">
        <f>IFERROR(__xludf.DUMMYFUNCTION("""COMPUTED_VALUE"""),"linda")</f>
        <v>linda</v>
      </c>
      <c r="B6740" s="3" t="str">
        <f>IFERROR(__xludf.DUMMYFUNCTION("""COMPUTED_VALUE"""),"mrx")</f>
        <v>mrx</v>
      </c>
      <c r="C6740" s="3" t="str">
        <f>IFERROR(__xludf.DUMMYFUNCTION("""COMPUTED_VALUE"""),"Metrix Coin")</f>
        <v>Metrix Coin</v>
      </c>
    </row>
    <row r="6741">
      <c r="A6741" s="3" t="str">
        <f>IFERROR(__xludf.DUMMYFUNCTION("""COMPUTED_VALUE"""),"linear")</f>
        <v>linear</v>
      </c>
      <c r="B6741" s="3" t="str">
        <f>IFERROR(__xludf.DUMMYFUNCTION("""COMPUTED_VALUE"""),"lina")</f>
        <v>lina</v>
      </c>
      <c r="C6741" s="3" t="str">
        <f>IFERROR(__xludf.DUMMYFUNCTION("""COMPUTED_VALUE"""),"Linear")</f>
        <v>Linear</v>
      </c>
    </row>
    <row r="6742">
      <c r="A6742" s="3" t="str">
        <f>IFERROR(__xludf.DUMMYFUNCTION("""COMPUTED_VALUE"""),"linear-protocol")</f>
        <v>linear-protocol</v>
      </c>
      <c r="B6742" s="3" t="str">
        <f>IFERROR(__xludf.DUMMYFUNCTION("""COMPUTED_VALUE"""),"linear")</f>
        <v>linear</v>
      </c>
      <c r="C6742" s="3" t="str">
        <f>IFERROR(__xludf.DUMMYFUNCTION("""COMPUTED_VALUE"""),"LiNEAR Protocol")</f>
        <v>LiNEAR Protocol</v>
      </c>
    </row>
    <row r="6743">
      <c r="A6743" s="3" t="str">
        <f>IFERROR(__xludf.DUMMYFUNCTION("""COMPUTED_VALUE"""),"linework-coin")</f>
        <v>linework-coin</v>
      </c>
      <c r="B6743" s="3" t="str">
        <f>IFERROR(__xludf.DUMMYFUNCTION("""COMPUTED_VALUE"""),"lwc")</f>
        <v>lwc</v>
      </c>
      <c r="C6743" s="3" t="str">
        <f>IFERROR(__xludf.DUMMYFUNCTION("""COMPUTED_VALUE"""),"Linework Coin")</f>
        <v>Linework Coin</v>
      </c>
    </row>
    <row r="6744">
      <c r="A6744" s="3" t="str">
        <f>IFERROR(__xludf.DUMMYFUNCTION("""COMPUTED_VALUE"""),"linfinity")</f>
        <v>linfinity</v>
      </c>
      <c r="B6744" s="3" t="str">
        <f>IFERROR(__xludf.DUMMYFUNCTION("""COMPUTED_VALUE"""),"lfc")</f>
        <v>lfc</v>
      </c>
      <c r="C6744" s="3" t="str">
        <f>IFERROR(__xludf.DUMMYFUNCTION("""COMPUTED_VALUE"""),"Linfinity")</f>
        <v>Linfinity</v>
      </c>
    </row>
    <row r="6745">
      <c r="A6745" s="3" t="str">
        <f>IFERROR(__xludf.DUMMYFUNCTION("""COMPUTED_VALUE"""),"lingose")</f>
        <v>lingose</v>
      </c>
      <c r="B6745" s="3" t="str">
        <f>IFERROR(__xludf.DUMMYFUNCTION("""COMPUTED_VALUE"""),"ling")</f>
        <v>ling</v>
      </c>
      <c r="C6745" s="3" t="str">
        <f>IFERROR(__xludf.DUMMYFUNCTION("""COMPUTED_VALUE"""),"Lingose")</f>
        <v>Lingose</v>
      </c>
    </row>
    <row r="6746">
      <c r="A6746" s="3" t="str">
        <f>IFERROR(__xludf.DUMMYFUNCTION("""COMPUTED_VALUE"""),"linix")</f>
        <v>linix</v>
      </c>
      <c r="B6746" s="3" t="str">
        <f>IFERROR(__xludf.DUMMYFUNCTION("""COMPUTED_VALUE"""),"lnx")</f>
        <v>lnx</v>
      </c>
      <c r="C6746" s="3" t="str">
        <f>IFERROR(__xludf.DUMMYFUNCTION("""COMPUTED_VALUE"""),"LNX Protocol")</f>
        <v>LNX Protocol</v>
      </c>
    </row>
    <row r="6747">
      <c r="A6747" s="3" t="str">
        <f>IFERROR(__xludf.DUMMYFUNCTION("""COMPUTED_VALUE"""),"link")</f>
        <v>link</v>
      </c>
      <c r="B6747" s="3" t="str">
        <f>IFERROR(__xludf.DUMMYFUNCTION("""COMPUTED_VALUE"""),"ln")</f>
        <v>ln</v>
      </c>
      <c r="C6747" s="3" t="str">
        <f>IFERROR(__xludf.DUMMYFUNCTION("""COMPUTED_VALUE"""),"LINK")</f>
        <v>LINK</v>
      </c>
    </row>
    <row r="6748">
      <c r="A6748" s="3" t="str">
        <f>IFERROR(__xludf.DUMMYFUNCTION("""COMPUTED_VALUE"""),"linka")</f>
        <v>linka</v>
      </c>
      <c r="B6748" s="3" t="str">
        <f>IFERROR(__xludf.DUMMYFUNCTION("""COMPUTED_VALUE"""),"linka")</f>
        <v>linka</v>
      </c>
      <c r="C6748" s="3" t="str">
        <f>IFERROR(__xludf.DUMMYFUNCTION("""COMPUTED_VALUE"""),"LINKA")</f>
        <v>LINKA</v>
      </c>
    </row>
    <row r="6749">
      <c r="A6749" s="3" t="str">
        <f>IFERROR(__xludf.DUMMYFUNCTION("""COMPUTED_VALUE"""),"linkart")</f>
        <v>linkart</v>
      </c>
      <c r="B6749" s="3" t="str">
        <f>IFERROR(__xludf.DUMMYFUNCTION("""COMPUTED_VALUE"""),"lar")</f>
        <v>lar</v>
      </c>
      <c r="C6749" s="3" t="str">
        <f>IFERROR(__xludf.DUMMYFUNCTION("""COMPUTED_VALUE"""),"LinkArt")</f>
        <v>LinkArt</v>
      </c>
    </row>
    <row r="6750">
      <c r="A6750" s="3" t="str">
        <f>IFERROR(__xludf.DUMMYFUNCTION("""COMPUTED_VALUE"""),"linkcoin-token")</f>
        <v>linkcoin-token</v>
      </c>
      <c r="B6750" s="3" t="str">
        <f>IFERROR(__xludf.DUMMYFUNCTION("""COMPUTED_VALUE"""),"lkn")</f>
        <v>lkn</v>
      </c>
      <c r="C6750" s="3" t="str">
        <f>IFERROR(__xludf.DUMMYFUNCTION("""COMPUTED_VALUE"""),"LinkCoin")</f>
        <v>LinkCoin</v>
      </c>
    </row>
    <row r="6751">
      <c r="A6751" s="3" t="str">
        <f>IFERROR(__xludf.DUMMYFUNCTION("""COMPUTED_VALUE"""),"linkdao")</f>
        <v>linkdao</v>
      </c>
      <c r="B6751" s="3" t="str">
        <f>IFERROR(__xludf.DUMMYFUNCTION("""COMPUTED_VALUE"""),"lkd")</f>
        <v>lkd</v>
      </c>
      <c r="C6751" s="3" t="str">
        <f>IFERROR(__xludf.DUMMYFUNCTION("""COMPUTED_VALUE"""),"LinkDao")</f>
        <v>LinkDao</v>
      </c>
    </row>
    <row r="6752">
      <c r="A6752" s="3" t="str">
        <f>IFERROR(__xludf.DUMMYFUNCTION("""COMPUTED_VALUE"""),"linker-coin")</f>
        <v>linker-coin</v>
      </c>
      <c r="B6752" s="3" t="str">
        <f>IFERROR(__xludf.DUMMYFUNCTION("""COMPUTED_VALUE"""),"lnc")</f>
        <v>lnc</v>
      </c>
      <c r="C6752" s="3" t="str">
        <f>IFERROR(__xludf.DUMMYFUNCTION("""COMPUTED_VALUE"""),"Linker Coin")</f>
        <v>Linker Coin</v>
      </c>
    </row>
    <row r="6753">
      <c r="A6753" s="3" t="str">
        <f>IFERROR(__xludf.DUMMYFUNCTION("""COMPUTED_VALUE"""),"linkeye")</f>
        <v>linkeye</v>
      </c>
      <c r="B6753" s="3" t="str">
        <f>IFERROR(__xludf.DUMMYFUNCTION("""COMPUTED_VALUE"""),"let")</f>
        <v>let</v>
      </c>
      <c r="C6753" s="3" t="str">
        <f>IFERROR(__xludf.DUMMYFUNCTION("""COMPUTED_VALUE"""),"Linkeye")</f>
        <v>Linkeye</v>
      </c>
    </row>
    <row r="6754">
      <c r="A6754" s="3" t="str">
        <f>IFERROR(__xludf.DUMMYFUNCTION("""COMPUTED_VALUE"""),"link-machine-learning")</f>
        <v>link-machine-learning</v>
      </c>
      <c r="B6754" s="3" t="str">
        <f>IFERROR(__xludf.DUMMYFUNCTION("""COMPUTED_VALUE"""),"lml")</f>
        <v>lml</v>
      </c>
      <c r="C6754" s="3" t="str">
        <f>IFERROR(__xludf.DUMMYFUNCTION("""COMPUTED_VALUE"""),"Link Machine Learning")</f>
        <v>Link Machine Learning</v>
      </c>
    </row>
    <row r="6755">
      <c r="A6755" s="3" t="str">
        <f>IFERROR(__xludf.DUMMYFUNCTION("""COMPUTED_VALUE"""),"linkpool")</f>
        <v>linkpool</v>
      </c>
      <c r="B6755" s="3" t="str">
        <f>IFERROR(__xludf.DUMMYFUNCTION("""COMPUTED_VALUE"""),"lpl")</f>
        <v>lpl</v>
      </c>
      <c r="C6755" s="3" t="str">
        <f>IFERROR(__xludf.DUMMYFUNCTION("""COMPUTED_VALUE"""),"LinkPool")</f>
        <v>LinkPool</v>
      </c>
    </row>
    <row r="6756">
      <c r="A6756" s="3" t="str">
        <f>IFERROR(__xludf.DUMMYFUNCTION("""COMPUTED_VALUE"""),"links")</f>
        <v>links</v>
      </c>
      <c r="B6756" s="3" t="str">
        <f>IFERROR(__xludf.DUMMYFUNCTION("""COMPUTED_VALUE"""),"links")</f>
        <v>links</v>
      </c>
      <c r="C6756" s="3" t="str">
        <f>IFERROR(__xludf.DUMMYFUNCTION("""COMPUTED_VALUE"""),"Links")</f>
        <v>Links</v>
      </c>
    </row>
    <row r="6757">
      <c r="A6757" s="3" t="str">
        <f>IFERROR(__xludf.DUMMYFUNCTION("""COMPUTED_VALUE"""),"linksync")</f>
        <v>linksync</v>
      </c>
      <c r="B6757" s="3" t="str">
        <f>IFERROR(__xludf.DUMMYFUNCTION("""COMPUTED_VALUE"""),"sync")</f>
        <v>sync</v>
      </c>
      <c r="C6757" s="3" t="str">
        <f>IFERROR(__xludf.DUMMYFUNCTION("""COMPUTED_VALUE"""),"LinkSync")</f>
        <v>LinkSync</v>
      </c>
    </row>
    <row r="6758">
      <c r="A6758" s="3" t="str">
        <f>IFERROR(__xludf.DUMMYFUNCTION("""COMPUTED_VALUE"""),"linspirit")</f>
        <v>linspirit</v>
      </c>
      <c r="B6758" s="3" t="str">
        <f>IFERROR(__xludf.DUMMYFUNCTION("""COMPUTED_VALUE"""),"linspirit")</f>
        <v>linspirit</v>
      </c>
      <c r="C6758" s="3" t="str">
        <f>IFERROR(__xludf.DUMMYFUNCTION("""COMPUTED_VALUE"""),"linSpirit")</f>
        <v>linSpirit</v>
      </c>
    </row>
    <row r="6759">
      <c r="A6759" s="3" t="str">
        <f>IFERROR(__xludf.DUMMYFUNCTION("""COMPUTED_VALUE"""),"lion-scrub-money")</f>
        <v>lion-scrub-money</v>
      </c>
      <c r="B6759" s="3" t="str">
        <f>IFERROR(__xludf.DUMMYFUNCTION("""COMPUTED_VALUE"""),"lion")</f>
        <v>lion</v>
      </c>
      <c r="C6759" s="3" t="str">
        <f>IFERROR(__xludf.DUMMYFUNCTION("""COMPUTED_VALUE"""),"Lion Scrub Money")</f>
        <v>Lion Scrub Money</v>
      </c>
    </row>
    <row r="6760">
      <c r="A6760" s="3" t="str">
        <f>IFERROR(__xludf.DUMMYFUNCTION("""COMPUTED_VALUE"""),"lion-token")</f>
        <v>lion-token</v>
      </c>
      <c r="B6760" s="3" t="str">
        <f>IFERROR(__xludf.DUMMYFUNCTION("""COMPUTED_VALUE"""),"lion")</f>
        <v>lion</v>
      </c>
      <c r="C6760" s="3" t="str">
        <f>IFERROR(__xludf.DUMMYFUNCTION("""COMPUTED_VALUE"""),"Lion")</f>
        <v>Lion</v>
      </c>
    </row>
    <row r="6761">
      <c r="A6761" s="3" t="str">
        <f>IFERROR(__xludf.DUMMYFUNCTION("""COMPUTED_VALUE"""),"liq-protocol")</f>
        <v>liq-protocol</v>
      </c>
      <c r="B6761" s="3" t="str">
        <f>IFERROR(__xludf.DUMMYFUNCTION("""COMPUTED_VALUE"""),"liq")</f>
        <v>liq</v>
      </c>
      <c r="C6761" s="3" t="str">
        <f>IFERROR(__xludf.DUMMYFUNCTION("""COMPUTED_VALUE"""),"LIQ Protocol")</f>
        <v>LIQ Protocol</v>
      </c>
    </row>
    <row r="6762">
      <c r="A6762" s="3" t="str">
        <f>IFERROR(__xludf.DUMMYFUNCTION("""COMPUTED_VALUE"""),"liquid-collectibles")</f>
        <v>liquid-collectibles</v>
      </c>
      <c r="B6762" s="3" t="str">
        <f>IFERROR(__xludf.DUMMYFUNCTION("""COMPUTED_VALUE"""),"lico")</f>
        <v>lico</v>
      </c>
      <c r="C6762" s="3" t="str">
        <f>IFERROR(__xludf.DUMMYFUNCTION("""COMPUTED_VALUE"""),"Liquid Collectibles")</f>
        <v>Liquid Collectibles</v>
      </c>
    </row>
    <row r="6763">
      <c r="A6763" s="3" t="str">
        <f>IFERROR(__xludf.DUMMYFUNCTION("""COMPUTED_VALUE"""),"liquid-crowdloan-dot")</f>
        <v>liquid-crowdloan-dot</v>
      </c>
      <c r="B6763" s="3" t="str">
        <f>IFERROR(__xludf.DUMMYFUNCTION("""COMPUTED_VALUE"""),"lcdot")</f>
        <v>lcdot</v>
      </c>
      <c r="C6763" s="3" t="str">
        <f>IFERROR(__xludf.DUMMYFUNCTION("""COMPUTED_VALUE"""),"Liquid Crowdloan DOT")</f>
        <v>Liquid Crowdloan DOT</v>
      </c>
    </row>
    <row r="6764">
      <c r="A6764" s="3" t="str">
        <f>IFERROR(__xludf.DUMMYFUNCTION("""COMPUTED_VALUE"""),"liquiddriver")</f>
        <v>liquiddriver</v>
      </c>
      <c r="B6764" s="3" t="str">
        <f>IFERROR(__xludf.DUMMYFUNCTION("""COMPUTED_VALUE"""),"lqdr")</f>
        <v>lqdr</v>
      </c>
      <c r="C6764" s="3" t="str">
        <f>IFERROR(__xludf.DUMMYFUNCTION("""COMPUTED_VALUE"""),"LiquidDriver")</f>
        <v>LiquidDriver</v>
      </c>
    </row>
    <row r="6765">
      <c r="A6765" s="3" t="str">
        <f>IFERROR(__xludf.DUMMYFUNCTION("""COMPUTED_VALUE"""),"liquid-finance")</f>
        <v>liquid-finance</v>
      </c>
      <c r="B6765" s="3" t="str">
        <f>IFERROR(__xludf.DUMMYFUNCTION("""COMPUTED_VALUE"""),"liqd")</f>
        <v>liqd</v>
      </c>
      <c r="C6765" s="3" t="str">
        <f>IFERROR(__xludf.DUMMYFUNCTION("""COMPUTED_VALUE"""),"Liquid Finance")</f>
        <v>Liquid Finance</v>
      </c>
    </row>
    <row r="6766">
      <c r="A6766" s="3" t="str">
        <f>IFERROR(__xludf.DUMMYFUNCTION("""COMPUTED_VALUE"""),"liquid-icp")</f>
        <v>liquid-icp</v>
      </c>
      <c r="B6766" s="3" t="str">
        <f>IFERROR(__xludf.DUMMYFUNCTION("""COMPUTED_VALUE"""),"licp")</f>
        <v>licp</v>
      </c>
      <c r="C6766" s="3" t="str">
        <f>IFERROR(__xludf.DUMMYFUNCTION("""COMPUTED_VALUE"""),"Liquid ICP")</f>
        <v>Liquid ICP</v>
      </c>
    </row>
    <row r="6767">
      <c r="A6767" s="3" t="str">
        <f>IFERROR(__xludf.DUMMYFUNCTION("""COMPUTED_VALUE"""),"liquidifty")</f>
        <v>liquidifty</v>
      </c>
      <c r="B6767" s="3" t="str">
        <f>IFERROR(__xludf.DUMMYFUNCTION("""COMPUTED_VALUE"""),"lqt")</f>
        <v>lqt</v>
      </c>
      <c r="C6767" s="3" t="str">
        <f>IFERROR(__xludf.DUMMYFUNCTION("""COMPUTED_VALUE"""),"Liquidifty")</f>
        <v>Liquidifty</v>
      </c>
    </row>
    <row r="6768">
      <c r="A6768" s="3" t="str">
        <f>IFERROR(__xludf.DUMMYFUNCTION("""COMPUTED_VALUE"""),"liquidify")</f>
        <v>liquidify</v>
      </c>
      <c r="B6768" s="3" t="str">
        <f>IFERROR(__xludf.DUMMYFUNCTION("""COMPUTED_VALUE"""),"lat")</f>
        <v>lat</v>
      </c>
      <c r="C6768" s="3" t="str">
        <f>IFERROR(__xludf.DUMMYFUNCTION("""COMPUTED_VALUE"""),"Liquidify")</f>
        <v>Liquidify</v>
      </c>
    </row>
    <row r="6769">
      <c r="A6769" s="3" t="str">
        <f>IFERROR(__xludf.DUMMYFUNCTION("""COMPUTED_VALUE"""),"liquid-ksm")</f>
        <v>liquid-ksm</v>
      </c>
      <c r="B6769" s="3" t="str">
        <f>IFERROR(__xludf.DUMMYFUNCTION("""COMPUTED_VALUE"""),"lksm")</f>
        <v>lksm</v>
      </c>
      <c r="C6769" s="3" t="str">
        <f>IFERROR(__xludf.DUMMYFUNCTION("""COMPUTED_VALUE"""),"Liquid KSM")</f>
        <v>Liquid KSM</v>
      </c>
    </row>
    <row r="6770">
      <c r="A6770" s="3" t="str">
        <f>IFERROR(__xludf.DUMMYFUNCTION("""COMPUTED_VALUE"""),"liquid-staking-crescent")</f>
        <v>liquid-staking-crescent</v>
      </c>
      <c r="B6770" s="3" t="str">
        <f>IFERROR(__xludf.DUMMYFUNCTION("""COMPUTED_VALUE"""),"bcre")</f>
        <v>bcre</v>
      </c>
      <c r="C6770" s="3" t="str">
        <f>IFERROR(__xludf.DUMMYFUNCTION("""COMPUTED_VALUE"""),"Liquid Staking Crescent")</f>
        <v>Liquid Staking Crescent</v>
      </c>
    </row>
    <row r="6771">
      <c r="A6771" s="3" t="str">
        <f>IFERROR(__xludf.DUMMYFUNCTION("""COMPUTED_VALUE"""),"liquid-staking-dot")</f>
        <v>liquid-staking-dot</v>
      </c>
      <c r="B6771" s="3" t="str">
        <f>IFERROR(__xludf.DUMMYFUNCTION("""COMPUTED_VALUE"""),"ldot")</f>
        <v>ldot</v>
      </c>
      <c r="C6771" s="3" t="str">
        <f>IFERROR(__xludf.DUMMYFUNCTION("""COMPUTED_VALUE"""),"Liquid Staking Dot")</f>
        <v>Liquid Staking Dot</v>
      </c>
    </row>
    <row r="6772">
      <c r="A6772" s="3" t="str">
        <f>IFERROR(__xludf.DUMMYFUNCTION("""COMPUTED_VALUE"""),"liquidswap")</f>
        <v>liquidswap</v>
      </c>
      <c r="B6772" s="3" t="str">
        <f>IFERROR(__xludf.DUMMYFUNCTION("""COMPUTED_VALUE"""),"lqd")</f>
        <v>lqd</v>
      </c>
      <c r="C6772" s="3" t="str">
        <f>IFERROR(__xludf.DUMMYFUNCTION("""COMPUTED_VALUE"""),"LiquidSwap")</f>
        <v>LiquidSwap</v>
      </c>
    </row>
    <row r="6773">
      <c r="A6773" s="3" t="str">
        <f>IFERROR(__xludf.DUMMYFUNCTION("""COMPUTED_VALUE"""),"liquidus")</f>
        <v>liquidus</v>
      </c>
      <c r="B6773" s="3" t="str">
        <f>IFERROR(__xludf.DUMMYFUNCTION("""COMPUTED_VALUE"""),"liq")</f>
        <v>liq</v>
      </c>
      <c r="C6773" s="3" t="str">
        <f>IFERROR(__xludf.DUMMYFUNCTION("""COMPUTED_VALUE"""),"Liquidus")</f>
        <v>Liquidus</v>
      </c>
    </row>
    <row r="6774">
      <c r="A6774" s="3" t="str">
        <f>IFERROR(__xludf.DUMMYFUNCTION("""COMPUTED_VALUE"""),"liquinity")</f>
        <v>liquinity</v>
      </c>
      <c r="B6774" s="3" t="str">
        <f>IFERROR(__xludf.DUMMYFUNCTION("""COMPUTED_VALUE"""),"lqnty")</f>
        <v>lqnty</v>
      </c>
      <c r="C6774" s="3" t="str">
        <f>IFERROR(__xludf.DUMMYFUNCTION("""COMPUTED_VALUE"""),"Liquinity")</f>
        <v>Liquinity</v>
      </c>
    </row>
    <row r="6775">
      <c r="A6775" s="3" t="str">
        <f>IFERROR(__xludf.DUMMYFUNCTION("""COMPUTED_VALUE"""),"liquity")</f>
        <v>liquity</v>
      </c>
      <c r="B6775" s="3" t="str">
        <f>IFERROR(__xludf.DUMMYFUNCTION("""COMPUTED_VALUE"""),"lqty")</f>
        <v>lqty</v>
      </c>
      <c r="C6775" s="3" t="str">
        <f>IFERROR(__xludf.DUMMYFUNCTION("""COMPUTED_VALUE"""),"Liquity")</f>
        <v>Liquity</v>
      </c>
    </row>
    <row r="6776">
      <c r="A6776" s="3" t="str">
        <f>IFERROR(__xludf.DUMMYFUNCTION("""COMPUTED_VALUE"""),"liquity-usd")</f>
        <v>liquity-usd</v>
      </c>
      <c r="B6776" s="3" t="str">
        <f>IFERROR(__xludf.DUMMYFUNCTION("""COMPUTED_VALUE"""),"lusd")</f>
        <v>lusd</v>
      </c>
      <c r="C6776" s="3" t="str">
        <f>IFERROR(__xludf.DUMMYFUNCTION("""COMPUTED_VALUE"""),"Liquity USD")</f>
        <v>Liquity USD</v>
      </c>
    </row>
    <row r="6777">
      <c r="A6777" s="3" t="str">
        <f>IFERROR(__xludf.DUMMYFUNCTION("""COMPUTED_VALUE"""),"liqwid-finance")</f>
        <v>liqwid-finance</v>
      </c>
      <c r="B6777" s="3" t="str">
        <f>IFERROR(__xludf.DUMMYFUNCTION("""COMPUTED_VALUE"""),"lq")</f>
        <v>lq</v>
      </c>
      <c r="C6777" s="3" t="str">
        <f>IFERROR(__xludf.DUMMYFUNCTION("""COMPUTED_VALUE"""),"Liqwid Finance")</f>
        <v>Liqwid Finance</v>
      </c>
    </row>
    <row r="6778">
      <c r="A6778" s="3" t="str">
        <f>IFERROR(__xludf.DUMMYFUNCTION("""COMPUTED_VALUE"""),"lisk")</f>
        <v>lisk</v>
      </c>
      <c r="B6778" s="3" t="str">
        <f>IFERROR(__xludf.DUMMYFUNCTION("""COMPUTED_VALUE"""),"lsk")</f>
        <v>lsk</v>
      </c>
      <c r="C6778" s="3" t="str">
        <f>IFERROR(__xludf.DUMMYFUNCTION("""COMPUTED_VALUE"""),"Lisk")</f>
        <v>Lisk</v>
      </c>
    </row>
    <row r="6779">
      <c r="A6779" s="3" t="str">
        <f>IFERROR(__xludf.DUMMYFUNCTION("""COMPUTED_VALUE"""),"listenify")</f>
        <v>listenify</v>
      </c>
      <c r="B6779" s="3" t="str">
        <f>IFERROR(__xludf.DUMMYFUNCTION("""COMPUTED_VALUE"""),"audio")</f>
        <v>audio</v>
      </c>
      <c r="C6779" s="3" t="str">
        <f>IFERROR(__xludf.DUMMYFUNCTION("""COMPUTED_VALUE"""),"Listenify")</f>
        <v>Listenify</v>
      </c>
    </row>
    <row r="6780">
      <c r="A6780" s="3" t="str">
        <f>IFERROR(__xludf.DUMMYFUNCTION("""COMPUTED_VALUE"""),"listen-to-earn")</f>
        <v>listen-to-earn</v>
      </c>
      <c r="B6780" s="3" t="str">
        <f>IFERROR(__xludf.DUMMYFUNCTION("""COMPUTED_VALUE"""),"lte")</f>
        <v>lte</v>
      </c>
      <c r="C6780" s="3" t="str">
        <f>IFERROR(__xludf.DUMMYFUNCTION("""COMPUTED_VALUE"""),"Listen To Earn")</f>
        <v>Listen To Earn</v>
      </c>
    </row>
    <row r="6781">
      <c r="A6781" s="3" t="str">
        <f>IFERROR(__xludf.DUMMYFUNCTION("""COMPUTED_VALUE"""),"lit")</f>
        <v>lit</v>
      </c>
      <c r="B6781" s="3" t="str">
        <f>IFERROR(__xludf.DUMMYFUNCTION("""COMPUTED_VALUE"""),"lit")</f>
        <v>lit</v>
      </c>
      <c r="C6781" s="3" t="str">
        <f>IFERROR(__xludf.DUMMYFUNCTION("""COMPUTED_VALUE"""),"LIT")</f>
        <v>LIT</v>
      </c>
    </row>
    <row r="6782">
      <c r="A6782" s="3" t="str">
        <f>IFERROR(__xludf.DUMMYFUNCTION("""COMPUTED_VALUE"""),"litebar")</f>
        <v>litebar</v>
      </c>
      <c r="B6782" s="3" t="str">
        <f>IFERROR(__xludf.DUMMYFUNCTION("""COMPUTED_VALUE"""),"ltb")</f>
        <v>ltb</v>
      </c>
      <c r="C6782" s="3" t="str">
        <f>IFERROR(__xludf.DUMMYFUNCTION("""COMPUTED_VALUE"""),"LiteBar")</f>
        <v>LiteBar</v>
      </c>
    </row>
    <row r="6783">
      <c r="A6783" s="3" t="str">
        <f>IFERROR(__xludf.DUMMYFUNCTION("""COMPUTED_VALUE"""),"litebitcoin")</f>
        <v>litebitcoin</v>
      </c>
      <c r="B6783" s="3" t="str">
        <f>IFERROR(__xludf.DUMMYFUNCTION("""COMPUTED_VALUE"""),"lbtc")</f>
        <v>lbtc</v>
      </c>
      <c r="C6783" s="3" t="str">
        <f>IFERROR(__xludf.DUMMYFUNCTION("""COMPUTED_VALUE"""),"LiteBitcoin")</f>
        <v>LiteBitcoin</v>
      </c>
    </row>
    <row r="6784">
      <c r="A6784" s="3" t="str">
        <f>IFERROR(__xludf.DUMMYFUNCTION("""COMPUTED_VALUE"""),"litecash")</f>
        <v>litecash</v>
      </c>
      <c r="B6784" s="3" t="str">
        <f>IFERROR(__xludf.DUMMYFUNCTION("""COMPUTED_VALUE"""),"cash")</f>
        <v>cash</v>
      </c>
      <c r="C6784" s="3" t="str">
        <f>IFERROR(__xludf.DUMMYFUNCTION("""COMPUTED_VALUE"""),"Litecash")</f>
        <v>Litecash</v>
      </c>
    </row>
    <row r="6785">
      <c r="A6785" s="3" t="str">
        <f>IFERROR(__xludf.DUMMYFUNCTION("""COMPUTED_VALUE"""),"litecoin")</f>
        <v>litecoin</v>
      </c>
      <c r="B6785" s="3" t="str">
        <f>IFERROR(__xludf.DUMMYFUNCTION("""COMPUTED_VALUE"""),"ltc")</f>
        <v>ltc</v>
      </c>
      <c r="C6785" s="3" t="str">
        <f>IFERROR(__xludf.DUMMYFUNCTION("""COMPUTED_VALUE"""),"Litecoin")</f>
        <v>Litecoin</v>
      </c>
    </row>
    <row r="6786">
      <c r="A6786" s="3" t="str">
        <f>IFERROR(__xludf.DUMMYFUNCTION("""COMPUTED_VALUE"""),"litecoin-cash")</f>
        <v>litecoin-cash</v>
      </c>
      <c r="B6786" s="3" t="str">
        <f>IFERROR(__xludf.DUMMYFUNCTION("""COMPUTED_VALUE"""),"lcc")</f>
        <v>lcc</v>
      </c>
      <c r="C6786" s="3" t="str">
        <f>IFERROR(__xludf.DUMMYFUNCTION("""COMPUTED_VALUE"""),"Litecoin Cash")</f>
        <v>Litecoin Cash</v>
      </c>
    </row>
    <row r="6787">
      <c r="A6787" s="3" t="str">
        <f>IFERROR(__xludf.DUMMYFUNCTION("""COMPUTED_VALUE"""),"litecoin-plus")</f>
        <v>litecoin-plus</v>
      </c>
      <c r="B6787" s="3" t="str">
        <f>IFERROR(__xludf.DUMMYFUNCTION("""COMPUTED_VALUE"""),"lcp")</f>
        <v>lcp</v>
      </c>
      <c r="C6787" s="3" t="str">
        <f>IFERROR(__xludf.DUMMYFUNCTION("""COMPUTED_VALUE"""),"Litecoin Plus")</f>
        <v>Litecoin Plus</v>
      </c>
    </row>
    <row r="6788">
      <c r="A6788" s="3" t="str">
        <f>IFERROR(__xludf.DUMMYFUNCTION("""COMPUTED_VALUE"""),"litecoin-sv")</f>
        <v>litecoin-sv</v>
      </c>
      <c r="B6788" s="3" t="str">
        <f>IFERROR(__xludf.DUMMYFUNCTION("""COMPUTED_VALUE"""),"lsv")</f>
        <v>lsv</v>
      </c>
      <c r="C6788" s="3" t="str">
        <f>IFERROR(__xludf.DUMMYFUNCTION("""COMPUTED_VALUE"""),"Litecoin SV")</f>
        <v>Litecoin SV</v>
      </c>
    </row>
    <row r="6789">
      <c r="A6789" s="3" t="str">
        <f>IFERROR(__xludf.DUMMYFUNCTION("""COMPUTED_VALUE"""),"litecoin-token")</f>
        <v>litecoin-token</v>
      </c>
      <c r="B6789" s="3" t="str">
        <f>IFERROR(__xludf.DUMMYFUNCTION("""COMPUTED_VALUE"""),"ltk")</f>
        <v>ltk</v>
      </c>
      <c r="C6789" s="3" t="str">
        <f>IFERROR(__xludf.DUMMYFUNCTION("""COMPUTED_VALUE"""),"Litecoin LTK")</f>
        <v>Litecoin LTK</v>
      </c>
    </row>
    <row r="6790">
      <c r="A6790" s="3" t="str">
        <f>IFERROR(__xludf.DUMMYFUNCTION("""COMPUTED_VALUE"""),"litecoin-ultra")</f>
        <v>litecoin-ultra</v>
      </c>
      <c r="B6790" s="3" t="str">
        <f>IFERROR(__xludf.DUMMYFUNCTION("""COMPUTED_VALUE"""),"ltcu")</f>
        <v>ltcu</v>
      </c>
      <c r="C6790" s="3" t="str">
        <f>IFERROR(__xludf.DUMMYFUNCTION("""COMPUTED_VALUE"""),"LiteCoin Ultra")</f>
        <v>LiteCoin Ultra</v>
      </c>
    </row>
    <row r="6791">
      <c r="A6791" s="3" t="str">
        <f>IFERROR(__xludf.DUMMYFUNCTION("""COMPUTED_VALUE"""),"litecoinz")</f>
        <v>litecoinz</v>
      </c>
      <c r="B6791" s="3" t="str">
        <f>IFERROR(__xludf.DUMMYFUNCTION("""COMPUTED_VALUE"""),"ltz")</f>
        <v>ltz</v>
      </c>
      <c r="C6791" s="3" t="str">
        <f>IFERROR(__xludf.DUMMYFUNCTION("""COMPUTED_VALUE"""),"LitecoinZ")</f>
        <v>LitecoinZ</v>
      </c>
    </row>
    <row r="6792">
      <c r="A6792" s="3" t="str">
        <f>IFERROR(__xludf.DUMMYFUNCTION("""COMPUTED_VALUE"""),"litedex")</f>
        <v>litedex</v>
      </c>
      <c r="B6792" s="3" t="str">
        <f>IFERROR(__xludf.DUMMYFUNCTION("""COMPUTED_VALUE"""),"ldx")</f>
        <v>ldx</v>
      </c>
      <c r="C6792" s="3" t="str">
        <f>IFERROR(__xludf.DUMMYFUNCTION("""COMPUTED_VALUE"""),"Litedex")</f>
        <v>Litedex</v>
      </c>
    </row>
    <row r="6793">
      <c r="A6793" s="3" t="str">
        <f>IFERROR(__xludf.DUMMYFUNCTION("""COMPUTED_VALUE"""),"litedoge")</f>
        <v>litedoge</v>
      </c>
      <c r="B6793" s="3" t="str">
        <f>IFERROR(__xludf.DUMMYFUNCTION("""COMPUTED_VALUE"""),"ldoge")</f>
        <v>ldoge</v>
      </c>
      <c r="C6793" s="3" t="str">
        <f>IFERROR(__xludf.DUMMYFUNCTION("""COMPUTED_VALUE"""),"LiteDoge")</f>
        <v>LiteDoge</v>
      </c>
    </row>
    <row r="6794">
      <c r="A6794" s="3" t="str">
        <f>IFERROR(__xludf.DUMMYFUNCTION("""COMPUTED_VALUE"""),"litegold")</f>
        <v>litegold</v>
      </c>
      <c r="B6794" s="3" t="str">
        <f>IFERROR(__xludf.DUMMYFUNCTION("""COMPUTED_VALUE"""),"ltg")</f>
        <v>ltg</v>
      </c>
      <c r="C6794" s="3" t="str">
        <f>IFERROR(__xludf.DUMMYFUNCTION("""COMPUTED_VALUE"""),"LiteGold")</f>
        <v>LiteGold</v>
      </c>
    </row>
    <row r="6795">
      <c r="A6795" s="3" t="str">
        <f>IFERROR(__xludf.DUMMYFUNCTION("""COMPUTED_VALUE"""),"litentry")</f>
        <v>litentry</v>
      </c>
      <c r="B6795" s="3" t="str">
        <f>IFERROR(__xludf.DUMMYFUNCTION("""COMPUTED_VALUE"""),"lit")</f>
        <v>lit</v>
      </c>
      <c r="C6795" s="3" t="str">
        <f>IFERROR(__xludf.DUMMYFUNCTION("""COMPUTED_VALUE"""),"Litentry")</f>
        <v>Litentry</v>
      </c>
    </row>
    <row r="6796">
      <c r="A6796" s="3" t="str">
        <f>IFERROR(__xludf.DUMMYFUNCTION("""COMPUTED_VALUE"""),"liteusd")</f>
        <v>liteusd</v>
      </c>
      <c r="B6796" s="3" t="str">
        <f>IFERROR(__xludf.DUMMYFUNCTION("""COMPUTED_VALUE"""),"lite")</f>
        <v>lite</v>
      </c>
      <c r="C6796" s="3" t="str">
        <f>IFERROR(__xludf.DUMMYFUNCTION("""COMPUTED_VALUE"""),"LiteUSD")</f>
        <v>LiteUSD</v>
      </c>
    </row>
    <row r="6797">
      <c r="A6797" s="3" t="str">
        <f>IFERROR(__xludf.DUMMYFUNCTION("""COMPUTED_VALUE"""),"litex")</f>
        <v>litex</v>
      </c>
      <c r="B6797" s="3" t="str">
        <f>IFERROR(__xludf.DUMMYFUNCTION("""COMPUTED_VALUE"""),"lxt")</f>
        <v>lxt</v>
      </c>
      <c r="C6797" s="3" t="str">
        <f>IFERROR(__xludf.DUMMYFUNCTION("""COMPUTED_VALUE"""),"LITEX")</f>
        <v>LITEX</v>
      </c>
    </row>
    <row r="6798">
      <c r="A6798" s="3" t="str">
        <f>IFERROR(__xludf.DUMMYFUNCTION("""COMPUTED_VALUE"""),"litherium")</f>
        <v>litherium</v>
      </c>
      <c r="B6798" s="3" t="str">
        <f>IFERROR(__xludf.DUMMYFUNCTION("""COMPUTED_VALUE"""),"lith")</f>
        <v>lith</v>
      </c>
      <c r="C6798" s="3" t="str">
        <f>IFERROR(__xludf.DUMMYFUNCTION("""COMPUTED_VALUE"""),"Litherium")</f>
        <v>Litherium</v>
      </c>
    </row>
    <row r="6799">
      <c r="A6799" s="3" t="str">
        <f>IFERROR(__xludf.DUMMYFUNCTION("""COMPUTED_VALUE"""),"lithium-2")</f>
        <v>lithium-2</v>
      </c>
      <c r="B6799" s="3" t="str">
        <f>IFERROR(__xludf.DUMMYFUNCTION("""COMPUTED_VALUE"""),"lithium")</f>
        <v>lithium</v>
      </c>
      <c r="C6799" s="3" t="str">
        <f>IFERROR(__xludf.DUMMYFUNCTION("""COMPUTED_VALUE"""),"Lithium")</f>
        <v>Lithium</v>
      </c>
    </row>
    <row r="6800">
      <c r="A6800" s="3" t="str">
        <f>IFERROR(__xludf.DUMMYFUNCTION("""COMPUTED_VALUE"""),"lithium-finance")</f>
        <v>lithium-finance</v>
      </c>
      <c r="B6800" s="3" t="str">
        <f>IFERROR(__xludf.DUMMYFUNCTION("""COMPUTED_VALUE"""),"lith")</f>
        <v>lith</v>
      </c>
      <c r="C6800" s="3" t="str">
        <f>IFERROR(__xludf.DUMMYFUNCTION("""COMPUTED_VALUE"""),"Lithium Finance")</f>
        <v>Lithium Finance</v>
      </c>
    </row>
    <row r="6801">
      <c r="A6801" s="3" t="str">
        <f>IFERROR(__xludf.DUMMYFUNCTION("""COMPUTED_VALUE"""),"lithium-ventures")</f>
        <v>lithium-ventures</v>
      </c>
      <c r="B6801" s="3" t="str">
        <f>IFERROR(__xludf.DUMMYFUNCTION("""COMPUTED_VALUE"""),"ions")</f>
        <v>ions</v>
      </c>
      <c r="C6801" s="3" t="str">
        <f>IFERROR(__xludf.DUMMYFUNCTION("""COMPUTED_VALUE"""),"Lithium Ventures")</f>
        <v>Lithium Ventures</v>
      </c>
    </row>
    <row r="6802">
      <c r="A6802" s="3" t="str">
        <f>IFERROR(__xludf.DUMMYFUNCTION("""COMPUTED_VALUE"""),"lithosphere")</f>
        <v>lithosphere</v>
      </c>
      <c r="B6802" s="3" t="str">
        <f>IFERROR(__xludf.DUMMYFUNCTION("""COMPUTED_VALUE"""),"litho")</f>
        <v>litho</v>
      </c>
      <c r="C6802" s="3" t="str">
        <f>IFERROR(__xludf.DUMMYFUNCTION("""COMPUTED_VALUE"""),"Lithosphere")</f>
        <v>Lithosphere</v>
      </c>
    </row>
    <row r="6803">
      <c r="A6803" s="3" t="str">
        <f>IFERROR(__xludf.DUMMYFUNCTION("""COMPUTED_VALUE"""),"lith-token")</f>
        <v>lith-token</v>
      </c>
      <c r="B6803" s="3" t="str">
        <f>IFERROR(__xludf.DUMMYFUNCTION("""COMPUTED_VALUE"""),"lith")</f>
        <v>lith</v>
      </c>
      <c r="C6803" s="3" t="str">
        <f>IFERROR(__xludf.DUMMYFUNCTION("""COMPUTED_VALUE"""),"Lith [OLD]")</f>
        <v>Lith [OLD]</v>
      </c>
    </row>
    <row r="6804">
      <c r="A6804" s="3" t="str">
        <f>IFERROR(__xludf.DUMMYFUNCTION("""COMPUTED_VALUE"""),"lition")</f>
        <v>lition</v>
      </c>
      <c r="B6804" s="3" t="str">
        <f>IFERROR(__xludf.DUMMYFUNCTION("""COMPUTED_VALUE"""),"lit")</f>
        <v>lit</v>
      </c>
      <c r="C6804" s="3" t="str">
        <f>IFERROR(__xludf.DUMMYFUNCTION("""COMPUTED_VALUE"""),"Lition")</f>
        <v>Lition</v>
      </c>
    </row>
    <row r="6805">
      <c r="A6805" s="3" t="str">
        <f>IFERROR(__xludf.DUMMYFUNCTION("""COMPUTED_VALUE"""),"little-angry-bunny-v2")</f>
        <v>little-angry-bunny-v2</v>
      </c>
      <c r="B6805" s="3" t="str">
        <f>IFERROR(__xludf.DUMMYFUNCTION("""COMPUTED_VALUE"""),"lab-v2")</f>
        <v>lab-v2</v>
      </c>
      <c r="C6805" s="3" t="str">
        <f>IFERROR(__xludf.DUMMYFUNCTION("""COMPUTED_VALUE"""),"Little Angry Bunny v2")</f>
        <v>Little Angry Bunny v2</v>
      </c>
    </row>
    <row r="6806">
      <c r="A6806" s="3" t="str">
        <f>IFERROR(__xludf.DUMMYFUNCTION("""COMPUTED_VALUE"""),"little-bunny-rocket")</f>
        <v>little-bunny-rocket</v>
      </c>
      <c r="B6806" s="3" t="str">
        <f>IFERROR(__xludf.DUMMYFUNCTION("""COMPUTED_VALUE"""),"lbr")</f>
        <v>lbr</v>
      </c>
      <c r="C6806" s="3" t="str">
        <f>IFERROR(__xludf.DUMMYFUNCTION("""COMPUTED_VALUE"""),"Little Bunny Rocket")</f>
        <v>Little Bunny Rocket</v>
      </c>
    </row>
    <row r="6807">
      <c r="A6807" s="3" t="str">
        <f>IFERROR(__xludf.DUMMYFUNCTION("""COMPUTED_VALUE"""),"littleghosts-ectoplasm")</f>
        <v>littleghosts-ectoplasm</v>
      </c>
      <c r="B6807" s="3" t="str">
        <f>IFERROR(__xludf.DUMMYFUNCTION("""COMPUTED_VALUE"""),"ecto")</f>
        <v>ecto</v>
      </c>
      <c r="C6807" s="3" t="str">
        <f>IFERROR(__xludf.DUMMYFUNCTION("""COMPUTED_VALUE"""),"LittleGhosts Ectoplasm")</f>
        <v>LittleGhosts Ectoplasm</v>
      </c>
    </row>
    <row r="6808">
      <c r="A6808" s="3" t="str">
        <f>IFERROR(__xludf.DUMMYFUNCTION("""COMPUTED_VALUE"""),"littleinu")</f>
        <v>littleinu</v>
      </c>
      <c r="B6808" s="3" t="str">
        <f>IFERROR(__xludf.DUMMYFUNCTION("""COMPUTED_VALUE"""),"linu")</f>
        <v>linu</v>
      </c>
      <c r="C6808" s="3" t="str">
        <f>IFERROR(__xludf.DUMMYFUNCTION("""COMPUTED_VALUE"""),"LittleInu")</f>
        <v>LittleInu</v>
      </c>
    </row>
    <row r="6809">
      <c r="A6809" s="3" t="str">
        <f>IFERROR(__xludf.DUMMYFUNCTION("""COMPUTED_VALUE"""),"little-rabbit-v2")</f>
        <v>little-rabbit-v2</v>
      </c>
      <c r="B6809" s="3" t="str">
        <f>IFERROR(__xludf.DUMMYFUNCTION("""COMPUTED_VALUE"""),"ltrbt")</f>
        <v>ltrbt</v>
      </c>
      <c r="C6809" s="3" t="str">
        <f>IFERROR(__xludf.DUMMYFUNCTION("""COMPUTED_VALUE"""),"Little Rabbit V2")</f>
        <v>Little Rabbit V2</v>
      </c>
    </row>
    <row r="6810">
      <c r="A6810" s="3" t="str">
        <f>IFERROR(__xludf.DUMMYFUNCTION("""COMPUTED_VALUE"""),"littlesesame")</f>
        <v>littlesesame</v>
      </c>
      <c r="B6810" s="3" t="str">
        <f>IFERROR(__xludf.DUMMYFUNCTION("""COMPUTED_VALUE"""),"lsc")</f>
        <v>lsc</v>
      </c>
      <c r="C6810" s="3" t="str">
        <f>IFERROR(__xludf.DUMMYFUNCTION("""COMPUTED_VALUE"""),"Littlesesame")</f>
        <v>Littlesesame</v>
      </c>
    </row>
    <row r="6811">
      <c r="A6811" s="3" t="str">
        <f>IFERROR(__xludf.DUMMYFUNCTION("""COMPUTED_VALUE"""),"little-ugly-duck")</f>
        <v>little-ugly-duck</v>
      </c>
      <c r="B6811" s="3" t="str">
        <f>IFERROR(__xludf.DUMMYFUNCTION("""COMPUTED_VALUE"""),"lud")</f>
        <v>lud</v>
      </c>
      <c r="C6811" s="3" t="str">
        <f>IFERROR(__xludf.DUMMYFUNCTION("""COMPUTED_VALUE"""),"Little Ugly Duck")</f>
        <v>Little Ugly Duck</v>
      </c>
    </row>
    <row r="6812">
      <c r="A6812" s="3" t="str">
        <f>IFERROR(__xludf.DUMMYFUNCTION("""COMPUTED_VALUE"""),"litx")</f>
        <v>litx</v>
      </c>
      <c r="B6812" s="3" t="str">
        <f>IFERROR(__xludf.DUMMYFUNCTION("""COMPUTED_VALUE"""),"litx")</f>
        <v>litx</v>
      </c>
      <c r="C6812" s="3" t="str">
        <f>IFERROR(__xludf.DUMMYFUNCTION("""COMPUTED_VALUE"""),"Lith Token")</f>
        <v>Lith Token</v>
      </c>
    </row>
    <row r="6813">
      <c r="A6813" s="3" t="str">
        <f>IFERROR(__xludf.DUMMYFUNCTION("""COMPUTED_VALUE"""),"livegreen-coin")</f>
        <v>livegreen-coin</v>
      </c>
      <c r="B6813" s="3" t="str">
        <f>IFERROR(__xludf.DUMMYFUNCTION("""COMPUTED_VALUE"""),"lgc")</f>
        <v>lgc</v>
      </c>
      <c r="C6813" s="3" t="str">
        <f>IFERROR(__xludf.DUMMYFUNCTION("""COMPUTED_VALUE"""),"LiveGreen Coin")</f>
        <v>LiveGreen Coin</v>
      </c>
    </row>
    <row r="6814">
      <c r="A6814" s="3" t="str">
        <f>IFERROR(__xludf.DUMMYFUNCTION("""COMPUTED_VALUE"""),"livenodes")</f>
        <v>livenodes</v>
      </c>
      <c r="B6814" s="3" t="str">
        <f>IFERROR(__xludf.DUMMYFUNCTION("""COMPUTED_VALUE"""),"lno")</f>
        <v>lno</v>
      </c>
      <c r="C6814" s="3" t="str">
        <f>IFERROR(__xludf.DUMMYFUNCTION("""COMPUTED_VALUE"""),"Livenodes")</f>
        <v>Livenodes</v>
      </c>
    </row>
    <row r="6815">
      <c r="A6815" s="3" t="str">
        <f>IFERROR(__xludf.DUMMYFUNCTION("""COMPUTED_VALUE"""),"livenpay")</f>
        <v>livenpay</v>
      </c>
      <c r="B6815" s="3" t="str">
        <f>IFERROR(__xludf.DUMMYFUNCTION("""COMPUTED_VALUE"""),"lvn")</f>
        <v>lvn</v>
      </c>
      <c r="C6815" s="3" t="str">
        <f>IFERROR(__xludf.DUMMYFUNCTION("""COMPUTED_VALUE"""),"LivenPay")</f>
        <v>LivenPay</v>
      </c>
    </row>
    <row r="6816">
      <c r="A6816" s="3" t="str">
        <f>IFERROR(__xludf.DUMMYFUNCTION("""COMPUTED_VALUE"""),"livepeer")</f>
        <v>livepeer</v>
      </c>
      <c r="B6816" s="3" t="str">
        <f>IFERROR(__xludf.DUMMYFUNCTION("""COMPUTED_VALUE"""),"lpt")</f>
        <v>lpt</v>
      </c>
      <c r="C6816" s="3" t="str">
        <f>IFERROR(__xludf.DUMMYFUNCTION("""COMPUTED_VALUE"""),"Livepeer")</f>
        <v>Livepeer</v>
      </c>
    </row>
    <row r="6817">
      <c r="A6817" s="3" t="str">
        <f>IFERROR(__xludf.DUMMYFUNCTION("""COMPUTED_VALUE"""),"live-swap-coin")</f>
        <v>live-swap-coin</v>
      </c>
      <c r="B6817" s="3" t="str">
        <f>IFERROR(__xludf.DUMMYFUNCTION("""COMPUTED_VALUE"""),"lsc")</f>
        <v>lsc</v>
      </c>
      <c r="C6817" s="3" t="str">
        <f>IFERROR(__xludf.DUMMYFUNCTION("""COMPUTED_VALUE"""),"Live Swap Coin")</f>
        <v>Live Swap Coin</v>
      </c>
    </row>
    <row r="6818">
      <c r="A6818" s="3" t="str">
        <f>IFERROR(__xludf.DUMMYFUNCTION("""COMPUTED_VALUE"""),"livetrade-token")</f>
        <v>livetrade-token</v>
      </c>
      <c r="B6818" s="3" t="str">
        <f>IFERROR(__xludf.DUMMYFUNCTION("""COMPUTED_VALUE"""),"ltd")</f>
        <v>ltd</v>
      </c>
      <c r="C6818" s="3" t="str">
        <f>IFERROR(__xludf.DUMMYFUNCTION("""COMPUTED_VALUE"""),"LiveTrade")</f>
        <v>LiveTrade</v>
      </c>
    </row>
    <row r="6819">
      <c r="A6819" s="3" t="str">
        <f>IFERROR(__xludf.DUMMYFUNCTION("""COMPUTED_VALUE"""),"lixir-protocol")</f>
        <v>lixir-protocol</v>
      </c>
      <c r="B6819" s="3" t="str">
        <f>IFERROR(__xludf.DUMMYFUNCTION("""COMPUTED_VALUE"""),"lix")</f>
        <v>lix</v>
      </c>
      <c r="C6819" s="3" t="str">
        <f>IFERROR(__xludf.DUMMYFUNCTION("""COMPUTED_VALUE"""),"Lixir Finance")</f>
        <v>Lixir Finance</v>
      </c>
    </row>
    <row r="6820">
      <c r="A6820" s="3" t="str">
        <f>IFERROR(__xludf.DUMMYFUNCTION("""COMPUTED_VALUE"""),"lizard-token")</f>
        <v>lizard-token</v>
      </c>
      <c r="B6820" s="3" t="str">
        <f>IFERROR(__xludf.DUMMYFUNCTION("""COMPUTED_VALUE"""),"lizard")</f>
        <v>lizard</v>
      </c>
      <c r="C6820" s="3" t="str">
        <f>IFERROR(__xludf.DUMMYFUNCTION("""COMPUTED_VALUE"""),"Lizard")</f>
        <v>Lizard</v>
      </c>
    </row>
    <row r="6821">
      <c r="A6821" s="3" t="str">
        <f>IFERROR(__xludf.DUMMYFUNCTION("""COMPUTED_VALUE"""),"lizardtoken-finance")</f>
        <v>lizardtoken-finance</v>
      </c>
      <c r="B6821" s="3" t="str">
        <f>IFERROR(__xludf.DUMMYFUNCTION("""COMPUTED_VALUE"""),"liz")</f>
        <v>liz</v>
      </c>
      <c r="C6821" s="3" t="str">
        <f>IFERROR(__xludf.DUMMYFUNCTION("""COMPUTED_VALUE"""),"LizardToken.Finance")</f>
        <v>LizardToken.Finance</v>
      </c>
    </row>
    <row r="6822">
      <c r="A6822" s="3" t="str">
        <f>IFERROR(__xludf.DUMMYFUNCTION("""COMPUTED_VALUE"""),"lmu")</f>
        <v>lmu</v>
      </c>
      <c r="B6822" s="3" t="str">
        <f>IFERROR(__xludf.DUMMYFUNCTION("""COMPUTED_VALUE"""),"lmu")</f>
        <v>lmu</v>
      </c>
      <c r="C6822" s="3" t="str">
        <f>IFERROR(__xludf.DUMMYFUNCTION("""COMPUTED_VALUE"""),"LMU")</f>
        <v>LMU</v>
      </c>
    </row>
    <row r="6823">
      <c r="A6823" s="3" t="str">
        <f>IFERROR(__xludf.DUMMYFUNCTION("""COMPUTED_VALUE"""),"lnko-token")</f>
        <v>lnko-token</v>
      </c>
      <c r="B6823" s="3" t="str">
        <f>IFERROR(__xludf.DUMMYFUNCTION("""COMPUTED_VALUE"""),"lnko")</f>
        <v>lnko</v>
      </c>
      <c r="C6823" s="3" t="str">
        <f>IFERROR(__xludf.DUMMYFUNCTION("""COMPUTED_VALUE"""),"LNKO")</f>
        <v>LNKO</v>
      </c>
    </row>
    <row r="6824">
      <c r="A6824" s="3" t="str">
        <f>IFERROR(__xludf.DUMMYFUNCTION("""COMPUTED_VALUE"""),"loa-protocol")</f>
        <v>loa-protocol</v>
      </c>
      <c r="B6824" s="3" t="str">
        <f>IFERROR(__xludf.DUMMYFUNCTION("""COMPUTED_VALUE"""),"loa")</f>
        <v>loa</v>
      </c>
      <c r="C6824" s="3" t="str">
        <f>IFERROR(__xludf.DUMMYFUNCTION("""COMPUTED_VALUE"""),"LOA Protocol")</f>
        <v>LOA Protocol</v>
      </c>
    </row>
    <row r="6825">
      <c r="A6825" s="3" t="str">
        <f>IFERROR(__xludf.DUMMYFUNCTION("""COMPUTED_VALUE"""),"lobby")</f>
        <v>lobby</v>
      </c>
      <c r="B6825" s="3" t="str">
        <f>IFERROR(__xludf.DUMMYFUNCTION("""COMPUTED_VALUE"""),"lby")</f>
        <v>lby</v>
      </c>
      <c r="C6825" s="3" t="str">
        <f>IFERROR(__xludf.DUMMYFUNCTION("""COMPUTED_VALUE"""),"Lobby")</f>
        <v>Lobby</v>
      </c>
    </row>
    <row r="6826">
      <c r="A6826" s="3" t="str">
        <f>IFERROR(__xludf.DUMMYFUNCTION("""COMPUTED_VALUE"""),"lobis")</f>
        <v>lobis</v>
      </c>
      <c r="B6826" s="3" t="str">
        <f>IFERROR(__xludf.DUMMYFUNCTION("""COMPUTED_VALUE"""),"lobi")</f>
        <v>lobi</v>
      </c>
      <c r="C6826" s="3" t="str">
        <f>IFERROR(__xludf.DUMMYFUNCTION("""COMPUTED_VALUE"""),"Lobis")</f>
        <v>Lobis</v>
      </c>
    </row>
    <row r="6827">
      <c r="A6827" s="3" t="str">
        <f>IFERROR(__xludf.DUMMYFUNCTION("""COMPUTED_VALUE"""),"lobstex-coin")</f>
        <v>lobstex-coin</v>
      </c>
      <c r="B6827" s="3" t="str">
        <f>IFERROR(__xludf.DUMMYFUNCTION("""COMPUTED_VALUE"""),"lobs")</f>
        <v>lobs</v>
      </c>
      <c r="C6827" s="3" t="str">
        <f>IFERROR(__xludf.DUMMYFUNCTION("""COMPUTED_VALUE"""),"Lobstex")</f>
        <v>Lobstex</v>
      </c>
    </row>
    <row r="6828">
      <c r="A6828" s="3" t="str">
        <f>IFERROR(__xludf.DUMMYFUNCTION("""COMPUTED_VALUE"""),"localcoinswap")</f>
        <v>localcoinswap</v>
      </c>
      <c r="B6828" s="3" t="str">
        <f>IFERROR(__xludf.DUMMYFUNCTION("""COMPUTED_VALUE"""),"lcs")</f>
        <v>lcs</v>
      </c>
      <c r="C6828" s="3" t="str">
        <f>IFERROR(__xludf.DUMMYFUNCTION("""COMPUTED_VALUE"""),"LocalCoinSwap")</f>
        <v>LocalCoinSwap</v>
      </c>
    </row>
    <row r="6829">
      <c r="A6829" s="3" t="str">
        <f>IFERROR(__xludf.DUMMYFUNCTION("""COMPUTED_VALUE"""),"localtrade")</f>
        <v>localtrade</v>
      </c>
      <c r="B6829" s="3" t="str">
        <f>IFERROR(__xludf.DUMMYFUNCTION("""COMPUTED_VALUE"""),"ltt")</f>
        <v>ltt</v>
      </c>
      <c r="C6829" s="3" t="str">
        <f>IFERROR(__xludf.DUMMYFUNCTION("""COMPUTED_VALUE"""),"LocalTrade")</f>
        <v>LocalTrade</v>
      </c>
    </row>
    <row r="6830">
      <c r="A6830" s="3" t="str">
        <f>IFERROR(__xludf.DUMMYFUNCTION("""COMPUTED_VALUE"""),"local-traders")</f>
        <v>local-traders</v>
      </c>
      <c r="B6830" s="3" t="str">
        <f>IFERROR(__xludf.DUMMYFUNCTION("""COMPUTED_VALUE"""),"lct")</f>
        <v>lct</v>
      </c>
      <c r="C6830" s="3" t="str">
        <f>IFERROR(__xludf.DUMMYFUNCTION("""COMPUTED_VALUE"""),"Local Traders")</f>
        <v>Local Traders</v>
      </c>
    </row>
    <row r="6831">
      <c r="A6831" s="3" t="str">
        <f>IFERROR(__xludf.DUMMYFUNCTION("""COMPUTED_VALUE"""),"locgame")</f>
        <v>locgame</v>
      </c>
      <c r="B6831" s="3" t="str">
        <f>IFERROR(__xludf.DUMMYFUNCTION("""COMPUTED_VALUE"""),"locg")</f>
        <v>locg</v>
      </c>
      <c r="C6831" s="3" t="str">
        <f>IFERROR(__xludf.DUMMYFUNCTION("""COMPUTED_VALUE"""),"LOCGame")</f>
        <v>LOCGame</v>
      </c>
    </row>
    <row r="6832">
      <c r="A6832" s="3" t="str">
        <f>IFERROR(__xludf.DUMMYFUNCTION("""COMPUTED_VALUE"""),"lockchain")</f>
        <v>lockchain</v>
      </c>
      <c r="B6832" s="3" t="str">
        <f>IFERROR(__xludf.DUMMYFUNCTION("""COMPUTED_VALUE"""),"loc")</f>
        <v>loc</v>
      </c>
      <c r="C6832" s="3" t="str">
        <f>IFERROR(__xludf.DUMMYFUNCTION("""COMPUTED_VALUE"""),"LockTrip")</f>
        <v>LockTrip</v>
      </c>
    </row>
    <row r="6833">
      <c r="A6833" s="3" t="str">
        <f>IFERROR(__xludf.DUMMYFUNCTION("""COMPUTED_VALUE"""),"lockness")</f>
        <v>lockness</v>
      </c>
      <c r="B6833" s="3" t="str">
        <f>IFERROR(__xludf.DUMMYFUNCTION("""COMPUTED_VALUE"""),"lkn")</f>
        <v>lkn</v>
      </c>
      <c r="C6833" s="3" t="str">
        <f>IFERROR(__xludf.DUMMYFUNCTION("""COMPUTED_VALUE"""),"Lockness")</f>
        <v>Lockness</v>
      </c>
    </row>
    <row r="6834">
      <c r="A6834" s="3" t="str">
        <f>IFERROR(__xludf.DUMMYFUNCTION("""COMPUTED_VALUE"""),"locometa")</f>
        <v>locometa</v>
      </c>
      <c r="B6834" s="3" t="str">
        <f>IFERROR(__xludf.DUMMYFUNCTION("""COMPUTED_VALUE"""),"loco")</f>
        <v>loco</v>
      </c>
      <c r="C6834" s="3" t="str">
        <f>IFERROR(__xludf.DUMMYFUNCTION("""COMPUTED_VALUE"""),"LocoMeta")</f>
        <v>LocoMeta</v>
      </c>
    </row>
    <row r="6835">
      <c r="A6835" s="3" t="str">
        <f>IFERROR(__xludf.DUMMYFUNCTION("""COMPUTED_VALUE"""),"locus-chain")</f>
        <v>locus-chain</v>
      </c>
      <c r="B6835" s="3" t="str">
        <f>IFERROR(__xludf.DUMMYFUNCTION("""COMPUTED_VALUE"""),"locus")</f>
        <v>locus</v>
      </c>
      <c r="C6835" s="3" t="str">
        <f>IFERROR(__xludf.DUMMYFUNCTION("""COMPUTED_VALUE"""),"Locus Chain")</f>
        <v>Locus Chain</v>
      </c>
    </row>
    <row r="6836">
      <c r="A6836" s="3" t="str">
        <f>IFERROR(__xludf.DUMMYFUNCTION("""COMPUTED_VALUE"""),"lodestar")</f>
        <v>lodestar</v>
      </c>
      <c r="B6836" s="3" t="str">
        <f>IFERROR(__xludf.DUMMYFUNCTION("""COMPUTED_VALUE"""),"lode")</f>
        <v>lode</v>
      </c>
      <c r="C6836" s="3" t="str">
        <f>IFERROR(__xludf.DUMMYFUNCTION("""COMPUTED_VALUE"""),"Lodestar")</f>
        <v>Lodestar</v>
      </c>
    </row>
    <row r="6837">
      <c r="A6837" s="3" t="str">
        <f>IFERROR(__xludf.DUMMYFUNCTION("""COMPUTED_VALUE"""),"lofi")</f>
        <v>lofi</v>
      </c>
      <c r="B6837" s="3" t="str">
        <f>IFERROR(__xludf.DUMMYFUNCTION("""COMPUTED_VALUE"""),"lofi")</f>
        <v>lofi</v>
      </c>
      <c r="C6837" s="3" t="str">
        <f>IFERROR(__xludf.DUMMYFUNCTION("""COMPUTED_VALUE"""),"LOFI")</f>
        <v>LOFI</v>
      </c>
    </row>
    <row r="6838">
      <c r="A6838" s="3" t="str">
        <f>IFERROR(__xludf.DUMMYFUNCTION("""COMPUTED_VALUE"""),"lofi-defi")</f>
        <v>lofi-defi</v>
      </c>
      <c r="B6838" s="3" t="str">
        <f>IFERROR(__xludf.DUMMYFUNCTION("""COMPUTED_VALUE"""),"lofi")</f>
        <v>lofi</v>
      </c>
      <c r="C6838" s="3" t="str">
        <f>IFERROR(__xludf.DUMMYFUNCTION("""COMPUTED_VALUE"""),"Lofi Defi")</f>
        <v>Lofi Defi</v>
      </c>
    </row>
    <row r="6839">
      <c r="A6839" s="3" t="str">
        <f>IFERROR(__xludf.DUMMYFUNCTION("""COMPUTED_VALUE"""),"loge-of-the-rings")</f>
        <v>loge-of-the-rings</v>
      </c>
      <c r="B6839" s="3" t="str">
        <f>IFERROR(__xludf.DUMMYFUNCTION("""COMPUTED_VALUE"""),"loge")</f>
        <v>loge</v>
      </c>
      <c r="C6839" s="3" t="str">
        <f>IFERROR(__xludf.DUMMYFUNCTION("""COMPUTED_VALUE"""),"Loge Of The Rings")</f>
        <v>Loge Of The Rings</v>
      </c>
    </row>
    <row r="6840">
      <c r="A6840" s="3" t="str">
        <f>IFERROR(__xludf.DUMMYFUNCTION("""COMPUTED_VALUE"""),"logos")</f>
        <v>logos</v>
      </c>
      <c r="B6840" s="3" t="str">
        <f>IFERROR(__xludf.DUMMYFUNCTION("""COMPUTED_VALUE"""),"log")</f>
        <v>log</v>
      </c>
      <c r="C6840" s="3" t="str">
        <f>IFERROR(__xludf.DUMMYFUNCTION("""COMPUTED_VALUE"""),"LOGOS")</f>
        <v>LOGOS</v>
      </c>
    </row>
    <row r="6841">
      <c r="A6841" s="3" t="str">
        <f>IFERROR(__xludf.DUMMYFUNCTION("""COMPUTED_VALUE"""),"loki-network")</f>
        <v>loki-network</v>
      </c>
      <c r="B6841" s="3" t="str">
        <f>IFERROR(__xludf.DUMMYFUNCTION("""COMPUTED_VALUE"""),"oxen")</f>
        <v>oxen</v>
      </c>
      <c r="C6841" s="3" t="str">
        <f>IFERROR(__xludf.DUMMYFUNCTION("""COMPUTED_VALUE"""),"Oxen")</f>
        <v>Oxen</v>
      </c>
    </row>
    <row r="6842">
      <c r="A6842" s="3" t="str">
        <f>IFERROR(__xludf.DUMMYFUNCTION("""COMPUTED_VALUE"""),"lokr")</f>
        <v>lokr</v>
      </c>
      <c r="B6842" s="3" t="str">
        <f>IFERROR(__xludf.DUMMYFUNCTION("""COMPUTED_VALUE"""),"lkr")</f>
        <v>lkr</v>
      </c>
      <c r="C6842" s="3" t="str">
        <f>IFERROR(__xludf.DUMMYFUNCTION("""COMPUTED_VALUE"""),"Lokr")</f>
        <v>Lokr</v>
      </c>
    </row>
    <row r="6843">
      <c r="A6843" s="3" t="str">
        <f>IFERROR(__xludf.DUMMYFUNCTION("""COMPUTED_VALUE"""),"lol")</f>
        <v>lol</v>
      </c>
      <c r="B6843" s="3" t="str">
        <f>IFERROR(__xludf.DUMMYFUNCTION("""COMPUTED_VALUE"""),"lol")</f>
        <v>lol</v>
      </c>
      <c r="C6843" s="3" t="str">
        <f>IFERROR(__xludf.DUMMYFUNCTION("""COMPUTED_VALUE"""),"LOL")</f>
        <v>LOL</v>
      </c>
    </row>
    <row r="6844">
      <c r="A6844" s="3" t="str">
        <f>IFERROR(__xludf.DUMMYFUNCTION("""COMPUTED_VALUE"""),"loltoken")</f>
        <v>loltoken</v>
      </c>
      <c r="B6844" s="3" t="str">
        <f>IFERROR(__xludf.DUMMYFUNCTION("""COMPUTED_VALUE"""),"lol")</f>
        <v>lol</v>
      </c>
      <c r="C6844" s="3" t="str">
        <f>IFERROR(__xludf.DUMMYFUNCTION("""COMPUTED_VALUE"""),"LOLTOKEN")</f>
        <v>LOLTOKEN</v>
      </c>
    </row>
    <row r="6845">
      <c r="A6845" s="3" t="str">
        <f>IFERROR(__xludf.DUMMYFUNCTION("""COMPUTED_VALUE"""),"londoncoingold")</f>
        <v>londoncoingold</v>
      </c>
      <c r="B6845" s="3" t="str">
        <f>IFERROR(__xludf.DUMMYFUNCTION("""COMPUTED_VALUE"""),"ldxg")</f>
        <v>ldxg</v>
      </c>
      <c r="C6845" s="3" t="str">
        <f>IFERROR(__xludf.DUMMYFUNCTION("""COMPUTED_VALUE"""),"LondonCoinGold")</f>
        <v>LondonCoinGold</v>
      </c>
    </row>
    <row r="6846">
      <c r="A6846" s="3" t="str">
        <f>IFERROR(__xludf.DUMMYFUNCTION("""COMPUTED_VALUE"""),"lonelyfans")</f>
        <v>lonelyfans</v>
      </c>
      <c r="B6846" s="3" t="str">
        <f>IFERROR(__xludf.DUMMYFUNCTION("""COMPUTED_VALUE"""),"lof")</f>
        <v>lof</v>
      </c>
      <c r="C6846" s="3" t="str">
        <f>IFERROR(__xludf.DUMMYFUNCTION("""COMPUTED_VALUE"""),"LonelyFans")</f>
        <v>LonelyFans</v>
      </c>
    </row>
    <row r="6847">
      <c r="A6847" s="3" t="str">
        <f>IFERROR(__xludf.DUMMYFUNCTION("""COMPUTED_VALUE"""),"loobr")</f>
        <v>loobr</v>
      </c>
      <c r="B6847" s="3" t="str">
        <f>IFERROR(__xludf.DUMMYFUNCTION("""COMPUTED_VALUE"""),"loobr")</f>
        <v>loobr</v>
      </c>
      <c r="C6847" s="3" t="str">
        <f>IFERROR(__xludf.DUMMYFUNCTION("""COMPUTED_VALUE"""),"LooBr")</f>
        <v>LooBr</v>
      </c>
    </row>
    <row r="6848">
      <c r="A6848" s="3" t="str">
        <f>IFERROR(__xludf.DUMMYFUNCTION("""COMPUTED_VALUE"""),"lookscoin")</f>
        <v>lookscoin</v>
      </c>
      <c r="B6848" s="3" t="str">
        <f>IFERROR(__xludf.DUMMYFUNCTION("""COMPUTED_VALUE"""),"look")</f>
        <v>look</v>
      </c>
      <c r="C6848" s="3" t="str">
        <f>IFERROR(__xludf.DUMMYFUNCTION("""COMPUTED_VALUE"""),"LooksCoin")</f>
        <v>LooksCoin</v>
      </c>
    </row>
    <row r="6849">
      <c r="A6849" s="3" t="str">
        <f>IFERROR(__xludf.DUMMYFUNCTION("""COMPUTED_VALUE"""),"looksrare")</f>
        <v>looksrare</v>
      </c>
      <c r="B6849" s="3" t="str">
        <f>IFERROR(__xludf.DUMMYFUNCTION("""COMPUTED_VALUE"""),"looks")</f>
        <v>looks</v>
      </c>
      <c r="C6849" s="3" t="str">
        <f>IFERROR(__xludf.DUMMYFUNCTION("""COMPUTED_VALUE"""),"LooksRare")</f>
        <v>LooksRare</v>
      </c>
    </row>
    <row r="6850">
      <c r="A6850" s="3" t="str">
        <f>IFERROR(__xludf.DUMMYFUNCTION("""COMPUTED_VALUE"""),"looks-rare")</f>
        <v>looks-rare</v>
      </c>
      <c r="B6850" s="3" t="str">
        <f>IFERROR(__xludf.DUMMYFUNCTION("""COMPUTED_VALUE"""),"lr")</f>
        <v>lr</v>
      </c>
      <c r="C6850" s="3" t="str">
        <f>IFERROR(__xludf.DUMMYFUNCTION("""COMPUTED_VALUE"""),"Looks Rare")</f>
        <v>Looks Rare</v>
      </c>
    </row>
    <row r="6851">
      <c r="A6851" s="3" t="str">
        <f>IFERROR(__xludf.DUMMYFUNCTION("""COMPUTED_VALUE"""),"loomi")</f>
        <v>loomi</v>
      </c>
      <c r="B6851" s="3" t="str">
        <f>IFERROR(__xludf.DUMMYFUNCTION("""COMPUTED_VALUE"""),"loomi")</f>
        <v>loomi</v>
      </c>
      <c r="C6851" s="3" t="str">
        <f>IFERROR(__xludf.DUMMYFUNCTION("""COMPUTED_VALUE"""),"Loomi")</f>
        <v>Loomi</v>
      </c>
    </row>
    <row r="6852">
      <c r="A6852" s="3" t="str">
        <f>IFERROR(__xludf.DUMMYFUNCTION("""COMPUTED_VALUE"""),"loom-network")</f>
        <v>loom-network</v>
      </c>
      <c r="B6852" s="3" t="str">
        <f>IFERROR(__xludf.DUMMYFUNCTION("""COMPUTED_VALUE"""),"loomold")</f>
        <v>loomold</v>
      </c>
      <c r="C6852" s="3" t="str">
        <f>IFERROR(__xludf.DUMMYFUNCTION("""COMPUTED_VALUE"""),"Loom Network (OLD)")</f>
        <v>Loom Network (OLD)</v>
      </c>
    </row>
    <row r="6853">
      <c r="A6853" s="3" t="str">
        <f>IFERROR(__xludf.DUMMYFUNCTION("""COMPUTED_VALUE"""),"loom-network-new")</f>
        <v>loom-network-new</v>
      </c>
      <c r="B6853" s="3" t="str">
        <f>IFERROR(__xludf.DUMMYFUNCTION("""COMPUTED_VALUE"""),"loom")</f>
        <v>loom</v>
      </c>
      <c r="C6853" s="3" t="str">
        <f>IFERROR(__xludf.DUMMYFUNCTION("""COMPUTED_VALUE"""),"Loom Network (NEW)")</f>
        <v>Loom Network (NEW)</v>
      </c>
    </row>
    <row r="6854">
      <c r="A6854" s="3" t="str">
        <f>IFERROR(__xludf.DUMMYFUNCTION("""COMPUTED_VALUE"""),"loon-network")</f>
        <v>loon-network</v>
      </c>
      <c r="B6854" s="3" t="str">
        <f>IFERROR(__xludf.DUMMYFUNCTION("""COMPUTED_VALUE"""),"loon")</f>
        <v>loon</v>
      </c>
      <c r="C6854" s="3" t="str">
        <f>IFERROR(__xludf.DUMMYFUNCTION("""COMPUTED_VALUE"""),"Loon Network")</f>
        <v>Loon Network</v>
      </c>
    </row>
    <row r="6855">
      <c r="A6855" s="3" t="str">
        <f>IFERROR(__xludf.DUMMYFUNCTION("""COMPUTED_VALUE"""),"loop")</f>
        <v>loop</v>
      </c>
      <c r="B6855" s="3" t="str">
        <f>IFERROR(__xludf.DUMMYFUNCTION("""COMPUTED_VALUE"""),"loop")</f>
        <v>loop</v>
      </c>
      <c r="C6855" s="3" t="str">
        <f>IFERROR(__xludf.DUMMYFUNCTION("""COMPUTED_VALUE"""),"LOOP")</f>
        <v>LOOP</v>
      </c>
    </row>
    <row r="6856">
      <c r="A6856" s="3" t="str">
        <f>IFERROR(__xludf.DUMMYFUNCTION("""COMPUTED_VALUE"""),"loopnetwork")</f>
        <v>loopnetwork</v>
      </c>
      <c r="B6856" s="3" t="str">
        <f>IFERROR(__xludf.DUMMYFUNCTION("""COMPUTED_VALUE"""),"loop")</f>
        <v>loop</v>
      </c>
      <c r="C6856" s="3" t="str">
        <f>IFERROR(__xludf.DUMMYFUNCTION("""COMPUTED_VALUE"""),"LoopNetwork")</f>
        <v>LoopNetwork</v>
      </c>
    </row>
    <row r="6857">
      <c r="A6857" s="3" t="str">
        <f>IFERROR(__xludf.DUMMYFUNCTION("""COMPUTED_VALUE"""),"loopring")</f>
        <v>loopring</v>
      </c>
      <c r="B6857" s="3" t="str">
        <f>IFERROR(__xludf.DUMMYFUNCTION("""COMPUTED_VALUE"""),"lrc")</f>
        <v>lrc</v>
      </c>
      <c r="C6857" s="3" t="str">
        <f>IFERROR(__xludf.DUMMYFUNCTION("""COMPUTED_VALUE"""),"Loopring")</f>
        <v>Loopring</v>
      </c>
    </row>
    <row r="6858">
      <c r="A6858" s="3" t="str">
        <f>IFERROR(__xludf.DUMMYFUNCTION("""COMPUTED_VALUE"""),"loopswap")</f>
        <v>loopswap</v>
      </c>
      <c r="B6858" s="3" t="str">
        <f>IFERROR(__xludf.DUMMYFUNCTION("""COMPUTED_VALUE"""),"lswap")</f>
        <v>lswap</v>
      </c>
      <c r="C6858" s="3" t="str">
        <f>IFERROR(__xludf.DUMMYFUNCTION("""COMPUTED_VALUE"""),"LoopSwap")</f>
        <v>LoopSwap</v>
      </c>
    </row>
    <row r="6859">
      <c r="A6859" s="3" t="str">
        <f>IFERROR(__xludf.DUMMYFUNCTION("""COMPUTED_VALUE"""),"loop-x-network")</f>
        <v>loop-x-network</v>
      </c>
      <c r="B6859" s="3" t="str">
        <f>IFERROR(__xludf.DUMMYFUNCTION("""COMPUTED_VALUE"""),"loop")</f>
        <v>loop</v>
      </c>
      <c r="C6859" s="3" t="str">
        <f>IFERROR(__xludf.DUMMYFUNCTION("""COMPUTED_VALUE"""),"Loop X Network")</f>
        <v>Loop X Network</v>
      </c>
    </row>
    <row r="6860">
      <c r="A6860" s="3" t="str">
        <f>IFERROR(__xludf.DUMMYFUNCTION("""COMPUTED_VALUE"""),"loot")</f>
        <v>loot</v>
      </c>
      <c r="B6860" s="3" t="str">
        <f>IFERROR(__xludf.DUMMYFUNCTION("""COMPUTED_VALUE"""),"loot")</f>
        <v>loot</v>
      </c>
      <c r="C6860" s="3" t="str">
        <f>IFERROR(__xludf.DUMMYFUNCTION("""COMPUTED_VALUE"""),"Lootex")</f>
        <v>Lootex</v>
      </c>
    </row>
    <row r="6861">
      <c r="A6861" s="3" t="str">
        <f>IFERROR(__xludf.DUMMYFUNCTION("""COMPUTED_VALUE"""),"loot-dollar")</f>
        <v>loot-dollar</v>
      </c>
      <c r="B6861" s="3" t="str">
        <f>IFERROR(__xludf.DUMMYFUNCTION("""COMPUTED_VALUE"""),"lootdollar")</f>
        <v>lootdollar</v>
      </c>
      <c r="C6861" s="3" t="str">
        <f>IFERROR(__xludf.DUMMYFUNCTION("""COMPUTED_VALUE"""),"Loot Dollar")</f>
        <v>Loot Dollar</v>
      </c>
    </row>
    <row r="6862">
      <c r="A6862" s="3" t="str">
        <f>IFERROR(__xludf.DUMMYFUNCTION("""COMPUTED_VALUE"""),"loot-token")</f>
        <v>loot-token</v>
      </c>
      <c r="B6862" s="3" t="str">
        <f>IFERROR(__xludf.DUMMYFUNCTION("""COMPUTED_VALUE"""),"loot")</f>
        <v>loot</v>
      </c>
      <c r="C6862" s="3" t="str">
        <f>IFERROR(__xludf.DUMMYFUNCTION("""COMPUTED_VALUE"""),"Loot")</f>
        <v>Loot</v>
      </c>
    </row>
    <row r="6863">
      <c r="A6863" s="3" t="str">
        <f>IFERROR(__xludf.DUMMYFUNCTION("""COMPUTED_VALUE"""),"lord-arena")</f>
        <v>lord-arena</v>
      </c>
      <c r="B6863" s="3" t="str">
        <f>IFERROR(__xludf.DUMMYFUNCTION("""COMPUTED_VALUE"""),"lorda")</f>
        <v>lorda</v>
      </c>
      <c r="C6863" s="3" t="str">
        <f>IFERROR(__xludf.DUMMYFUNCTION("""COMPUTED_VALUE"""),"Lord Arena")</f>
        <v>Lord Arena</v>
      </c>
    </row>
    <row r="6864">
      <c r="A6864" s="3" t="str">
        <f>IFERROR(__xludf.DUMMYFUNCTION("""COMPUTED_VALUE"""),"lorde-edge")</f>
        <v>lorde-edge</v>
      </c>
      <c r="B6864" s="3" t="str">
        <f>IFERROR(__xludf.DUMMYFUNCTION("""COMPUTED_VALUE"""),"edgelon")</f>
        <v>edgelon</v>
      </c>
      <c r="C6864" s="3" t="str">
        <f>IFERROR(__xludf.DUMMYFUNCTION("""COMPUTED_VALUE"""),"Lorde Edge")</f>
        <v>Lorde Edge</v>
      </c>
    </row>
    <row r="6865">
      <c r="A6865" s="3" t="str">
        <f>IFERROR(__xludf.DUMMYFUNCTION("""COMPUTED_VALUE"""),"lord-of-power-golden-eagle")</f>
        <v>lord-of-power-golden-eagle</v>
      </c>
      <c r="B6865" s="3" t="str">
        <f>IFERROR(__xludf.DUMMYFUNCTION("""COMPUTED_VALUE"""),"gde")</f>
        <v>gde</v>
      </c>
      <c r="C6865" s="3" t="str">
        <f>IFERROR(__xludf.DUMMYFUNCTION("""COMPUTED_VALUE"""),"Lord of Power Golden Eagle")</f>
        <v>Lord of Power Golden Eagle</v>
      </c>
    </row>
    <row r="6866">
      <c r="A6866" s="3" t="str">
        <f>IFERROR(__xludf.DUMMYFUNCTION("""COMPUTED_VALUE"""),"lords")</f>
        <v>lords</v>
      </c>
      <c r="B6866" s="3" t="str">
        <f>IFERROR(__xludf.DUMMYFUNCTION("""COMPUTED_VALUE"""),"lords")</f>
        <v>lords</v>
      </c>
      <c r="C6866" s="3" t="str">
        <f>IFERROR(__xludf.DUMMYFUNCTION("""COMPUTED_VALUE"""),"LORDS")</f>
        <v>LORDS</v>
      </c>
    </row>
    <row r="6867">
      <c r="A6867" s="3" t="str">
        <f>IFERROR(__xludf.DUMMYFUNCTION("""COMPUTED_VALUE"""),"lordtoken")</f>
        <v>lordtoken</v>
      </c>
      <c r="B6867" s="3" t="str">
        <f>IFERROR(__xludf.DUMMYFUNCTION("""COMPUTED_VALUE"""),"ltt")</f>
        <v>ltt</v>
      </c>
      <c r="C6867" s="3" t="str">
        <f>IFERROR(__xludf.DUMMYFUNCTION("""COMPUTED_VALUE"""),"LordToken")</f>
        <v>LordToken</v>
      </c>
    </row>
    <row r="6868">
      <c r="A6868" s="3" t="str">
        <f>IFERROR(__xludf.DUMMYFUNCTION("""COMPUTED_VALUE"""),"loserchick-egg")</f>
        <v>loserchick-egg</v>
      </c>
      <c r="B6868" s="3" t="str">
        <f>IFERROR(__xludf.DUMMYFUNCTION("""COMPUTED_VALUE"""),"egg")</f>
        <v>egg</v>
      </c>
      <c r="C6868" s="3" t="str">
        <f>IFERROR(__xludf.DUMMYFUNCTION("""COMPUTED_VALUE"""),"LoserChick EGG")</f>
        <v>LoserChick EGG</v>
      </c>
    </row>
    <row r="6869">
      <c r="A6869" s="3" t="str">
        <f>IFERROR(__xludf.DUMMYFUNCTION("""COMPUTED_VALUE"""),"loser-coin")</f>
        <v>loser-coin</v>
      </c>
      <c r="B6869" s="3" t="str">
        <f>IFERROR(__xludf.DUMMYFUNCTION("""COMPUTED_VALUE"""),"lowb")</f>
        <v>lowb</v>
      </c>
      <c r="C6869" s="3" t="str">
        <f>IFERROR(__xludf.DUMMYFUNCTION("""COMPUTED_VALUE"""),"Loser Coin")</f>
        <v>Loser Coin</v>
      </c>
    </row>
    <row r="6870">
      <c r="A6870" s="3" t="str">
        <f>IFERROR(__xludf.DUMMYFUNCTION("""COMPUTED_VALUE"""),"lossless")</f>
        <v>lossless</v>
      </c>
      <c r="B6870" s="3" t="str">
        <f>IFERROR(__xludf.DUMMYFUNCTION("""COMPUTED_VALUE"""),"lss")</f>
        <v>lss</v>
      </c>
      <c r="C6870" s="3" t="str">
        <f>IFERROR(__xludf.DUMMYFUNCTION("""COMPUTED_VALUE"""),"Lossless")</f>
        <v>Lossless</v>
      </c>
    </row>
    <row r="6871">
      <c r="A6871" s="3" t="str">
        <f>IFERROR(__xludf.DUMMYFUNCTION("""COMPUTED_VALUE"""),"lost-world")</f>
        <v>lost-world</v>
      </c>
      <c r="B6871" s="3" t="str">
        <f>IFERROR(__xludf.DUMMYFUNCTION("""COMPUTED_VALUE"""),"lost")</f>
        <v>lost</v>
      </c>
      <c r="C6871" s="3" t="str">
        <f>IFERROR(__xludf.DUMMYFUNCTION("""COMPUTED_VALUE"""),"Lost World")</f>
        <v>Lost World</v>
      </c>
    </row>
    <row r="6872">
      <c r="A6872" s="3" t="str">
        <f>IFERROR(__xludf.DUMMYFUNCTION("""COMPUTED_VALUE"""),"lotoblock")</f>
        <v>lotoblock</v>
      </c>
      <c r="B6872" s="3" t="str">
        <f>IFERROR(__xludf.DUMMYFUNCTION("""COMPUTED_VALUE"""),"loto")</f>
        <v>loto</v>
      </c>
      <c r="C6872" s="3" t="str">
        <f>IFERROR(__xludf.DUMMYFUNCTION("""COMPUTED_VALUE"""),"Lotoblock")</f>
        <v>Lotoblock</v>
      </c>
    </row>
    <row r="6873">
      <c r="A6873" s="3" t="str">
        <f>IFERROR(__xludf.DUMMYFUNCTION("""COMPUTED_VALUE"""),"lotto")</f>
        <v>lotto</v>
      </c>
      <c r="B6873" s="3" t="str">
        <f>IFERROR(__xludf.DUMMYFUNCTION("""COMPUTED_VALUE"""),"lotto")</f>
        <v>lotto</v>
      </c>
      <c r="C6873" s="3" t="str">
        <f>IFERROR(__xludf.DUMMYFUNCTION("""COMPUTED_VALUE"""),"Lotto")</f>
        <v>Lotto</v>
      </c>
    </row>
    <row r="6874">
      <c r="A6874" s="3" t="str">
        <f>IFERROR(__xludf.DUMMYFUNCTION("""COMPUTED_VALUE"""),"lot-trade")</f>
        <v>lot-trade</v>
      </c>
      <c r="B6874" s="3" t="str">
        <f>IFERROR(__xludf.DUMMYFUNCTION("""COMPUTED_VALUE"""),"lott")</f>
        <v>lott</v>
      </c>
      <c r="C6874" s="3" t="str">
        <f>IFERROR(__xludf.DUMMYFUNCTION("""COMPUTED_VALUE"""),"LOT.TRADE")</f>
        <v>LOT.TRADE</v>
      </c>
    </row>
    <row r="6875">
      <c r="A6875" s="3" t="str">
        <f>IFERROR(__xludf.DUMMYFUNCTION("""COMPUTED_VALUE"""),"loud-market")</f>
        <v>loud-market</v>
      </c>
      <c r="B6875" s="3" t="str">
        <f>IFERROR(__xludf.DUMMYFUNCTION("""COMPUTED_VALUE"""),"loud")</f>
        <v>loud</v>
      </c>
      <c r="C6875" s="3" t="str">
        <f>IFERROR(__xludf.DUMMYFUNCTION("""COMPUTED_VALUE"""),"Loud Market")</f>
        <v>Loud Market</v>
      </c>
    </row>
    <row r="6876">
      <c r="A6876" s="3" t="str">
        <f>IFERROR(__xludf.DUMMYFUNCTION("""COMPUTED_VALUE"""),"louverture")</f>
        <v>louverture</v>
      </c>
      <c r="B6876" s="3" t="str">
        <f>IFERROR(__xludf.DUMMYFUNCTION("""COMPUTED_VALUE"""),"lvt")</f>
        <v>lvt</v>
      </c>
      <c r="C6876" s="3" t="str">
        <f>IFERROR(__xludf.DUMMYFUNCTION("""COMPUTED_VALUE"""),"Louverture V2")</f>
        <v>Louverture V2</v>
      </c>
    </row>
    <row r="6877">
      <c r="A6877" s="3" t="str">
        <f>IFERROR(__xludf.DUMMYFUNCTION("""COMPUTED_VALUE"""),"louvre-finance")</f>
        <v>louvre-finance</v>
      </c>
      <c r="B6877" s="3" t="str">
        <f>IFERROR(__xludf.DUMMYFUNCTION("""COMPUTED_VALUE"""),"louvre")</f>
        <v>louvre</v>
      </c>
      <c r="C6877" s="3" t="str">
        <f>IFERROR(__xludf.DUMMYFUNCTION("""COMPUTED_VALUE"""),"Louvre Finance")</f>
        <v>Louvre Finance</v>
      </c>
    </row>
    <row r="6878">
      <c r="A6878" s="3" t="str">
        <f>IFERROR(__xludf.DUMMYFUNCTION("""COMPUTED_VALUE"""),"lovechain")</f>
        <v>lovechain</v>
      </c>
      <c r="B6878" s="3" t="str">
        <f>IFERROR(__xludf.DUMMYFUNCTION("""COMPUTED_VALUE"""),"lov")</f>
        <v>lov</v>
      </c>
      <c r="C6878" s="3" t="str">
        <f>IFERROR(__xludf.DUMMYFUNCTION("""COMPUTED_VALUE"""),"LoveChain")</f>
        <v>LoveChain</v>
      </c>
    </row>
    <row r="6879">
      <c r="A6879" s="3" t="str">
        <f>IFERROR(__xludf.DUMMYFUNCTION("""COMPUTED_VALUE"""),"lovelace-world")</f>
        <v>lovelace-world</v>
      </c>
      <c r="B6879" s="3" t="str">
        <f>IFERROR(__xludf.DUMMYFUNCTION("""COMPUTED_VALUE"""),"lace")</f>
        <v>lace</v>
      </c>
      <c r="C6879" s="3" t="str">
        <f>IFERROR(__xludf.DUMMYFUNCTION("""COMPUTED_VALUE"""),"Lovelace World")</f>
        <v>Lovelace World</v>
      </c>
    </row>
    <row r="6880">
      <c r="A6880" s="3" t="str">
        <f>IFERROR(__xludf.DUMMYFUNCTION("""COMPUTED_VALUE"""),"lovely-inu-finance")</f>
        <v>lovely-inu-finance</v>
      </c>
      <c r="B6880" s="3" t="str">
        <f>IFERROR(__xludf.DUMMYFUNCTION("""COMPUTED_VALUE"""),"lovely")</f>
        <v>lovely</v>
      </c>
      <c r="C6880" s="3" t="str">
        <f>IFERROR(__xludf.DUMMYFUNCTION("""COMPUTED_VALUE"""),"Lovely Inu finance")</f>
        <v>Lovely Inu finance</v>
      </c>
    </row>
    <row r="6881">
      <c r="A6881" s="3" t="str">
        <f>IFERROR(__xludf.DUMMYFUNCTION("""COMPUTED_VALUE"""),"lovely-swap-token")</f>
        <v>lovely-swap-token</v>
      </c>
      <c r="B6881" s="3" t="str">
        <f>IFERROR(__xludf.DUMMYFUNCTION("""COMPUTED_VALUE"""),"lst")</f>
        <v>lst</v>
      </c>
      <c r="C6881" s="3" t="str">
        <f>IFERROR(__xludf.DUMMYFUNCTION("""COMPUTED_VALUE"""),"Lovely Swap")</f>
        <v>Lovely Swap</v>
      </c>
    </row>
    <row r="6882">
      <c r="A6882" s="3" t="str">
        <f>IFERROR(__xludf.DUMMYFUNCTION("""COMPUTED_VALUE"""),"lovepot-token")</f>
        <v>lovepot-token</v>
      </c>
      <c r="B6882" s="3" t="str">
        <f>IFERROR(__xludf.DUMMYFUNCTION("""COMPUTED_VALUE"""),"love")</f>
        <v>love</v>
      </c>
      <c r="C6882" s="3" t="str">
        <f>IFERROR(__xludf.DUMMYFUNCTION("""COMPUTED_VALUE"""),"LovePot")</f>
        <v>LovePot</v>
      </c>
    </row>
    <row r="6883">
      <c r="A6883" s="3" t="str">
        <f>IFERROR(__xludf.DUMMYFUNCTION("""COMPUTED_VALUE"""),"lox-network")</f>
        <v>lox-network</v>
      </c>
      <c r="B6883" s="3" t="str">
        <f>IFERROR(__xludf.DUMMYFUNCTION("""COMPUTED_VALUE"""),"lox")</f>
        <v>lox</v>
      </c>
      <c r="C6883" s="3" t="str">
        <f>IFERROR(__xludf.DUMMYFUNCTION("""COMPUTED_VALUE"""),"Lox Network")</f>
        <v>Lox Network</v>
      </c>
    </row>
    <row r="6884">
      <c r="A6884" s="3" t="str">
        <f>IFERROR(__xludf.DUMMYFUNCTION("""COMPUTED_VALUE"""),"lp-3pool-curve")</f>
        <v>lp-3pool-curve</v>
      </c>
      <c r="B6884" s="3" t="str">
        <f>IFERROR(__xludf.DUMMYFUNCTION("""COMPUTED_VALUE"""),"3crv")</f>
        <v>3crv</v>
      </c>
      <c r="C6884" s="3" t="str">
        <f>IFERROR(__xludf.DUMMYFUNCTION("""COMPUTED_VALUE"""),"LP 3pool Curve")</f>
        <v>LP 3pool Curve</v>
      </c>
    </row>
    <row r="6885">
      <c r="A6885" s="3" t="str">
        <f>IFERROR(__xludf.DUMMYFUNCTION("""COMPUTED_VALUE"""),"lp-finance")</f>
        <v>lp-finance</v>
      </c>
      <c r="B6885" s="3" t="str">
        <f>IFERROR(__xludf.DUMMYFUNCTION("""COMPUTED_VALUE"""),"lpfi")</f>
        <v>lpfi</v>
      </c>
      <c r="C6885" s="3" t="str">
        <f>IFERROR(__xludf.DUMMYFUNCTION("""COMPUTED_VALUE"""),"LP Finance DAO")</f>
        <v>LP Finance DAO</v>
      </c>
    </row>
    <row r="6886">
      <c r="A6886" s="3" t="str">
        <f>IFERROR(__xludf.DUMMYFUNCTION("""COMPUTED_VALUE"""),"lpi-dao")</f>
        <v>lpi-dao</v>
      </c>
      <c r="B6886" s="3" t="str">
        <f>IFERROR(__xludf.DUMMYFUNCTION("""COMPUTED_VALUE"""),"lpi")</f>
        <v>lpi</v>
      </c>
      <c r="C6886" s="3" t="str">
        <f>IFERROR(__xludf.DUMMYFUNCTION("""COMPUTED_VALUE"""),"LPI DAO")</f>
        <v>LPI DAO</v>
      </c>
    </row>
    <row r="6887">
      <c r="A6887" s="3" t="str">
        <f>IFERROR(__xludf.DUMMYFUNCTION("""COMPUTED_VALUE"""),"lp-renbtc-curve")</f>
        <v>lp-renbtc-curve</v>
      </c>
      <c r="B6887" s="3" t="str">
        <f>IFERROR(__xludf.DUMMYFUNCTION("""COMPUTED_VALUE"""),"renbtccurve")</f>
        <v>renbtccurve</v>
      </c>
      <c r="C6887" s="3" t="str">
        <f>IFERROR(__xludf.DUMMYFUNCTION("""COMPUTED_VALUE"""),"LP renBTC Curve")</f>
        <v>LP renBTC Curve</v>
      </c>
    </row>
    <row r="6888">
      <c r="A6888" s="3" t="str">
        <f>IFERROR(__xludf.DUMMYFUNCTION("""COMPUTED_VALUE"""),"lp-scurve")</f>
        <v>lp-scurve</v>
      </c>
      <c r="B6888" s="3" t="str">
        <f>IFERROR(__xludf.DUMMYFUNCTION("""COMPUTED_VALUE"""),"scurve")</f>
        <v>scurve</v>
      </c>
      <c r="C6888" s="3" t="str">
        <f>IFERROR(__xludf.DUMMYFUNCTION("""COMPUTED_VALUE"""),"LP-sCurve")</f>
        <v>LP-sCurve</v>
      </c>
    </row>
    <row r="6889">
      <c r="A6889" s="3" t="str">
        <f>IFERROR(__xludf.DUMMYFUNCTION("""COMPUTED_VALUE"""),"lp-yearn-crv-vault")</f>
        <v>lp-yearn-crv-vault</v>
      </c>
      <c r="B6889" s="3" t="str">
        <f>IFERROR(__xludf.DUMMYFUNCTION("""COMPUTED_VALUE"""),"lp-ycrv")</f>
        <v>lp-ycrv</v>
      </c>
      <c r="C6889" s="3" t="str">
        <f>IFERROR(__xludf.DUMMYFUNCTION("""COMPUTED_VALUE"""),"LP Yearn CRV Vault")</f>
        <v>LP Yearn CRV Vault</v>
      </c>
    </row>
    <row r="6890">
      <c r="A6890" s="3" t="str">
        <f>IFERROR(__xludf.DUMMYFUNCTION("""COMPUTED_VALUE"""),"lto-network")</f>
        <v>lto-network</v>
      </c>
      <c r="B6890" s="3" t="str">
        <f>IFERROR(__xludf.DUMMYFUNCTION("""COMPUTED_VALUE"""),"lto")</f>
        <v>lto</v>
      </c>
      <c r="C6890" s="3" t="str">
        <f>IFERROR(__xludf.DUMMYFUNCTION("""COMPUTED_VALUE"""),"LTO Network")</f>
        <v>LTO Network</v>
      </c>
    </row>
    <row r="6891">
      <c r="A6891" s="3" t="str">
        <f>IFERROR(__xludf.DUMMYFUNCTION("""COMPUTED_VALUE"""),"ltradex")</f>
        <v>ltradex</v>
      </c>
      <c r="B6891" s="3" t="str">
        <f>IFERROR(__xludf.DUMMYFUNCTION("""COMPUTED_VALUE"""),"ltex")</f>
        <v>ltex</v>
      </c>
      <c r="C6891" s="3" t="str">
        <f>IFERROR(__xludf.DUMMYFUNCTION("""COMPUTED_VALUE"""),"Ltradex")</f>
        <v>Ltradex</v>
      </c>
    </row>
    <row r="6892">
      <c r="A6892" s="3" t="str">
        <f>IFERROR(__xludf.DUMMYFUNCTION("""COMPUTED_VALUE"""),"lua-token")</f>
        <v>lua-token</v>
      </c>
      <c r="B6892" s="3" t="str">
        <f>IFERROR(__xludf.DUMMYFUNCTION("""COMPUTED_VALUE"""),"lua")</f>
        <v>lua</v>
      </c>
      <c r="C6892" s="3" t="str">
        <f>IFERROR(__xludf.DUMMYFUNCTION("""COMPUTED_VALUE"""),"LuaSwap")</f>
        <v>LuaSwap</v>
      </c>
    </row>
    <row r="6893">
      <c r="A6893" s="3" t="str">
        <f>IFERROR(__xludf.DUMMYFUNCTION("""COMPUTED_VALUE"""),"luca")</f>
        <v>luca</v>
      </c>
      <c r="B6893" s="3" t="str">
        <f>IFERROR(__xludf.DUMMYFUNCTION("""COMPUTED_VALUE"""),"luca")</f>
        <v>luca</v>
      </c>
      <c r="C6893" s="3" t="str">
        <f>IFERROR(__xludf.DUMMYFUNCTION("""COMPUTED_VALUE"""),"LUCA")</f>
        <v>LUCA</v>
      </c>
    </row>
    <row r="6894">
      <c r="A6894" s="3" t="str">
        <f>IFERROR(__xludf.DUMMYFUNCTION("""COMPUTED_VALUE"""),"lucent")</f>
        <v>lucent</v>
      </c>
      <c r="B6894" s="3" t="str">
        <f>IFERROR(__xludf.DUMMYFUNCTION("""COMPUTED_VALUE"""),"lcnt")</f>
        <v>lcnt</v>
      </c>
      <c r="C6894" s="3" t="str">
        <f>IFERROR(__xludf.DUMMYFUNCTION("""COMPUTED_VALUE"""),"Lucent")</f>
        <v>Lucent</v>
      </c>
    </row>
    <row r="6895">
      <c r="A6895" s="3" t="str">
        <f>IFERROR(__xludf.DUMMYFUNCTION("""COMPUTED_VALUE"""),"lucha")</f>
        <v>lucha</v>
      </c>
      <c r="B6895" s="3" t="str">
        <f>IFERROR(__xludf.DUMMYFUNCTION("""COMPUTED_VALUE"""),"lucha")</f>
        <v>lucha</v>
      </c>
      <c r="C6895" s="3" t="str">
        <f>IFERROR(__xludf.DUMMYFUNCTION("""COMPUTED_VALUE"""),"Lucha")</f>
        <v>Lucha</v>
      </c>
    </row>
    <row r="6896">
      <c r="A6896" s="3" t="str">
        <f>IFERROR(__xludf.DUMMYFUNCTION("""COMPUTED_VALUE"""),"lucidao")</f>
        <v>lucidao</v>
      </c>
      <c r="B6896" s="3" t="str">
        <f>IFERROR(__xludf.DUMMYFUNCTION("""COMPUTED_VALUE"""),"lcd")</f>
        <v>lcd</v>
      </c>
      <c r="C6896" s="3" t="str">
        <f>IFERROR(__xludf.DUMMYFUNCTION("""COMPUTED_VALUE"""),"Lucidao")</f>
        <v>Lucidao</v>
      </c>
    </row>
    <row r="6897">
      <c r="A6897" s="3" t="str">
        <f>IFERROR(__xludf.DUMMYFUNCTION("""COMPUTED_VALUE"""),"lucid-lands")</f>
        <v>lucid-lands</v>
      </c>
      <c r="B6897" s="3" t="str">
        <f>IFERROR(__xludf.DUMMYFUNCTION("""COMPUTED_VALUE"""),"llg")</f>
        <v>llg</v>
      </c>
      <c r="C6897" s="3" t="str">
        <f>IFERROR(__xludf.DUMMYFUNCTION("""COMPUTED_VALUE"""),"Lucid Lands")</f>
        <v>Lucid Lands</v>
      </c>
    </row>
    <row r="6898">
      <c r="A6898" s="3" t="str">
        <f>IFERROR(__xludf.DUMMYFUNCTION("""COMPUTED_VALUE"""),"lucis")</f>
        <v>lucis</v>
      </c>
      <c r="B6898" s="3" t="str">
        <f>IFERROR(__xludf.DUMMYFUNCTION("""COMPUTED_VALUE"""),"lucis")</f>
        <v>lucis</v>
      </c>
      <c r="C6898" s="3" t="str">
        <f>IFERROR(__xludf.DUMMYFUNCTION("""COMPUTED_VALUE"""),"Lucis Network")</f>
        <v>Lucis Network</v>
      </c>
    </row>
    <row r="6899">
      <c r="A6899" s="3" t="str">
        <f>IFERROR(__xludf.DUMMYFUNCTION("""COMPUTED_VALUE"""),"luck2earn")</f>
        <v>luck2earn</v>
      </c>
      <c r="B6899" s="3" t="str">
        <f>IFERROR(__xludf.DUMMYFUNCTION("""COMPUTED_VALUE"""),"luck")</f>
        <v>luck</v>
      </c>
      <c r="C6899" s="3" t="str">
        <f>IFERROR(__xludf.DUMMYFUNCTION("""COMPUTED_VALUE"""),"Luck2Earn")</f>
        <v>Luck2Earn</v>
      </c>
    </row>
    <row r="6900">
      <c r="A6900" s="3" t="str">
        <f>IFERROR(__xludf.DUMMYFUNCTION("""COMPUTED_VALUE"""),"luckchain")</f>
        <v>luckchain</v>
      </c>
      <c r="B6900" s="3" t="str">
        <f>IFERROR(__xludf.DUMMYFUNCTION("""COMPUTED_VALUE"""),"bash")</f>
        <v>bash</v>
      </c>
      <c r="C6900" s="3" t="str">
        <f>IFERROR(__xludf.DUMMYFUNCTION("""COMPUTED_VALUE"""),"LuckChain")</f>
        <v>LuckChain</v>
      </c>
    </row>
    <row r="6901">
      <c r="A6901" s="3" t="str">
        <f>IFERROR(__xludf.DUMMYFUNCTION("""COMPUTED_VALUE"""),"luckdao")</f>
        <v>luckdao</v>
      </c>
      <c r="B6901" s="3" t="str">
        <f>IFERROR(__xludf.DUMMYFUNCTION("""COMPUTED_VALUE"""),"luck")</f>
        <v>luck</v>
      </c>
      <c r="C6901" s="3" t="str">
        <f>IFERROR(__xludf.DUMMYFUNCTION("""COMPUTED_VALUE"""),"LuckDao")</f>
        <v>LuckDao</v>
      </c>
    </row>
    <row r="6902">
      <c r="A6902" s="3" t="str">
        <f>IFERROR(__xludf.DUMMYFUNCTION("""COMPUTED_VALUE"""),"luckstar")</f>
        <v>luckstar</v>
      </c>
      <c r="B6902" s="3" t="str">
        <f>IFERROR(__xludf.DUMMYFUNCTION("""COMPUTED_VALUE"""),"lst")</f>
        <v>lst</v>
      </c>
      <c r="C6902" s="3" t="str">
        <f>IFERROR(__xludf.DUMMYFUNCTION("""COMPUTED_VALUE"""),"Luckstar")</f>
        <v>Luckstar</v>
      </c>
    </row>
    <row r="6903">
      <c r="A6903" s="3" t="str">
        <f>IFERROR(__xludf.DUMMYFUNCTION("""COMPUTED_VALUE"""),"lucky777")</f>
        <v>lucky777</v>
      </c>
      <c r="B6903" s="3" t="str">
        <f>IFERROR(__xludf.DUMMYFUNCTION("""COMPUTED_VALUE"""),"777")</f>
        <v>777</v>
      </c>
      <c r="C6903" s="3" t="str">
        <f>IFERROR(__xludf.DUMMYFUNCTION("""COMPUTED_VALUE"""),"Lucky777")</f>
        <v>Lucky777</v>
      </c>
    </row>
    <row r="6904">
      <c r="A6904" s="3" t="str">
        <f>IFERROR(__xludf.DUMMYFUNCTION("""COMPUTED_VALUE"""),"lucky-block")</f>
        <v>lucky-block</v>
      </c>
      <c r="B6904" s="3" t="str">
        <f>IFERROR(__xludf.DUMMYFUNCTION("""COMPUTED_VALUE"""),"lblock")</f>
        <v>lblock</v>
      </c>
      <c r="C6904" s="3" t="str">
        <f>IFERROR(__xludf.DUMMYFUNCTION("""COMPUTED_VALUE"""),"Lucky Block")</f>
        <v>Lucky Block</v>
      </c>
    </row>
    <row r="6905">
      <c r="A6905" s="3" t="str">
        <f>IFERROR(__xludf.DUMMYFUNCTION("""COMPUTED_VALUE"""),"lucky-cats")</f>
        <v>lucky-cats</v>
      </c>
      <c r="B6905" s="3" t="str">
        <f>IFERROR(__xludf.DUMMYFUNCTION("""COMPUTED_VALUE"""),"katz")</f>
        <v>katz</v>
      </c>
      <c r="C6905" s="3" t="str">
        <f>IFERROR(__xludf.DUMMYFUNCTION("""COMPUTED_VALUE"""),"Lucky Cats")</f>
        <v>Lucky Cats</v>
      </c>
    </row>
    <row r="6906">
      <c r="A6906" s="3" t="str">
        <f>IFERROR(__xludf.DUMMYFUNCTION("""COMPUTED_VALUE"""),"luckychip")</f>
        <v>luckychip</v>
      </c>
      <c r="B6906" s="3" t="str">
        <f>IFERROR(__xludf.DUMMYFUNCTION("""COMPUTED_VALUE"""),"lc")</f>
        <v>lc</v>
      </c>
      <c r="C6906" s="3" t="str">
        <f>IFERROR(__xludf.DUMMYFUNCTION("""COMPUTED_VALUE"""),"LuckyChip")</f>
        <v>LuckyChip</v>
      </c>
    </row>
    <row r="6907">
      <c r="A6907" s="3" t="str">
        <f>IFERROR(__xludf.DUMMYFUNCTION("""COMPUTED_VALUE"""),"luckydoge")</f>
        <v>luckydoge</v>
      </c>
      <c r="B6907" s="3" t="str">
        <f>IFERROR(__xludf.DUMMYFUNCTION("""COMPUTED_VALUE"""),"luckydoge")</f>
        <v>luckydoge</v>
      </c>
      <c r="C6907" s="3" t="str">
        <f>IFERROR(__xludf.DUMMYFUNCTION("""COMPUTED_VALUE"""),"LuckyDoge")</f>
        <v>LuckyDoge</v>
      </c>
    </row>
    <row r="6908">
      <c r="A6908" s="3" t="str">
        <f>IFERROR(__xludf.DUMMYFUNCTION("""COMPUTED_VALUE"""),"luckydragon")</f>
        <v>luckydragon</v>
      </c>
      <c r="B6908" s="3" t="str">
        <f>IFERROR(__xludf.DUMMYFUNCTION("""COMPUTED_VALUE"""),"lucky")</f>
        <v>lucky</v>
      </c>
      <c r="C6908" s="3" t="str">
        <f>IFERROR(__xludf.DUMMYFUNCTION("""COMPUTED_VALUE"""),"LuckyDragon")</f>
        <v>LuckyDragon</v>
      </c>
    </row>
    <row r="6909">
      <c r="A6909" s="3" t="str">
        <f>IFERROR(__xludf.DUMMYFUNCTION("""COMPUTED_VALUE"""),"lucky-lion")</f>
        <v>lucky-lion</v>
      </c>
      <c r="B6909" s="3" t="str">
        <f>IFERROR(__xludf.DUMMYFUNCTION("""COMPUTED_VALUE"""),"lucky")</f>
        <v>lucky</v>
      </c>
      <c r="C6909" s="3" t="str">
        <f>IFERROR(__xludf.DUMMYFUNCTION("""COMPUTED_VALUE"""),"Lucky Lion")</f>
        <v>Lucky Lion</v>
      </c>
    </row>
    <row r="6910">
      <c r="A6910" s="3" t="str">
        <f>IFERROR(__xludf.DUMMYFUNCTION("""COMPUTED_VALUE"""),"luckymeta")</f>
        <v>luckymeta</v>
      </c>
      <c r="B6910" s="3" t="str">
        <f>IFERROR(__xludf.DUMMYFUNCTION("""COMPUTED_VALUE"""),"lmt")</f>
        <v>lmt</v>
      </c>
      <c r="C6910" s="3" t="str">
        <f>IFERROR(__xludf.DUMMYFUNCTION("""COMPUTED_VALUE"""),"LuckyMeta")</f>
        <v>LuckyMeta</v>
      </c>
    </row>
    <row r="6911">
      <c r="A6911" s="3" t="str">
        <f>IFERROR(__xludf.DUMMYFUNCTION("""COMPUTED_VALUE"""),"lucky-metaverse")</f>
        <v>lucky-metaverse</v>
      </c>
      <c r="B6911" s="3" t="str">
        <f>IFERROR(__xludf.DUMMYFUNCTION("""COMPUTED_VALUE"""),"lmeta")</f>
        <v>lmeta</v>
      </c>
      <c r="C6911" s="3" t="str">
        <f>IFERROR(__xludf.DUMMYFUNCTION("""COMPUTED_VALUE"""),"Lucky Metaverse")</f>
        <v>Lucky Metaverse</v>
      </c>
    </row>
    <row r="6912">
      <c r="A6912" s="3" t="str">
        <f>IFERROR(__xludf.DUMMYFUNCTION("""COMPUTED_VALUE"""),"lucky-property-development-invest")</f>
        <v>lucky-property-development-invest</v>
      </c>
      <c r="B6912" s="3" t="str">
        <f>IFERROR(__xludf.DUMMYFUNCTION("""COMPUTED_VALUE"""),"lpdi")</f>
        <v>lpdi</v>
      </c>
      <c r="C6912" s="3" t="str">
        <f>IFERROR(__xludf.DUMMYFUNCTION("""COMPUTED_VALUE"""),"Lucky Property Development Invest")</f>
        <v>Lucky Property Development Invest</v>
      </c>
    </row>
    <row r="6913">
      <c r="A6913" s="3" t="str">
        <f>IFERROR(__xludf.DUMMYFUNCTION("""COMPUTED_VALUE"""),"lucky-roo")</f>
        <v>lucky-roo</v>
      </c>
      <c r="B6913" s="3" t="str">
        <f>IFERROR(__xludf.DUMMYFUNCTION("""COMPUTED_VALUE"""),"roo")</f>
        <v>roo</v>
      </c>
      <c r="C6913" s="3" t="str">
        <f>IFERROR(__xludf.DUMMYFUNCTION("""COMPUTED_VALUE"""),"Lucky Roo")</f>
        <v>Lucky Roo</v>
      </c>
    </row>
    <row r="6914">
      <c r="A6914" s="3" t="str">
        <f>IFERROR(__xludf.DUMMYFUNCTION("""COMPUTED_VALUE"""),"lucky-shinu")</f>
        <v>lucky-shinu</v>
      </c>
      <c r="B6914" s="3" t="str">
        <f>IFERROR(__xludf.DUMMYFUNCTION("""COMPUTED_VALUE"""),"lushi")</f>
        <v>lushi</v>
      </c>
      <c r="C6914" s="3" t="str">
        <f>IFERROR(__xludf.DUMMYFUNCTION("""COMPUTED_VALUE"""),"Lucky Shinu")</f>
        <v>Lucky Shinu</v>
      </c>
    </row>
    <row r="6915">
      <c r="A6915" s="3" t="str">
        <f>IFERROR(__xludf.DUMMYFUNCTION("""COMPUTED_VALUE"""),"lucretius")</f>
        <v>lucretius</v>
      </c>
      <c r="B6915" s="3" t="str">
        <f>IFERROR(__xludf.DUMMYFUNCTION("""COMPUTED_VALUE"""),"luc")</f>
        <v>luc</v>
      </c>
      <c r="C6915" s="3" t="str">
        <f>IFERROR(__xludf.DUMMYFUNCTION("""COMPUTED_VALUE"""),"Lucretius")</f>
        <v>Lucretius</v>
      </c>
    </row>
    <row r="6916">
      <c r="A6916" s="3" t="str">
        <f>IFERROR(__xludf.DUMMYFUNCTION("""COMPUTED_VALUE"""),"lucro")</f>
        <v>lucro</v>
      </c>
      <c r="B6916" s="3" t="str">
        <f>IFERROR(__xludf.DUMMYFUNCTION("""COMPUTED_VALUE"""),"lcr")</f>
        <v>lcr</v>
      </c>
      <c r="C6916" s="3" t="str">
        <f>IFERROR(__xludf.DUMMYFUNCTION("""COMPUTED_VALUE"""),"Lucro")</f>
        <v>Lucro</v>
      </c>
    </row>
    <row r="6917">
      <c r="A6917" s="3" t="str">
        <f>IFERROR(__xludf.DUMMYFUNCTION("""COMPUTED_VALUE"""),"lucrosus-capital")</f>
        <v>lucrosus-capital</v>
      </c>
      <c r="B6917" s="3" t="str">
        <f>IFERROR(__xludf.DUMMYFUNCTION("""COMPUTED_VALUE"""),"$luca")</f>
        <v>$luca</v>
      </c>
      <c r="C6917" s="3" t="str">
        <f>IFERROR(__xludf.DUMMYFUNCTION("""COMPUTED_VALUE"""),"Lucrosus Capital")</f>
        <v>Lucrosus Capital</v>
      </c>
    </row>
    <row r="6918">
      <c r="A6918" s="3" t="str">
        <f>IFERROR(__xludf.DUMMYFUNCTION("""COMPUTED_VALUE"""),"lucy")</f>
        <v>lucy</v>
      </c>
      <c r="B6918" s="3" t="str">
        <f>IFERROR(__xludf.DUMMYFUNCTION("""COMPUTED_VALUE"""),"lucy")</f>
        <v>lucy</v>
      </c>
      <c r="C6918" s="3" t="str">
        <f>IFERROR(__xludf.DUMMYFUNCTION("""COMPUTED_VALUE"""),"LUCY")</f>
        <v>LUCY</v>
      </c>
    </row>
    <row r="6919">
      <c r="A6919" s="3" t="str">
        <f>IFERROR(__xludf.DUMMYFUNCTION("""COMPUTED_VALUE"""),"ludena-protocol")</f>
        <v>ludena-protocol</v>
      </c>
      <c r="B6919" s="3" t="str">
        <f>IFERROR(__xludf.DUMMYFUNCTION("""COMPUTED_VALUE"""),"ldn")</f>
        <v>ldn</v>
      </c>
      <c r="C6919" s="3" t="str">
        <f>IFERROR(__xludf.DUMMYFUNCTION("""COMPUTED_VALUE"""),"Ludena Protocol")</f>
        <v>Ludena Protocol</v>
      </c>
    </row>
    <row r="6920">
      <c r="A6920" s="3" t="str">
        <f>IFERROR(__xludf.DUMMYFUNCTION("""COMPUTED_VALUE"""),"ludos")</f>
        <v>ludos</v>
      </c>
      <c r="B6920" s="3" t="str">
        <f>IFERROR(__xludf.DUMMYFUNCTION("""COMPUTED_VALUE"""),"lud")</f>
        <v>lud</v>
      </c>
      <c r="C6920" s="3" t="str">
        <f>IFERROR(__xludf.DUMMYFUNCTION("""COMPUTED_VALUE"""),"Ludos Protocol")</f>
        <v>Ludos Protocol</v>
      </c>
    </row>
    <row r="6921">
      <c r="A6921" s="3" t="str">
        <f>IFERROR(__xludf.DUMMYFUNCTION("""COMPUTED_VALUE"""),"luffy-inu")</f>
        <v>luffy-inu</v>
      </c>
      <c r="B6921" s="3" t="str">
        <f>IFERROR(__xludf.DUMMYFUNCTION("""COMPUTED_VALUE"""),"luffy")</f>
        <v>luffy</v>
      </c>
      <c r="C6921" s="3" t="str">
        <f>IFERROR(__xludf.DUMMYFUNCTION("""COMPUTED_VALUE"""),"Luffy")</f>
        <v>Luffy</v>
      </c>
    </row>
    <row r="6922">
      <c r="A6922" s="3" t="str">
        <f>IFERROR(__xludf.DUMMYFUNCTION("""COMPUTED_VALUE"""),"lukso-token")</f>
        <v>lukso-token</v>
      </c>
      <c r="B6922" s="3" t="str">
        <f>IFERROR(__xludf.DUMMYFUNCTION("""COMPUTED_VALUE"""),"lyxe")</f>
        <v>lyxe</v>
      </c>
      <c r="C6922" s="3" t="str">
        <f>IFERROR(__xludf.DUMMYFUNCTION("""COMPUTED_VALUE"""),"LUKSO")</f>
        <v>LUKSO</v>
      </c>
    </row>
    <row r="6923">
      <c r="A6923" s="3" t="str">
        <f>IFERROR(__xludf.DUMMYFUNCTION("""COMPUTED_VALUE"""),"lulu-market-luck")</f>
        <v>lulu-market-luck</v>
      </c>
      <c r="B6923" s="3" t="str">
        <f>IFERROR(__xludf.DUMMYFUNCTION("""COMPUTED_VALUE"""),"luck")</f>
        <v>luck</v>
      </c>
      <c r="C6923" s="3" t="str">
        <f>IFERROR(__xludf.DUMMYFUNCTION("""COMPUTED_VALUE"""),"LULU Market Luck")</f>
        <v>LULU Market Luck</v>
      </c>
    </row>
    <row r="6924">
      <c r="A6924" s="3" t="str">
        <f>IFERROR(__xludf.DUMMYFUNCTION("""COMPUTED_VALUE"""),"lulz")</f>
        <v>lulz</v>
      </c>
      <c r="B6924" s="3" t="str">
        <f>IFERROR(__xludf.DUMMYFUNCTION("""COMPUTED_VALUE"""),"lulz")</f>
        <v>lulz</v>
      </c>
      <c r="C6924" s="3" t="str">
        <f>IFERROR(__xludf.DUMMYFUNCTION("""COMPUTED_VALUE"""),"LULZ")</f>
        <v>LULZ</v>
      </c>
    </row>
    <row r="6925">
      <c r="A6925" s="3" t="str">
        <f>IFERROR(__xludf.DUMMYFUNCTION("""COMPUTED_VALUE"""),"lumenswap")</f>
        <v>lumenswap</v>
      </c>
      <c r="B6925" s="3" t="str">
        <f>IFERROR(__xludf.DUMMYFUNCTION("""COMPUTED_VALUE"""),"lsp")</f>
        <v>lsp</v>
      </c>
      <c r="C6925" s="3" t="str">
        <f>IFERROR(__xludf.DUMMYFUNCTION("""COMPUTED_VALUE"""),"Lumenswap")</f>
        <v>Lumenswap</v>
      </c>
    </row>
    <row r="6926">
      <c r="A6926" s="3" t="str">
        <f>IFERROR(__xludf.DUMMYFUNCTION("""COMPUTED_VALUE"""),"lumerin")</f>
        <v>lumerin</v>
      </c>
      <c r="B6926" s="3" t="str">
        <f>IFERROR(__xludf.DUMMYFUNCTION("""COMPUTED_VALUE"""),"lmr")</f>
        <v>lmr</v>
      </c>
      <c r="C6926" s="3" t="str">
        <f>IFERROR(__xludf.DUMMYFUNCTION("""COMPUTED_VALUE"""),"Lumerin")</f>
        <v>Lumerin</v>
      </c>
    </row>
    <row r="6927">
      <c r="A6927" s="3" t="str">
        <f>IFERROR(__xludf.DUMMYFUNCTION("""COMPUTED_VALUE"""),"lumi-credits")</f>
        <v>lumi-credits</v>
      </c>
      <c r="B6927" s="3" t="str">
        <f>IFERROR(__xludf.DUMMYFUNCTION("""COMPUTED_VALUE"""),"lumi")</f>
        <v>lumi</v>
      </c>
      <c r="C6927" s="3" t="str">
        <f>IFERROR(__xludf.DUMMYFUNCTION("""COMPUTED_VALUE"""),"LUMI Credits")</f>
        <v>LUMI Credits</v>
      </c>
    </row>
    <row r="6928">
      <c r="A6928" s="3" t="str">
        <f>IFERROR(__xludf.DUMMYFUNCTION("""COMPUTED_VALUE"""),"lumiiitoken")</f>
        <v>lumiiitoken</v>
      </c>
      <c r="B6928" s="3" t="str">
        <f>IFERROR(__xludf.DUMMYFUNCTION("""COMPUTED_VALUE"""),"lumiii")</f>
        <v>lumiii</v>
      </c>
      <c r="C6928" s="3" t="str">
        <f>IFERROR(__xludf.DUMMYFUNCTION("""COMPUTED_VALUE"""),"Lumiii")</f>
        <v>Lumiii</v>
      </c>
    </row>
    <row r="6929">
      <c r="A6929" s="3" t="str">
        <f>IFERROR(__xludf.DUMMYFUNCTION("""COMPUTED_VALUE"""),"luminos-mining-protocol")</f>
        <v>luminos-mining-protocol</v>
      </c>
      <c r="B6929" s="3" t="str">
        <f>IFERROR(__xludf.DUMMYFUNCTION("""COMPUTED_VALUE"""),"lumi")</f>
        <v>lumi</v>
      </c>
      <c r="C6929" s="3" t="str">
        <f>IFERROR(__xludf.DUMMYFUNCTION("""COMPUTED_VALUE"""),"Luminos Mining Protocol")</f>
        <v>Luminos Mining Protocol</v>
      </c>
    </row>
    <row r="6930">
      <c r="A6930" s="3" t="str">
        <f>IFERROR(__xludf.DUMMYFUNCTION("""COMPUTED_VALUE"""),"lum-network")</f>
        <v>lum-network</v>
      </c>
      <c r="B6930" s="3" t="str">
        <f>IFERROR(__xludf.DUMMYFUNCTION("""COMPUTED_VALUE"""),"lum")</f>
        <v>lum</v>
      </c>
      <c r="C6930" s="3" t="str">
        <f>IFERROR(__xludf.DUMMYFUNCTION("""COMPUTED_VALUE"""),"Lum Network")</f>
        <v>Lum Network</v>
      </c>
    </row>
    <row r="6931">
      <c r="A6931" s="3" t="str">
        <f>IFERROR(__xludf.DUMMYFUNCTION("""COMPUTED_VALUE"""),"lumos-metaverse")</f>
        <v>lumos-metaverse</v>
      </c>
      <c r="B6931" s="3" t="str">
        <f>IFERROR(__xludf.DUMMYFUNCTION("""COMPUTED_VALUE"""),"lumosx")</f>
        <v>lumosx</v>
      </c>
      <c r="C6931" s="3" t="str">
        <f>IFERROR(__xludf.DUMMYFUNCTION("""COMPUTED_VALUE"""),"Lumos Metaverse")</f>
        <v>Lumos Metaverse</v>
      </c>
    </row>
    <row r="6932">
      <c r="A6932" s="3" t="str">
        <f>IFERROR(__xludf.DUMMYFUNCTION("""COMPUTED_VALUE"""),"luna-ape-protocol")</f>
        <v>luna-ape-protocol</v>
      </c>
      <c r="B6932" s="3" t="str">
        <f>IFERROR(__xludf.DUMMYFUNCTION("""COMPUTED_VALUE"""),"$lunape")</f>
        <v>$lunape</v>
      </c>
      <c r="C6932" s="3" t="str">
        <f>IFERROR(__xludf.DUMMYFUNCTION("""COMPUTED_VALUE"""),"Luna Ape Protocol")</f>
        <v>Luna Ape Protocol</v>
      </c>
    </row>
    <row r="6933">
      <c r="A6933" s="3" t="str">
        <f>IFERROR(__xludf.DUMMYFUNCTION("""COMPUTED_VALUE"""),"lunachow")</f>
        <v>lunachow</v>
      </c>
      <c r="B6933" s="3" t="str">
        <f>IFERROR(__xludf.DUMMYFUNCTION("""COMPUTED_VALUE"""),"luchow")</f>
        <v>luchow</v>
      </c>
      <c r="C6933" s="3" t="str">
        <f>IFERROR(__xludf.DUMMYFUNCTION("""COMPUTED_VALUE"""),"LunaChow")</f>
        <v>LunaChow</v>
      </c>
    </row>
    <row r="6934">
      <c r="A6934" s="3" t="str">
        <f>IFERROR(__xludf.DUMMYFUNCTION("""COMPUTED_VALUE"""),"lunadoge")</f>
        <v>lunadoge</v>
      </c>
      <c r="B6934" s="3" t="str">
        <f>IFERROR(__xludf.DUMMYFUNCTION("""COMPUTED_VALUE"""),"loge")</f>
        <v>loge</v>
      </c>
      <c r="C6934" s="3" t="str">
        <f>IFERROR(__xludf.DUMMYFUNCTION("""COMPUTED_VALUE"""),"LunaDoge")</f>
        <v>LunaDoge</v>
      </c>
    </row>
    <row r="6935">
      <c r="A6935" s="3" t="str">
        <f>IFERROR(__xludf.DUMMYFUNCTION("""COMPUTED_VALUE"""),"lunafi")</f>
        <v>lunafi</v>
      </c>
      <c r="B6935" s="3" t="str">
        <f>IFERROR(__xludf.DUMMYFUNCTION("""COMPUTED_VALUE"""),"lfi")</f>
        <v>lfi</v>
      </c>
      <c r="C6935" s="3" t="str">
        <f>IFERROR(__xludf.DUMMYFUNCTION("""COMPUTED_VALUE"""),"Lunafi")</f>
        <v>Lunafi</v>
      </c>
    </row>
    <row r="6936">
      <c r="A6936" s="3" t="str">
        <f>IFERROR(__xludf.DUMMYFUNCTION("""COMPUTED_VALUE"""),"lunagens")</f>
        <v>lunagens</v>
      </c>
      <c r="B6936" s="3" t="str">
        <f>IFERROR(__xludf.DUMMYFUNCTION("""COMPUTED_VALUE"""),"lung")</f>
        <v>lung</v>
      </c>
      <c r="C6936" s="3" t="str">
        <f>IFERROR(__xludf.DUMMYFUNCTION("""COMPUTED_VALUE"""),"LunaGens")</f>
        <v>LunaGens</v>
      </c>
    </row>
    <row r="6937">
      <c r="A6937" s="3" t="str">
        <f>IFERROR(__xludf.DUMMYFUNCTION("""COMPUTED_VALUE"""),"luna-inu")</f>
        <v>luna-inu</v>
      </c>
      <c r="B6937" s="3" t="str">
        <f>IFERROR(__xludf.DUMMYFUNCTION("""COMPUTED_VALUE"""),"linu")</f>
        <v>linu</v>
      </c>
      <c r="C6937" s="3" t="str">
        <f>IFERROR(__xludf.DUMMYFUNCTION("""COMPUTED_VALUE"""),"Luna Inu")</f>
        <v>Luna Inu</v>
      </c>
    </row>
    <row r="6938">
      <c r="A6938" s="3" t="str">
        <f>IFERROR(__xludf.DUMMYFUNCTION("""COMPUTED_VALUE"""),"lunaland")</f>
        <v>lunaland</v>
      </c>
      <c r="B6938" s="3" t="str">
        <f>IFERROR(__xludf.DUMMYFUNCTION("""COMPUTED_VALUE"""),"lln")</f>
        <v>lln</v>
      </c>
      <c r="C6938" s="3" t="str">
        <f>IFERROR(__xludf.DUMMYFUNCTION("""COMPUTED_VALUE"""),"LunaLand")</f>
        <v>LunaLand</v>
      </c>
    </row>
    <row r="6939">
      <c r="A6939" s="3" t="str">
        <f>IFERROR(__xludf.DUMMYFUNCTION("""COMPUTED_VALUE"""),"luna-pad")</f>
        <v>luna-pad</v>
      </c>
      <c r="B6939" s="3" t="str">
        <f>IFERROR(__xludf.DUMMYFUNCTION("""COMPUTED_VALUE"""),"lunapad")</f>
        <v>lunapad</v>
      </c>
      <c r="C6939" s="3" t="str">
        <f>IFERROR(__xludf.DUMMYFUNCTION("""COMPUTED_VALUE"""),"Luna-Pad")</f>
        <v>Luna-Pad</v>
      </c>
    </row>
    <row r="6940">
      <c r="A6940" s="3" t="str">
        <f>IFERROR(__xludf.DUMMYFUNCTION("""COMPUTED_VALUE"""),"lunar")</f>
        <v>lunar</v>
      </c>
      <c r="B6940" s="3" t="str">
        <f>IFERROR(__xludf.DUMMYFUNCTION("""COMPUTED_VALUE"""),"lnr")</f>
        <v>lnr</v>
      </c>
      <c r="C6940" s="3" t="str">
        <f>IFERROR(__xludf.DUMMYFUNCTION("""COMPUTED_VALUE"""),"Lunar [OLD]")</f>
        <v>Lunar [OLD]</v>
      </c>
    </row>
    <row r="6941">
      <c r="A6941" s="3" t="str">
        <f>IFERROR(__xludf.DUMMYFUNCTION("""COMPUTED_VALUE"""),"lunar-2")</f>
        <v>lunar-2</v>
      </c>
      <c r="B6941" s="3" t="str">
        <f>IFERROR(__xludf.DUMMYFUNCTION("""COMPUTED_VALUE"""),"lnr")</f>
        <v>lnr</v>
      </c>
      <c r="C6941" s="3" t="str">
        <f>IFERROR(__xludf.DUMMYFUNCTION("""COMPUTED_VALUE"""),"Lunar")</f>
        <v>Lunar</v>
      </c>
    </row>
    <row r="6942">
      <c r="A6942" s="3" t="str">
        <f>IFERROR(__xludf.DUMMYFUNCTION("""COMPUTED_VALUE"""),"lunar-flare")</f>
        <v>lunar-flare</v>
      </c>
      <c r="B6942" s="3" t="str">
        <f>IFERROR(__xludf.DUMMYFUNCTION("""COMPUTED_VALUE"""),"lfg")</f>
        <v>lfg</v>
      </c>
      <c r="C6942" s="3" t="str">
        <f>IFERROR(__xludf.DUMMYFUNCTION("""COMPUTED_VALUE"""),"Lunar Flare")</f>
        <v>Lunar Flare</v>
      </c>
    </row>
    <row r="6943">
      <c r="A6943" s="3" t="str">
        <f>IFERROR(__xludf.DUMMYFUNCTION("""COMPUTED_VALUE"""),"luna-rush")</f>
        <v>luna-rush</v>
      </c>
      <c r="B6943" s="3" t="str">
        <f>IFERROR(__xludf.DUMMYFUNCTION("""COMPUTED_VALUE"""),"lus")</f>
        <v>lus</v>
      </c>
      <c r="C6943" s="3" t="str">
        <f>IFERROR(__xludf.DUMMYFUNCTION("""COMPUTED_VALUE"""),"Luna Rush")</f>
        <v>Luna Rush</v>
      </c>
    </row>
    <row r="6944">
      <c r="A6944" s="3" t="str">
        <f>IFERROR(__xludf.DUMMYFUNCTION("""COMPUTED_VALUE"""),"lunatics")</f>
        <v>lunatics</v>
      </c>
      <c r="B6944" s="3" t="str">
        <f>IFERROR(__xludf.DUMMYFUNCTION("""COMPUTED_VALUE"""),"lunat")</f>
        <v>lunat</v>
      </c>
      <c r="C6944" s="3" t="str">
        <f>IFERROR(__xludf.DUMMYFUNCTION("""COMPUTED_VALUE"""),"Lunatics")</f>
        <v>Lunatics</v>
      </c>
    </row>
    <row r="6945">
      <c r="A6945" s="3" t="str">
        <f>IFERROR(__xludf.DUMMYFUNCTION("""COMPUTED_VALUE"""),"luna-wormhole")</f>
        <v>luna-wormhole</v>
      </c>
      <c r="B6945" s="3" t="str">
        <f>IFERROR(__xludf.DUMMYFUNCTION("""COMPUTED_VALUE"""),"lunc")</f>
        <v>lunc</v>
      </c>
      <c r="C6945" s="3" t="str">
        <f>IFERROR(__xludf.DUMMYFUNCTION("""COMPUTED_VALUE"""),"Terra Classic (Wormhole)")</f>
        <v>Terra Classic (Wormhole)</v>
      </c>
    </row>
    <row r="6946">
      <c r="A6946" s="3" t="str">
        <f>IFERROR(__xludf.DUMMYFUNCTION("""COMPUTED_VALUE"""),"lunchdao")</f>
        <v>lunchdao</v>
      </c>
      <c r="B6946" s="3" t="str">
        <f>IFERROR(__xludf.DUMMYFUNCTION("""COMPUTED_VALUE"""),"lunch")</f>
        <v>lunch</v>
      </c>
      <c r="C6946" s="3" t="str">
        <f>IFERROR(__xludf.DUMMYFUNCTION("""COMPUTED_VALUE"""),"LunchDAO")</f>
        <v>LunchDAO</v>
      </c>
    </row>
    <row r="6947">
      <c r="A6947" s="3" t="str">
        <f>IFERROR(__xludf.DUMMYFUNCTION("""COMPUTED_VALUE"""),"lunch-money")</f>
        <v>lunch-money</v>
      </c>
      <c r="B6947" s="3" t="str">
        <f>IFERROR(__xludf.DUMMYFUNCTION("""COMPUTED_VALUE"""),"lmy")</f>
        <v>lmy</v>
      </c>
      <c r="C6947" s="3" t="str">
        <f>IFERROR(__xludf.DUMMYFUNCTION("""COMPUTED_VALUE"""),"Lunch Money")</f>
        <v>Lunch Money</v>
      </c>
    </row>
    <row r="6948">
      <c r="A6948" s="3" t="str">
        <f>IFERROR(__xludf.DUMMYFUNCTION("""COMPUTED_VALUE"""),"lunes")</f>
        <v>lunes</v>
      </c>
      <c r="B6948" s="3" t="str">
        <f>IFERROR(__xludf.DUMMYFUNCTION("""COMPUTED_VALUE"""),"lunes")</f>
        <v>lunes</v>
      </c>
      <c r="C6948" s="3" t="str">
        <f>IFERROR(__xludf.DUMMYFUNCTION("""COMPUTED_VALUE"""),"Lunes")</f>
        <v>Lunes</v>
      </c>
    </row>
    <row r="6949">
      <c r="A6949" s="3" t="str">
        <f>IFERROR(__xludf.DUMMYFUNCTION("""COMPUTED_VALUE"""),"lung-protocol")</f>
        <v>lung-protocol</v>
      </c>
      <c r="B6949" s="3" t="str">
        <f>IFERROR(__xludf.DUMMYFUNCTION("""COMPUTED_VALUE"""),"l2p")</f>
        <v>l2p</v>
      </c>
      <c r="C6949" s="3" t="str">
        <f>IFERROR(__xludf.DUMMYFUNCTION("""COMPUTED_VALUE"""),"Lung Protocol")</f>
        <v>Lung Protocol</v>
      </c>
    </row>
    <row r="6950">
      <c r="A6950" s="3" t="str">
        <f>IFERROR(__xludf.DUMMYFUNCTION("""COMPUTED_VALUE"""),"lunr-token")</f>
        <v>lunr-token</v>
      </c>
      <c r="B6950" s="3" t="str">
        <f>IFERROR(__xludf.DUMMYFUNCTION("""COMPUTED_VALUE"""),"lunr")</f>
        <v>lunr</v>
      </c>
      <c r="C6950" s="3" t="str">
        <f>IFERROR(__xludf.DUMMYFUNCTION("""COMPUTED_VALUE"""),"Lunr")</f>
        <v>Lunr</v>
      </c>
    </row>
    <row r="6951">
      <c r="A6951" s="3" t="str">
        <f>IFERROR(__xludf.DUMMYFUNCTION("""COMPUTED_VALUE"""),"lunyr")</f>
        <v>lunyr</v>
      </c>
      <c r="B6951" s="3" t="str">
        <f>IFERROR(__xludf.DUMMYFUNCTION("""COMPUTED_VALUE"""),"lun")</f>
        <v>lun</v>
      </c>
      <c r="C6951" s="3" t="str">
        <f>IFERROR(__xludf.DUMMYFUNCTION("""COMPUTED_VALUE"""),"Lunyr")</f>
        <v>Lunyr</v>
      </c>
    </row>
    <row r="6952">
      <c r="A6952" s="3" t="str">
        <f>IFERROR(__xludf.DUMMYFUNCTION("""COMPUTED_VALUE"""),"lusd")</f>
        <v>lusd</v>
      </c>
      <c r="B6952" s="3" t="str">
        <f>IFERROR(__xludf.DUMMYFUNCTION("""COMPUTED_VALUE"""),"lusd")</f>
        <v>lusd</v>
      </c>
      <c r="C6952" s="3" t="str">
        <f>IFERROR(__xludf.DUMMYFUNCTION("""COMPUTED_VALUE"""),"LUSD")</f>
        <v>LUSD</v>
      </c>
    </row>
    <row r="6953">
      <c r="A6953" s="3" t="str">
        <f>IFERROR(__xludf.DUMMYFUNCTION("""COMPUTED_VALUE"""),"luto-cash")</f>
        <v>luto-cash</v>
      </c>
      <c r="B6953" s="3" t="str">
        <f>IFERROR(__xludf.DUMMYFUNCTION("""COMPUTED_VALUE"""),"luto")</f>
        <v>luto</v>
      </c>
      <c r="C6953" s="3" t="str">
        <f>IFERROR(__xludf.DUMMYFUNCTION("""COMPUTED_VALUE"""),"Luto Cash")</f>
        <v>Luto Cash</v>
      </c>
    </row>
    <row r="6954">
      <c r="A6954" s="3" t="str">
        <f>IFERROR(__xludf.DUMMYFUNCTION("""COMPUTED_VALUE"""),"lux-bio-exchange-coin")</f>
        <v>lux-bio-exchange-coin</v>
      </c>
      <c r="B6954" s="3" t="str">
        <f>IFERROR(__xludf.DUMMYFUNCTION("""COMPUTED_VALUE"""),"lbxc")</f>
        <v>lbxc</v>
      </c>
      <c r="C6954" s="3" t="str">
        <f>IFERROR(__xludf.DUMMYFUNCTION("""COMPUTED_VALUE"""),"LUX BIO EXCHANGE COIN")</f>
        <v>LUX BIO EXCHANGE COIN</v>
      </c>
    </row>
    <row r="6955">
      <c r="A6955" s="3" t="str">
        <f>IFERROR(__xludf.DUMMYFUNCTION("""COMPUTED_VALUE"""),"luxcoin")</f>
        <v>luxcoin</v>
      </c>
      <c r="B6955" s="3" t="str">
        <f>IFERROR(__xludf.DUMMYFUNCTION("""COMPUTED_VALUE"""),"lux")</f>
        <v>lux</v>
      </c>
      <c r="C6955" s="3" t="str">
        <f>IFERROR(__xludf.DUMMYFUNCTION("""COMPUTED_VALUE"""),"LUXCoin")</f>
        <v>LUXCoin</v>
      </c>
    </row>
    <row r="6956">
      <c r="A6956" s="3" t="str">
        <f>IFERROR(__xludf.DUMMYFUNCTION("""COMPUTED_VALUE"""),"luxeracing")</f>
        <v>luxeracing</v>
      </c>
      <c r="B6956" s="3" t="str">
        <f>IFERROR(__xludf.DUMMYFUNCTION("""COMPUTED_VALUE"""),"luxe")</f>
        <v>luxe</v>
      </c>
      <c r="C6956" s="3" t="str">
        <f>IFERROR(__xludf.DUMMYFUNCTION("""COMPUTED_VALUE"""),"LuxeRacing")</f>
        <v>LuxeRacing</v>
      </c>
    </row>
    <row r="6957">
      <c r="A6957" s="3" t="str">
        <f>IFERROR(__xludf.DUMMYFUNCTION("""COMPUTED_VALUE"""),"luxetoken")</f>
        <v>luxetoken</v>
      </c>
      <c r="B6957" s="3" t="str">
        <f>IFERROR(__xludf.DUMMYFUNCTION("""COMPUTED_VALUE"""),"luxetoken")</f>
        <v>luxetoken</v>
      </c>
      <c r="C6957" s="3" t="str">
        <f>IFERROR(__xludf.DUMMYFUNCTION("""COMPUTED_VALUE"""),"LuxeToken")</f>
        <v>LuxeToken</v>
      </c>
    </row>
    <row r="6958">
      <c r="A6958" s="3" t="str">
        <f>IFERROR(__xludf.DUMMYFUNCTION("""COMPUTED_VALUE"""),"luxfi")</f>
        <v>luxfi</v>
      </c>
      <c r="B6958" s="3" t="str">
        <f>IFERROR(__xludf.DUMMYFUNCTION("""COMPUTED_VALUE"""),"lxf")</f>
        <v>lxf</v>
      </c>
      <c r="C6958" s="3" t="str">
        <f>IFERROR(__xludf.DUMMYFUNCTION("""COMPUTED_VALUE"""),"LuxFi")</f>
        <v>LuxFi</v>
      </c>
    </row>
    <row r="6959">
      <c r="A6959" s="3" t="str">
        <f>IFERROR(__xludf.DUMMYFUNCTION("""COMPUTED_VALUE"""),"luxo")</f>
        <v>luxo</v>
      </c>
      <c r="B6959" s="3" t="str">
        <f>IFERROR(__xludf.DUMMYFUNCTION("""COMPUTED_VALUE"""),"luxo")</f>
        <v>luxo</v>
      </c>
      <c r="C6959" s="3" t="str">
        <f>IFERROR(__xludf.DUMMYFUNCTION("""COMPUTED_VALUE"""),"Luxo")</f>
        <v>Luxo</v>
      </c>
    </row>
    <row r="6960">
      <c r="A6960" s="3" t="str">
        <f>IFERROR(__xludf.DUMMYFUNCTION("""COMPUTED_VALUE"""),"luxor")</f>
        <v>luxor</v>
      </c>
      <c r="B6960" s="3" t="str">
        <f>IFERROR(__xludf.DUMMYFUNCTION("""COMPUTED_VALUE"""),"lux")</f>
        <v>lux</v>
      </c>
      <c r="C6960" s="3" t="str">
        <f>IFERROR(__xludf.DUMMYFUNCTION("""COMPUTED_VALUE"""),"Luxor")</f>
        <v>Luxor</v>
      </c>
    </row>
    <row r="6961">
      <c r="A6961" s="3" t="str">
        <f>IFERROR(__xludf.DUMMYFUNCTION("""COMPUTED_VALUE"""),"luxtto")</f>
        <v>luxtto</v>
      </c>
      <c r="B6961" s="3" t="str">
        <f>IFERROR(__xludf.DUMMYFUNCTION("""COMPUTED_VALUE"""),"lxto")</f>
        <v>lxto</v>
      </c>
      <c r="C6961" s="3" t="str">
        <f>IFERROR(__xludf.DUMMYFUNCTION("""COMPUTED_VALUE"""),"LuxTTO")</f>
        <v>LuxTTO</v>
      </c>
    </row>
    <row r="6962">
      <c r="A6962" s="3" t="str">
        <f>IFERROR(__xludf.DUMMYFUNCTION("""COMPUTED_VALUE"""),"luxurious-pro-network-token")</f>
        <v>luxurious-pro-network-token</v>
      </c>
      <c r="B6962" s="3" t="str">
        <f>IFERROR(__xludf.DUMMYFUNCTION("""COMPUTED_VALUE"""),"lpnt")</f>
        <v>lpnt</v>
      </c>
      <c r="C6962" s="3" t="str">
        <f>IFERROR(__xludf.DUMMYFUNCTION("""COMPUTED_VALUE"""),"Luxurious Pro Network")</f>
        <v>Luxurious Pro Network</v>
      </c>
    </row>
    <row r="6963">
      <c r="A6963" s="3" t="str">
        <f>IFERROR(__xludf.DUMMYFUNCTION("""COMPUTED_VALUE"""),"luxy")</f>
        <v>luxy</v>
      </c>
      <c r="B6963" s="3" t="str">
        <f>IFERROR(__xludf.DUMMYFUNCTION("""COMPUTED_VALUE"""),"luxy")</f>
        <v>luxy</v>
      </c>
      <c r="C6963" s="3" t="str">
        <f>IFERROR(__xludf.DUMMYFUNCTION("""COMPUTED_VALUE"""),"Luxy")</f>
        <v>Luxy</v>
      </c>
    </row>
    <row r="6964">
      <c r="A6964" s="3" t="str">
        <f>IFERROR(__xludf.DUMMYFUNCTION("""COMPUTED_VALUE"""),"luzion-protocol")</f>
        <v>luzion-protocol</v>
      </c>
      <c r="B6964" s="3" t="str">
        <f>IFERROR(__xludf.DUMMYFUNCTION("""COMPUTED_VALUE"""),"lzn")</f>
        <v>lzn</v>
      </c>
      <c r="C6964" s="3" t="str">
        <f>IFERROR(__xludf.DUMMYFUNCTION("""COMPUTED_VALUE"""),"Luzion Protocol")</f>
        <v>Luzion Protocol</v>
      </c>
    </row>
    <row r="6965">
      <c r="A6965" s="3" t="str">
        <f>IFERROR(__xludf.DUMMYFUNCTION("""COMPUTED_VALUE"""),"lydia-finance")</f>
        <v>lydia-finance</v>
      </c>
      <c r="B6965" s="3" t="str">
        <f>IFERROR(__xludf.DUMMYFUNCTION("""COMPUTED_VALUE"""),"lyd")</f>
        <v>lyd</v>
      </c>
      <c r="C6965" s="3" t="str">
        <f>IFERROR(__xludf.DUMMYFUNCTION("""COMPUTED_VALUE"""),"Lydia Finance")</f>
        <v>Lydia Finance</v>
      </c>
    </row>
    <row r="6966">
      <c r="A6966" s="3" t="str">
        <f>IFERROR(__xludf.DUMMYFUNCTION("""COMPUTED_VALUE"""),"lyfe")</f>
        <v>lyfe</v>
      </c>
      <c r="B6966" s="3" t="str">
        <f>IFERROR(__xludf.DUMMYFUNCTION("""COMPUTED_VALUE"""),"lyfe")</f>
        <v>lyfe</v>
      </c>
      <c r="C6966" s="3" t="str">
        <f>IFERROR(__xludf.DUMMYFUNCTION("""COMPUTED_VALUE"""),"Lyfe")</f>
        <v>Lyfe</v>
      </c>
    </row>
    <row r="6967">
      <c r="A6967" s="3" t="str">
        <f>IFERROR(__xludf.DUMMYFUNCTION("""COMPUTED_VALUE"""),"lyfe-gold")</f>
        <v>lyfe-gold</v>
      </c>
      <c r="B6967" s="3" t="str">
        <f>IFERROR(__xludf.DUMMYFUNCTION("""COMPUTED_VALUE"""),"lgold")</f>
        <v>lgold</v>
      </c>
      <c r="C6967" s="3" t="str">
        <f>IFERROR(__xludf.DUMMYFUNCTION("""COMPUTED_VALUE"""),"Lyfe Gold")</f>
        <v>Lyfe Gold</v>
      </c>
    </row>
    <row r="6968">
      <c r="A6968" s="3" t="str">
        <f>IFERROR(__xludf.DUMMYFUNCTION("""COMPUTED_VALUE"""),"lyfe-land")</f>
        <v>lyfe-land</v>
      </c>
      <c r="B6968" s="3" t="str">
        <f>IFERROR(__xludf.DUMMYFUNCTION("""COMPUTED_VALUE"""),"lland")</f>
        <v>lland</v>
      </c>
      <c r="C6968" s="3" t="str">
        <f>IFERROR(__xludf.DUMMYFUNCTION("""COMPUTED_VALUE"""),"Lyfe Land")</f>
        <v>Lyfe Land</v>
      </c>
    </row>
    <row r="6969">
      <c r="A6969" s="3" t="str">
        <f>IFERROR(__xludf.DUMMYFUNCTION("""COMPUTED_VALUE"""),"lyfe-silver")</f>
        <v>lyfe-silver</v>
      </c>
      <c r="B6969" s="3" t="str">
        <f>IFERROR(__xludf.DUMMYFUNCTION("""COMPUTED_VALUE"""),"lsilver")</f>
        <v>lsilver</v>
      </c>
      <c r="C6969" s="3" t="str">
        <f>IFERROR(__xludf.DUMMYFUNCTION("""COMPUTED_VALUE"""),"Lyfe Silver")</f>
        <v>Lyfe Silver</v>
      </c>
    </row>
    <row r="6970">
      <c r="A6970" s="3" t="str">
        <f>IFERROR(__xludf.DUMMYFUNCTION("""COMPUTED_VALUE"""),"lympo")</f>
        <v>lympo</v>
      </c>
      <c r="B6970" s="3" t="str">
        <f>IFERROR(__xludf.DUMMYFUNCTION("""COMPUTED_VALUE"""),"lym")</f>
        <v>lym</v>
      </c>
      <c r="C6970" s="3" t="str">
        <f>IFERROR(__xludf.DUMMYFUNCTION("""COMPUTED_VALUE"""),"Lympo")</f>
        <v>Lympo</v>
      </c>
    </row>
    <row r="6971">
      <c r="A6971" s="3" t="str">
        <f>IFERROR(__xludf.DUMMYFUNCTION("""COMPUTED_VALUE"""),"lympo-market-token")</f>
        <v>lympo-market-token</v>
      </c>
      <c r="B6971" s="3" t="str">
        <f>IFERROR(__xludf.DUMMYFUNCTION("""COMPUTED_VALUE"""),"lmt")</f>
        <v>lmt</v>
      </c>
      <c r="C6971" s="3" t="str">
        <f>IFERROR(__xludf.DUMMYFUNCTION("""COMPUTED_VALUE"""),"Lympo Market")</f>
        <v>Lympo Market</v>
      </c>
    </row>
    <row r="6972">
      <c r="A6972" s="3" t="str">
        <f>IFERROR(__xludf.DUMMYFUNCTION("""COMPUTED_VALUE"""),"lynkey")</f>
        <v>lynkey</v>
      </c>
      <c r="B6972" s="3" t="str">
        <f>IFERROR(__xludf.DUMMYFUNCTION("""COMPUTED_VALUE"""),"lynk")</f>
        <v>lynk</v>
      </c>
      <c r="C6972" s="3" t="str">
        <f>IFERROR(__xludf.DUMMYFUNCTION("""COMPUTED_VALUE"""),"LynKey")</f>
        <v>LynKey</v>
      </c>
    </row>
    <row r="6973">
      <c r="A6973" s="3" t="str">
        <f>IFERROR(__xludf.DUMMYFUNCTION("""COMPUTED_VALUE"""),"lynx")</f>
        <v>lynx</v>
      </c>
      <c r="B6973" s="3" t="str">
        <f>IFERROR(__xludf.DUMMYFUNCTION("""COMPUTED_VALUE"""),"lynx")</f>
        <v>lynx</v>
      </c>
      <c r="C6973" s="3" t="str">
        <f>IFERROR(__xludf.DUMMYFUNCTION("""COMPUTED_VALUE"""),"Lynx")</f>
        <v>Lynx</v>
      </c>
    </row>
    <row r="6974">
      <c r="A6974" s="3" t="str">
        <f>IFERROR(__xludf.DUMMYFUNCTION("""COMPUTED_VALUE"""),"lyocredit")</f>
        <v>lyocredit</v>
      </c>
      <c r="B6974" s="3" t="str">
        <f>IFERROR(__xludf.DUMMYFUNCTION("""COMPUTED_VALUE"""),"lyo")</f>
        <v>lyo</v>
      </c>
      <c r="C6974" s="3" t="str">
        <f>IFERROR(__xludf.DUMMYFUNCTION("""COMPUTED_VALUE"""),"LYO Credit")</f>
        <v>LYO Credit</v>
      </c>
    </row>
    <row r="6975">
      <c r="A6975" s="3" t="str">
        <f>IFERROR(__xludf.DUMMYFUNCTION("""COMPUTED_VALUE"""),"lyptus-token")</f>
        <v>lyptus-token</v>
      </c>
      <c r="B6975" s="3" t="str">
        <f>IFERROR(__xludf.DUMMYFUNCTION("""COMPUTED_VALUE"""),"lyptus")</f>
        <v>lyptus</v>
      </c>
      <c r="C6975" s="3" t="str">
        <f>IFERROR(__xludf.DUMMYFUNCTION("""COMPUTED_VALUE"""),"Lyptus")</f>
        <v>Lyptus</v>
      </c>
    </row>
    <row r="6976">
      <c r="A6976" s="3" t="str">
        <f>IFERROR(__xludf.DUMMYFUNCTION("""COMPUTED_VALUE"""),"lyra")</f>
        <v>lyra</v>
      </c>
      <c r="B6976" s="3" t="str">
        <f>IFERROR(__xludf.DUMMYFUNCTION("""COMPUTED_VALUE"""),"lyr")</f>
        <v>lyr</v>
      </c>
      <c r="C6976" s="3" t="str">
        <f>IFERROR(__xludf.DUMMYFUNCTION("""COMPUTED_VALUE"""),"Lyra")</f>
        <v>Lyra</v>
      </c>
    </row>
    <row r="6977">
      <c r="A6977" s="3" t="str">
        <f>IFERROR(__xludf.DUMMYFUNCTION("""COMPUTED_VALUE"""),"lyra-finance")</f>
        <v>lyra-finance</v>
      </c>
      <c r="B6977" s="3" t="str">
        <f>IFERROR(__xludf.DUMMYFUNCTION("""COMPUTED_VALUE"""),"lyra")</f>
        <v>lyra</v>
      </c>
      <c r="C6977" s="3" t="str">
        <f>IFERROR(__xludf.DUMMYFUNCTION("""COMPUTED_VALUE"""),"Lyra Finance")</f>
        <v>Lyra Finance</v>
      </c>
    </row>
    <row r="6978">
      <c r="A6978" s="3" t="str">
        <f>IFERROR(__xludf.DUMMYFUNCTION("""COMPUTED_VALUE"""),"lys-capital")</f>
        <v>lys-capital</v>
      </c>
      <c r="B6978" s="3" t="str">
        <f>IFERROR(__xludf.DUMMYFUNCTION("""COMPUTED_VALUE"""),"lys")</f>
        <v>lys</v>
      </c>
      <c r="C6978" s="3" t="str">
        <f>IFERROR(__xludf.DUMMYFUNCTION("""COMPUTED_VALUE"""),"LYS Capital")</f>
        <v>LYS Capital</v>
      </c>
    </row>
    <row r="6979">
      <c r="A6979" s="3" t="str">
        <f>IFERROR(__xludf.DUMMYFUNCTION("""COMPUTED_VALUE"""),"m2")</f>
        <v>m2</v>
      </c>
      <c r="B6979" s="3" t="str">
        <f>IFERROR(__xludf.DUMMYFUNCTION("""COMPUTED_VALUE"""),"m2")</f>
        <v>m2</v>
      </c>
      <c r="C6979" s="3" t="str">
        <f>IFERROR(__xludf.DUMMYFUNCTION("""COMPUTED_VALUE"""),"M2")</f>
        <v>M2</v>
      </c>
    </row>
    <row r="6980">
      <c r="A6980" s="3" t="str">
        <f>IFERROR(__xludf.DUMMYFUNCTION("""COMPUTED_VALUE"""),"m7v2")</f>
        <v>m7v2</v>
      </c>
      <c r="B6980" s="3" t="str">
        <f>IFERROR(__xludf.DUMMYFUNCTION("""COMPUTED_VALUE"""),"m7v2")</f>
        <v>m7v2</v>
      </c>
      <c r="C6980" s="3" t="str">
        <f>IFERROR(__xludf.DUMMYFUNCTION("""COMPUTED_VALUE"""),"M7V2")</f>
        <v>M7V2</v>
      </c>
    </row>
    <row r="6981">
      <c r="A6981" s="3" t="str">
        <f>IFERROR(__xludf.DUMMYFUNCTION("""COMPUTED_VALUE"""),"macaronswap")</f>
        <v>macaronswap</v>
      </c>
      <c r="B6981" s="3" t="str">
        <f>IFERROR(__xludf.DUMMYFUNCTION("""COMPUTED_VALUE"""),"mcrn")</f>
        <v>mcrn</v>
      </c>
      <c r="C6981" s="3" t="str">
        <f>IFERROR(__xludf.DUMMYFUNCTION("""COMPUTED_VALUE"""),"MacaronSwap")</f>
        <v>MacaronSwap</v>
      </c>
    </row>
    <row r="6982">
      <c r="A6982" s="3" t="str">
        <f>IFERROR(__xludf.DUMMYFUNCTION("""COMPUTED_VALUE"""),"machinecoin")</f>
        <v>machinecoin</v>
      </c>
      <c r="B6982" s="3" t="str">
        <f>IFERROR(__xludf.DUMMYFUNCTION("""COMPUTED_VALUE"""),"mac")</f>
        <v>mac</v>
      </c>
      <c r="C6982" s="3" t="str">
        <f>IFERROR(__xludf.DUMMYFUNCTION("""COMPUTED_VALUE"""),"Machinecoin")</f>
        <v>Machinecoin</v>
      </c>
    </row>
    <row r="6983">
      <c r="A6983" s="3" t="str">
        <f>IFERROR(__xludf.DUMMYFUNCTION("""COMPUTED_VALUE"""),"machix")</f>
        <v>machix</v>
      </c>
      <c r="B6983" s="3" t="str">
        <f>IFERROR(__xludf.DUMMYFUNCTION("""COMPUTED_VALUE"""),"mcx")</f>
        <v>mcx</v>
      </c>
      <c r="C6983" s="3" t="str">
        <f>IFERROR(__xludf.DUMMYFUNCTION("""COMPUTED_VALUE"""),"Machi X")</f>
        <v>Machi X</v>
      </c>
    </row>
    <row r="6984">
      <c r="A6984" s="3" t="str">
        <f>IFERROR(__xludf.DUMMYFUNCTION("""COMPUTED_VALUE"""),"madagascar-token")</f>
        <v>madagascar-token</v>
      </c>
      <c r="B6984" s="3" t="str">
        <f>IFERROR(__xludf.DUMMYFUNCTION("""COMPUTED_VALUE"""),"$time")</f>
        <v>$time</v>
      </c>
      <c r="C6984" s="3" t="str">
        <f>IFERROR(__xludf.DUMMYFUNCTION("""COMPUTED_VALUE"""),"Madagascar")</f>
        <v>Madagascar</v>
      </c>
    </row>
    <row r="6985">
      <c r="A6985" s="3" t="str">
        <f>IFERROR(__xludf.DUMMYFUNCTION("""COMPUTED_VALUE"""),"mad-bucks")</f>
        <v>mad-bucks</v>
      </c>
      <c r="B6985" s="3" t="str">
        <f>IFERROR(__xludf.DUMMYFUNCTION("""COMPUTED_VALUE"""),"mad")</f>
        <v>mad</v>
      </c>
      <c r="C6985" s="3" t="str">
        <f>IFERROR(__xludf.DUMMYFUNCTION("""COMPUTED_VALUE"""),"MAD Bucks")</f>
        <v>MAD Bucks</v>
      </c>
    </row>
    <row r="6986">
      <c r="A6986" s="3" t="str">
        <f>IFERROR(__xludf.DUMMYFUNCTION("""COMPUTED_VALUE"""),"madchad")</f>
        <v>madchad</v>
      </c>
      <c r="B6986" s="3" t="str">
        <f>IFERROR(__xludf.DUMMYFUNCTION("""COMPUTED_VALUE"""),"madchad")</f>
        <v>madchad</v>
      </c>
      <c r="C6986" s="3" t="str">
        <f>IFERROR(__xludf.DUMMYFUNCTION("""COMPUTED_VALUE"""),"MadChad")</f>
        <v>MadChad</v>
      </c>
    </row>
    <row r="6987">
      <c r="A6987" s="3" t="str">
        <f>IFERROR(__xludf.DUMMYFUNCTION("""COMPUTED_VALUE"""),"made-in-real-life")</f>
        <v>made-in-real-life</v>
      </c>
      <c r="B6987" s="3" t="str">
        <f>IFERROR(__xludf.DUMMYFUNCTION("""COMPUTED_VALUE"""),"mirl")</f>
        <v>mirl</v>
      </c>
      <c r="C6987" s="3" t="str">
        <f>IFERROR(__xludf.DUMMYFUNCTION("""COMPUTED_VALUE"""),"Made In Real Life")</f>
        <v>Made In Real Life</v>
      </c>
    </row>
    <row r="6988">
      <c r="A6988" s="3" t="str">
        <f>IFERROR(__xludf.DUMMYFUNCTION("""COMPUTED_VALUE"""),"mad-hatter-society")</f>
        <v>mad-hatter-society</v>
      </c>
      <c r="B6988" s="3" t="str">
        <f>IFERROR(__xludf.DUMMYFUNCTION("""COMPUTED_VALUE"""),"madhat")</f>
        <v>madhat</v>
      </c>
      <c r="C6988" s="3" t="str">
        <f>IFERROR(__xludf.DUMMYFUNCTION("""COMPUTED_VALUE"""),"Mad Hatter Society")</f>
        <v>Mad Hatter Society</v>
      </c>
    </row>
    <row r="6989">
      <c r="A6989" s="3" t="str">
        <f>IFERROR(__xludf.DUMMYFUNCTION("""COMPUTED_VALUE"""),"mad-meerkat-etf")</f>
        <v>mad-meerkat-etf</v>
      </c>
      <c r="B6989" s="3" t="str">
        <f>IFERROR(__xludf.DUMMYFUNCTION("""COMPUTED_VALUE"""),"metf")</f>
        <v>metf</v>
      </c>
      <c r="C6989" s="3" t="str">
        <f>IFERROR(__xludf.DUMMYFUNCTION("""COMPUTED_VALUE"""),"Mad Meerkat ETF")</f>
        <v>Mad Meerkat ETF</v>
      </c>
    </row>
    <row r="6990">
      <c r="A6990" s="3" t="str">
        <f>IFERROR(__xludf.DUMMYFUNCTION("""COMPUTED_VALUE"""),"mad-meerkat-optimizer")</f>
        <v>mad-meerkat-optimizer</v>
      </c>
      <c r="B6990" s="3" t="str">
        <f>IFERROR(__xludf.DUMMYFUNCTION("""COMPUTED_VALUE"""),"mmo")</f>
        <v>mmo</v>
      </c>
      <c r="C6990" s="3" t="str">
        <f>IFERROR(__xludf.DUMMYFUNCTION("""COMPUTED_VALUE"""),"Mad Meerkat Optimizer")</f>
        <v>Mad Meerkat Optimizer</v>
      </c>
    </row>
    <row r="6991">
      <c r="A6991" s="3" t="str">
        <f>IFERROR(__xludf.DUMMYFUNCTION("""COMPUTED_VALUE"""),"mad-meerkat-optimizer-polygon")</f>
        <v>mad-meerkat-optimizer-polygon</v>
      </c>
      <c r="B6991" s="3" t="str">
        <f>IFERROR(__xludf.DUMMYFUNCTION("""COMPUTED_VALUE"""),"mmo")</f>
        <v>mmo</v>
      </c>
      <c r="C6991" s="3" t="str">
        <f>IFERROR(__xludf.DUMMYFUNCTION("""COMPUTED_VALUE"""),"Mad Meerkat Optimizer (Polygon)")</f>
        <v>Mad Meerkat Optimizer (Polygon)</v>
      </c>
    </row>
    <row r="6992">
      <c r="A6992" s="3" t="str">
        <f>IFERROR(__xludf.DUMMYFUNCTION("""COMPUTED_VALUE"""),"mad-network")</f>
        <v>mad-network</v>
      </c>
      <c r="B6992" s="3" t="str">
        <f>IFERROR(__xludf.DUMMYFUNCTION("""COMPUTED_VALUE"""),"mad")</f>
        <v>mad</v>
      </c>
      <c r="C6992" s="3" t="str">
        <f>IFERROR(__xludf.DUMMYFUNCTION("""COMPUTED_VALUE"""),"MADNetwork")</f>
        <v>MADNetwork</v>
      </c>
    </row>
    <row r="6993">
      <c r="A6993" s="3" t="str">
        <f>IFERROR(__xludf.DUMMYFUNCTION("""COMPUTED_VALUE"""),"mad-usd")</f>
        <v>mad-usd</v>
      </c>
      <c r="B6993" s="3" t="str">
        <f>IFERROR(__xludf.DUMMYFUNCTION("""COMPUTED_VALUE"""),"musd")</f>
        <v>musd</v>
      </c>
      <c r="C6993" s="3" t="str">
        <f>IFERROR(__xludf.DUMMYFUNCTION("""COMPUTED_VALUE"""),"Mad USD")</f>
        <v>Mad USD</v>
      </c>
    </row>
    <row r="6994">
      <c r="A6994" s="3" t="str">
        <f>IFERROR(__xludf.DUMMYFUNCTION("""COMPUTED_VALUE"""),"mad-viking-games")</f>
        <v>mad-viking-games</v>
      </c>
      <c r="B6994" s="3" t="str">
        <f>IFERROR(__xludf.DUMMYFUNCTION("""COMPUTED_VALUE"""),"mvg")</f>
        <v>mvg</v>
      </c>
      <c r="C6994" s="3" t="str">
        <f>IFERROR(__xludf.DUMMYFUNCTION("""COMPUTED_VALUE"""),"Mad Viking Games")</f>
        <v>Mad Viking Games</v>
      </c>
    </row>
    <row r="6995">
      <c r="A6995" s="3" t="str">
        <f>IFERROR(__xludf.DUMMYFUNCTION("""COMPUTED_VALUE"""),"madworld")</f>
        <v>madworld</v>
      </c>
      <c r="B6995" s="3" t="str">
        <f>IFERROR(__xludf.DUMMYFUNCTION("""COMPUTED_VALUE"""),"umad")</f>
        <v>umad</v>
      </c>
      <c r="C6995" s="3" t="str">
        <f>IFERROR(__xludf.DUMMYFUNCTION("""COMPUTED_VALUE"""),"MADworld")</f>
        <v>MADworld</v>
      </c>
    </row>
    <row r="6996">
      <c r="A6996" s="3" t="str">
        <f>IFERROR(__xludf.DUMMYFUNCTION("""COMPUTED_VALUE"""),"maecenas")</f>
        <v>maecenas</v>
      </c>
      <c r="B6996" s="3" t="str">
        <f>IFERROR(__xludf.DUMMYFUNCTION("""COMPUTED_VALUE"""),"art")</f>
        <v>art</v>
      </c>
      <c r="C6996" s="3" t="str">
        <f>IFERROR(__xludf.DUMMYFUNCTION("""COMPUTED_VALUE"""),"Maecenas")</f>
        <v>Maecenas</v>
      </c>
    </row>
    <row r="6997">
      <c r="A6997" s="3" t="str">
        <f>IFERROR(__xludf.DUMMYFUNCTION("""COMPUTED_VALUE"""),"maga-coin")</f>
        <v>maga-coin</v>
      </c>
      <c r="B6997" s="3" t="str">
        <f>IFERROR(__xludf.DUMMYFUNCTION("""COMPUTED_VALUE"""),"maga")</f>
        <v>maga</v>
      </c>
      <c r="C6997" s="3" t="str">
        <f>IFERROR(__xludf.DUMMYFUNCTION("""COMPUTED_VALUE"""),"MAGA Coin BSC")</f>
        <v>MAGA Coin BSC</v>
      </c>
    </row>
    <row r="6998">
      <c r="A6998" s="3" t="str">
        <f>IFERROR(__xludf.DUMMYFUNCTION("""COMPUTED_VALUE"""),"maga-coin-eth")</f>
        <v>maga-coin-eth</v>
      </c>
      <c r="B6998" s="3" t="str">
        <f>IFERROR(__xludf.DUMMYFUNCTION("""COMPUTED_VALUE"""),"maga")</f>
        <v>maga</v>
      </c>
      <c r="C6998" s="3" t="str">
        <f>IFERROR(__xludf.DUMMYFUNCTION("""COMPUTED_VALUE"""),"MAGA Coin ETH")</f>
        <v>MAGA Coin ETH</v>
      </c>
    </row>
    <row r="6999">
      <c r="A6999" s="3" t="str">
        <f>IFERROR(__xludf.DUMMYFUNCTION("""COMPUTED_VALUE"""),"magic")</f>
        <v>magic</v>
      </c>
      <c r="B6999" s="3" t="str">
        <f>IFERROR(__xludf.DUMMYFUNCTION("""COMPUTED_VALUE"""),"magic")</f>
        <v>magic</v>
      </c>
      <c r="C6999" s="3" t="str">
        <f>IFERROR(__xludf.DUMMYFUNCTION("""COMPUTED_VALUE"""),"Magic")</f>
        <v>Magic</v>
      </c>
    </row>
    <row r="7000">
      <c r="A7000" s="3" t="str">
        <f>IFERROR(__xludf.DUMMYFUNCTION("""COMPUTED_VALUE"""),"magic-beasties")</f>
        <v>magic-beasties</v>
      </c>
      <c r="B7000" s="3" t="str">
        <f>IFERROR(__xludf.DUMMYFUNCTION("""COMPUTED_VALUE"""),"bsts")</f>
        <v>bsts</v>
      </c>
      <c r="C7000" s="3" t="str">
        <f>IFERROR(__xludf.DUMMYFUNCTION("""COMPUTED_VALUE"""),"Magic Beasties")</f>
        <v>Magic Beasties</v>
      </c>
    </row>
    <row r="7001">
      <c r="A7001" s="3" t="str">
        <f>IFERROR(__xludf.DUMMYFUNCTION("""COMPUTED_VALUE"""),"magic-birds-token")</f>
        <v>magic-birds-token</v>
      </c>
      <c r="B7001" s="3" t="str">
        <f>IFERROR(__xludf.DUMMYFUNCTION("""COMPUTED_VALUE"""),"mbt")</f>
        <v>mbt</v>
      </c>
      <c r="C7001" s="3" t="str">
        <f>IFERROR(__xludf.DUMMYFUNCTION("""COMPUTED_VALUE"""),"Magic Birds")</f>
        <v>Magic Birds</v>
      </c>
    </row>
    <row r="7002">
      <c r="A7002" s="3" t="str">
        <f>IFERROR(__xludf.DUMMYFUNCTION("""COMPUTED_VALUE"""),"magic-bnb")</f>
        <v>magic-bnb</v>
      </c>
      <c r="B7002" s="3" t="str">
        <f>IFERROR(__xludf.DUMMYFUNCTION("""COMPUTED_VALUE"""),"mbnb")</f>
        <v>mbnb</v>
      </c>
      <c r="C7002" s="3" t="str">
        <f>IFERROR(__xludf.DUMMYFUNCTION("""COMPUTED_VALUE"""),"MAGIC BNB")</f>
        <v>MAGIC BNB</v>
      </c>
    </row>
    <row r="7003">
      <c r="A7003" s="3" t="str">
        <f>IFERROR(__xludf.DUMMYFUNCTION("""COMPUTED_VALUE"""),"magicbox")</f>
        <v>magicbox</v>
      </c>
      <c r="B7003" s="3" t="str">
        <f>IFERROR(__xludf.DUMMYFUNCTION("""COMPUTED_VALUE"""),"mbt")</f>
        <v>mbt</v>
      </c>
      <c r="C7003" s="3" t="str">
        <f>IFERROR(__xludf.DUMMYFUNCTION("""COMPUTED_VALUE"""),"MagicBox")</f>
        <v>MagicBox</v>
      </c>
    </row>
    <row r="7004">
      <c r="A7004" s="3" t="str">
        <f>IFERROR(__xludf.DUMMYFUNCTION("""COMPUTED_VALUE"""),"magiccraft")</f>
        <v>magiccraft</v>
      </c>
      <c r="B7004" s="3" t="str">
        <f>IFERROR(__xludf.DUMMYFUNCTION("""COMPUTED_VALUE"""),"mcrt")</f>
        <v>mcrt</v>
      </c>
      <c r="C7004" s="3" t="str">
        <f>IFERROR(__xludf.DUMMYFUNCTION("""COMPUTED_VALUE"""),"MagicCraft")</f>
        <v>MagicCraft</v>
      </c>
    </row>
    <row r="7005">
      <c r="A7005" s="3" t="str">
        <f>IFERROR(__xludf.DUMMYFUNCTION("""COMPUTED_VALUE"""),"magic-cube")</f>
        <v>magic-cube</v>
      </c>
      <c r="B7005" s="3" t="str">
        <f>IFERROR(__xludf.DUMMYFUNCTION("""COMPUTED_VALUE"""),"mcc")</f>
        <v>mcc</v>
      </c>
      <c r="C7005" s="3" t="str">
        <f>IFERROR(__xludf.DUMMYFUNCTION("""COMPUTED_VALUE"""),"Magic Cube Coin")</f>
        <v>Magic Cube Coin</v>
      </c>
    </row>
    <row r="7006">
      <c r="A7006" s="3" t="str">
        <f>IFERROR(__xludf.DUMMYFUNCTION("""COMPUTED_VALUE"""),"magic-cube-finance")</f>
        <v>magic-cube-finance</v>
      </c>
      <c r="B7006" s="3" t="str">
        <f>IFERROR(__xludf.DUMMYFUNCTION("""COMPUTED_VALUE"""),"mast")</f>
        <v>mast</v>
      </c>
      <c r="C7006" s="3" t="str">
        <f>IFERROR(__xludf.DUMMYFUNCTION("""COMPUTED_VALUE"""),"Magic Cube Finance")</f>
        <v>Magic Cube Finance</v>
      </c>
    </row>
    <row r="7007">
      <c r="A7007" s="3" t="str">
        <f>IFERROR(__xludf.DUMMYFUNCTION("""COMPUTED_VALUE"""),"magicdoge")</f>
        <v>magicdoge</v>
      </c>
      <c r="B7007" s="3" t="str">
        <f>IFERROR(__xludf.DUMMYFUNCTION("""COMPUTED_VALUE"""),"magicdoge")</f>
        <v>magicdoge</v>
      </c>
      <c r="C7007" s="3" t="str">
        <f>IFERROR(__xludf.DUMMYFUNCTION("""COMPUTED_VALUE"""),"MagicDOGE")</f>
        <v>MagicDOGE</v>
      </c>
    </row>
    <row r="7008">
      <c r="A7008" s="3" t="str">
        <f>IFERROR(__xludf.DUMMYFUNCTION("""COMPUTED_VALUE"""),"magic-eggs")</f>
        <v>magic-eggs</v>
      </c>
      <c r="B7008" s="3" t="str">
        <f>IFERROR(__xludf.DUMMYFUNCTION("""COMPUTED_VALUE"""),"maga")</f>
        <v>maga</v>
      </c>
      <c r="C7008" s="3" t="str">
        <f>IFERROR(__xludf.DUMMYFUNCTION("""COMPUTED_VALUE"""),"Magic Eggs")</f>
        <v>Magic Eggs</v>
      </c>
    </row>
    <row r="7009">
      <c r="A7009" s="3" t="str">
        <f>IFERROR(__xludf.DUMMYFUNCTION("""COMPUTED_VALUE"""),"magic-elpis-gem")</f>
        <v>magic-elpis-gem</v>
      </c>
      <c r="B7009" s="3" t="str">
        <f>IFERROR(__xludf.DUMMYFUNCTION("""COMPUTED_VALUE"""),"meg")</f>
        <v>meg</v>
      </c>
      <c r="C7009" s="3" t="str">
        <f>IFERROR(__xludf.DUMMYFUNCTION("""COMPUTED_VALUE"""),"Magic Elpis Gem")</f>
        <v>Magic Elpis Gem</v>
      </c>
    </row>
    <row r="7010">
      <c r="A7010" s="3" t="str">
        <f>IFERROR(__xludf.DUMMYFUNCTION("""COMPUTED_VALUE"""),"magic-forest")</f>
        <v>magic-forest</v>
      </c>
      <c r="B7010" s="3" t="str">
        <f>IFERROR(__xludf.DUMMYFUNCTION("""COMPUTED_VALUE"""),"magf")</f>
        <v>magf</v>
      </c>
      <c r="C7010" s="3" t="str">
        <f>IFERROR(__xludf.DUMMYFUNCTION("""COMPUTED_VALUE"""),"Magic Forest")</f>
        <v>Magic Forest</v>
      </c>
    </row>
    <row r="7011">
      <c r="A7011" s="3" t="str">
        <f>IFERROR(__xludf.DUMMYFUNCTION("""COMPUTED_VALUE"""),"magic-internet-money")</f>
        <v>magic-internet-money</v>
      </c>
      <c r="B7011" s="3" t="str">
        <f>IFERROR(__xludf.DUMMYFUNCTION("""COMPUTED_VALUE"""),"mim")</f>
        <v>mim</v>
      </c>
      <c r="C7011" s="3" t="str">
        <f>IFERROR(__xludf.DUMMYFUNCTION("""COMPUTED_VALUE"""),"Magic Internet Money")</f>
        <v>Magic Internet Money</v>
      </c>
    </row>
    <row r="7012">
      <c r="A7012" s="3" t="str">
        <f>IFERROR(__xludf.DUMMYFUNCTION("""COMPUTED_VALUE"""),"magic-manor")</f>
        <v>magic-manor</v>
      </c>
      <c r="B7012" s="3" t="str">
        <f>IFERROR(__xludf.DUMMYFUNCTION("""COMPUTED_VALUE"""),"mgc")</f>
        <v>mgc</v>
      </c>
      <c r="C7012" s="3" t="str">
        <f>IFERROR(__xludf.DUMMYFUNCTION("""COMPUTED_VALUE"""),"Magic Manor")</f>
        <v>Magic Manor</v>
      </c>
    </row>
    <row r="7013">
      <c r="A7013" s="3" t="str">
        <f>IFERROR(__xludf.DUMMYFUNCTION("""COMPUTED_VALUE"""),"magicofgold")</f>
        <v>magicofgold</v>
      </c>
      <c r="B7013" s="3" t="str">
        <f>IFERROR(__xludf.DUMMYFUNCTION("""COMPUTED_VALUE"""),"magic")</f>
        <v>magic</v>
      </c>
      <c r="C7013" s="3" t="str">
        <f>IFERROR(__xludf.DUMMYFUNCTION("""COMPUTED_VALUE"""),"MagicofGold")</f>
        <v>MagicofGold</v>
      </c>
    </row>
    <row r="7014">
      <c r="A7014" s="3" t="str">
        <f>IFERROR(__xludf.DUMMYFUNCTION("""COMPUTED_VALUE"""),"magic-of-universe")</f>
        <v>magic-of-universe</v>
      </c>
      <c r="B7014" s="3" t="str">
        <f>IFERROR(__xludf.DUMMYFUNCTION("""COMPUTED_VALUE"""),"mgc")</f>
        <v>mgc</v>
      </c>
      <c r="C7014" s="3" t="str">
        <f>IFERROR(__xludf.DUMMYFUNCTION("""COMPUTED_VALUE"""),"Magic of Universe")</f>
        <v>Magic of Universe</v>
      </c>
    </row>
    <row r="7015">
      <c r="A7015" s="3" t="str">
        <f>IFERROR(__xludf.DUMMYFUNCTION("""COMPUTED_VALUE"""),"magic-power")</f>
        <v>magic-power</v>
      </c>
      <c r="B7015" s="3" t="str">
        <f>IFERROR(__xludf.DUMMYFUNCTION("""COMPUTED_VALUE"""),"mgp")</f>
        <v>mgp</v>
      </c>
      <c r="C7015" s="3" t="str">
        <f>IFERROR(__xludf.DUMMYFUNCTION("""COMPUTED_VALUE"""),"Magic Power")</f>
        <v>Magic Power</v>
      </c>
    </row>
    <row r="7016">
      <c r="A7016" s="3" t="str">
        <f>IFERROR(__xludf.DUMMYFUNCTION("""COMPUTED_VALUE"""),"magic-square")</f>
        <v>magic-square</v>
      </c>
      <c r="B7016" s="3" t="str">
        <f>IFERROR(__xludf.DUMMYFUNCTION("""COMPUTED_VALUE"""),"sqr")</f>
        <v>sqr</v>
      </c>
      <c r="C7016" s="3" t="str">
        <f>IFERROR(__xludf.DUMMYFUNCTION("""COMPUTED_VALUE"""),"Magic Square")</f>
        <v>Magic Square</v>
      </c>
    </row>
    <row r="7017">
      <c r="A7017" s="3" t="str">
        <f>IFERROR(__xludf.DUMMYFUNCTION("""COMPUTED_VALUE"""),"magic-token")</f>
        <v>magic-token</v>
      </c>
      <c r="B7017" s="3" t="str">
        <f>IFERROR(__xludf.DUMMYFUNCTION("""COMPUTED_VALUE"""),"magic")</f>
        <v>magic</v>
      </c>
      <c r="C7017" s="3" t="str">
        <f>IFERROR(__xludf.DUMMYFUNCTION("""COMPUTED_VALUE"""),"MagicLand")</f>
        <v>MagicLand</v>
      </c>
    </row>
    <row r="7018">
      <c r="A7018" s="3" t="str">
        <f>IFERROR(__xludf.DUMMYFUNCTION("""COMPUTED_VALUE"""),"magik")</f>
        <v>magik</v>
      </c>
      <c r="B7018" s="3" t="str">
        <f>IFERROR(__xludf.DUMMYFUNCTION("""COMPUTED_VALUE"""),"magik")</f>
        <v>magik</v>
      </c>
      <c r="C7018" s="3" t="str">
        <f>IFERROR(__xludf.DUMMYFUNCTION("""COMPUTED_VALUE"""),"Magik")</f>
        <v>Magik</v>
      </c>
    </row>
    <row r="7019">
      <c r="A7019" s="3" t="str">
        <f>IFERROR(__xludf.DUMMYFUNCTION("""COMPUTED_VALUE"""),"magnet-dao")</f>
        <v>magnet-dao</v>
      </c>
      <c r="B7019" s="3" t="str">
        <f>IFERROR(__xludf.DUMMYFUNCTION("""COMPUTED_VALUE"""),"mag")</f>
        <v>mag</v>
      </c>
      <c r="C7019" s="3" t="str">
        <f>IFERROR(__xludf.DUMMYFUNCTION("""COMPUTED_VALUE"""),"Magnet DAO")</f>
        <v>Magnet DAO</v>
      </c>
    </row>
    <row r="7020">
      <c r="A7020" s="3" t="str">
        <f>IFERROR(__xludf.DUMMYFUNCTION("""COMPUTED_VALUE"""),"magnetgold")</f>
        <v>magnetgold</v>
      </c>
      <c r="B7020" s="3" t="str">
        <f>IFERROR(__xludf.DUMMYFUNCTION("""COMPUTED_VALUE"""),"mtg")</f>
        <v>mtg</v>
      </c>
      <c r="C7020" s="3" t="str">
        <f>IFERROR(__xludf.DUMMYFUNCTION("""COMPUTED_VALUE"""),"MagnetGold")</f>
        <v>MagnetGold</v>
      </c>
    </row>
    <row r="7021">
      <c r="A7021" s="3" t="str">
        <f>IFERROR(__xludf.DUMMYFUNCTION("""COMPUTED_VALUE"""),"magpie")</f>
        <v>magpie</v>
      </c>
      <c r="B7021" s="3" t="str">
        <f>IFERROR(__xludf.DUMMYFUNCTION("""COMPUTED_VALUE"""),"mgp")</f>
        <v>mgp</v>
      </c>
      <c r="C7021" s="3" t="str">
        <f>IFERROR(__xludf.DUMMYFUNCTION("""COMPUTED_VALUE"""),"Magpie")</f>
        <v>Magpie</v>
      </c>
    </row>
    <row r="7022">
      <c r="A7022" s="3" t="str">
        <f>IFERROR(__xludf.DUMMYFUNCTION("""COMPUTED_VALUE"""),"magpiecoin")</f>
        <v>magpiecoin</v>
      </c>
      <c r="B7022" s="3" t="str">
        <f>IFERROR(__xludf.DUMMYFUNCTION("""COMPUTED_VALUE"""),"mgpc")</f>
        <v>mgpc</v>
      </c>
      <c r="C7022" s="3" t="str">
        <f>IFERROR(__xludf.DUMMYFUNCTION("""COMPUTED_VALUE"""),"MagpieCoin")</f>
        <v>MagpieCoin</v>
      </c>
    </row>
    <row r="7023">
      <c r="A7023" s="3" t="str">
        <f>IFERROR(__xludf.DUMMYFUNCTION("""COMPUTED_VALUE"""),"magus-nodes")</f>
        <v>magus-nodes</v>
      </c>
      <c r="B7023" s="3" t="str">
        <f>IFERROR(__xludf.DUMMYFUNCTION("""COMPUTED_VALUE"""),"magus")</f>
        <v>magus</v>
      </c>
      <c r="C7023" s="3" t="str">
        <f>IFERROR(__xludf.DUMMYFUNCTION("""COMPUTED_VALUE"""),"Magus Nodes")</f>
        <v>Magus Nodes</v>
      </c>
    </row>
    <row r="7024">
      <c r="A7024" s="3" t="str">
        <f>IFERROR(__xludf.DUMMYFUNCTION("""COMPUTED_VALUE"""),"mahadao")</f>
        <v>mahadao</v>
      </c>
      <c r="B7024" s="3" t="str">
        <f>IFERROR(__xludf.DUMMYFUNCTION("""COMPUTED_VALUE"""),"maha")</f>
        <v>maha</v>
      </c>
      <c r="C7024" s="3" t="str">
        <f>IFERROR(__xludf.DUMMYFUNCTION("""COMPUTED_VALUE"""),"MahaDAO")</f>
        <v>MahaDAO</v>
      </c>
    </row>
    <row r="7025">
      <c r="A7025" s="3" t="str">
        <f>IFERROR(__xludf.DUMMYFUNCTION("""COMPUTED_VALUE"""),"mahadevcoin")</f>
        <v>mahadevcoin</v>
      </c>
      <c r="B7025" s="3" t="str">
        <f>IFERROR(__xludf.DUMMYFUNCTION("""COMPUTED_VALUE"""),"mhdc")</f>
        <v>mhdc</v>
      </c>
      <c r="C7025" s="3" t="str">
        <f>IFERROR(__xludf.DUMMYFUNCTION("""COMPUTED_VALUE"""),"MahaDevCoiN")</f>
        <v>MahaDevCoiN</v>
      </c>
    </row>
    <row r="7026">
      <c r="A7026" s="3" t="str">
        <f>IFERROR(__xludf.DUMMYFUNCTION("""COMPUTED_VALUE"""),"maia")</f>
        <v>maia</v>
      </c>
      <c r="B7026" s="3" t="str">
        <f>IFERROR(__xludf.DUMMYFUNCTION("""COMPUTED_VALUE"""),"maia")</f>
        <v>maia</v>
      </c>
      <c r="C7026" s="3" t="str">
        <f>IFERROR(__xludf.DUMMYFUNCTION("""COMPUTED_VALUE"""),"Maia")</f>
        <v>Maia</v>
      </c>
    </row>
    <row r="7027">
      <c r="A7027" s="3" t="str">
        <f>IFERROR(__xludf.DUMMYFUNCTION("""COMPUTED_VALUE"""),"maiar-dex")</f>
        <v>maiar-dex</v>
      </c>
      <c r="B7027" s="3" t="str">
        <f>IFERROR(__xludf.DUMMYFUNCTION("""COMPUTED_VALUE"""),"mex")</f>
        <v>mex</v>
      </c>
      <c r="C7027" s="3" t="str">
        <f>IFERROR(__xludf.DUMMYFUNCTION("""COMPUTED_VALUE"""),"Maiar DEX")</f>
        <v>Maiar DEX</v>
      </c>
    </row>
    <row r="7028">
      <c r="A7028" s="3" t="str">
        <f>IFERROR(__xludf.DUMMYFUNCTION("""COMPUTED_VALUE"""),"maidcoin")</f>
        <v>maidcoin</v>
      </c>
      <c r="B7028" s="3" t="str">
        <f>IFERROR(__xludf.DUMMYFUNCTION("""COMPUTED_VALUE"""),"$maid")</f>
        <v>$maid</v>
      </c>
      <c r="C7028" s="3" t="str">
        <f>IFERROR(__xludf.DUMMYFUNCTION("""COMPUTED_VALUE"""),"MaidCoin")</f>
        <v>MaidCoin</v>
      </c>
    </row>
    <row r="7029">
      <c r="A7029" s="3" t="str">
        <f>IFERROR(__xludf.DUMMYFUNCTION("""COMPUTED_VALUE"""),"maidsafecoin")</f>
        <v>maidsafecoin</v>
      </c>
      <c r="B7029" s="3" t="str">
        <f>IFERROR(__xludf.DUMMYFUNCTION("""COMPUTED_VALUE"""),"emaid")</f>
        <v>emaid</v>
      </c>
      <c r="C7029" s="3" t="str">
        <f>IFERROR(__xludf.DUMMYFUNCTION("""COMPUTED_VALUE"""),"MaidSafeCoin")</f>
        <v>MaidSafeCoin</v>
      </c>
    </row>
    <row r="7030">
      <c r="A7030" s="3" t="str">
        <f>IFERROR(__xludf.DUMMYFUNCTION("""COMPUTED_VALUE"""),"main")</f>
        <v>main</v>
      </c>
      <c r="B7030" s="3" t="str">
        <f>IFERROR(__xludf.DUMMYFUNCTION("""COMPUTED_VALUE"""),"main")</f>
        <v>main</v>
      </c>
      <c r="C7030" s="3" t="str">
        <f>IFERROR(__xludf.DUMMYFUNCTION("""COMPUTED_VALUE"""),"Main")</f>
        <v>Main</v>
      </c>
    </row>
    <row r="7031">
      <c r="A7031" s="3" t="str">
        <f>IFERROR(__xludf.DUMMYFUNCTION("""COMPUTED_VALUE"""),"mainframe")</f>
        <v>mainframe</v>
      </c>
      <c r="B7031" s="3" t="str">
        <f>IFERROR(__xludf.DUMMYFUNCTION("""COMPUTED_VALUE"""),"mft")</f>
        <v>mft</v>
      </c>
      <c r="C7031" s="3" t="str">
        <f>IFERROR(__xludf.DUMMYFUNCTION("""COMPUTED_VALUE"""),"Hifi Finance")</f>
        <v>Hifi Finance</v>
      </c>
    </row>
    <row r="7032">
      <c r="A7032" s="3" t="str">
        <f>IFERROR(__xludf.DUMMYFUNCTION("""COMPUTED_VALUE"""),"mainstream-for-the-underground")</f>
        <v>mainstream-for-the-underground</v>
      </c>
      <c r="B7032" s="3" t="str">
        <f>IFERROR(__xludf.DUMMYFUNCTION("""COMPUTED_VALUE"""),"mftu")</f>
        <v>mftu</v>
      </c>
      <c r="C7032" s="3" t="str">
        <f>IFERROR(__xludf.DUMMYFUNCTION("""COMPUTED_VALUE"""),"Mainstream For The Underground")</f>
        <v>Mainstream For The Underground</v>
      </c>
    </row>
    <row r="7033">
      <c r="A7033" s="3" t="str">
        <f>IFERROR(__xludf.DUMMYFUNCTION("""COMPUTED_VALUE"""),"maison-capital")</f>
        <v>maison-capital</v>
      </c>
      <c r="B7033" s="3" t="str">
        <f>IFERROR(__xludf.DUMMYFUNCTION("""COMPUTED_VALUE"""),"msn")</f>
        <v>msn</v>
      </c>
      <c r="C7033" s="3" t="str">
        <f>IFERROR(__xludf.DUMMYFUNCTION("""COMPUTED_VALUE"""),"Maison Capital")</f>
        <v>Maison Capital</v>
      </c>
    </row>
    <row r="7034">
      <c r="A7034" s="3" t="str">
        <f>IFERROR(__xludf.DUMMYFUNCTION("""COMPUTED_VALUE"""),"maker")</f>
        <v>maker</v>
      </c>
      <c r="B7034" s="3" t="str">
        <f>IFERROR(__xludf.DUMMYFUNCTION("""COMPUTED_VALUE"""),"mkr")</f>
        <v>mkr</v>
      </c>
      <c r="C7034" s="3" t="str">
        <f>IFERROR(__xludf.DUMMYFUNCTION("""COMPUTED_VALUE"""),"Maker")</f>
        <v>Maker</v>
      </c>
    </row>
    <row r="7035">
      <c r="A7035" s="3" t="str">
        <f>IFERROR(__xludf.DUMMYFUNCTION("""COMPUTED_VALUE"""),"makes")</f>
        <v>makes</v>
      </c>
      <c r="B7035" s="3" t="str">
        <f>IFERROR(__xludf.DUMMYFUNCTION("""COMPUTED_VALUE"""),"mks")</f>
        <v>mks</v>
      </c>
      <c r="C7035" s="3" t="str">
        <f>IFERROR(__xludf.DUMMYFUNCTION("""COMPUTED_VALUE"""),"Makes")</f>
        <v>Makes</v>
      </c>
    </row>
    <row r="7036">
      <c r="A7036" s="3" t="str">
        <f>IFERROR(__xludf.DUMMYFUNCTION("""COMPUTED_VALUE"""),"makiswap")</f>
        <v>makiswap</v>
      </c>
      <c r="B7036" s="3" t="str">
        <f>IFERROR(__xludf.DUMMYFUNCTION("""COMPUTED_VALUE"""),"maki")</f>
        <v>maki</v>
      </c>
      <c r="C7036" s="3" t="str">
        <f>IFERROR(__xludf.DUMMYFUNCTION("""COMPUTED_VALUE"""),"MakiSwap")</f>
        <v>MakiSwap</v>
      </c>
    </row>
    <row r="7037">
      <c r="A7037" s="3" t="str">
        <f>IFERROR(__xludf.DUMMYFUNCTION("""COMPUTED_VALUE"""),"makk")</f>
        <v>makk</v>
      </c>
      <c r="B7037" s="3" t="str">
        <f>IFERROR(__xludf.DUMMYFUNCTION("""COMPUTED_VALUE"""),"makk")</f>
        <v>makk</v>
      </c>
      <c r="C7037" s="3" t="str">
        <f>IFERROR(__xludf.DUMMYFUNCTION("""COMPUTED_VALUE"""),"Makk")</f>
        <v>Makk</v>
      </c>
    </row>
    <row r="7038">
      <c r="A7038" s="3" t="str">
        <f>IFERROR(__xludf.DUMMYFUNCTION("""COMPUTED_VALUE"""),"malinka")</f>
        <v>malinka</v>
      </c>
      <c r="B7038" s="3" t="str">
        <f>IFERROR(__xludf.DUMMYFUNCTION("""COMPUTED_VALUE"""),"mlnk")</f>
        <v>mlnk</v>
      </c>
      <c r="C7038" s="3" t="str">
        <f>IFERROR(__xludf.DUMMYFUNCTION("""COMPUTED_VALUE"""),"Malinka")</f>
        <v>Malinka</v>
      </c>
    </row>
    <row r="7039">
      <c r="A7039" s="3" t="str">
        <f>IFERROR(__xludf.DUMMYFUNCTION("""COMPUTED_VALUE"""),"mama-dao")</f>
        <v>mama-dao</v>
      </c>
      <c r="B7039" s="3" t="str">
        <f>IFERROR(__xludf.DUMMYFUNCTION("""COMPUTED_VALUE"""),"mama")</f>
        <v>mama</v>
      </c>
      <c r="C7039" s="3" t="str">
        <f>IFERROR(__xludf.DUMMYFUNCTION("""COMPUTED_VALUE"""),"Mama DAO")</f>
        <v>Mama DAO</v>
      </c>
    </row>
    <row r="7040">
      <c r="A7040" s="3" t="str">
        <f>IFERROR(__xludf.DUMMYFUNCTION("""COMPUTED_VALUE"""),"mamaverse")</f>
        <v>mamaverse</v>
      </c>
      <c r="B7040" s="3" t="str">
        <f>IFERROR(__xludf.DUMMYFUNCTION("""COMPUTED_VALUE"""),"coinmama")</f>
        <v>coinmama</v>
      </c>
      <c r="C7040" s="3" t="str">
        <f>IFERROR(__xludf.DUMMYFUNCTION("""COMPUTED_VALUE"""),"MamaVerse")</f>
        <v>MamaVerse</v>
      </c>
    </row>
    <row r="7041">
      <c r="A7041" s="3" t="str">
        <f>IFERROR(__xludf.DUMMYFUNCTION("""COMPUTED_VALUE"""),"mammoth-mmt")</f>
        <v>mammoth-mmt</v>
      </c>
      <c r="B7041" s="3" t="str">
        <f>IFERROR(__xludf.DUMMYFUNCTION("""COMPUTED_VALUE"""),"mmt")</f>
        <v>mmt</v>
      </c>
      <c r="C7041" s="3" t="str">
        <f>IFERROR(__xludf.DUMMYFUNCTION("""COMPUTED_VALUE"""),"Mammoth MMT")</f>
        <v>Mammoth MMT</v>
      </c>
    </row>
    <row r="7042">
      <c r="A7042" s="3" t="str">
        <f>IFERROR(__xludf.DUMMYFUNCTION("""COMPUTED_VALUE"""),"manager-pro")</f>
        <v>manager-pro</v>
      </c>
      <c r="B7042" s="3" t="str">
        <f>IFERROR(__xludf.DUMMYFUNCTION("""COMPUTED_VALUE"""),"mpro")</f>
        <v>mpro</v>
      </c>
      <c r="C7042" s="3" t="str">
        <f>IFERROR(__xludf.DUMMYFUNCTION("""COMPUTED_VALUE"""),"Manager PRO")</f>
        <v>Manager PRO</v>
      </c>
    </row>
    <row r="7043">
      <c r="A7043" s="3" t="str">
        <f>IFERROR(__xludf.DUMMYFUNCTION("""COMPUTED_VALUE"""),"manarium")</f>
        <v>manarium</v>
      </c>
      <c r="B7043" s="3" t="str">
        <f>IFERROR(__xludf.DUMMYFUNCTION("""COMPUTED_VALUE"""),"ari")</f>
        <v>ari</v>
      </c>
      <c r="C7043" s="3" t="str">
        <f>IFERROR(__xludf.DUMMYFUNCTION("""COMPUTED_VALUE"""),"Manarium")</f>
        <v>Manarium</v>
      </c>
    </row>
    <row r="7044">
      <c r="A7044" s="3" t="str">
        <f>IFERROR(__xludf.DUMMYFUNCTION("""COMPUTED_VALUE"""),"manateecoin")</f>
        <v>manateecoin</v>
      </c>
      <c r="B7044" s="3" t="str">
        <f>IFERROR(__xludf.DUMMYFUNCTION("""COMPUTED_VALUE"""),"mtc")</f>
        <v>mtc</v>
      </c>
      <c r="C7044" s="3" t="str">
        <f>IFERROR(__xludf.DUMMYFUNCTION("""COMPUTED_VALUE"""),"ManateeCoin")</f>
        <v>ManateeCoin</v>
      </c>
    </row>
    <row r="7045">
      <c r="A7045" s="3" t="str">
        <f>IFERROR(__xludf.DUMMYFUNCTION("""COMPUTED_VALUE"""),"manchester-city-fan-token")</f>
        <v>manchester-city-fan-token</v>
      </c>
      <c r="B7045" s="3" t="str">
        <f>IFERROR(__xludf.DUMMYFUNCTION("""COMPUTED_VALUE"""),"city")</f>
        <v>city</v>
      </c>
      <c r="C7045" s="3" t="str">
        <f>IFERROR(__xludf.DUMMYFUNCTION("""COMPUTED_VALUE"""),"Manchester City Fan Token")</f>
        <v>Manchester City Fan Token</v>
      </c>
    </row>
    <row r="7046">
      <c r="A7046" s="3" t="str">
        <f>IFERROR(__xludf.DUMMYFUNCTION("""COMPUTED_VALUE"""),"mancium")</f>
        <v>mancium</v>
      </c>
      <c r="B7046" s="3" t="str">
        <f>IFERROR(__xludf.DUMMYFUNCTION("""COMPUTED_VALUE"""),"manc")</f>
        <v>manc</v>
      </c>
      <c r="C7046" s="3" t="str">
        <f>IFERROR(__xludf.DUMMYFUNCTION("""COMPUTED_VALUE"""),"Mancium")</f>
        <v>Mancium</v>
      </c>
    </row>
    <row r="7047">
      <c r="A7047" s="3" t="str">
        <f>IFERROR(__xludf.DUMMYFUNCTION("""COMPUTED_VALUE"""),"mandala-2")</f>
        <v>mandala-2</v>
      </c>
      <c r="B7047" s="3" t="str">
        <f>IFERROR(__xludf.DUMMYFUNCTION("""COMPUTED_VALUE"""),"mndl")</f>
        <v>mndl</v>
      </c>
      <c r="C7047" s="3" t="str">
        <f>IFERROR(__xludf.DUMMYFUNCTION("""COMPUTED_VALUE"""),"Mandala")</f>
        <v>Mandala</v>
      </c>
    </row>
    <row r="7048">
      <c r="A7048" s="3" t="str">
        <f>IFERROR(__xludf.DUMMYFUNCTION("""COMPUTED_VALUE"""),"mandala-exchange-token")</f>
        <v>mandala-exchange-token</v>
      </c>
      <c r="B7048" s="3" t="str">
        <f>IFERROR(__xludf.DUMMYFUNCTION("""COMPUTED_VALUE"""),"mdx")</f>
        <v>mdx</v>
      </c>
      <c r="C7048" s="3" t="str">
        <f>IFERROR(__xludf.DUMMYFUNCTION("""COMPUTED_VALUE"""),"Mandala Exchange")</f>
        <v>Mandala Exchange</v>
      </c>
    </row>
    <row r="7049">
      <c r="A7049" s="3" t="str">
        <f>IFERROR(__xludf.DUMMYFUNCTION("""COMPUTED_VALUE"""),"mandi-token")</f>
        <v>mandi-token</v>
      </c>
      <c r="B7049" s="3" t="str">
        <f>IFERROR(__xludf.DUMMYFUNCTION("""COMPUTED_VALUE"""),"mandi")</f>
        <v>mandi</v>
      </c>
      <c r="C7049" s="3" t="str">
        <f>IFERROR(__xludf.DUMMYFUNCTION("""COMPUTED_VALUE"""),"Mandi")</f>
        <v>Mandi</v>
      </c>
    </row>
    <row r="7050">
      <c r="A7050" s="3" t="str">
        <f>IFERROR(__xludf.DUMMYFUNCTION("""COMPUTED_VALUE"""),"mandox-2")</f>
        <v>mandox-2</v>
      </c>
      <c r="B7050" s="3" t="str">
        <f>IFERROR(__xludf.DUMMYFUNCTION("""COMPUTED_VALUE"""),"mandox")</f>
        <v>mandox</v>
      </c>
      <c r="C7050" s="3" t="str">
        <f>IFERROR(__xludf.DUMMYFUNCTION("""COMPUTED_VALUE"""),"MandoX")</f>
        <v>MandoX</v>
      </c>
    </row>
    <row r="7051">
      <c r="A7051" s="3" t="str">
        <f>IFERROR(__xludf.DUMMYFUNCTION("""COMPUTED_VALUE"""),"maneki-neko")</f>
        <v>maneki-neko</v>
      </c>
      <c r="B7051" s="3" t="str">
        <f>IFERROR(__xludf.DUMMYFUNCTION("""COMPUTED_VALUE"""),"neki")</f>
        <v>neki</v>
      </c>
      <c r="C7051" s="3" t="str">
        <f>IFERROR(__xludf.DUMMYFUNCTION("""COMPUTED_VALUE"""),"Maneki-neko")</f>
        <v>Maneki-neko</v>
      </c>
    </row>
    <row r="7052">
      <c r="A7052" s="3" t="str">
        <f>IFERROR(__xludf.DUMMYFUNCTION("""COMPUTED_VALUE"""),"mangamon")</f>
        <v>mangamon</v>
      </c>
      <c r="B7052" s="3" t="str">
        <f>IFERROR(__xludf.DUMMYFUNCTION("""COMPUTED_VALUE"""),"man")</f>
        <v>man</v>
      </c>
      <c r="C7052" s="3" t="str">
        <f>IFERROR(__xludf.DUMMYFUNCTION("""COMPUTED_VALUE"""),"MangaMon")</f>
        <v>MangaMon</v>
      </c>
    </row>
    <row r="7053">
      <c r="A7053" s="3" t="str">
        <f>IFERROR(__xludf.DUMMYFUNCTION("""COMPUTED_VALUE"""),"manga-token")</f>
        <v>manga-token</v>
      </c>
      <c r="B7053" s="3" t="str">
        <f>IFERROR(__xludf.DUMMYFUNCTION("""COMPUTED_VALUE"""),"$manga")</f>
        <v>$manga</v>
      </c>
      <c r="C7053" s="3" t="str">
        <f>IFERROR(__xludf.DUMMYFUNCTION("""COMPUTED_VALUE"""),"Manga")</f>
        <v>Manga</v>
      </c>
    </row>
    <row r="7054">
      <c r="A7054" s="3" t="str">
        <f>IFERROR(__xludf.DUMMYFUNCTION("""COMPUTED_VALUE"""),"mangochain")</f>
        <v>mangochain</v>
      </c>
      <c r="B7054" s="3" t="str">
        <f>IFERROR(__xludf.DUMMYFUNCTION("""COMPUTED_VALUE"""),"mgp")</f>
        <v>mgp</v>
      </c>
      <c r="C7054" s="3" t="str">
        <f>IFERROR(__xludf.DUMMYFUNCTION("""COMPUTED_VALUE"""),"MangoChain")</f>
        <v>MangoChain</v>
      </c>
    </row>
    <row r="7055">
      <c r="A7055" s="3" t="str">
        <f>IFERROR(__xludf.DUMMYFUNCTION("""COMPUTED_VALUE"""),"mangoman-intelligent")</f>
        <v>mangoman-intelligent</v>
      </c>
      <c r="B7055" s="3" t="str">
        <f>IFERROR(__xludf.DUMMYFUNCTION("""COMPUTED_VALUE"""),"mmit")</f>
        <v>mmit</v>
      </c>
      <c r="C7055" s="3" t="str">
        <f>IFERROR(__xludf.DUMMYFUNCTION("""COMPUTED_VALUE"""),"MANGOMAN INTELLIGENT")</f>
        <v>MANGOMAN INTELLIGENT</v>
      </c>
    </row>
    <row r="7056">
      <c r="A7056" s="3" t="str">
        <f>IFERROR(__xludf.DUMMYFUNCTION("""COMPUTED_VALUE"""),"mango-markets")</f>
        <v>mango-markets</v>
      </c>
      <c r="B7056" s="3" t="str">
        <f>IFERROR(__xludf.DUMMYFUNCTION("""COMPUTED_VALUE"""),"mngo")</f>
        <v>mngo</v>
      </c>
      <c r="C7056" s="3" t="str">
        <f>IFERROR(__xludf.DUMMYFUNCTION("""COMPUTED_VALUE"""),"Mango")</f>
        <v>Mango</v>
      </c>
    </row>
    <row r="7057">
      <c r="A7057" s="3" t="str">
        <f>IFERROR(__xludf.DUMMYFUNCTION("""COMPUTED_VALUE"""),"manifold-finance")</f>
        <v>manifold-finance</v>
      </c>
      <c r="B7057" s="3" t="str">
        <f>IFERROR(__xludf.DUMMYFUNCTION("""COMPUTED_VALUE"""),"fold")</f>
        <v>fold</v>
      </c>
      <c r="C7057" s="3" t="str">
        <f>IFERROR(__xludf.DUMMYFUNCTION("""COMPUTED_VALUE"""),"Manifold Finance")</f>
        <v>Manifold Finance</v>
      </c>
    </row>
    <row r="7058">
      <c r="A7058" s="3" t="str">
        <f>IFERROR(__xludf.DUMMYFUNCTION("""COMPUTED_VALUE"""),"manna")</f>
        <v>manna</v>
      </c>
      <c r="B7058" s="3" t="str">
        <f>IFERROR(__xludf.DUMMYFUNCTION("""COMPUTED_VALUE"""),"manna")</f>
        <v>manna</v>
      </c>
      <c r="C7058" s="3" t="str">
        <f>IFERROR(__xludf.DUMMYFUNCTION("""COMPUTED_VALUE"""),"Manna")</f>
        <v>Manna</v>
      </c>
    </row>
    <row r="7059">
      <c r="A7059" s="3" t="str">
        <f>IFERROR(__xludf.DUMMYFUNCTION("""COMPUTED_VALUE"""),"mantis-network")</f>
        <v>mantis-network</v>
      </c>
      <c r="B7059" s="3" t="str">
        <f>IFERROR(__xludf.DUMMYFUNCTION("""COMPUTED_VALUE"""),"mntis")</f>
        <v>mntis</v>
      </c>
      <c r="C7059" s="3" t="str">
        <f>IFERROR(__xludf.DUMMYFUNCTION("""COMPUTED_VALUE"""),"Mantis Network")</f>
        <v>Mantis Network</v>
      </c>
    </row>
    <row r="7060">
      <c r="A7060" s="3" t="str">
        <f>IFERROR(__xludf.DUMMYFUNCTION("""COMPUTED_VALUE"""),"mantra-dao")</f>
        <v>mantra-dao</v>
      </c>
      <c r="B7060" s="3" t="str">
        <f>IFERROR(__xludf.DUMMYFUNCTION("""COMPUTED_VALUE"""),"om")</f>
        <v>om</v>
      </c>
      <c r="C7060" s="3" t="str">
        <f>IFERROR(__xludf.DUMMYFUNCTION("""COMPUTED_VALUE"""),"MANTRA")</f>
        <v>MANTRA</v>
      </c>
    </row>
    <row r="7061">
      <c r="A7061" s="3" t="str">
        <f>IFERROR(__xludf.DUMMYFUNCTION("""COMPUTED_VALUE"""),"manufactory-2")</f>
        <v>manufactory-2</v>
      </c>
      <c r="B7061" s="3" t="str">
        <f>IFERROR(__xludf.DUMMYFUNCTION("""COMPUTED_VALUE"""),"mnft")</f>
        <v>mnft</v>
      </c>
      <c r="C7061" s="3" t="str">
        <f>IFERROR(__xludf.DUMMYFUNCTION("""COMPUTED_VALUE"""),"ManuFactory")</f>
        <v>ManuFactory</v>
      </c>
    </row>
    <row r="7062">
      <c r="A7062" s="3" t="str">
        <f>IFERROR(__xludf.DUMMYFUNCTION("""COMPUTED_VALUE"""),"manyswap")</f>
        <v>manyswap</v>
      </c>
      <c r="B7062" s="3" t="str">
        <f>IFERROR(__xludf.DUMMYFUNCTION("""COMPUTED_VALUE"""),"many")</f>
        <v>many</v>
      </c>
      <c r="C7062" s="3" t="str">
        <f>IFERROR(__xludf.DUMMYFUNCTION("""COMPUTED_VALUE"""),"Manyswap")</f>
        <v>Manyswap</v>
      </c>
    </row>
    <row r="7063">
      <c r="A7063" s="3" t="str">
        <f>IFERROR(__xludf.DUMMYFUNCTION("""COMPUTED_VALUE"""),"many-worlds")</f>
        <v>many-worlds</v>
      </c>
      <c r="B7063" s="3" t="str">
        <f>IFERROR(__xludf.DUMMYFUNCTION("""COMPUTED_VALUE"""),"many")</f>
        <v>many</v>
      </c>
      <c r="C7063" s="3" t="str">
        <f>IFERROR(__xludf.DUMMYFUNCTION("""COMPUTED_VALUE"""),"Many Worlds")</f>
        <v>Many Worlds</v>
      </c>
    </row>
    <row r="7064">
      <c r="A7064" s="3" t="str">
        <f>IFERROR(__xludf.DUMMYFUNCTION("""COMPUTED_VALUE"""),"mao-zedong")</f>
        <v>mao-zedong</v>
      </c>
      <c r="B7064" s="3" t="str">
        <f>IFERROR(__xludf.DUMMYFUNCTION("""COMPUTED_VALUE"""),"mao")</f>
        <v>mao</v>
      </c>
      <c r="C7064" s="3" t="str">
        <f>IFERROR(__xludf.DUMMYFUNCTION("""COMPUTED_VALUE"""),"Mao Zedong")</f>
        <v>Mao Zedong</v>
      </c>
    </row>
    <row r="7065">
      <c r="A7065" s="3" t="str">
        <f>IFERROR(__xludf.DUMMYFUNCTION("""COMPUTED_VALUE"""),"mapcoin")</f>
        <v>mapcoin</v>
      </c>
      <c r="B7065" s="3" t="str">
        <f>IFERROR(__xludf.DUMMYFUNCTION("""COMPUTED_VALUE"""),"mapc")</f>
        <v>mapc</v>
      </c>
      <c r="C7065" s="3" t="str">
        <f>IFERROR(__xludf.DUMMYFUNCTION("""COMPUTED_VALUE"""),"MapCoin")</f>
        <v>MapCoin</v>
      </c>
    </row>
    <row r="7066">
      <c r="A7066" s="3" t="str">
        <f>IFERROR(__xludf.DUMMYFUNCTION("""COMPUTED_VALUE"""),"maple")</f>
        <v>maple</v>
      </c>
      <c r="B7066" s="3" t="str">
        <f>IFERROR(__xludf.DUMMYFUNCTION("""COMPUTED_VALUE"""),"mpl")</f>
        <v>mpl</v>
      </c>
      <c r="C7066" s="3" t="str">
        <f>IFERROR(__xludf.DUMMYFUNCTION("""COMPUTED_VALUE"""),"Maple")</f>
        <v>Maple</v>
      </c>
    </row>
    <row r="7067">
      <c r="A7067" s="3" t="str">
        <f>IFERROR(__xludf.DUMMYFUNCTION("""COMPUTED_VALUE"""),"mapmetrics")</f>
        <v>mapmetrics</v>
      </c>
      <c r="B7067" s="3" t="str">
        <f>IFERROR(__xludf.DUMMYFUNCTION("""COMPUTED_VALUE"""),"mmaps")</f>
        <v>mmaps</v>
      </c>
      <c r="C7067" s="3" t="str">
        <f>IFERROR(__xludf.DUMMYFUNCTION("""COMPUTED_VALUE"""),"MapMetrics")</f>
        <v>MapMetrics</v>
      </c>
    </row>
    <row r="7068">
      <c r="A7068" s="3" t="str">
        <f>IFERROR(__xludf.DUMMYFUNCTION("""COMPUTED_VALUE"""),"maps")</f>
        <v>maps</v>
      </c>
      <c r="B7068" s="3" t="str">
        <f>IFERROR(__xludf.DUMMYFUNCTION("""COMPUTED_VALUE"""),"maps")</f>
        <v>maps</v>
      </c>
      <c r="C7068" s="3" t="str">
        <f>IFERROR(__xludf.DUMMYFUNCTION("""COMPUTED_VALUE"""),"MAPS")</f>
        <v>MAPS</v>
      </c>
    </row>
    <row r="7069">
      <c r="A7069" s="3" t="str">
        <f>IFERROR(__xludf.DUMMYFUNCTION("""COMPUTED_VALUE"""),"mapt-coin")</f>
        <v>mapt-coin</v>
      </c>
      <c r="B7069" s="3" t="str">
        <f>IFERROR(__xludf.DUMMYFUNCTION("""COMPUTED_VALUE"""),"xmp")</f>
        <v>xmp</v>
      </c>
      <c r="C7069" s="3" t="str">
        <f>IFERROR(__xludf.DUMMYFUNCTION("""COMPUTED_VALUE"""),"Mapt.Coin")</f>
        <v>Mapt.Coin</v>
      </c>
    </row>
    <row r="7070">
      <c r="A7070" s="3" t="str">
        <f>IFERROR(__xludf.DUMMYFUNCTION("""COMPUTED_VALUE"""),"marble")</f>
        <v>marble</v>
      </c>
      <c r="B7070" s="3" t="str">
        <f>IFERROR(__xludf.DUMMYFUNCTION("""COMPUTED_VALUE"""),"$marble")</f>
        <v>$marble</v>
      </c>
      <c r="C7070" s="3" t="str">
        <f>IFERROR(__xludf.DUMMYFUNCTION("""COMPUTED_VALUE"""),"Marble Dao")</f>
        <v>Marble Dao</v>
      </c>
    </row>
    <row r="7071">
      <c r="A7071" s="3" t="str">
        <f>IFERROR(__xludf.DUMMYFUNCTION("""COMPUTED_VALUE"""),"marbledao-block")</f>
        <v>marbledao-block</v>
      </c>
      <c r="B7071" s="3" t="str">
        <f>IFERROR(__xludf.DUMMYFUNCTION("""COMPUTED_VALUE"""),"block")</f>
        <v>block</v>
      </c>
      <c r="C7071" s="3" t="str">
        <f>IFERROR(__xludf.DUMMYFUNCTION("""COMPUTED_VALUE"""),"MarbleDao Block")</f>
        <v>MarbleDao Block</v>
      </c>
    </row>
    <row r="7072">
      <c r="A7072" s="3" t="str">
        <f>IFERROR(__xludf.DUMMYFUNCTION("""COMPUTED_VALUE"""),"marble-heroes")</f>
        <v>marble-heroes</v>
      </c>
      <c r="B7072" s="3" t="str">
        <f>IFERROR(__xludf.DUMMYFUNCTION("""COMPUTED_VALUE"""),"mbh")</f>
        <v>mbh</v>
      </c>
      <c r="C7072" s="3" t="str">
        <f>IFERROR(__xludf.DUMMYFUNCTION("""COMPUTED_VALUE"""),"Marble Heroes")</f>
        <v>Marble Heroes</v>
      </c>
    </row>
    <row r="7073">
      <c r="A7073" s="3" t="str">
        <f>IFERROR(__xludf.DUMMYFUNCTION("""COMPUTED_VALUE"""),"marblex")</f>
        <v>marblex</v>
      </c>
      <c r="B7073" s="3" t="str">
        <f>IFERROR(__xludf.DUMMYFUNCTION("""COMPUTED_VALUE"""),"mbx")</f>
        <v>mbx</v>
      </c>
      <c r="C7073" s="3" t="str">
        <f>IFERROR(__xludf.DUMMYFUNCTION("""COMPUTED_VALUE"""),"Marblex")</f>
        <v>Marblex</v>
      </c>
    </row>
    <row r="7074">
      <c r="A7074" s="3" t="str">
        <f>IFERROR(__xludf.DUMMYFUNCTION("""COMPUTED_VALUE"""),"marcopolo")</f>
        <v>marcopolo</v>
      </c>
      <c r="B7074" s="3" t="str">
        <f>IFERROR(__xludf.DUMMYFUNCTION("""COMPUTED_VALUE"""),"map")</f>
        <v>map</v>
      </c>
      <c r="C7074" s="3" t="str">
        <f>IFERROR(__xludf.DUMMYFUNCTION("""COMPUTED_VALUE"""),"MAP Protocol")</f>
        <v>MAP Protocol</v>
      </c>
    </row>
    <row r="7075">
      <c r="A7075" s="3" t="str">
        <f>IFERROR(__xludf.DUMMYFUNCTION("""COMPUTED_VALUE"""),"margarita")</f>
        <v>margarita</v>
      </c>
      <c r="B7075" s="3" t="str">
        <f>IFERROR(__xludf.DUMMYFUNCTION("""COMPUTED_VALUE"""),"margarita")</f>
        <v>margarita</v>
      </c>
      <c r="C7075" s="3" t="str">
        <f>IFERROR(__xludf.DUMMYFUNCTION("""COMPUTED_VALUE"""),"Margarita")</f>
        <v>Margarita</v>
      </c>
    </row>
    <row r="7076">
      <c r="A7076" s="3" t="str">
        <f>IFERROR(__xludf.DUMMYFUNCTION("""COMPUTED_VALUE"""),"marginswap")</f>
        <v>marginswap</v>
      </c>
      <c r="B7076" s="3" t="str">
        <f>IFERROR(__xludf.DUMMYFUNCTION("""COMPUTED_VALUE"""),"mfi")</f>
        <v>mfi</v>
      </c>
      <c r="C7076" s="3" t="str">
        <f>IFERROR(__xludf.DUMMYFUNCTION("""COMPUTED_VALUE"""),"Marginswap")</f>
        <v>Marginswap</v>
      </c>
    </row>
    <row r="7077">
      <c r="A7077" s="3" t="str">
        <f>IFERROR(__xludf.DUMMYFUNCTION("""COMPUTED_VALUE"""),"marhabadefi")</f>
        <v>marhabadefi</v>
      </c>
      <c r="B7077" s="3" t="str">
        <f>IFERROR(__xludf.DUMMYFUNCTION("""COMPUTED_VALUE"""),"mrhb")</f>
        <v>mrhb</v>
      </c>
      <c r="C7077" s="3" t="str">
        <f>IFERROR(__xludf.DUMMYFUNCTION("""COMPUTED_VALUE"""),"MarhabaDeFi")</f>
        <v>MarhabaDeFi</v>
      </c>
    </row>
    <row r="7078">
      <c r="A7078" s="3" t="str">
        <f>IFERROR(__xludf.DUMMYFUNCTION("""COMPUTED_VALUE"""),"maria")</f>
        <v>maria</v>
      </c>
      <c r="B7078" s="3" t="str">
        <f>IFERROR(__xludf.DUMMYFUNCTION("""COMPUTED_VALUE"""),"maria")</f>
        <v>maria</v>
      </c>
      <c r="C7078" s="3" t="str">
        <f>IFERROR(__xludf.DUMMYFUNCTION("""COMPUTED_VALUE"""),"Maria")</f>
        <v>Maria</v>
      </c>
    </row>
    <row r="7079">
      <c r="A7079" s="3" t="str">
        <f>IFERROR(__xludf.DUMMYFUNCTION("""COMPUTED_VALUE"""),"marinade")</f>
        <v>marinade</v>
      </c>
      <c r="B7079" s="3" t="str">
        <f>IFERROR(__xludf.DUMMYFUNCTION("""COMPUTED_VALUE"""),"mnde")</f>
        <v>mnde</v>
      </c>
      <c r="C7079" s="3" t="str">
        <f>IFERROR(__xludf.DUMMYFUNCTION("""COMPUTED_VALUE"""),"Marinade")</f>
        <v>Marinade</v>
      </c>
    </row>
    <row r="7080">
      <c r="A7080" s="3" t="str">
        <f>IFERROR(__xludf.DUMMYFUNCTION("""COMPUTED_VALUE"""),"mariofloki")</f>
        <v>mariofloki</v>
      </c>
      <c r="B7080" s="3" t="str">
        <f>IFERROR(__xludf.DUMMYFUNCTION("""COMPUTED_VALUE"""),"mrfloki")</f>
        <v>mrfloki</v>
      </c>
      <c r="C7080" s="3" t="str">
        <f>IFERROR(__xludf.DUMMYFUNCTION("""COMPUTED_VALUE"""),"MarioFloki")</f>
        <v>MarioFloki</v>
      </c>
    </row>
    <row r="7081">
      <c r="A7081" s="3" t="str">
        <f>IFERROR(__xludf.DUMMYFUNCTION("""COMPUTED_VALUE"""),"markaccy")</f>
        <v>markaccy</v>
      </c>
      <c r="B7081" s="3" t="str">
        <f>IFERROR(__xludf.DUMMYFUNCTION("""COMPUTED_VALUE"""),"mkcy")</f>
        <v>mkcy</v>
      </c>
      <c r="C7081" s="3" t="str">
        <f>IFERROR(__xludf.DUMMYFUNCTION("""COMPUTED_VALUE"""),"Markaccy")</f>
        <v>Markaccy</v>
      </c>
    </row>
    <row r="7082">
      <c r="A7082" s="3" t="str">
        <f>IFERROR(__xludf.DUMMYFUNCTION("""COMPUTED_VALUE"""),"market-ledger")</f>
        <v>market-ledger</v>
      </c>
      <c r="B7082" s="3" t="str">
        <f>IFERROR(__xludf.DUMMYFUNCTION("""COMPUTED_VALUE"""),"ml")</f>
        <v>ml</v>
      </c>
      <c r="C7082" s="3" t="str">
        <f>IFERROR(__xludf.DUMMYFUNCTION("""COMPUTED_VALUE"""),"Market Ledger")</f>
        <v>Market Ledger</v>
      </c>
    </row>
    <row r="7083">
      <c r="A7083" s="3" t="str">
        <f>IFERROR(__xludf.DUMMYFUNCTION("""COMPUTED_VALUE"""),"market-making-pro")</f>
        <v>market-making-pro</v>
      </c>
      <c r="B7083" s="3" t="str">
        <f>IFERROR(__xludf.DUMMYFUNCTION("""COMPUTED_VALUE"""),"mmpro")</f>
        <v>mmpro</v>
      </c>
      <c r="C7083" s="3" t="str">
        <f>IFERROR(__xludf.DUMMYFUNCTION("""COMPUTED_VALUE"""),"Market Making Pro")</f>
        <v>Market Making Pro</v>
      </c>
    </row>
    <row r="7084">
      <c r="A7084" s="3" t="str">
        <f>IFERROR(__xludf.DUMMYFUNCTION("""COMPUTED_VALUE"""),"marketmove")</f>
        <v>marketmove</v>
      </c>
      <c r="B7084" s="3" t="str">
        <f>IFERROR(__xludf.DUMMYFUNCTION("""COMPUTED_VALUE"""),"move")</f>
        <v>move</v>
      </c>
      <c r="C7084" s="3" t="str">
        <f>IFERROR(__xludf.DUMMYFUNCTION("""COMPUTED_VALUE"""),"MarketMove")</f>
        <v>MarketMove</v>
      </c>
    </row>
    <row r="7085">
      <c r="A7085" s="3" t="str">
        <f>IFERROR(__xludf.DUMMYFUNCTION("""COMPUTED_VALUE"""),"market-neutral-yield-eth")</f>
        <v>market-neutral-yield-eth</v>
      </c>
      <c r="B7085" s="3" t="str">
        <f>IFERROR(__xludf.DUMMYFUNCTION("""COMPUTED_VALUE"""),"mnye")</f>
        <v>mnye</v>
      </c>
      <c r="C7085" s="3" t="str">
        <f>IFERROR(__xludf.DUMMYFUNCTION("""COMPUTED_VALUE"""),"Market Neutral Yield ETH")</f>
        <v>Market Neutral Yield ETH</v>
      </c>
    </row>
    <row r="7086">
      <c r="A7086" s="3" t="str">
        <f>IFERROR(__xludf.DUMMYFUNCTION("""COMPUTED_VALUE"""),"marketpeak")</f>
        <v>marketpeak</v>
      </c>
      <c r="B7086" s="3" t="str">
        <f>IFERROR(__xludf.DUMMYFUNCTION("""COMPUTED_VALUE"""),"peak")</f>
        <v>peak</v>
      </c>
      <c r="C7086" s="3" t="str">
        <f>IFERROR(__xludf.DUMMYFUNCTION("""COMPUTED_VALUE"""),"PEAKDEFI")</f>
        <v>PEAKDEFI</v>
      </c>
    </row>
    <row r="7087">
      <c r="A7087" s="3" t="str">
        <f>IFERROR(__xludf.DUMMYFUNCTION("""COMPUTED_VALUE"""),"markhor-meta")</f>
        <v>markhor-meta</v>
      </c>
      <c r="B7087" s="3" t="str">
        <f>IFERROR(__xludf.DUMMYFUNCTION("""COMPUTED_VALUE"""),"mm")</f>
        <v>mm</v>
      </c>
      <c r="C7087" s="3" t="str">
        <f>IFERROR(__xludf.DUMMYFUNCTION("""COMPUTED_VALUE"""),"Markhor Meta")</f>
        <v>Markhor Meta</v>
      </c>
    </row>
    <row r="7088">
      <c r="A7088" s="3" t="str">
        <f>IFERROR(__xludf.DUMMYFUNCTION("""COMPUTED_VALUE"""),"marlin")</f>
        <v>marlin</v>
      </c>
      <c r="B7088" s="3" t="str">
        <f>IFERROR(__xludf.DUMMYFUNCTION("""COMPUTED_VALUE"""),"pond")</f>
        <v>pond</v>
      </c>
      <c r="C7088" s="3" t="str">
        <f>IFERROR(__xludf.DUMMYFUNCTION("""COMPUTED_VALUE"""),"Marlin")</f>
        <v>Marlin</v>
      </c>
    </row>
    <row r="7089">
      <c r="A7089" s="3" t="str">
        <f>IFERROR(__xludf.DUMMYFUNCTION("""COMPUTED_VALUE"""),"marmaj")</f>
        <v>marmaj</v>
      </c>
      <c r="B7089" s="3" t="str">
        <f>IFERROR(__xludf.DUMMYFUNCTION("""COMPUTED_VALUE"""),"marmaj")</f>
        <v>marmaj</v>
      </c>
      <c r="C7089" s="3" t="str">
        <f>IFERROR(__xludf.DUMMYFUNCTION("""COMPUTED_VALUE"""),"Marmaj")</f>
        <v>Marmaj</v>
      </c>
    </row>
    <row r="7090">
      <c r="A7090" s="3" t="str">
        <f>IFERROR(__xludf.DUMMYFUNCTION("""COMPUTED_VALUE"""),"mar-network")</f>
        <v>mar-network</v>
      </c>
      <c r="B7090" s="3" t="str">
        <f>IFERROR(__xludf.DUMMYFUNCTION("""COMPUTED_VALUE"""),"mars")</f>
        <v>mars</v>
      </c>
      <c r="C7090" s="3" t="str">
        <f>IFERROR(__xludf.DUMMYFUNCTION("""COMPUTED_VALUE"""),"Mars Network")</f>
        <v>Mars Network</v>
      </c>
    </row>
    <row r="7091">
      <c r="A7091" s="3" t="str">
        <f>IFERROR(__xludf.DUMMYFUNCTION("""COMPUTED_VALUE"""),"marnotaur")</f>
        <v>marnotaur</v>
      </c>
      <c r="B7091" s="3" t="str">
        <f>IFERROR(__xludf.DUMMYFUNCTION("""COMPUTED_VALUE"""),"taur")</f>
        <v>taur</v>
      </c>
      <c r="C7091" s="3" t="str">
        <f>IFERROR(__xludf.DUMMYFUNCTION("""COMPUTED_VALUE"""),"Marnotaur")</f>
        <v>Marnotaur</v>
      </c>
    </row>
    <row r="7092">
      <c r="A7092" s="3" t="str">
        <f>IFERROR(__xludf.DUMMYFUNCTION("""COMPUTED_VALUE"""),"marosca-inu")</f>
        <v>marosca-inu</v>
      </c>
      <c r="B7092" s="3" t="str">
        <f>IFERROR(__xludf.DUMMYFUNCTION("""COMPUTED_VALUE"""),"marosca")</f>
        <v>marosca</v>
      </c>
      <c r="C7092" s="3" t="str">
        <f>IFERROR(__xludf.DUMMYFUNCTION("""COMPUTED_VALUE"""),"Marosca Inu")</f>
        <v>Marosca Inu</v>
      </c>
    </row>
    <row r="7093">
      <c r="A7093" s="3" t="str">
        <f>IFERROR(__xludf.DUMMYFUNCTION("""COMPUTED_VALUE"""),"mars")</f>
        <v>mars</v>
      </c>
      <c r="B7093" s="3" t="str">
        <f>IFERROR(__xludf.DUMMYFUNCTION("""COMPUTED_VALUE"""),"mars")</f>
        <v>mars</v>
      </c>
      <c r="C7093" s="3" t="str">
        <f>IFERROR(__xludf.DUMMYFUNCTION("""COMPUTED_VALUE"""),"Mars")</f>
        <v>Mars</v>
      </c>
    </row>
    <row r="7094">
      <c r="A7094" s="3" t="str">
        <f>IFERROR(__xludf.DUMMYFUNCTION("""COMPUTED_VALUE"""),"mars4")</f>
        <v>mars4</v>
      </c>
      <c r="B7094" s="3" t="str">
        <f>IFERROR(__xludf.DUMMYFUNCTION("""COMPUTED_VALUE"""),"mars4")</f>
        <v>mars4</v>
      </c>
      <c r="C7094" s="3" t="str">
        <f>IFERROR(__xludf.DUMMYFUNCTION("""COMPUTED_VALUE"""),"MARS4")</f>
        <v>MARS4</v>
      </c>
    </row>
    <row r="7095">
      <c r="A7095" s="3" t="str">
        <f>IFERROR(__xludf.DUMMYFUNCTION("""COMPUTED_VALUE"""),"marscoin")</f>
        <v>marscoin</v>
      </c>
      <c r="B7095" s="3" t="str">
        <f>IFERROR(__xludf.DUMMYFUNCTION("""COMPUTED_VALUE"""),"mars")</f>
        <v>mars</v>
      </c>
      <c r="C7095" s="3" t="str">
        <f>IFERROR(__xludf.DUMMYFUNCTION("""COMPUTED_VALUE"""),"Marscoin")</f>
        <v>Marscoin</v>
      </c>
    </row>
    <row r="7096">
      <c r="A7096" s="3" t="str">
        <f>IFERROR(__xludf.DUMMYFUNCTION("""COMPUTED_VALUE"""),"marscolony")</f>
        <v>marscolony</v>
      </c>
      <c r="B7096" s="3" t="str">
        <f>IFERROR(__xludf.DUMMYFUNCTION("""COMPUTED_VALUE"""),"clny")</f>
        <v>clny</v>
      </c>
      <c r="C7096" s="3" t="str">
        <f>IFERROR(__xludf.DUMMYFUNCTION("""COMPUTED_VALUE"""),"MarsColony")</f>
        <v>MarsColony</v>
      </c>
    </row>
    <row r="7097">
      <c r="A7097" s="3" t="str">
        <f>IFERROR(__xludf.DUMMYFUNCTION("""COMPUTED_VALUE"""),"marsdao")</f>
        <v>marsdao</v>
      </c>
      <c r="B7097" s="3" t="str">
        <f>IFERROR(__xludf.DUMMYFUNCTION("""COMPUTED_VALUE"""),"mdao")</f>
        <v>mdao</v>
      </c>
      <c r="C7097" s="3" t="str">
        <f>IFERROR(__xludf.DUMMYFUNCTION("""COMPUTED_VALUE"""),"MarsDAO")</f>
        <v>MarsDAO</v>
      </c>
    </row>
    <row r="7098">
      <c r="A7098" s="3" t="str">
        <f>IFERROR(__xludf.DUMMYFUNCTION("""COMPUTED_VALUE"""),"mars-doge")</f>
        <v>mars-doge</v>
      </c>
      <c r="B7098" s="3" t="str">
        <f>IFERROR(__xludf.DUMMYFUNCTION("""COMPUTED_VALUE"""),"marsdoge")</f>
        <v>marsdoge</v>
      </c>
      <c r="C7098" s="3" t="str">
        <f>IFERROR(__xludf.DUMMYFUNCTION("""COMPUTED_VALUE"""),"Mars Doge")</f>
        <v>Mars Doge</v>
      </c>
    </row>
    <row r="7099">
      <c r="A7099" s="3" t="str">
        <f>IFERROR(__xludf.DUMMYFUNCTION("""COMPUTED_VALUE"""),"mars-dogecoin")</f>
        <v>mars-dogecoin</v>
      </c>
      <c r="B7099" s="3" t="str">
        <f>IFERROR(__xludf.DUMMYFUNCTION("""COMPUTED_VALUE"""),"mdc")</f>
        <v>mdc</v>
      </c>
      <c r="C7099" s="3" t="str">
        <f>IFERROR(__xludf.DUMMYFUNCTION("""COMPUTED_VALUE"""),"Mars DogeCoin")</f>
        <v>Mars DogeCoin</v>
      </c>
    </row>
    <row r="7100">
      <c r="A7100" s="3" t="str">
        <f>IFERROR(__xludf.DUMMYFUNCTION("""COMPUTED_VALUE"""),"mars-ecosystem-token")</f>
        <v>mars-ecosystem-token</v>
      </c>
      <c r="B7100" s="3" t="str">
        <f>IFERROR(__xludf.DUMMYFUNCTION("""COMPUTED_VALUE"""),"xms")</f>
        <v>xms</v>
      </c>
      <c r="C7100" s="3" t="str">
        <f>IFERROR(__xludf.DUMMYFUNCTION("""COMPUTED_VALUE"""),"Mars Ecosystem")</f>
        <v>Mars Ecosystem</v>
      </c>
    </row>
    <row r="7101">
      <c r="A7101" s="3" t="str">
        <f>IFERROR(__xludf.DUMMYFUNCTION("""COMPUTED_VALUE"""),"mars-floki-inu")</f>
        <v>mars-floki-inu</v>
      </c>
      <c r="B7101" s="3" t="str">
        <f>IFERROR(__xludf.DUMMYFUNCTION("""COMPUTED_VALUE"""),"floki")</f>
        <v>floki</v>
      </c>
      <c r="C7101" s="3" t="str">
        <f>IFERROR(__xludf.DUMMYFUNCTION("""COMPUTED_VALUE"""),"Mars Floki Inu")</f>
        <v>Mars Floki Inu</v>
      </c>
    </row>
    <row r="7102">
      <c r="A7102" s="3" t="str">
        <f>IFERROR(__xludf.DUMMYFUNCTION("""COMPUTED_VALUE"""),"marshall-rogan-inu")</f>
        <v>marshall-rogan-inu</v>
      </c>
      <c r="B7102" s="3" t="str">
        <f>IFERROR(__xludf.DUMMYFUNCTION("""COMPUTED_VALUE"""),"mri")</f>
        <v>mri</v>
      </c>
      <c r="C7102" s="3" t="str">
        <f>IFERROR(__xludf.DUMMYFUNCTION("""COMPUTED_VALUE"""),"Marshall Inu")</f>
        <v>Marshall Inu</v>
      </c>
    </row>
    <row r="7103">
      <c r="A7103" s="3" t="str">
        <f>IFERROR(__xludf.DUMMYFUNCTION("""COMPUTED_VALUE"""),"marshmellowdefi")</f>
        <v>marshmellowdefi</v>
      </c>
      <c r="B7103" s="3" t="str">
        <f>IFERROR(__xludf.DUMMYFUNCTION("""COMPUTED_VALUE"""),"mash")</f>
        <v>mash</v>
      </c>
      <c r="C7103" s="3" t="str">
        <f>IFERROR(__xludf.DUMMYFUNCTION("""COMPUTED_VALUE"""),"MarshmallowDeFi")</f>
        <v>MarshmallowDeFi</v>
      </c>
    </row>
    <row r="7104">
      <c r="A7104" s="3" t="str">
        <f>IFERROR(__xludf.DUMMYFUNCTION("""COMPUTED_VALUE"""),"mars-inu")</f>
        <v>mars-inu</v>
      </c>
      <c r="B7104" s="3" t="str">
        <f>IFERROR(__xludf.DUMMYFUNCTION("""COMPUTED_VALUE"""),"marsinu")</f>
        <v>marsinu</v>
      </c>
      <c r="C7104" s="3" t="str">
        <f>IFERROR(__xludf.DUMMYFUNCTION("""COMPUTED_VALUE"""),"Mars Inu")</f>
        <v>Mars Inu</v>
      </c>
    </row>
    <row r="7105">
      <c r="A7105" s="3" t="str">
        <f>IFERROR(__xludf.DUMMYFUNCTION("""COMPUTED_VALUE"""),"mars-panda-world")</f>
        <v>mars-panda-world</v>
      </c>
      <c r="B7105" s="3" t="str">
        <f>IFERROR(__xludf.DUMMYFUNCTION("""COMPUTED_VALUE"""),"mpt")</f>
        <v>mpt</v>
      </c>
      <c r="C7105" s="3" t="str">
        <f>IFERROR(__xludf.DUMMYFUNCTION("""COMPUTED_VALUE"""),"Mars Panda World")</f>
        <v>Mars Panda World</v>
      </c>
    </row>
    <row r="7106">
      <c r="A7106" s="3" t="str">
        <f>IFERROR(__xludf.DUMMYFUNCTION("""COMPUTED_VALUE"""),"mars-protocol-2")</f>
        <v>mars-protocol-2</v>
      </c>
      <c r="B7106" s="3" t="str">
        <f>IFERROR(__xludf.DUMMYFUNCTION("""COMPUTED_VALUE"""),"mars")</f>
        <v>mars</v>
      </c>
      <c r="C7106" s="3" t="str">
        <f>IFERROR(__xludf.DUMMYFUNCTION("""COMPUTED_VALUE"""),"Mars Protocol")</f>
        <v>Mars Protocol</v>
      </c>
    </row>
    <row r="7107">
      <c r="A7107" s="3" t="str">
        <f>IFERROR(__xludf.DUMMYFUNCTION("""COMPUTED_VALUE"""),"marsrise")</f>
        <v>marsrise</v>
      </c>
      <c r="B7107" s="3" t="str">
        <f>IFERROR(__xludf.DUMMYFUNCTION("""COMPUTED_VALUE"""),"marsrise")</f>
        <v>marsrise</v>
      </c>
      <c r="C7107" s="3" t="str">
        <f>IFERROR(__xludf.DUMMYFUNCTION("""COMPUTED_VALUE"""),"MarsRise")</f>
        <v>MarsRise</v>
      </c>
    </row>
    <row r="7108">
      <c r="A7108" s="3" t="str">
        <f>IFERROR(__xludf.DUMMYFUNCTION("""COMPUTED_VALUE"""),"marsupilamii")</f>
        <v>marsupilamii</v>
      </c>
      <c r="B7108" s="3" t="str">
        <f>IFERROR(__xludf.DUMMYFUNCTION("""COMPUTED_VALUE"""),"mars")</f>
        <v>mars</v>
      </c>
      <c r="C7108" s="3" t="str">
        <f>IFERROR(__xludf.DUMMYFUNCTION("""COMPUTED_VALUE"""),"Marsupilamii")</f>
        <v>Marsupilamii</v>
      </c>
    </row>
    <row r="7109">
      <c r="A7109" s="3" t="str">
        <f>IFERROR(__xludf.DUMMYFUNCTION("""COMPUTED_VALUE"""),"marsx")</f>
        <v>marsx</v>
      </c>
      <c r="B7109" s="3" t="str">
        <f>IFERROR(__xludf.DUMMYFUNCTION("""COMPUTED_VALUE"""),"mx")</f>
        <v>mx</v>
      </c>
      <c r="C7109" s="3" t="str">
        <f>IFERROR(__xludf.DUMMYFUNCTION("""COMPUTED_VALUE"""),"MarsX")</f>
        <v>MarsX</v>
      </c>
    </row>
    <row r="7110">
      <c r="A7110" s="3" t="str">
        <f>IFERROR(__xludf.DUMMYFUNCTION("""COMPUTED_VALUE"""),"martexcoin")</f>
        <v>martexcoin</v>
      </c>
      <c r="B7110" s="3" t="str">
        <f>IFERROR(__xludf.DUMMYFUNCTION("""COMPUTED_VALUE"""),"mxt")</f>
        <v>mxt</v>
      </c>
      <c r="C7110" s="3" t="str">
        <f>IFERROR(__xludf.DUMMYFUNCTION("""COMPUTED_VALUE"""),"MarteXcoin")</f>
        <v>MarteXcoin</v>
      </c>
    </row>
    <row r="7111">
      <c r="A7111" s="3" t="str">
        <f>IFERROR(__xludf.DUMMYFUNCTION("""COMPUTED_VALUE"""),"martiandoge")</f>
        <v>martiandoge</v>
      </c>
      <c r="B7111" s="3" t="str">
        <f>IFERROR(__xludf.DUMMYFUNCTION("""COMPUTED_VALUE"""),"martiandoge")</f>
        <v>martiandoge</v>
      </c>
      <c r="C7111" s="3" t="str">
        <f>IFERROR(__xludf.DUMMYFUNCTION("""COMPUTED_VALUE"""),"MartianDoge")</f>
        <v>MartianDoge</v>
      </c>
    </row>
    <row r="7112">
      <c r="A7112" s="3" t="str">
        <f>IFERROR(__xludf.DUMMYFUNCTION("""COMPUTED_VALUE"""),"martin-shkreli-inu")</f>
        <v>martin-shkreli-inu</v>
      </c>
      <c r="B7112" s="3" t="str">
        <f>IFERROR(__xludf.DUMMYFUNCTION("""COMPUTED_VALUE"""),"msi")</f>
        <v>msi</v>
      </c>
      <c r="C7112" s="3" t="str">
        <f>IFERROR(__xludf.DUMMYFUNCTION("""COMPUTED_VALUE"""),"Martin Shkreli Inu")</f>
        <v>Martin Shkreli Inu</v>
      </c>
    </row>
    <row r="7113">
      <c r="A7113" s="3" t="str">
        <f>IFERROR(__xludf.DUMMYFUNCTION("""COMPUTED_VALUE"""),"martkist")</f>
        <v>martkist</v>
      </c>
      <c r="B7113" s="3" t="str">
        <f>IFERROR(__xludf.DUMMYFUNCTION("""COMPUTED_VALUE"""),"martk")</f>
        <v>martk</v>
      </c>
      <c r="C7113" s="3" t="str">
        <f>IFERROR(__xludf.DUMMYFUNCTION("""COMPUTED_VALUE"""),"Martkist")</f>
        <v>Martkist</v>
      </c>
    </row>
    <row r="7114">
      <c r="A7114" s="3" t="str">
        <f>IFERROR(__xludf.DUMMYFUNCTION("""COMPUTED_VALUE"""),"marumarunft")</f>
        <v>marumarunft</v>
      </c>
      <c r="B7114" s="3" t="str">
        <f>IFERROR(__xludf.DUMMYFUNCTION("""COMPUTED_VALUE"""),"maru")</f>
        <v>maru</v>
      </c>
      <c r="C7114" s="3" t="str">
        <f>IFERROR(__xludf.DUMMYFUNCTION("""COMPUTED_VALUE"""),"marumaruNFT")</f>
        <v>marumaruNFT</v>
      </c>
    </row>
    <row r="7115">
      <c r="A7115" s="3" t="str">
        <f>IFERROR(__xludf.DUMMYFUNCTION("""COMPUTED_VALUE"""),"marvelous-nfts")</f>
        <v>marvelous-nfts</v>
      </c>
      <c r="B7115" s="3" t="str">
        <f>IFERROR(__xludf.DUMMYFUNCTION("""COMPUTED_VALUE"""),"mnft")</f>
        <v>mnft</v>
      </c>
      <c r="C7115" s="3" t="str">
        <f>IFERROR(__xludf.DUMMYFUNCTION("""COMPUTED_VALUE"""),"Marvelous NFTs")</f>
        <v>Marvelous NFTs</v>
      </c>
    </row>
    <row r="7116">
      <c r="A7116" s="3" t="str">
        <f>IFERROR(__xludf.DUMMYFUNCTION("""COMPUTED_VALUE"""),"marvininu")</f>
        <v>marvininu</v>
      </c>
      <c r="B7116" s="3" t="str">
        <f>IFERROR(__xludf.DUMMYFUNCTION("""COMPUTED_VALUE"""),"marvin")</f>
        <v>marvin</v>
      </c>
      <c r="C7116" s="3" t="str">
        <f>IFERROR(__xludf.DUMMYFUNCTION("""COMPUTED_VALUE"""),"MarvinInu")</f>
        <v>MarvinInu</v>
      </c>
    </row>
    <row r="7117">
      <c r="A7117" s="3" t="str">
        <f>IFERROR(__xludf.DUMMYFUNCTION("""COMPUTED_VALUE"""),"marvin-inu")</f>
        <v>marvin-inu</v>
      </c>
      <c r="B7117" s="3" t="str">
        <f>IFERROR(__xludf.DUMMYFUNCTION("""COMPUTED_VALUE"""),"marvin")</f>
        <v>marvin</v>
      </c>
      <c r="C7117" s="3" t="str">
        <f>IFERROR(__xludf.DUMMYFUNCTION("""COMPUTED_VALUE"""),"Marvin Inu")</f>
        <v>Marvin Inu</v>
      </c>
    </row>
    <row r="7118">
      <c r="A7118" s="3" t="str">
        <f>IFERROR(__xludf.DUMMYFUNCTION("""COMPUTED_VALUE"""),"marx")</f>
        <v>marx</v>
      </c>
      <c r="B7118" s="3" t="str">
        <f>IFERROR(__xludf.DUMMYFUNCTION("""COMPUTED_VALUE"""),"marx")</f>
        <v>marx</v>
      </c>
      <c r="C7118" s="3" t="str">
        <f>IFERROR(__xludf.DUMMYFUNCTION("""COMPUTED_VALUE"""),"MarX")</f>
        <v>MarX</v>
      </c>
    </row>
    <row r="7119">
      <c r="A7119" s="3" t="str">
        <f>IFERROR(__xludf.DUMMYFUNCTION("""COMPUTED_VALUE"""),"marxcoin")</f>
        <v>marxcoin</v>
      </c>
      <c r="B7119" s="3" t="str">
        <f>IFERROR(__xludf.DUMMYFUNCTION("""COMPUTED_VALUE"""),"marx")</f>
        <v>marx</v>
      </c>
      <c r="C7119" s="3" t="str">
        <f>IFERROR(__xludf.DUMMYFUNCTION("""COMPUTED_VALUE"""),"MarxCoin")</f>
        <v>MarxCoin</v>
      </c>
    </row>
    <row r="7120">
      <c r="A7120" s="3" t="str">
        <f>IFERROR(__xludf.DUMMYFUNCTION("""COMPUTED_VALUE"""),"masari")</f>
        <v>masari</v>
      </c>
      <c r="B7120" s="3" t="str">
        <f>IFERROR(__xludf.DUMMYFUNCTION("""COMPUTED_VALUE"""),"msr")</f>
        <v>msr</v>
      </c>
      <c r="C7120" s="3" t="str">
        <f>IFERROR(__xludf.DUMMYFUNCTION("""COMPUTED_VALUE"""),"Masari")</f>
        <v>Masari</v>
      </c>
    </row>
    <row r="7121">
      <c r="A7121" s="3" t="str">
        <f>IFERROR(__xludf.DUMMYFUNCTION("""COMPUTED_VALUE"""),"mas-finance")</f>
        <v>mas-finance</v>
      </c>
      <c r="B7121" s="3" t="str">
        <f>IFERROR(__xludf.DUMMYFUNCTION("""COMPUTED_VALUE"""),"mas")</f>
        <v>mas</v>
      </c>
      <c r="C7121" s="3" t="str">
        <f>IFERROR(__xludf.DUMMYFUNCTION("""COMPUTED_VALUE"""),"MAS FINANCE")</f>
        <v>MAS FINANCE</v>
      </c>
    </row>
    <row r="7122">
      <c r="A7122" s="3" t="str">
        <f>IFERROR(__xludf.DUMMYFUNCTION("""COMPUTED_VALUE"""),"maskdoge")</f>
        <v>maskdoge</v>
      </c>
      <c r="B7122" s="3" t="str">
        <f>IFERROR(__xludf.DUMMYFUNCTION("""COMPUTED_VALUE"""),"md3")</f>
        <v>md3</v>
      </c>
      <c r="C7122" s="3" t="str">
        <f>IFERROR(__xludf.DUMMYFUNCTION("""COMPUTED_VALUE"""),"MaskDogeV3")</f>
        <v>MaskDogeV3</v>
      </c>
    </row>
    <row r="7123">
      <c r="A7123" s="3" t="str">
        <f>IFERROR(__xludf.DUMMYFUNCTION("""COMPUTED_VALUE"""),"mask-network")</f>
        <v>mask-network</v>
      </c>
      <c r="B7123" s="3" t="str">
        <f>IFERROR(__xludf.DUMMYFUNCTION("""COMPUTED_VALUE"""),"mask")</f>
        <v>mask</v>
      </c>
      <c r="C7123" s="3" t="str">
        <f>IFERROR(__xludf.DUMMYFUNCTION("""COMPUTED_VALUE"""),"Mask Network")</f>
        <v>Mask Network</v>
      </c>
    </row>
    <row r="7124">
      <c r="A7124" s="3" t="str">
        <f>IFERROR(__xludf.DUMMYFUNCTION("""COMPUTED_VALUE"""),"mask-vault-nftx")</f>
        <v>mask-vault-nftx</v>
      </c>
      <c r="B7124" s="3" t="str">
        <f>IFERROR(__xludf.DUMMYFUNCTION("""COMPUTED_VALUE"""),"mask")</f>
        <v>mask</v>
      </c>
      <c r="C7124" s="3" t="str">
        <f>IFERROR(__xludf.DUMMYFUNCTION("""COMPUTED_VALUE"""),"MASK Vault (NFTX)")</f>
        <v>MASK Vault (NFTX)</v>
      </c>
    </row>
    <row r="7125">
      <c r="A7125" s="3" t="str">
        <f>IFERROR(__xludf.DUMMYFUNCTION("""COMPUTED_VALUE"""),"masq")</f>
        <v>masq</v>
      </c>
      <c r="B7125" s="3" t="str">
        <f>IFERROR(__xludf.DUMMYFUNCTION("""COMPUTED_VALUE"""),"masq")</f>
        <v>masq</v>
      </c>
      <c r="C7125" s="3" t="str">
        <f>IFERROR(__xludf.DUMMYFUNCTION("""COMPUTED_VALUE"""),"MASQ")</f>
        <v>MASQ</v>
      </c>
    </row>
    <row r="7126">
      <c r="A7126" s="3" t="str">
        <f>IFERROR(__xludf.DUMMYFUNCTION("""COMPUTED_VALUE"""),"mass")</f>
        <v>mass</v>
      </c>
      <c r="B7126" s="3" t="str">
        <f>IFERROR(__xludf.DUMMYFUNCTION("""COMPUTED_VALUE"""),"mass")</f>
        <v>mass</v>
      </c>
      <c r="C7126" s="3" t="str">
        <f>IFERROR(__xludf.DUMMYFUNCTION("""COMPUTED_VALUE"""),"MASS")</f>
        <v>MASS</v>
      </c>
    </row>
    <row r="7127">
      <c r="A7127" s="3" t="str">
        <f>IFERROR(__xludf.DUMMYFUNCTION("""COMPUTED_VALUE"""),"massive-protocol")</f>
        <v>massive-protocol</v>
      </c>
      <c r="B7127" s="3" t="str">
        <f>IFERROR(__xludf.DUMMYFUNCTION("""COMPUTED_VALUE"""),"mav")</f>
        <v>mav</v>
      </c>
      <c r="C7127" s="3" t="str">
        <f>IFERROR(__xludf.DUMMYFUNCTION("""COMPUTED_VALUE"""),"Massive Protocol")</f>
        <v>Massive Protocol</v>
      </c>
    </row>
    <row r="7128">
      <c r="A7128" s="3" t="str">
        <f>IFERROR(__xludf.DUMMYFUNCTION("""COMPUTED_VALUE"""),"mass-vehicle-ledger")</f>
        <v>mass-vehicle-ledger</v>
      </c>
      <c r="B7128" s="3" t="str">
        <f>IFERROR(__xludf.DUMMYFUNCTION("""COMPUTED_VALUE"""),"mvl")</f>
        <v>mvl</v>
      </c>
      <c r="C7128" s="3" t="str">
        <f>IFERROR(__xludf.DUMMYFUNCTION("""COMPUTED_VALUE"""),"MVL")</f>
        <v>MVL</v>
      </c>
    </row>
    <row r="7129">
      <c r="A7129" s="3" t="str">
        <f>IFERROR(__xludf.DUMMYFUNCTION("""COMPUTED_VALUE"""),"masterpiece-maker")</f>
        <v>masterpiece-maker</v>
      </c>
      <c r="B7129" s="3" t="str">
        <f>IFERROR(__xludf.DUMMYFUNCTION("""COMPUTED_VALUE"""),"mama")</f>
        <v>mama</v>
      </c>
      <c r="C7129" s="3" t="str">
        <f>IFERROR(__xludf.DUMMYFUNCTION("""COMPUTED_VALUE"""),"Masterpiece Maker")</f>
        <v>Masterpiece Maker</v>
      </c>
    </row>
    <row r="7130">
      <c r="A7130" s="3" t="str">
        <f>IFERROR(__xludf.DUMMYFUNCTION("""COMPUTED_VALUE"""),"masterwin")</f>
        <v>masterwin</v>
      </c>
      <c r="B7130" s="3" t="str">
        <f>IFERROR(__xludf.DUMMYFUNCTION("""COMPUTED_VALUE"""),"mw")</f>
        <v>mw</v>
      </c>
      <c r="C7130" s="3" t="str">
        <f>IFERROR(__xludf.DUMMYFUNCTION("""COMPUTED_VALUE"""),"MasterWin")</f>
        <v>MasterWin</v>
      </c>
    </row>
    <row r="7131">
      <c r="A7131" s="3" t="str">
        <f>IFERROR(__xludf.DUMMYFUNCTION("""COMPUTED_VALUE"""),"mata")</f>
        <v>mata</v>
      </c>
      <c r="B7131" s="3" t="str">
        <f>IFERROR(__xludf.DUMMYFUNCTION("""COMPUTED_VALUE"""),"mata")</f>
        <v>mata</v>
      </c>
      <c r="C7131" s="3" t="str">
        <f>IFERROR(__xludf.DUMMYFUNCTION("""COMPUTED_VALUE"""),"Mata")</f>
        <v>Mata</v>
      </c>
    </row>
    <row r="7132">
      <c r="A7132" s="3" t="str">
        <f>IFERROR(__xludf.DUMMYFUNCTION("""COMPUTED_VALUE"""),"matador-token")</f>
        <v>matador-token</v>
      </c>
      <c r="B7132" s="3" t="str">
        <f>IFERROR(__xludf.DUMMYFUNCTION("""COMPUTED_VALUE"""),"mtdr")</f>
        <v>mtdr</v>
      </c>
      <c r="C7132" s="3" t="str">
        <f>IFERROR(__xludf.DUMMYFUNCTION("""COMPUTED_VALUE"""),"Matador")</f>
        <v>Matador</v>
      </c>
    </row>
    <row r="7133">
      <c r="A7133" s="3" t="str">
        <f>IFERROR(__xludf.DUMMYFUNCTION("""COMPUTED_VALUE"""),"matchpool")</f>
        <v>matchpool</v>
      </c>
      <c r="B7133" s="3" t="str">
        <f>IFERROR(__xludf.DUMMYFUNCTION("""COMPUTED_VALUE"""),"gup")</f>
        <v>gup</v>
      </c>
      <c r="C7133" s="3" t="str">
        <f>IFERROR(__xludf.DUMMYFUNCTION("""COMPUTED_VALUE"""),"Guppy")</f>
        <v>Guppy</v>
      </c>
    </row>
    <row r="7134">
      <c r="A7134" s="3" t="str">
        <f>IFERROR(__xludf.DUMMYFUNCTION("""COMPUTED_VALUE"""),"material")</f>
        <v>material</v>
      </c>
      <c r="B7134" s="3" t="str">
        <f>IFERROR(__xludf.DUMMYFUNCTION("""COMPUTED_VALUE"""),"mtrl")</f>
        <v>mtrl</v>
      </c>
      <c r="C7134" s="3" t="str">
        <f>IFERROR(__xludf.DUMMYFUNCTION("""COMPUTED_VALUE"""),"Material")</f>
        <v>Material</v>
      </c>
    </row>
    <row r="7135">
      <c r="A7135" s="3" t="str">
        <f>IFERROR(__xludf.DUMMYFUNCTION("""COMPUTED_VALUE"""),"materium")</f>
        <v>materium</v>
      </c>
      <c r="B7135" s="3" t="str">
        <f>IFERROR(__xludf.DUMMYFUNCTION("""COMPUTED_VALUE"""),"mtrm")</f>
        <v>mtrm</v>
      </c>
      <c r="C7135" s="3" t="str">
        <f>IFERROR(__xludf.DUMMYFUNCTION("""COMPUTED_VALUE"""),"Materium")</f>
        <v>Materium</v>
      </c>
    </row>
    <row r="7136">
      <c r="A7136" s="3" t="str">
        <f>IFERROR(__xludf.DUMMYFUNCTION("""COMPUTED_VALUE"""),"math")</f>
        <v>math</v>
      </c>
      <c r="B7136" s="3" t="str">
        <f>IFERROR(__xludf.DUMMYFUNCTION("""COMPUTED_VALUE"""),"math")</f>
        <v>math</v>
      </c>
      <c r="C7136" s="3" t="str">
        <f>IFERROR(__xludf.DUMMYFUNCTION("""COMPUTED_VALUE"""),"MATH")</f>
        <v>MATH</v>
      </c>
    </row>
    <row r="7137">
      <c r="A7137" s="3" t="str">
        <f>IFERROR(__xludf.DUMMYFUNCTION("""COMPUTED_VALUE"""),"matic-aave-aave")</f>
        <v>matic-aave-aave</v>
      </c>
      <c r="B7137" s="3" t="str">
        <f>IFERROR(__xludf.DUMMYFUNCTION("""COMPUTED_VALUE"""),"maaave")</f>
        <v>maaave</v>
      </c>
      <c r="C7137" s="3" t="str">
        <f>IFERROR(__xludf.DUMMYFUNCTION("""COMPUTED_VALUE"""),"Matic Aave Interest Bearing AAVE")</f>
        <v>Matic Aave Interest Bearing AAVE</v>
      </c>
    </row>
    <row r="7138">
      <c r="A7138" s="3" t="str">
        <f>IFERROR(__xludf.DUMMYFUNCTION("""COMPUTED_VALUE"""),"matic-aave-dai")</f>
        <v>matic-aave-dai</v>
      </c>
      <c r="B7138" s="3" t="str">
        <f>IFERROR(__xludf.DUMMYFUNCTION("""COMPUTED_VALUE"""),"madai")</f>
        <v>madai</v>
      </c>
      <c r="C7138" s="3" t="str">
        <f>IFERROR(__xludf.DUMMYFUNCTION("""COMPUTED_VALUE"""),"Matic Aave Interest Bearing DAI")</f>
        <v>Matic Aave Interest Bearing DAI</v>
      </c>
    </row>
    <row r="7139">
      <c r="A7139" s="3" t="str">
        <f>IFERROR(__xludf.DUMMYFUNCTION("""COMPUTED_VALUE"""),"matic-aave-link")</f>
        <v>matic-aave-link</v>
      </c>
      <c r="B7139" s="3" t="str">
        <f>IFERROR(__xludf.DUMMYFUNCTION("""COMPUTED_VALUE"""),"malink")</f>
        <v>malink</v>
      </c>
      <c r="C7139" s="3" t="str">
        <f>IFERROR(__xludf.DUMMYFUNCTION("""COMPUTED_VALUE"""),"Matic Aave Interest Bearing LINK")</f>
        <v>Matic Aave Interest Bearing LINK</v>
      </c>
    </row>
    <row r="7140">
      <c r="A7140" s="3" t="str">
        <f>IFERROR(__xludf.DUMMYFUNCTION("""COMPUTED_VALUE"""),"matic-aave-tusd")</f>
        <v>matic-aave-tusd</v>
      </c>
      <c r="B7140" s="3" t="str">
        <f>IFERROR(__xludf.DUMMYFUNCTION("""COMPUTED_VALUE"""),"matusd")</f>
        <v>matusd</v>
      </c>
      <c r="C7140" s="3" t="str">
        <f>IFERROR(__xludf.DUMMYFUNCTION("""COMPUTED_VALUE"""),"Matic Aave interest bearing TUSD")</f>
        <v>Matic Aave interest bearing TUSD</v>
      </c>
    </row>
    <row r="7141">
      <c r="A7141" s="3" t="str">
        <f>IFERROR(__xludf.DUMMYFUNCTION("""COMPUTED_VALUE"""),"matic-aave-usdc")</f>
        <v>matic-aave-usdc</v>
      </c>
      <c r="B7141" s="3" t="str">
        <f>IFERROR(__xludf.DUMMYFUNCTION("""COMPUTED_VALUE"""),"mausdc")</f>
        <v>mausdc</v>
      </c>
      <c r="C7141" s="3" t="str">
        <f>IFERROR(__xludf.DUMMYFUNCTION("""COMPUTED_VALUE"""),"Matic Aave Interest Bearing USDC")</f>
        <v>Matic Aave Interest Bearing USDC</v>
      </c>
    </row>
    <row r="7142">
      <c r="A7142" s="3" t="str">
        <f>IFERROR(__xludf.DUMMYFUNCTION("""COMPUTED_VALUE"""),"matic-aave-weth")</f>
        <v>matic-aave-weth</v>
      </c>
      <c r="B7142" s="3" t="str">
        <f>IFERROR(__xludf.DUMMYFUNCTION("""COMPUTED_VALUE"""),"maweth")</f>
        <v>maweth</v>
      </c>
      <c r="C7142" s="3" t="str">
        <f>IFERROR(__xludf.DUMMYFUNCTION("""COMPUTED_VALUE"""),"Matic Aave Interest Bearing WETH")</f>
        <v>Matic Aave Interest Bearing WETH</v>
      </c>
    </row>
    <row r="7143">
      <c r="A7143" s="3" t="str">
        <f>IFERROR(__xludf.DUMMYFUNCTION("""COMPUTED_VALUE"""),"matic-aave-yfi")</f>
        <v>matic-aave-yfi</v>
      </c>
      <c r="B7143" s="3" t="str">
        <f>IFERROR(__xludf.DUMMYFUNCTION("""COMPUTED_VALUE"""),"mayfi")</f>
        <v>mayfi</v>
      </c>
      <c r="C7143" s="3" t="str">
        <f>IFERROR(__xludf.DUMMYFUNCTION("""COMPUTED_VALUE"""),"Matic Aave Interest Bearing YFI")</f>
        <v>Matic Aave Interest Bearing YFI</v>
      </c>
    </row>
    <row r="7144">
      <c r="A7144" s="3" t="str">
        <f>IFERROR(__xludf.DUMMYFUNCTION("""COMPUTED_VALUE"""),"matic-dai-stablecoin")</f>
        <v>matic-dai-stablecoin</v>
      </c>
      <c r="B7144" s="3" t="str">
        <f>IFERROR(__xludf.DUMMYFUNCTION("""COMPUTED_VALUE"""),"dai-matic")</f>
        <v>dai-matic</v>
      </c>
      <c r="C7144" s="3" t="str">
        <f>IFERROR(__xludf.DUMMYFUNCTION("""COMPUTED_VALUE"""),"Matic DAI Stablecoin")</f>
        <v>Matic DAI Stablecoin</v>
      </c>
    </row>
    <row r="7145">
      <c r="A7145" s="3" t="str">
        <f>IFERROR(__xludf.DUMMYFUNCTION("""COMPUTED_VALUE"""),"maticlaunch")</f>
        <v>maticlaunch</v>
      </c>
      <c r="B7145" s="3" t="str">
        <f>IFERROR(__xludf.DUMMYFUNCTION("""COMPUTED_VALUE"""),"mtcl")</f>
        <v>mtcl</v>
      </c>
      <c r="C7145" s="3" t="str">
        <f>IFERROR(__xludf.DUMMYFUNCTION("""COMPUTED_VALUE"""),"MaticLaunch")</f>
        <v>MaticLaunch</v>
      </c>
    </row>
    <row r="7146">
      <c r="A7146" s="3" t="str">
        <f>IFERROR(__xludf.DUMMYFUNCTION("""COMPUTED_VALUE"""),"matic-launchpad")</f>
        <v>matic-launchpad</v>
      </c>
      <c r="B7146" s="3" t="str">
        <f>IFERROR(__xludf.DUMMYFUNCTION("""COMPUTED_VALUE"""),"maticpad")</f>
        <v>maticpad</v>
      </c>
      <c r="C7146" s="3" t="str">
        <f>IFERROR(__xludf.DUMMYFUNCTION("""COMPUTED_VALUE"""),"Matic Launchpad")</f>
        <v>Matic Launchpad</v>
      </c>
    </row>
    <row r="7147">
      <c r="A7147" s="3" t="str">
        <f>IFERROR(__xludf.DUMMYFUNCTION("""COMPUTED_VALUE"""),"matic-network")</f>
        <v>matic-network</v>
      </c>
      <c r="B7147" s="3" t="str">
        <f>IFERROR(__xludf.DUMMYFUNCTION("""COMPUTED_VALUE"""),"matic")</f>
        <v>matic</v>
      </c>
      <c r="C7147" s="3" t="str">
        <f>IFERROR(__xludf.DUMMYFUNCTION("""COMPUTED_VALUE"""),"Polygon")</f>
        <v>Polygon</v>
      </c>
    </row>
    <row r="7148">
      <c r="A7148" s="3" t="str">
        <f>IFERROR(__xludf.DUMMYFUNCTION("""COMPUTED_VALUE"""),"maticverse")</f>
        <v>maticverse</v>
      </c>
      <c r="B7148" s="3" t="str">
        <f>IFERROR(__xludf.DUMMYFUNCTION("""COMPUTED_VALUE"""),"mverse")</f>
        <v>mverse</v>
      </c>
      <c r="C7148" s="3" t="str">
        <f>IFERROR(__xludf.DUMMYFUNCTION("""COMPUTED_VALUE"""),"MaticVerse")</f>
        <v>MaticVerse</v>
      </c>
    </row>
    <row r="7149">
      <c r="A7149" s="3" t="str">
        <f>IFERROR(__xludf.DUMMYFUNCTION("""COMPUTED_VALUE"""),"matic-wormhole")</f>
        <v>matic-wormhole</v>
      </c>
      <c r="B7149" s="3" t="str">
        <f>IFERROR(__xludf.DUMMYFUNCTION("""COMPUTED_VALUE"""),"maticpo")</f>
        <v>maticpo</v>
      </c>
      <c r="C7149" s="3" t="str">
        <f>IFERROR(__xludf.DUMMYFUNCTION("""COMPUTED_VALUE"""),"MATIC (Wormhole)")</f>
        <v>MATIC (Wormhole)</v>
      </c>
    </row>
    <row r="7150">
      <c r="A7150" s="3" t="str">
        <f>IFERROR(__xludf.DUMMYFUNCTION("""COMPUTED_VALUE"""),"matrak-fan-token")</f>
        <v>matrak-fan-token</v>
      </c>
      <c r="B7150" s="3" t="str">
        <f>IFERROR(__xludf.DUMMYFUNCTION("""COMPUTED_VALUE"""),"mtrk")</f>
        <v>mtrk</v>
      </c>
      <c r="C7150" s="3" t="str">
        <f>IFERROR(__xludf.DUMMYFUNCTION("""COMPUTED_VALUE"""),"Matrak Fan Token")</f>
        <v>Matrak Fan Token</v>
      </c>
    </row>
    <row r="7151">
      <c r="A7151" s="3" t="str">
        <f>IFERROR(__xludf.DUMMYFUNCTION("""COMPUTED_VALUE"""),"matrix-2")</f>
        <v>matrix-2</v>
      </c>
      <c r="B7151" s="3" t="str">
        <f>IFERROR(__xludf.DUMMYFUNCTION("""COMPUTED_VALUE"""),"mtix")</f>
        <v>mtix</v>
      </c>
      <c r="C7151" s="3" t="str">
        <f>IFERROR(__xludf.DUMMYFUNCTION("""COMPUTED_VALUE"""),"Matrix")</f>
        <v>Matrix</v>
      </c>
    </row>
    <row r="7152">
      <c r="A7152" s="3" t="str">
        <f>IFERROR(__xludf.DUMMYFUNCTION("""COMPUTED_VALUE"""),"matrix-ai-network")</f>
        <v>matrix-ai-network</v>
      </c>
      <c r="B7152" s="3" t="str">
        <f>IFERROR(__xludf.DUMMYFUNCTION("""COMPUTED_VALUE"""),"man")</f>
        <v>man</v>
      </c>
      <c r="C7152" s="3" t="str">
        <f>IFERROR(__xludf.DUMMYFUNCTION("""COMPUTED_VALUE"""),"Matrix AI Network")</f>
        <v>Matrix AI Network</v>
      </c>
    </row>
    <row r="7153">
      <c r="A7153" s="3" t="str">
        <f>IFERROR(__xludf.DUMMYFUNCTION("""COMPUTED_VALUE"""),"matrixetf")</f>
        <v>matrixetf</v>
      </c>
      <c r="B7153" s="3" t="str">
        <f>IFERROR(__xludf.DUMMYFUNCTION("""COMPUTED_VALUE"""),"mdf")</f>
        <v>mdf</v>
      </c>
      <c r="C7153" s="3" t="str">
        <f>IFERROR(__xludf.DUMMYFUNCTION("""COMPUTED_VALUE"""),"MatrixETF")</f>
        <v>MatrixETF</v>
      </c>
    </row>
    <row r="7154">
      <c r="A7154" s="3" t="str">
        <f>IFERROR(__xludf.DUMMYFUNCTION("""COMPUTED_VALUE"""),"matrix-protocol")</f>
        <v>matrix-protocol</v>
      </c>
      <c r="B7154" s="3" t="str">
        <f>IFERROR(__xludf.DUMMYFUNCTION("""COMPUTED_VALUE"""),"mtx")</f>
        <v>mtx</v>
      </c>
      <c r="C7154" s="3" t="str">
        <f>IFERROR(__xludf.DUMMYFUNCTION("""COMPUTED_VALUE"""),"Matrix Protocol")</f>
        <v>Matrix Protocol</v>
      </c>
    </row>
    <row r="7155">
      <c r="A7155" s="3" t="str">
        <f>IFERROR(__xludf.DUMMYFUNCTION("""COMPUTED_VALUE"""),"matrix-solana-index")</f>
        <v>matrix-solana-index</v>
      </c>
      <c r="B7155" s="3" t="str">
        <f>IFERROR(__xludf.DUMMYFUNCTION("""COMPUTED_VALUE"""),"msi")</f>
        <v>msi</v>
      </c>
      <c r="C7155" s="3" t="str">
        <f>IFERROR(__xludf.DUMMYFUNCTION("""COMPUTED_VALUE"""),"Matrix Solana Index")</f>
        <v>Matrix Solana Index</v>
      </c>
    </row>
    <row r="7156">
      <c r="A7156" s="3" t="str">
        <f>IFERROR(__xludf.DUMMYFUNCTION("""COMPUTED_VALUE"""),"matrixswap")</f>
        <v>matrixswap</v>
      </c>
      <c r="B7156" s="3" t="str">
        <f>IFERROR(__xludf.DUMMYFUNCTION("""COMPUTED_VALUE"""),"matrix")</f>
        <v>matrix</v>
      </c>
      <c r="C7156" s="3" t="str">
        <f>IFERROR(__xludf.DUMMYFUNCTION("""COMPUTED_VALUE"""),"Matrix Labs")</f>
        <v>Matrix Labs</v>
      </c>
    </row>
    <row r="7157">
      <c r="A7157" s="3" t="str">
        <f>IFERROR(__xludf.DUMMYFUNCTION("""COMPUTED_VALUE"""),"matryx")</f>
        <v>matryx</v>
      </c>
      <c r="B7157" s="3" t="str">
        <f>IFERROR(__xludf.DUMMYFUNCTION("""COMPUTED_VALUE"""),"mtx")</f>
        <v>mtx</v>
      </c>
      <c r="C7157" s="3" t="str">
        <f>IFERROR(__xludf.DUMMYFUNCTION("""COMPUTED_VALUE"""),"MATRYX")</f>
        <v>MATRYX</v>
      </c>
    </row>
    <row r="7158">
      <c r="A7158" s="3" t="str">
        <f>IFERROR(__xludf.DUMMYFUNCTION("""COMPUTED_VALUE"""),"matsuswap")</f>
        <v>matsuswap</v>
      </c>
      <c r="B7158" s="3" t="str">
        <f>IFERROR(__xludf.DUMMYFUNCTION("""COMPUTED_VALUE"""),"matsuswap")</f>
        <v>matsuswap</v>
      </c>
      <c r="C7158" s="3" t="str">
        <f>IFERROR(__xludf.DUMMYFUNCTION("""COMPUTED_VALUE"""),"MatsuSwap")</f>
        <v>MatsuSwap</v>
      </c>
    </row>
    <row r="7159">
      <c r="A7159" s="3" t="str">
        <f>IFERROR(__xludf.DUMMYFUNCTION("""COMPUTED_VALUE"""),"mavaverse-token")</f>
        <v>mavaverse-token</v>
      </c>
      <c r="B7159" s="3" t="str">
        <f>IFERROR(__xludf.DUMMYFUNCTION("""COMPUTED_VALUE"""),"mvx")</f>
        <v>mvx</v>
      </c>
      <c r="C7159" s="3" t="str">
        <f>IFERROR(__xludf.DUMMYFUNCTION("""COMPUTED_VALUE"""),"Mavaverse")</f>
        <v>Mavaverse</v>
      </c>
    </row>
    <row r="7160">
      <c r="A7160" s="3" t="str">
        <f>IFERROR(__xludf.DUMMYFUNCTION("""COMPUTED_VALUE"""),"max-bidding")</f>
        <v>max-bidding</v>
      </c>
      <c r="B7160" s="3" t="str">
        <f>IFERROR(__xludf.DUMMYFUNCTION("""COMPUTED_VALUE"""),"$max")</f>
        <v>$max</v>
      </c>
      <c r="C7160" s="3" t="str">
        <f>IFERROR(__xludf.DUMMYFUNCTION("""COMPUTED_VALUE"""),"Max Bidding")</f>
        <v>Max Bidding</v>
      </c>
    </row>
    <row r="7161">
      <c r="A7161" s="3" t="str">
        <f>IFERROR(__xludf.DUMMYFUNCTION("""COMPUTED_VALUE"""),"maxcoin")</f>
        <v>maxcoin</v>
      </c>
      <c r="B7161" s="3" t="str">
        <f>IFERROR(__xludf.DUMMYFUNCTION("""COMPUTED_VALUE"""),"max")</f>
        <v>max</v>
      </c>
      <c r="C7161" s="3" t="str">
        <f>IFERROR(__xludf.DUMMYFUNCTION("""COMPUTED_VALUE"""),"Maxcoin")</f>
        <v>Maxcoin</v>
      </c>
    </row>
    <row r="7162">
      <c r="A7162" s="3" t="str">
        <f>IFERROR(__xludf.DUMMYFUNCTION("""COMPUTED_VALUE"""),"maximizer")</f>
        <v>maximizer</v>
      </c>
      <c r="B7162" s="3" t="str">
        <f>IFERROR(__xludf.DUMMYFUNCTION("""COMPUTED_VALUE"""),"maxi")</f>
        <v>maxi</v>
      </c>
      <c r="C7162" s="3" t="str">
        <f>IFERROR(__xludf.DUMMYFUNCTION("""COMPUTED_VALUE"""),"Maximizer")</f>
        <v>Maximizer</v>
      </c>
    </row>
    <row r="7163">
      <c r="A7163" s="3" t="str">
        <f>IFERROR(__xludf.DUMMYFUNCTION("""COMPUTED_VALUE"""),"maximus")</f>
        <v>maximus</v>
      </c>
      <c r="B7163" s="3" t="str">
        <f>IFERROR(__xludf.DUMMYFUNCTION("""COMPUTED_VALUE"""),"maxi")</f>
        <v>maxi</v>
      </c>
      <c r="C7163" s="3" t="str">
        <f>IFERROR(__xludf.DUMMYFUNCTION("""COMPUTED_VALUE"""),"Maximus")</f>
        <v>Maximus</v>
      </c>
    </row>
    <row r="7164">
      <c r="A7164" s="3" t="str">
        <f>IFERROR(__xludf.DUMMYFUNCTION("""COMPUTED_VALUE"""),"maximus-base")</f>
        <v>maximus-base</v>
      </c>
      <c r="B7164" s="3" t="str">
        <f>IFERROR(__xludf.DUMMYFUNCTION("""COMPUTED_VALUE"""),"base")</f>
        <v>base</v>
      </c>
      <c r="C7164" s="3" t="str">
        <f>IFERROR(__xludf.DUMMYFUNCTION("""COMPUTED_VALUE"""),"Maximus BASE")</f>
        <v>Maximus BASE</v>
      </c>
    </row>
    <row r="7165">
      <c r="A7165" s="3" t="str">
        <f>IFERROR(__xludf.DUMMYFUNCTION("""COMPUTED_VALUE"""),"maximus-coin")</f>
        <v>maximus-coin</v>
      </c>
      <c r="B7165" s="3" t="str">
        <f>IFERROR(__xludf.DUMMYFUNCTION("""COMPUTED_VALUE"""),"mxz")</f>
        <v>mxz</v>
      </c>
      <c r="C7165" s="3" t="str">
        <f>IFERROR(__xludf.DUMMYFUNCTION("""COMPUTED_VALUE"""),"Maximus Coin")</f>
        <v>Maximus Coin</v>
      </c>
    </row>
    <row r="7166">
      <c r="A7166" s="3" t="str">
        <f>IFERROR(__xludf.DUMMYFUNCTION("""COMPUTED_VALUE"""),"maximus-dao")</f>
        <v>maximus-dao</v>
      </c>
      <c r="B7166" s="3" t="str">
        <f>IFERROR(__xludf.DUMMYFUNCTION("""COMPUTED_VALUE"""),"maxi")</f>
        <v>maxi</v>
      </c>
      <c r="C7166" s="3" t="str">
        <f>IFERROR(__xludf.DUMMYFUNCTION("""COMPUTED_VALUE"""),"Maximus DAO")</f>
        <v>Maximus DAO</v>
      </c>
    </row>
    <row r="7167">
      <c r="A7167" s="3" t="str">
        <f>IFERROR(__xludf.DUMMYFUNCTION("""COMPUTED_VALUE"""),"maximus-deci")</f>
        <v>maximus-deci</v>
      </c>
      <c r="B7167" s="3" t="str">
        <f>IFERROR(__xludf.DUMMYFUNCTION("""COMPUTED_VALUE"""),"deci")</f>
        <v>deci</v>
      </c>
      <c r="C7167" s="3" t="str">
        <f>IFERROR(__xludf.DUMMYFUNCTION("""COMPUTED_VALUE"""),"Maximus DECI")</f>
        <v>Maximus DECI</v>
      </c>
    </row>
    <row r="7168">
      <c r="A7168" s="3" t="str">
        <f>IFERROR(__xludf.DUMMYFUNCTION("""COMPUTED_VALUE"""),"maximus-lucky")</f>
        <v>maximus-lucky</v>
      </c>
      <c r="B7168" s="3" t="str">
        <f>IFERROR(__xludf.DUMMYFUNCTION("""COMPUTED_VALUE"""),"lucky")</f>
        <v>lucky</v>
      </c>
      <c r="C7168" s="3" t="str">
        <f>IFERROR(__xludf.DUMMYFUNCTION("""COMPUTED_VALUE"""),"Maximus LUCKY")</f>
        <v>Maximus LUCKY</v>
      </c>
    </row>
    <row r="7169">
      <c r="A7169" s="3" t="str">
        <f>IFERROR(__xludf.DUMMYFUNCTION("""COMPUTED_VALUE"""),"maximus-team")</f>
        <v>maximus-team</v>
      </c>
      <c r="B7169" s="3" t="str">
        <f>IFERROR(__xludf.DUMMYFUNCTION("""COMPUTED_VALUE"""),"team")</f>
        <v>team</v>
      </c>
      <c r="C7169" s="3" t="str">
        <f>IFERROR(__xludf.DUMMYFUNCTION("""COMPUTED_VALUE"""),"Maximus TEAM")</f>
        <v>Maximus TEAM</v>
      </c>
    </row>
    <row r="7170">
      <c r="A7170" s="3" t="str">
        <f>IFERROR(__xludf.DUMMYFUNCTION("""COMPUTED_VALUE"""),"maximus-trio")</f>
        <v>maximus-trio</v>
      </c>
      <c r="B7170" s="3" t="str">
        <f>IFERROR(__xludf.DUMMYFUNCTION("""COMPUTED_VALUE"""),"trio")</f>
        <v>trio</v>
      </c>
      <c r="C7170" s="3" t="str">
        <f>IFERROR(__xludf.DUMMYFUNCTION("""COMPUTED_VALUE"""),"Maximus TRIO")</f>
        <v>Maximus TRIO</v>
      </c>
    </row>
    <row r="7171">
      <c r="A7171" s="3" t="str">
        <f>IFERROR(__xludf.DUMMYFUNCTION("""COMPUTED_VALUE"""),"maxity")</f>
        <v>maxity</v>
      </c>
      <c r="B7171" s="3" t="str">
        <f>IFERROR(__xludf.DUMMYFUNCTION("""COMPUTED_VALUE"""),"max")</f>
        <v>max</v>
      </c>
      <c r="C7171" s="3" t="str">
        <f>IFERROR(__xludf.DUMMYFUNCTION("""COMPUTED_VALUE"""),"Maxity")</f>
        <v>Maxity</v>
      </c>
    </row>
    <row r="7172">
      <c r="A7172" s="3" t="str">
        <f>IFERROR(__xludf.DUMMYFUNCTION("""COMPUTED_VALUE"""),"maxonrow")</f>
        <v>maxonrow</v>
      </c>
      <c r="B7172" s="3" t="str">
        <f>IFERROR(__xludf.DUMMYFUNCTION("""COMPUTED_VALUE"""),"mxw")</f>
        <v>mxw</v>
      </c>
      <c r="C7172" s="3" t="str">
        <f>IFERROR(__xludf.DUMMYFUNCTION("""COMPUTED_VALUE"""),"Maxonrow")</f>
        <v>Maxonrow</v>
      </c>
    </row>
    <row r="7173">
      <c r="A7173" s="3" t="str">
        <f>IFERROR(__xludf.DUMMYFUNCTION("""COMPUTED_VALUE"""),"max-property-group")</f>
        <v>max-property-group</v>
      </c>
      <c r="B7173" s="3" t="str">
        <f>IFERROR(__xludf.DUMMYFUNCTION("""COMPUTED_VALUE"""),"mcf")</f>
        <v>mcf</v>
      </c>
      <c r="C7173" s="3" t="str">
        <f>IFERROR(__xludf.DUMMYFUNCTION("""COMPUTED_VALUE"""),"Max Crowdfund")</f>
        <v>Max Crowdfund</v>
      </c>
    </row>
    <row r="7174">
      <c r="A7174" s="3" t="str">
        <f>IFERROR(__xludf.DUMMYFUNCTION("""COMPUTED_VALUE"""),"max-revive")</f>
        <v>max-revive</v>
      </c>
      <c r="B7174" s="3" t="str">
        <f>IFERROR(__xludf.DUMMYFUNCTION("""COMPUTED_VALUE"""),"maxr")</f>
        <v>maxr</v>
      </c>
      <c r="C7174" s="3" t="str">
        <f>IFERROR(__xludf.DUMMYFUNCTION("""COMPUTED_VALUE"""),"Max Revive")</f>
        <v>Max Revive</v>
      </c>
    </row>
    <row r="7175">
      <c r="A7175" s="3" t="str">
        <f>IFERROR(__xludf.DUMMYFUNCTION("""COMPUTED_VALUE"""),"max-token")</f>
        <v>max-token</v>
      </c>
      <c r="B7175" s="3" t="str">
        <f>IFERROR(__xludf.DUMMYFUNCTION("""COMPUTED_VALUE"""),"max")</f>
        <v>max</v>
      </c>
      <c r="C7175" s="3" t="str">
        <f>IFERROR(__xludf.DUMMYFUNCTION("""COMPUTED_VALUE"""),"MAX")</f>
        <v>MAX</v>
      </c>
    </row>
    <row r="7176">
      <c r="A7176" s="3" t="str">
        <f>IFERROR(__xludf.DUMMYFUNCTION("""COMPUTED_VALUE"""),"maxx-finance")</f>
        <v>maxx-finance</v>
      </c>
      <c r="B7176" s="3" t="str">
        <f>IFERROR(__xludf.DUMMYFUNCTION("""COMPUTED_VALUE"""),"maxx")</f>
        <v>maxx</v>
      </c>
      <c r="C7176" s="3" t="str">
        <f>IFERROR(__xludf.DUMMYFUNCTION("""COMPUTED_VALUE"""),"MAXX Finance")</f>
        <v>MAXX Finance</v>
      </c>
    </row>
    <row r="7177">
      <c r="A7177" s="3" t="str">
        <f>IFERROR(__xludf.DUMMYFUNCTION("""COMPUTED_VALUE"""),"maya-preferred-223")</f>
        <v>maya-preferred-223</v>
      </c>
      <c r="B7177" s="3" t="str">
        <f>IFERROR(__xludf.DUMMYFUNCTION("""COMPUTED_VALUE"""),"mayp")</f>
        <v>mayp</v>
      </c>
      <c r="C7177" s="3" t="str">
        <f>IFERROR(__xludf.DUMMYFUNCTION("""COMPUTED_VALUE"""),"Maya Preferred")</f>
        <v>Maya Preferred</v>
      </c>
    </row>
    <row r="7178">
      <c r="A7178" s="3" t="str">
        <f>IFERROR(__xludf.DUMMYFUNCTION("""COMPUTED_VALUE"""),"maza")</f>
        <v>maza</v>
      </c>
      <c r="B7178" s="3" t="str">
        <f>IFERROR(__xludf.DUMMYFUNCTION("""COMPUTED_VALUE"""),"mzc")</f>
        <v>mzc</v>
      </c>
      <c r="C7178" s="3" t="str">
        <f>IFERROR(__xludf.DUMMYFUNCTION("""COMPUTED_VALUE"""),"Maza")</f>
        <v>Maza</v>
      </c>
    </row>
    <row r="7179">
      <c r="A7179" s="3" t="str">
        <f>IFERROR(__xludf.DUMMYFUNCTION("""COMPUTED_VALUE"""),"mbd-financials")</f>
        <v>mbd-financials</v>
      </c>
      <c r="B7179" s="3" t="str">
        <f>IFERROR(__xludf.DUMMYFUNCTION("""COMPUTED_VALUE"""),"mbd")</f>
        <v>mbd</v>
      </c>
      <c r="C7179" s="3" t="str">
        <f>IFERROR(__xludf.DUMMYFUNCTION("""COMPUTED_VALUE"""),"MBD Financials")</f>
        <v>MBD Financials</v>
      </c>
    </row>
    <row r="7180">
      <c r="A7180" s="3" t="str">
        <f>IFERROR(__xludf.DUMMYFUNCTION("""COMPUTED_VALUE"""),"mbitbooks")</f>
        <v>mbitbooks</v>
      </c>
      <c r="B7180" s="3" t="str">
        <f>IFERROR(__xludf.DUMMYFUNCTION("""COMPUTED_VALUE"""),"mbit")</f>
        <v>mbit</v>
      </c>
      <c r="C7180" s="3" t="str">
        <f>IFERROR(__xludf.DUMMYFUNCTION("""COMPUTED_VALUE"""),"MBitBooks")</f>
        <v>MBitBooks</v>
      </c>
    </row>
    <row r="7181">
      <c r="A7181" s="3" t="str">
        <f>IFERROR(__xludf.DUMMYFUNCTION("""COMPUTED_VALUE"""),"mcdex")</f>
        <v>mcdex</v>
      </c>
      <c r="B7181" s="3" t="str">
        <f>IFERROR(__xludf.DUMMYFUNCTION("""COMPUTED_VALUE"""),"mcb")</f>
        <v>mcb</v>
      </c>
      <c r="C7181" s="3" t="str">
        <f>IFERROR(__xludf.DUMMYFUNCTION("""COMPUTED_VALUE"""),"MUX Protocol")</f>
        <v>MUX Protocol</v>
      </c>
    </row>
    <row r="7182">
      <c r="A7182" s="3" t="str">
        <f>IFERROR(__xludf.DUMMYFUNCTION("""COMPUTED_VALUE"""),"mcdoge")</f>
        <v>mcdoge</v>
      </c>
      <c r="B7182" s="3" t="str">
        <f>IFERROR(__xludf.DUMMYFUNCTION("""COMPUTED_VALUE"""),"mcdoge")</f>
        <v>mcdoge</v>
      </c>
      <c r="C7182" s="3" t="str">
        <f>IFERROR(__xludf.DUMMYFUNCTION("""COMPUTED_VALUE"""),"McDoge")</f>
        <v>McDoge</v>
      </c>
    </row>
    <row r="7183">
      <c r="A7183" s="3" t="str">
        <f>IFERROR(__xludf.DUMMYFUNCTION("""COMPUTED_VALUE"""),"mcelo")</f>
        <v>mcelo</v>
      </c>
      <c r="B7183" s="3" t="str">
        <f>IFERROR(__xludf.DUMMYFUNCTION("""COMPUTED_VALUE"""),"mcelo")</f>
        <v>mcelo</v>
      </c>
      <c r="C7183" s="3" t="str">
        <f>IFERROR(__xludf.DUMMYFUNCTION("""COMPUTED_VALUE"""),"mCELO")</f>
        <v>mCELO</v>
      </c>
    </row>
    <row r="7184">
      <c r="A7184" s="3" t="str">
        <f>IFERROR(__xludf.DUMMYFUNCTION("""COMPUTED_VALUE"""),"mceur")</f>
        <v>mceur</v>
      </c>
      <c r="B7184" s="3" t="str">
        <f>IFERROR(__xludf.DUMMYFUNCTION("""COMPUTED_VALUE"""),"mceur")</f>
        <v>mceur</v>
      </c>
      <c r="C7184" s="3" t="str">
        <f>IFERROR(__xludf.DUMMYFUNCTION("""COMPUTED_VALUE"""),"mcEUR")</f>
        <v>mcEUR</v>
      </c>
    </row>
    <row r="7185">
      <c r="A7185" s="3" t="str">
        <f>IFERROR(__xludf.DUMMYFUNCTION("""COMPUTED_VALUE"""),"mcfinance")</f>
        <v>mcfinance</v>
      </c>
      <c r="B7185" s="3" t="str">
        <f>IFERROR(__xludf.DUMMYFUNCTION("""COMPUTED_VALUE"""),"mcf")</f>
        <v>mcf</v>
      </c>
      <c r="C7185" s="3" t="str">
        <f>IFERROR(__xludf.DUMMYFUNCTION("""COMPUTED_VALUE"""),"MCFinance")</f>
        <v>MCFinance</v>
      </c>
    </row>
    <row r="7186">
      <c r="A7186" s="3" t="str">
        <f>IFERROR(__xludf.DUMMYFUNCTION("""COMPUTED_VALUE"""),"mch-coin")</f>
        <v>mch-coin</v>
      </c>
      <c r="B7186" s="3" t="str">
        <f>IFERROR(__xludf.DUMMYFUNCTION("""COMPUTED_VALUE"""),"mchc")</f>
        <v>mchc</v>
      </c>
      <c r="C7186" s="3" t="str">
        <f>IFERROR(__xludf.DUMMYFUNCTION("""COMPUTED_VALUE"""),"MCH Coin")</f>
        <v>MCH Coin</v>
      </c>
    </row>
    <row r="7187">
      <c r="A7187" s="3" t="str">
        <f>IFERROR(__xludf.DUMMYFUNCTION("""COMPUTED_VALUE"""),"mci-coin")</f>
        <v>mci-coin</v>
      </c>
      <c r="B7187" s="3" t="str">
        <f>IFERROR(__xludf.DUMMYFUNCTION("""COMPUTED_VALUE"""),"cyclub")</f>
        <v>cyclub</v>
      </c>
      <c r="C7187" s="3" t="str">
        <f>IFERROR(__xludf.DUMMYFUNCTION("""COMPUTED_VALUE"""),"Cyclub")</f>
        <v>Cyclub</v>
      </c>
    </row>
    <row r="7188">
      <c r="A7188" s="3" t="str">
        <f>IFERROR(__xludf.DUMMYFUNCTION("""COMPUTED_VALUE"""),"mcity")</f>
        <v>mcity</v>
      </c>
      <c r="B7188" s="3" t="str">
        <f>IFERROR(__xludf.DUMMYFUNCTION("""COMPUTED_VALUE"""),"mct")</f>
        <v>mct</v>
      </c>
      <c r="C7188" s="3" t="str">
        <f>IFERROR(__xludf.DUMMYFUNCTION("""COMPUTED_VALUE"""),"Mcity")</f>
        <v>Mcity</v>
      </c>
    </row>
    <row r="7189">
      <c r="A7189" s="3" t="str">
        <f>IFERROR(__xludf.DUMMYFUNCTION("""COMPUTED_VALUE"""),"mclaren-f1-fan-token")</f>
        <v>mclaren-f1-fan-token</v>
      </c>
      <c r="B7189" s="3" t="str">
        <f>IFERROR(__xludf.DUMMYFUNCTION("""COMPUTED_VALUE"""),"mcl")</f>
        <v>mcl</v>
      </c>
      <c r="C7189" s="3" t="str">
        <f>IFERROR(__xludf.DUMMYFUNCTION("""COMPUTED_VALUE"""),"McLaren F1 Fan Token")</f>
        <v>McLaren F1 Fan Token</v>
      </c>
    </row>
    <row r="7190">
      <c r="A7190" s="3" t="str">
        <f>IFERROR(__xludf.DUMMYFUNCTION("""COMPUTED_VALUE"""),"mcn-ventures")</f>
        <v>mcn-ventures</v>
      </c>
      <c r="B7190" s="3" t="str">
        <f>IFERROR(__xludf.DUMMYFUNCTION("""COMPUTED_VALUE"""),"mcn")</f>
        <v>mcn</v>
      </c>
      <c r="C7190" s="3" t="str">
        <f>IFERROR(__xludf.DUMMYFUNCTION("""COMPUTED_VALUE"""),"MCN Ventures")</f>
        <v>MCN Ventures</v>
      </c>
    </row>
    <row r="7191">
      <c r="A7191" s="3" t="str">
        <f>IFERROR(__xludf.DUMMYFUNCTION("""COMPUTED_VALUE"""),"mcobit")</f>
        <v>mcobit</v>
      </c>
      <c r="B7191" s="3" t="str">
        <f>IFERROR(__xludf.DUMMYFUNCTION("""COMPUTED_VALUE"""),"mct")</f>
        <v>mct</v>
      </c>
      <c r="C7191" s="3" t="str">
        <f>IFERROR(__xludf.DUMMYFUNCTION("""COMPUTED_VALUE"""),"Mcobit")</f>
        <v>Mcobit</v>
      </c>
    </row>
    <row r="7192">
      <c r="A7192" s="3" t="str">
        <f>IFERROR(__xludf.DUMMYFUNCTION("""COMPUTED_VALUE"""),"mcoin1")</f>
        <v>mcoin1</v>
      </c>
      <c r="B7192" s="3" t="str">
        <f>IFERROR(__xludf.DUMMYFUNCTION("""COMPUTED_VALUE"""),"mcoin")</f>
        <v>mcoin</v>
      </c>
      <c r="C7192" s="3" t="str">
        <f>IFERROR(__xludf.DUMMYFUNCTION("""COMPUTED_VALUE"""),"mCoin")</f>
        <v>mCoin</v>
      </c>
    </row>
    <row r="7193">
      <c r="A7193" s="3" t="str">
        <f>IFERROR(__xludf.DUMMYFUNCTION("""COMPUTED_VALUE"""),"mcontent")</f>
        <v>mcontent</v>
      </c>
      <c r="B7193" s="3" t="str">
        <f>IFERROR(__xludf.DUMMYFUNCTION("""COMPUTED_VALUE"""),"mcontent")</f>
        <v>mcontent</v>
      </c>
      <c r="C7193" s="3" t="str">
        <f>IFERROR(__xludf.DUMMYFUNCTION("""COMPUTED_VALUE"""),"MContent")</f>
        <v>MContent</v>
      </c>
    </row>
    <row r="7194">
      <c r="A7194" s="3" t="str">
        <f>IFERROR(__xludf.DUMMYFUNCTION("""COMPUTED_VALUE"""),"mcs-token")</f>
        <v>mcs-token</v>
      </c>
      <c r="B7194" s="3" t="str">
        <f>IFERROR(__xludf.DUMMYFUNCTION("""COMPUTED_VALUE"""),"mcs")</f>
        <v>mcs</v>
      </c>
      <c r="C7194" s="3" t="str">
        <f>IFERROR(__xludf.DUMMYFUNCTION("""COMPUTED_VALUE"""),"MCS")</f>
        <v>MCS</v>
      </c>
    </row>
    <row r="7195">
      <c r="A7195" s="3" t="str">
        <f>IFERROR(__xludf.DUMMYFUNCTION("""COMPUTED_VALUE"""),"mdex")</f>
        <v>mdex</v>
      </c>
      <c r="B7195" s="3" t="str">
        <f>IFERROR(__xludf.DUMMYFUNCTION("""COMPUTED_VALUE"""),"mdx")</f>
        <v>mdx</v>
      </c>
      <c r="C7195" s="3" t="str">
        <f>IFERROR(__xludf.DUMMYFUNCTION("""COMPUTED_VALUE"""),"Mdex")</f>
        <v>Mdex</v>
      </c>
    </row>
    <row r="7196">
      <c r="A7196" s="3" t="str">
        <f>IFERROR(__xludf.DUMMYFUNCTION("""COMPUTED_VALUE"""),"mdsquare")</f>
        <v>mdsquare</v>
      </c>
      <c r="B7196" s="3" t="str">
        <f>IFERROR(__xludf.DUMMYFUNCTION("""COMPUTED_VALUE"""),"tmed")</f>
        <v>tmed</v>
      </c>
      <c r="C7196" s="3" t="str">
        <f>IFERROR(__xludf.DUMMYFUNCTION("""COMPUTED_VALUE"""),"MDsquare")</f>
        <v>MDsquare</v>
      </c>
    </row>
    <row r="7197">
      <c r="A7197" s="3" t="str">
        <f>IFERROR(__xludf.DUMMYFUNCTION("""COMPUTED_VALUE"""),"mdu")</f>
        <v>mdu</v>
      </c>
      <c r="B7197" s="3" t="str">
        <f>IFERROR(__xludf.DUMMYFUNCTION("""COMPUTED_VALUE"""),"mdu")</f>
        <v>mdu</v>
      </c>
      <c r="C7197" s="3" t="str">
        <f>IFERROR(__xludf.DUMMYFUNCTION("""COMPUTED_VALUE"""),"MDUKEY")</f>
        <v>MDUKEY</v>
      </c>
    </row>
    <row r="7198">
      <c r="A7198" s="3" t="str">
        <f>IFERROR(__xludf.DUMMYFUNCTION("""COMPUTED_VALUE"""),"mead")</f>
        <v>mead</v>
      </c>
      <c r="B7198" s="3" t="str">
        <f>IFERROR(__xludf.DUMMYFUNCTION("""COMPUTED_VALUE"""),"mead")</f>
        <v>mead</v>
      </c>
      <c r="C7198" s="3" t="str">
        <f>IFERROR(__xludf.DUMMYFUNCTION("""COMPUTED_VALUE"""),"Mead")</f>
        <v>Mead</v>
      </c>
    </row>
    <row r="7199">
      <c r="A7199" s="3" t="str">
        <f>IFERROR(__xludf.DUMMYFUNCTION("""COMPUTED_VALUE"""),"meanfi")</f>
        <v>meanfi</v>
      </c>
      <c r="B7199" s="3" t="str">
        <f>IFERROR(__xludf.DUMMYFUNCTION("""COMPUTED_VALUE"""),"mean")</f>
        <v>mean</v>
      </c>
      <c r="C7199" s="3" t="str">
        <f>IFERROR(__xludf.DUMMYFUNCTION("""COMPUTED_VALUE"""),"Mean DAO")</f>
        <v>Mean DAO</v>
      </c>
    </row>
    <row r="7200">
      <c r="A7200" s="3" t="str">
        <f>IFERROR(__xludf.DUMMYFUNCTION("""COMPUTED_VALUE"""),"measurable-data-token")</f>
        <v>measurable-data-token</v>
      </c>
      <c r="B7200" s="3" t="str">
        <f>IFERROR(__xludf.DUMMYFUNCTION("""COMPUTED_VALUE"""),"mdt")</f>
        <v>mdt</v>
      </c>
      <c r="C7200" s="3" t="str">
        <f>IFERROR(__xludf.DUMMYFUNCTION("""COMPUTED_VALUE"""),"Measurable Data")</f>
        <v>Measurable Data</v>
      </c>
    </row>
    <row r="7201">
      <c r="A7201" s="3" t="str">
        <f>IFERROR(__xludf.DUMMYFUNCTION("""COMPUTED_VALUE"""),"meblox-protocol")</f>
        <v>meblox-protocol</v>
      </c>
      <c r="B7201" s="3" t="str">
        <f>IFERROR(__xludf.DUMMYFUNCTION("""COMPUTED_VALUE"""),"meb")</f>
        <v>meb</v>
      </c>
      <c r="C7201" s="3" t="str">
        <f>IFERROR(__xludf.DUMMYFUNCTION("""COMPUTED_VALUE"""),"Meblox Protocol")</f>
        <v>Meblox Protocol</v>
      </c>
    </row>
    <row r="7202">
      <c r="A7202" s="3" t="str">
        <f>IFERROR(__xludf.DUMMYFUNCTION("""COMPUTED_VALUE"""),"mechachain")</f>
        <v>mechachain</v>
      </c>
      <c r="B7202" s="3" t="str">
        <f>IFERROR(__xludf.DUMMYFUNCTION("""COMPUTED_VALUE"""),"$mecha")</f>
        <v>$mecha</v>
      </c>
      <c r="C7202" s="3" t="str">
        <f>IFERROR(__xludf.DUMMYFUNCTION("""COMPUTED_VALUE"""),"Mechanium")</f>
        <v>Mechanium</v>
      </c>
    </row>
    <row r="7203">
      <c r="A7203" s="3" t="str">
        <f>IFERROR(__xludf.DUMMYFUNCTION("""COMPUTED_VALUE"""),"mecha-infinity")</f>
        <v>mecha-infinity</v>
      </c>
      <c r="B7203" s="3" t="str">
        <f>IFERROR(__xludf.DUMMYFUNCTION("""COMPUTED_VALUE"""),"mec")</f>
        <v>mec</v>
      </c>
      <c r="C7203" s="3" t="str">
        <f>IFERROR(__xludf.DUMMYFUNCTION("""COMPUTED_VALUE"""),"MECHA")</f>
        <v>MECHA</v>
      </c>
    </row>
    <row r="7204">
      <c r="A7204" s="3" t="str">
        <f>IFERROR(__xludf.DUMMYFUNCTION("""COMPUTED_VALUE"""),"mecha-morphing")</f>
        <v>mecha-morphing</v>
      </c>
      <c r="B7204" s="3" t="str">
        <f>IFERROR(__xludf.DUMMYFUNCTION("""COMPUTED_VALUE"""),"mape")</f>
        <v>mape</v>
      </c>
      <c r="C7204" s="3" t="str">
        <f>IFERROR(__xludf.DUMMYFUNCTION("""COMPUTED_VALUE"""),"Mecha Morphing")</f>
        <v>Mecha Morphing</v>
      </c>
    </row>
    <row r="7205">
      <c r="A7205" s="3" t="str">
        <f>IFERROR(__xludf.DUMMYFUNCTION("""COMPUTED_VALUE"""),"mechashiba")</f>
        <v>mechashiba</v>
      </c>
      <c r="B7205" s="3" t="str">
        <f>IFERROR(__xludf.DUMMYFUNCTION("""COMPUTED_VALUE"""),"mec")</f>
        <v>mec</v>
      </c>
      <c r="C7205" s="3" t="str">
        <f>IFERROR(__xludf.DUMMYFUNCTION("""COMPUTED_VALUE"""),"MechaShiba")</f>
        <v>MechaShiba</v>
      </c>
    </row>
    <row r="7206">
      <c r="A7206" s="3" t="str">
        <f>IFERROR(__xludf.DUMMYFUNCTION("""COMPUTED_VALUE"""),"mechaverse")</f>
        <v>mechaverse</v>
      </c>
      <c r="B7206" s="3" t="str">
        <f>IFERROR(__xludf.DUMMYFUNCTION("""COMPUTED_VALUE"""),"mc")</f>
        <v>mc</v>
      </c>
      <c r="C7206" s="3" t="str">
        <f>IFERROR(__xludf.DUMMYFUNCTION("""COMPUTED_VALUE"""),"Mechaverse")</f>
        <v>Mechaverse</v>
      </c>
    </row>
    <row r="7207">
      <c r="A7207" s="3" t="str">
        <f>IFERROR(__xludf.DUMMYFUNCTION("""COMPUTED_VALUE"""),"mech-master")</f>
        <v>mech-master</v>
      </c>
      <c r="B7207" s="3" t="str">
        <f>IFERROR(__xludf.DUMMYFUNCTION("""COMPUTED_VALUE"""),"mech")</f>
        <v>mech</v>
      </c>
      <c r="C7207" s="3" t="str">
        <f>IFERROR(__xludf.DUMMYFUNCTION("""COMPUTED_VALUE"""),"Mech Master")</f>
        <v>Mech Master</v>
      </c>
    </row>
    <row r="7208">
      <c r="A7208" s="3" t="str">
        <f>IFERROR(__xludf.DUMMYFUNCTION("""COMPUTED_VALUE"""),"meconcash")</f>
        <v>meconcash</v>
      </c>
      <c r="B7208" s="3" t="str">
        <f>IFERROR(__xludf.DUMMYFUNCTION("""COMPUTED_VALUE"""),"mch")</f>
        <v>mch</v>
      </c>
      <c r="C7208" s="3" t="str">
        <f>IFERROR(__xludf.DUMMYFUNCTION("""COMPUTED_VALUE"""),"Meconcash")</f>
        <v>Meconcash</v>
      </c>
    </row>
    <row r="7209">
      <c r="A7209" s="3" t="str">
        <f>IFERROR(__xludf.DUMMYFUNCTION("""COMPUTED_VALUE"""),"medal-of-honour")</f>
        <v>medal-of-honour</v>
      </c>
      <c r="B7209" s="3" t="str">
        <f>IFERROR(__xludf.DUMMYFUNCTION("""COMPUTED_VALUE"""),"moh")</f>
        <v>moh</v>
      </c>
      <c r="C7209" s="3" t="str">
        <f>IFERROR(__xludf.DUMMYFUNCTION("""COMPUTED_VALUE"""),"Medal of Honour")</f>
        <v>Medal of Honour</v>
      </c>
    </row>
    <row r="7210">
      <c r="A7210" s="3" t="str">
        <f>IFERROR(__xludf.DUMMYFUNCTION("""COMPUTED_VALUE"""),"medamon")</f>
        <v>medamon</v>
      </c>
      <c r="B7210" s="3" t="str">
        <f>IFERROR(__xludf.DUMMYFUNCTION("""COMPUTED_VALUE"""),"mon")</f>
        <v>mon</v>
      </c>
      <c r="C7210" s="3" t="str">
        <f>IFERROR(__xludf.DUMMYFUNCTION("""COMPUTED_VALUE"""),"Medamon")</f>
        <v>Medamon</v>
      </c>
    </row>
    <row r="7211">
      <c r="A7211" s="3" t="str">
        <f>IFERROR(__xludf.DUMMYFUNCTION("""COMPUTED_VALUE"""),"medano")</f>
        <v>medano</v>
      </c>
      <c r="B7211" s="3" t="str">
        <f>IFERROR(__xludf.DUMMYFUNCTION("""COMPUTED_VALUE"""),"mdo")</f>
        <v>mdo</v>
      </c>
      <c r="C7211" s="3" t="str">
        <f>IFERROR(__xludf.DUMMYFUNCTION("""COMPUTED_VALUE"""),"Medano")</f>
        <v>Medano</v>
      </c>
    </row>
    <row r="7212">
      <c r="A7212" s="3" t="str">
        <f>IFERROR(__xludf.DUMMYFUNCTION("""COMPUTED_VALUE"""),"medcarecoin")</f>
        <v>medcarecoin</v>
      </c>
      <c r="B7212" s="3" t="str">
        <f>IFERROR(__xludf.DUMMYFUNCTION("""COMPUTED_VALUE"""),"mcc")</f>
        <v>mcc</v>
      </c>
      <c r="C7212" s="3" t="str">
        <f>IFERROR(__xludf.DUMMYFUNCTION("""COMPUTED_VALUE"""),"MedCareCoin")</f>
        <v>MedCareCoin</v>
      </c>
    </row>
    <row r="7213">
      <c r="A7213" s="3" t="str">
        <f>IFERROR(__xludf.DUMMYFUNCTION("""COMPUTED_VALUE"""),"media-eye")</f>
        <v>media-eye</v>
      </c>
      <c r="B7213" s="3" t="str">
        <f>IFERROR(__xludf.DUMMYFUNCTION("""COMPUTED_VALUE"""),"eye")</f>
        <v>eye</v>
      </c>
      <c r="C7213" s="3" t="str">
        <f>IFERROR(__xludf.DUMMYFUNCTION("""COMPUTED_VALUE"""),"MEDIA EYE")</f>
        <v>MEDIA EYE</v>
      </c>
    </row>
    <row r="7214">
      <c r="A7214" s="3" t="str">
        <f>IFERROR(__xludf.DUMMYFUNCTION("""COMPUTED_VALUE"""),"media-licensing-token")</f>
        <v>media-licensing-token</v>
      </c>
      <c r="B7214" s="3" t="str">
        <f>IFERROR(__xludf.DUMMYFUNCTION("""COMPUTED_VALUE"""),"mlt")</f>
        <v>mlt</v>
      </c>
      <c r="C7214" s="3" t="str">
        <f>IFERROR(__xludf.DUMMYFUNCTION("""COMPUTED_VALUE"""),"Media Licensing Token")</f>
        <v>Media Licensing Token</v>
      </c>
    </row>
    <row r="7215">
      <c r="A7215" s="3" t="str">
        <f>IFERROR(__xludf.DUMMYFUNCTION("""COMPUTED_VALUE"""),"media-network")</f>
        <v>media-network</v>
      </c>
      <c r="B7215" s="3" t="str">
        <f>IFERROR(__xludf.DUMMYFUNCTION("""COMPUTED_VALUE"""),"media")</f>
        <v>media</v>
      </c>
      <c r="C7215" s="3" t="str">
        <f>IFERROR(__xludf.DUMMYFUNCTION("""COMPUTED_VALUE"""),"Media Network")</f>
        <v>Media Network</v>
      </c>
    </row>
    <row r="7216">
      <c r="A7216" s="3" t="str">
        <f>IFERROR(__xludf.DUMMYFUNCTION("""COMPUTED_VALUE"""),"medibit")</f>
        <v>medibit</v>
      </c>
      <c r="B7216" s="3" t="str">
        <f>IFERROR(__xludf.DUMMYFUNCTION("""COMPUTED_VALUE"""),"medibit")</f>
        <v>medibit</v>
      </c>
      <c r="C7216" s="3" t="str">
        <f>IFERROR(__xludf.DUMMYFUNCTION("""COMPUTED_VALUE"""),"MEDIBIT")</f>
        <v>MEDIBIT</v>
      </c>
    </row>
    <row r="7217">
      <c r="A7217" s="3" t="str">
        <f>IFERROR(__xludf.DUMMYFUNCTION("""COMPUTED_VALUE"""),"medibloc")</f>
        <v>medibloc</v>
      </c>
      <c r="B7217" s="3" t="str">
        <f>IFERROR(__xludf.DUMMYFUNCTION("""COMPUTED_VALUE"""),"med")</f>
        <v>med</v>
      </c>
      <c r="C7217" s="3" t="str">
        <f>IFERROR(__xludf.DUMMYFUNCTION("""COMPUTED_VALUE"""),"Medibloc")</f>
        <v>Medibloc</v>
      </c>
    </row>
    <row r="7218">
      <c r="A7218" s="3" t="str">
        <f>IFERROR(__xludf.DUMMYFUNCTION("""COMPUTED_VALUE"""),"medicalchain")</f>
        <v>medicalchain</v>
      </c>
      <c r="B7218" s="3" t="str">
        <f>IFERROR(__xludf.DUMMYFUNCTION("""COMPUTED_VALUE"""),"mtn")</f>
        <v>mtn</v>
      </c>
      <c r="C7218" s="3" t="str">
        <f>IFERROR(__xludf.DUMMYFUNCTION("""COMPUTED_VALUE"""),"Medicalchain")</f>
        <v>Medicalchain</v>
      </c>
    </row>
    <row r="7219">
      <c r="A7219" s="3" t="str">
        <f>IFERROR(__xludf.DUMMYFUNCTION("""COMPUTED_VALUE"""),"medical-token-currency")</f>
        <v>medical-token-currency</v>
      </c>
      <c r="B7219" s="3" t="str">
        <f>IFERROR(__xludf.DUMMYFUNCTION("""COMPUTED_VALUE"""),"mtc")</f>
        <v>mtc</v>
      </c>
      <c r="C7219" s="4" t="str">
        <f>IFERROR(__xludf.DUMMYFUNCTION("""COMPUTED_VALUE"""),"Doc.com")</f>
        <v>Doc.com</v>
      </c>
    </row>
    <row r="7220">
      <c r="A7220" s="3" t="str">
        <f>IFERROR(__xludf.DUMMYFUNCTION("""COMPUTED_VALUE"""),"medicalveda")</f>
        <v>medicalveda</v>
      </c>
      <c r="B7220" s="3" t="str">
        <f>IFERROR(__xludf.DUMMYFUNCTION("""COMPUTED_VALUE"""),"mveda")</f>
        <v>mveda</v>
      </c>
      <c r="C7220" s="3" t="str">
        <f>IFERROR(__xludf.DUMMYFUNCTION("""COMPUTED_VALUE"""),"MedicalVeda")</f>
        <v>MedicalVeda</v>
      </c>
    </row>
    <row r="7221">
      <c r="A7221" s="3" t="str">
        <f>IFERROR(__xludf.DUMMYFUNCTION("""COMPUTED_VALUE"""),"medic-coin")</f>
        <v>medic-coin</v>
      </c>
      <c r="B7221" s="3" t="str">
        <f>IFERROR(__xludf.DUMMYFUNCTION("""COMPUTED_VALUE"""),"medic")</f>
        <v>medic</v>
      </c>
      <c r="C7221" s="3" t="str">
        <f>IFERROR(__xludf.DUMMYFUNCTION("""COMPUTED_VALUE"""),"Medic Coin")</f>
        <v>Medic Coin</v>
      </c>
    </row>
    <row r="7222">
      <c r="A7222" s="3" t="str">
        <f>IFERROR(__xludf.DUMMYFUNCTION("""COMPUTED_VALUE"""),"mediconnect")</f>
        <v>mediconnect</v>
      </c>
      <c r="B7222" s="3" t="str">
        <f>IFERROR(__xludf.DUMMYFUNCTION("""COMPUTED_VALUE"""),"medi")</f>
        <v>medi</v>
      </c>
      <c r="C7222" s="3" t="str">
        <f>IFERROR(__xludf.DUMMYFUNCTION("""COMPUTED_VALUE"""),"MediConnect")</f>
        <v>MediConnect</v>
      </c>
    </row>
    <row r="7223">
      <c r="A7223" s="3" t="str">
        <f>IFERROR(__xludf.DUMMYFUNCTION("""COMPUTED_VALUE"""),"medieval-empires")</f>
        <v>medieval-empires</v>
      </c>
      <c r="B7223" s="3" t="str">
        <f>IFERROR(__xludf.DUMMYFUNCTION("""COMPUTED_VALUE"""),"mee")</f>
        <v>mee</v>
      </c>
      <c r="C7223" s="3" t="str">
        <f>IFERROR(__xludf.DUMMYFUNCTION("""COMPUTED_VALUE"""),"Medieval Empires")</f>
        <v>Medieval Empires</v>
      </c>
    </row>
    <row r="7224">
      <c r="A7224" s="3" t="str">
        <f>IFERROR(__xludf.DUMMYFUNCTION("""COMPUTED_VALUE"""),"medifakt")</f>
        <v>medifakt</v>
      </c>
      <c r="B7224" s="3" t="str">
        <f>IFERROR(__xludf.DUMMYFUNCTION("""COMPUTED_VALUE"""),"fakt")</f>
        <v>fakt</v>
      </c>
      <c r="C7224" s="3" t="str">
        <f>IFERROR(__xludf.DUMMYFUNCTION("""COMPUTED_VALUE"""),"Medifakt")</f>
        <v>Medifakt</v>
      </c>
    </row>
    <row r="7225">
      <c r="A7225" s="3" t="str">
        <f>IFERROR(__xludf.DUMMYFUNCTION("""COMPUTED_VALUE"""),"medishares")</f>
        <v>medishares</v>
      </c>
      <c r="B7225" s="3" t="str">
        <f>IFERROR(__xludf.DUMMYFUNCTION("""COMPUTED_VALUE"""),"mds")</f>
        <v>mds</v>
      </c>
      <c r="C7225" s="3" t="str">
        <f>IFERROR(__xludf.DUMMYFUNCTION("""COMPUTED_VALUE"""),"MediShares")</f>
        <v>MediShares</v>
      </c>
    </row>
    <row r="7226">
      <c r="A7226" s="3" t="str">
        <f>IFERROR(__xludf.DUMMYFUNCTION("""COMPUTED_VALUE"""),"medi-token")</f>
        <v>medi-token</v>
      </c>
      <c r="B7226" s="3" t="str">
        <f>IFERROR(__xludf.DUMMYFUNCTION("""COMPUTED_VALUE"""),"medi")</f>
        <v>medi</v>
      </c>
      <c r="C7226" s="3" t="str">
        <f>IFERROR(__xludf.DUMMYFUNCTION("""COMPUTED_VALUE"""),"Medi")</f>
        <v>Medi</v>
      </c>
    </row>
    <row r="7227">
      <c r="A7227" s="3" t="str">
        <f>IFERROR(__xludf.DUMMYFUNCTION("""COMPUTED_VALUE"""),"medium")</f>
        <v>medium</v>
      </c>
      <c r="B7227" s="3" t="str">
        <f>IFERROR(__xludf.DUMMYFUNCTION("""COMPUTED_VALUE"""),"mdm")</f>
        <v>mdm</v>
      </c>
      <c r="C7227" s="3" t="str">
        <f>IFERROR(__xludf.DUMMYFUNCTION("""COMPUTED_VALUE"""),"MEDIUM")</f>
        <v>MEDIUM</v>
      </c>
    </row>
    <row r="7228">
      <c r="A7228" s="3" t="str">
        <f>IFERROR(__xludf.DUMMYFUNCTION("""COMPUTED_VALUE"""),"medooza-ecosystem")</f>
        <v>medooza-ecosystem</v>
      </c>
      <c r="B7228" s="3" t="str">
        <f>IFERROR(__xludf.DUMMYFUNCTION("""COMPUTED_VALUE"""),"mdza")</f>
        <v>mdza</v>
      </c>
      <c r="C7228" s="3" t="str">
        <f>IFERROR(__xludf.DUMMYFUNCTION("""COMPUTED_VALUE"""),"Medooza Ecosystem")</f>
        <v>Medooza Ecosystem</v>
      </c>
    </row>
    <row r="7229">
      <c r="A7229" s="3" t="str">
        <f>IFERROR(__xludf.DUMMYFUNCTION("""COMPUTED_VALUE"""),"medping")</f>
        <v>medping</v>
      </c>
      <c r="B7229" s="3" t="str">
        <f>IFERROR(__xludf.DUMMYFUNCTION("""COMPUTED_VALUE"""),"mpg")</f>
        <v>mpg</v>
      </c>
      <c r="C7229" s="3" t="str">
        <f>IFERROR(__xludf.DUMMYFUNCTION("""COMPUTED_VALUE"""),"Medping")</f>
        <v>Medping</v>
      </c>
    </row>
    <row r="7230">
      <c r="A7230" s="3" t="str">
        <f>IFERROR(__xludf.DUMMYFUNCTION("""COMPUTED_VALUE"""),"medusa")</f>
        <v>medusa</v>
      </c>
      <c r="B7230" s="3" t="str">
        <f>IFERROR(__xludf.DUMMYFUNCTION("""COMPUTED_VALUE"""),"dusa")</f>
        <v>dusa</v>
      </c>
      <c r="C7230" s="3" t="str">
        <f>IFERROR(__xludf.DUMMYFUNCTION("""COMPUTED_VALUE"""),"Medusa")</f>
        <v>Medusa</v>
      </c>
    </row>
    <row r="7231">
      <c r="A7231" s="3" t="str">
        <f>IFERROR(__xludf.DUMMYFUNCTION("""COMPUTED_VALUE"""),"meebitsdao-pool")</f>
        <v>meebitsdao-pool</v>
      </c>
      <c r="B7231" s="3" t="str">
        <f>IFERROR(__xludf.DUMMYFUNCTION("""COMPUTED_VALUE"""),"mbbt")</f>
        <v>mbbt</v>
      </c>
      <c r="C7231" s="3" t="str">
        <f>IFERROR(__xludf.DUMMYFUNCTION("""COMPUTED_VALUE"""),"MeebitsDAO Pool")</f>
        <v>MeebitsDAO Pool</v>
      </c>
    </row>
    <row r="7232">
      <c r="A7232" s="3" t="str">
        <f>IFERROR(__xludf.DUMMYFUNCTION("""COMPUTED_VALUE"""),"meeb-master")</f>
        <v>meeb-master</v>
      </c>
      <c r="B7232" s="3" t="str">
        <f>IFERROR(__xludf.DUMMYFUNCTION("""COMPUTED_VALUE"""),"meeb")</f>
        <v>meeb</v>
      </c>
      <c r="C7232" s="3" t="str">
        <f>IFERROR(__xludf.DUMMYFUNCTION("""COMPUTED_VALUE"""),"Meeb Master")</f>
        <v>Meeb Master</v>
      </c>
    </row>
    <row r="7233">
      <c r="A7233" s="3" t="str">
        <f>IFERROR(__xludf.DUMMYFUNCTION("""COMPUTED_VALUE"""),"meeb-vault-nftx")</f>
        <v>meeb-vault-nftx</v>
      </c>
      <c r="B7233" s="3" t="str">
        <f>IFERROR(__xludf.DUMMYFUNCTION("""COMPUTED_VALUE"""),"meeb")</f>
        <v>meeb</v>
      </c>
      <c r="C7233" s="3" t="str">
        <f>IFERROR(__xludf.DUMMYFUNCTION("""COMPUTED_VALUE"""),"MEEB Vault (NFTX)")</f>
        <v>MEEB Vault (NFTX)</v>
      </c>
    </row>
    <row r="7234">
      <c r="A7234" s="3" t="str">
        <f>IFERROR(__xludf.DUMMYFUNCTION("""COMPUTED_VALUE"""),"meeds-dao")</f>
        <v>meeds-dao</v>
      </c>
      <c r="B7234" s="3" t="str">
        <f>IFERROR(__xludf.DUMMYFUNCTION("""COMPUTED_VALUE"""),"meed")</f>
        <v>meed</v>
      </c>
      <c r="C7234" s="3" t="str">
        <f>IFERROR(__xludf.DUMMYFUNCTION("""COMPUTED_VALUE"""),"Meeds DAO")</f>
        <v>Meeds DAO</v>
      </c>
    </row>
    <row r="7235">
      <c r="A7235" s="3" t="str">
        <f>IFERROR(__xludf.DUMMYFUNCTION("""COMPUTED_VALUE"""),"meerkat-shares")</f>
        <v>meerkat-shares</v>
      </c>
      <c r="B7235" s="3" t="str">
        <f>IFERROR(__xludf.DUMMYFUNCTION("""COMPUTED_VALUE"""),"mshare")</f>
        <v>mshare</v>
      </c>
      <c r="C7235" s="3" t="str">
        <f>IFERROR(__xludf.DUMMYFUNCTION("""COMPUTED_VALUE"""),"Meerkat Shares")</f>
        <v>Meerkat Shares</v>
      </c>
    </row>
    <row r="7236">
      <c r="A7236" s="3" t="str">
        <f>IFERROR(__xludf.DUMMYFUNCTION("""COMPUTED_VALUE"""),"meetin-token")</f>
        <v>meetin-token</v>
      </c>
      <c r="B7236" s="3" t="str">
        <f>IFERROR(__xludf.DUMMYFUNCTION("""COMPUTED_VALUE"""),"meti")</f>
        <v>meti</v>
      </c>
      <c r="C7236" s="3" t="str">
        <f>IFERROR(__xludf.DUMMYFUNCTION("""COMPUTED_VALUE"""),"Meetin Token")</f>
        <v>Meetin Token</v>
      </c>
    </row>
    <row r="7237">
      <c r="A7237" s="3" t="str">
        <f>IFERROR(__xludf.DUMMYFUNCTION("""COMPUTED_VALUE"""),"meetone")</f>
        <v>meetone</v>
      </c>
      <c r="B7237" s="3" t="str">
        <f>IFERROR(__xludf.DUMMYFUNCTION("""COMPUTED_VALUE"""),"meetone")</f>
        <v>meetone</v>
      </c>
      <c r="C7237" s="3" t="str">
        <f>IFERROR(__xludf.DUMMYFUNCTION("""COMPUTED_VALUE"""),"MEET.ONE")</f>
        <v>MEET.ONE</v>
      </c>
    </row>
    <row r="7238">
      <c r="A7238" s="3" t="str">
        <f>IFERROR(__xludf.DUMMYFUNCTION("""COMPUTED_VALUE"""),"meetple")</f>
        <v>meetple</v>
      </c>
      <c r="B7238" s="3" t="str">
        <f>IFERROR(__xludf.DUMMYFUNCTION("""COMPUTED_VALUE"""),"mpt")</f>
        <v>mpt</v>
      </c>
      <c r="C7238" s="3" t="str">
        <f>IFERROR(__xludf.DUMMYFUNCTION("""COMPUTED_VALUE"""),"Meetple")</f>
        <v>Meetple</v>
      </c>
    </row>
    <row r="7239">
      <c r="A7239" s="3" t="str">
        <f>IFERROR(__xludf.DUMMYFUNCTION("""COMPUTED_VALUE"""),"megabonk")</f>
        <v>megabonk</v>
      </c>
      <c r="B7239" s="3" t="str">
        <f>IFERROR(__xludf.DUMMYFUNCTION("""COMPUTED_VALUE"""),"mbonk")</f>
        <v>mbonk</v>
      </c>
      <c r="C7239" s="3" t="str">
        <f>IFERROR(__xludf.DUMMYFUNCTION("""COMPUTED_VALUE"""),"megaBonk")</f>
        <v>megaBonk</v>
      </c>
    </row>
    <row r="7240">
      <c r="A7240" s="3" t="str">
        <f>IFERROR(__xludf.DUMMYFUNCTION("""COMPUTED_VALUE"""),"megacoin")</f>
        <v>megacoin</v>
      </c>
      <c r="B7240" s="3" t="str">
        <f>IFERROR(__xludf.DUMMYFUNCTION("""COMPUTED_VALUE"""),"mec")</f>
        <v>mec</v>
      </c>
      <c r="C7240" s="3" t="str">
        <f>IFERROR(__xludf.DUMMYFUNCTION("""COMPUTED_VALUE"""),"Megacoin")</f>
        <v>Megacoin</v>
      </c>
    </row>
    <row r="7241">
      <c r="A7241" s="3" t="str">
        <f>IFERROR(__xludf.DUMMYFUNCTION("""COMPUTED_VALUE"""),"megacryptopolis")</f>
        <v>megacryptopolis</v>
      </c>
      <c r="B7241" s="3" t="str">
        <f>IFERROR(__xludf.DUMMYFUNCTION("""COMPUTED_VALUE"""),"mega")</f>
        <v>mega</v>
      </c>
      <c r="C7241" s="3" t="str">
        <f>IFERROR(__xludf.DUMMYFUNCTION("""COMPUTED_VALUE"""),"MegaCryptoPolis")</f>
        <v>MegaCryptoPolis</v>
      </c>
    </row>
    <row r="7242">
      <c r="A7242" s="3" t="str">
        <f>IFERROR(__xludf.DUMMYFUNCTION("""COMPUTED_VALUE"""),"megadao")</f>
        <v>megadao</v>
      </c>
      <c r="B7242" s="3" t="str">
        <f>IFERROR(__xludf.DUMMYFUNCTION("""COMPUTED_VALUE"""),"megadao")</f>
        <v>megadao</v>
      </c>
      <c r="C7242" s="3" t="str">
        <f>IFERROR(__xludf.DUMMYFUNCTION("""COMPUTED_VALUE"""),"MegaDAO")</f>
        <v>MegaDAO</v>
      </c>
    </row>
    <row r="7243">
      <c r="A7243" s="3" t="str">
        <f>IFERROR(__xludf.DUMMYFUNCTION("""COMPUTED_VALUE"""),"mega-lottery-services-global")</f>
        <v>mega-lottery-services-global</v>
      </c>
      <c r="B7243" s="3" t="str">
        <f>IFERROR(__xludf.DUMMYFUNCTION("""COMPUTED_VALUE"""),"mlr")</f>
        <v>mlr</v>
      </c>
      <c r="C7243" s="3" t="str">
        <f>IFERROR(__xludf.DUMMYFUNCTION("""COMPUTED_VALUE"""),"Mega Lottery Services Global")</f>
        <v>Mega Lottery Services Global</v>
      </c>
    </row>
    <row r="7244">
      <c r="A7244" s="3" t="str">
        <f>IFERROR(__xludf.DUMMYFUNCTION("""COMPUTED_VALUE"""),"megamoon")</f>
        <v>megamoon</v>
      </c>
      <c r="B7244" s="3" t="str">
        <f>IFERROR(__xludf.DUMMYFUNCTION("""COMPUTED_VALUE"""),"mgmoon")</f>
        <v>mgmoon</v>
      </c>
      <c r="C7244" s="3" t="str">
        <f>IFERROR(__xludf.DUMMYFUNCTION("""COMPUTED_VALUE"""),"MegaMoon")</f>
        <v>MegaMoon</v>
      </c>
    </row>
    <row r="7245">
      <c r="A7245" s="3" t="str">
        <f>IFERROR(__xludf.DUMMYFUNCTION("""COMPUTED_VALUE"""),"megashibazilla")</f>
        <v>megashibazilla</v>
      </c>
      <c r="B7245" s="3" t="str">
        <f>IFERROR(__xludf.DUMMYFUNCTION("""COMPUTED_VALUE"""),"msz")</f>
        <v>msz</v>
      </c>
      <c r="C7245" s="3" t="str">
        <f>IFERROR(__xludf.DUMMYFUNCTION("""COMPUTED_VALUE"""),"MegaShibaZilla")</f>
        <v>MegaShibaZilla</v>
      </c>
    </row>
    <row r="7246">
      <c r="A7246" s="3" t="str">
        <f>IFERROR(__xludf.DUMMYFUNCTION("""COMPUTED_VALUE"""),"megatech")</f>
        <v>megatech</v>
      </c>
      <c r="B7246" s="3" t="str">
        <f>IFERROR(__xludf.DUMMYFUNCTION("""COMPUTED_VALUE"""),"mgt")</f>
        <v>mgt</v>
      </c>
      <c r="C7246" s="3" t="str">
        <f>IFERROR(__xludf.DUMMYFUNCTION("""COMPUTED_VALUE"""),"Megatech")</f>
        <v>Megatech</v>
      </c>
    </row>
    <row r="7247">
      <c r="A7247" s="3" t="str">
        <f>IFERROR(__xludf.DUMMYFUNCTION("""COMPUTED_VALUE"""),"megatoken")</f>
        <v>megatoken</v>
      </c>
      <c r="B7247" s="3" t="str">
        <f>IFERROR(__xludf.DUMMYFUNCTION("""COMPUTED_VALUE"""),"mega")</f>
        <v>mega</v>
      </c>
      <c r="C7247" s="3" t="str">
        <f>IFERROR(__xludf.DUMMYFUNCTION("""COMPUTED_VALUE"""),"MegaToken")</f>
        <v>MegaToken</v>
      </c>
    </row>
    <row r="7248">
      <c r="A7248" s="3" t="str">
        <f>IFERROR(__xludf.DUMMYFUNCTION("""COMPUTED_VALUE"""),"megaweapon")</f>
        <v>megaweapon</v>
      </c>
      <c r="B7248" s="3" t="str">
        <f>IFERROR(__xludf.DUMMYFUNCTION("""COMPUTED_VALUE"""),"$weapon")</f>
        <v>$weapon</v>
      </c>
      <c r="C7248" s="3" t="str">
        <f>IFERROR(__xludf.DUMMYFUNCTION("""COMPUTED_VALUE"""),"Megaweapon")</f>
        <v>Megaweapon</v>
      </c>
    </row>
    <row r="7249">
      <c r="A7249" s="3" t="str">
        <f>IFERROR(__xludf.DUMMYFUNCTION("""COMPUTED_VALUE"""),"megla-doge")</f>
        <v>megla-doge</v>
      </c>
      <c r="B7249" s="3" t="str">
        <f>IFERROR(__xludf.DUMMYFUNCTION("""COMPUTED_VALUE"""),"mgd")</f>
        <v>mgd</v>
      </c>
      <c r="C7249" s="3" t="str">
        <f>IFERROR(__xludf.DUMMYFUNCTION("""COMPUTED_VALUE"""),"Megla Doge")</f>
        <v>Megla Doge</v>
      </c>
    </row>
    <row r="7250">
      <c r="A7250" s="3" t="str">
        <f>IFERROR(__xludf.DUMMYFUNCTION("""COMPUTED_VALUE"""),"meh")</f>
        <v>meh</v>
      </c>
      <c r="B7250" s="3" t="str">
        <f>IFERROR(__xludf.DUMMYFUNCTION("""COMPUTED_VALUE"""),"meh")</f>
        <v>meh</v>
      </c>
      <c r="C7250" s="3" t="str">
        <f>IFERROR(__xludf.DUMMYFUNCTION("""COMPUTED_VALUE"""),"meh")</f>
        <v>meh</v>
      </c>
    </row>
    <row r="7251">
      <c r="A7251" s="3" t="str">
        <f>IFERROR(__xludf.DUMMYFUNCTION("""COMPUTED_VALUE"""),"mei-flex")</f>
        <v>mei-flex</v>
      </c>
      <c r="B7251" s="3" t="str">
        <f>IFERROR(__xludf.DUMMYFUNCTION("""COMPUTED_VALUE"""),"mf")</f>
        <v>mf</v>
      </c>
      <c r="C7251" s="3" t="str">
        <f>IFERROR(__xludf.DUMMYFUNCTION("""COMPUTED_VALUE"""),"Mei Flex")</f>
        <v>Mei Flex</v>
      </c>
    </row>
    <row r="7252">
      <c r="A7252" s="3" t="str">
        <f>IFERROR(__xludf.DUMMYFUNCTION("""COMPUTED_VALUE"""),"me-in")</f>
        <v>me-in</v>
      </c>
      <c r="B7252" s="3" t="str">
        <f>IFERROR(__xludf.DUMMYFUNCTION("""COMPUTED_VALUE"""),"mein")</f>
        <v>mein</v>
      </c>
      <c r="C7252" s="3" t="str">
        <f>IFERROR(__xludf.DUMMYFUNCTION("""COMPUTED_VALUE"""),"Me-in")</f>
        <v>Me-in</v>
      </c>
    </row>
    <row r="7253">
      <c r="A7253" s="3" t="str">
        <f>IFERROR(__xludf.DUMMYFUNCTION("""COMPUTED_VALUE"""),"meishu")</f>
        <v>meishu</v>
      </c>
      <c r="B7253" s="3" t="str">
        <f>IFERROR(__xludf.DUMMYFUNCTION("""COMPUTED_VALUE"""),"meishu")</f>
        <v>meishu</v>
      </c>
      <c r="C7253" s="3" t="str">
        <f>IFERROR(__xludf.DUMMYFUNCTION("""COMPUTED_VALUE"""),"Meishu")</f>
        <v>Meishu</v>
      </c>
    </row>
    <row r="7254">
      <c r="A7254" s="3" t="str">
        <f>IFERROR(__xludf.DUMMYFUNCTION("""COMPUTED_VALUE"""),"mekkacoin")</f>
        <v>mekkacoin</v>
      </c>
      <c r="B7254" s="3" t="str">
        <f>IFERROR(__xludf.DUMMYFUNCTION("""COMPUTED_VALUE"""),"mek")</f>
        <v>mek</v>
      </c>
      <c r="C7254" s="3" t="str">
        <f>IFERROR(__xludf.DUMMYFUNCTION("""COMPUTED_VALUE"""),"MekkaCoin")</f>
        <v>MekkaCoin</v>
      </c>
    </row>
    <row r="7255">
      <c r="A7255" s="3" t="str">
        <f>IFERROR(__xludf.DUMMYFUNCTION("""COMPUTED_VALUE"""),"mekkafroggo")</f>
        <v>mekkafroggo</v>
      </c>
      <c r="B7255" s="3" t="str">
        <f>IFERROR(__xludf.DUMMYFUNCTION("""COMPUTED_VALUE"""),"mekka")</f>
        <v>mekka</v>
      </c>
      <c r="C7255" s="3" t="str">
        <f>IFERROR(__xludf.DUMMYFUNCTION("""COMPUTED_VALUE"""),"MekkaFroggo")</f>
        <v>MekkaFroggo</v>
      </c>
    </row>
    <row r="7256">
      <c r="A7256" s="3" t="str">
        <f>IFERROR(__xludf.DUMMYFUNCTION("""COMPUTED_VALUE"""),"mekka-froggo")</f>
        <v>mekka-froggo</v>
      </c>
      <c r="B7256" s="3" t="str">
        <f>IFERROR(__xludf.DUMMYFUNCTION("""COMPUTED_VALUE"""),"lfgo")</f>
        <v>lfgo</v>
      </c>
      <c r="C7256" s="3" t="str">
        <f>IFERROR(__xludf.DUMMYFUNCTION("""COMPUTED_VALUE"""),"Mekka Froggo")</f>
        <v>Mekka Froggo</v>
      </c>
    </row>
    <row r="7257">
      <c r="A7257" s="3" t="str">
        <f>IFERROR(__xludf.DUMMYFUNCTION("""COMPUTED_VALUE"""),"melalie")</f>
        <v>melalie</v>
      </c>
      <c r="B7257" s="3" t="str">
        <f>IFERROR(__xludf.DUMMYFUNCTION("""COMPUTED_VALUE"""),"mel")</f>
        <v>mel</v>
      </c>
      <c r="C7257" s="3" t="str">
        <f>IFERROR(__xludf.DUMMYFUNCTION("""COMPUTED_VALUE"""),"MELX")</f>
        <v>MELX</v>
      </c>
    </row>
    <row r="7258">
      <c r="A7258" s="3" t="str">
        <f>IFERROR(__xludf.DUMMYFUNCTION("""COMPUTED_VALUE"""),"meland-ai")</f>
        <v>meland-ai</v>
      </c>
      <c r="B7258" s="3" t="str">
        <f>IFERROR(__xludf.DUMMYFUNCTION("""COMPUTED_VALUE"""),"meld")</f>
        <v>meld</v>
      </c>
      <c r="C7258" s="4" t="str">
        <f>IFERROR(__xludf.DUMMYFUNCTION("""COMPUTED_VALUE"""),"Meland.ai")</f>
        <v>Meland.ai</v>
      </c>
    </row>
    <row r="7259">
      <c r="A7259" s="3" t="str">
        <f>IFERROR(__xludf.DUMMYFUNCTION("""COMPUTED_VALUE"""),"meld")</f>
        <v>meld</v>
      </c>
      <c r="B7259" s="3" t="str">
        <f>IFERROR(__xludf.DUMMYFUNCTION("""COMPUTED_VALUE"""),"meld")</f>
        <v>meld</v>
      </c>
      <c r="C7259" s="3" t="str">
        <f>IFERROR(__xludf.DUMMYFUNCTION("""COMPUTED_VALUE"""),"MELD")</f>
        <v>MELD</v>
      </c>
    </row>
    <row r="7260">
      <c r="A7260" s="3" t="str">
        <f>IFERROR(__xludf.DUMMYFUNCTION("""COMPUTED_VALUE"""),"meld-gold")</f>
        <v>meld-gold</v>
      </c>
      <c r="B7260" s="3" t="str">
        <f>IFERROR(__xludf.DUMMYFUNCTION("""COMPUTED_VALUE"""),"mcau")</f>
        <v>mcau</v>
      </c>
      <c r="C7260" s="3" t="str">
        <f>IFERROR(__xludf.DUMMYFUNCTION("""COMPUTED_VALUE"""),"Meld Gold")</f>
        <v>Meld Gold</v>
      </c>
    </row>
    <row r="7261">
      <c r="A7261" s="3" t="str">
        <f>IFERROR(__xludf.DUMMYFUNCTION("""COMPUTED_VALUE"""),"melega")</f>
        <v>melega</v>
      </c>
      <c r="B7261" s="3" t="str">
        <f>IFERROR(__xludf.DUMMYFUNCTION("""COMPUTED_VALUE"""),"marco")</f>
        <v>marco</v>
      </c>
      <c r="C7261" s="3" t="str">
        <f>IFERROR(__xludf.DUMMYFUNCTION("""COMPUTED_VALUE"""),"Melega")</f>
        <v>Melega</v>
      </c>
    </row>
    <row r="7262">
      <c r="A7262" s="3" t="str">
        <f>IFERROR(__xludf.DUMMYFUNCTION("""COMPUTED_VALUE"""),"meli-games")</f>
        <v>meli-games</v>
      </c>
      <c r="B7262" s="3" t="str">
        <f>IFERROR(__xludf.DUMMYFUNCTION("""COMPUTED_VALUE"""),"meli")</f>
        <v>meli</v>
      </c>
      <c r="C7262" s="3" t="str">
        <f>IFERROR(__xludf.DUMMYFUNCTION("""COMPUTED_VALUE"""),"Meli Games")</f>
        <v>Meli Games</v>
      </c>
    </row>
    <row r="7263">
      <c r="A7263" s="3" t="str">
        <f>IFERROR(__xludf.DUMMYFUNCTION("""COMPUTED_VALUE"""),"meliora")</f>
        <v>meliora</v>
      </c>
      <c r="B7263" s="3" t="str">
        <f>IFERROR(__xludf.DUMMYFUNCTION("""COMPUTED_VALUE"""),"mora")</f>
        <v>mora</v>
      </c>
      <c r="C7263" s="3" t="str">
        <f>IFERROR(__xludf.DUMMYFUNCTION("""COMPUTED_VALUE"""),"Meliora")</f>
        <v>Meliora</v>
      </c>
    </row>
    <row r="7264">
      <c r="A7264" s="3" t="str">
        <f>IFERROR(__xludf.DUMMYFUNCTION("""COMPUTED_VALUE"""),"melody")</f>
        <v>melody</v>
      </c>
      <c r="B7264" s="3" t="str">
        <f>IFERROR(__xludf.DUMMYFUNCTION("""COMPUTED_VALUE"""),"melody")</f>
        <v>melody</v>
      </c>
      <c r="C7264" s="3" t="str">
        <f>IFERROR(__xludf.DUMMYFUNCTION("""COMPUTED_VALUE"""),"Melody")</f>
        <v>Melody</v>
      </c>
    </row>
    <row r="7265">
      <c r="A7265" s="3" t="str">
        <f>IFERROR(__xludf.DUMMYFUNCTION("""COMPUTED_VALUE"""),"melody-sgs")</f>
        <v>melody-sgs</v>
      </c>
      <c r="B7265" s="3" t="str">
        <f>IFERROR(__xludf.DUMMYFUNCTION("""COMPUTED_VALUE"""),"sgs")</f>
        <v>sgs</v>
      </c>
      <c r="C7265" s="3" t="str">
        <f>IFERROR(__xludf.DUMMYFUNCTION("""COMPUTED_VALUE"""),"Melody SGS")</f>
        <v>Melody SGS</v>
      </c>
    </row>
    <row r="7266">
      <c r="A7266" s="3" t="str">
        <f>IFERROR(__xludf.DUMMYFUNCTION("""COMPUTED_VALUE"""),"melody-sns")</f>
        <v>melody-sns</v>
      </c>
      <c r="B7266" s="3" t="str">
        <f>IFERROR(__xludf.DUMMYFUNCTION("""COMPUTED_VALUE"""),"sns")</f>
        <v>sns</v>
      </c>
      <c r="C7266" s="3" t="str">
        <f>IFERROR(__xludf.DUMMYFUNCTION("""COMPUTED_VALUE"""),"Melody SNS")</f>
        <v>Melody SNS</v>
      </c>
    </row>
    <row r="7267">
      <c r="A7267" s="3" t="str">
        <f>IFERROR(__xludf.DUMMYFUNCTION("""COMPUTED_VALUE"""),"melon")</f>
        <v>melon</v>
      </c>
      <c r="B7267" s="3" t="str">
        <f>IFERROR(__xludf.DUMMYFUNCTION("""COMPUTED_VALUE"""),"mln")</f>
        <v>mln</v>
      </c>
      <c r="C7267" s="3" t="str">
        <f>IFERROR(__xludf.DUMMYFUNCTION("""COMPUTED_VALUE"""),"Enzyme")</f>
        <v>Enzyme</v>
      </c>
    </row>
    <row r="7268">
      <c r="A7268" s="3" t="str">
        <f>IFERROR(__xludf.DUMMYFUNCTION("""COMPUTED_VALUE"""),"melonheadsprotocol")</f>
        <v>melonheadsprotocol</v>
      </c>
      <c r="B7268" s="3" t="str">
        <f>IFERROR(__xludf.DUMMYFUNCTION("""COMPUTED_VALUE"""),"mhsp")</f>
        <v>mhsp</v>
      </c>
      <c r="C7268" s="3" t="str">
        <f>IFERROR(__xludf.DUMMYFUNCTION("""COMPUTED_VALUE"""),"MelonHeadSProtocol")</f>
        <v>MelonHeadSProtocol</v>
      </c>
    </row>
    <row r="7269">
      <c r="A7269" s="3" t="str">
        <f>IFERROR(__xludf.DUMMYFUNCTION("""COMPUTED_VALUE"""),"melonx")</f>
        <v>melonx</v>
      </c>
      <c r="B7269" s="3" t="str">
        <f>IFERROR(__xludf.DUMMYFUNCTION("""COMPUTED_VALUE"""),"$mlnx")</f>
        <v>$mlnx</v>
      </c>
      <c r="C7269" s="3" t="str">
        <f>IFERROR(__xludf.DUMMYFUNCTION("""COMPUTED_VALUE"""),"MELONx")</f>
        <v>MELONx</v>
      </c>
    </row>
    <row r="7270">
      <c r="A7270" s="3" t="str">
        <f>IFERROR(__xludf.DUMMYFUNCTION("""COMPUTED_VALUE"""),"melos-studio")</f>
        <v>melos-studio</v>
      </c>
      <c r="B7270" s="3" t="str">
        <f>IFERROR(__xludf.DUMMYFUNCTION("""COMPUTED_VALUE"""),"melos")</f>
        <v>melos</v>
      </c>
      <c r="C7270" s="3" t="str">
        <f>IFERROR(__xludf.DUMMYFUNCTION("""COMPUTED_VALUE"""),"Melos Studio")</f>
        <v>Melos Studio</v>
      </c>
    </row>
    <row r="7271">
      <c r="A7271" s="3" t="str">
        <f>IFERROR(__xludf.DUMMYFUNCTION("""COMPUTED_VALUE"""),"melo-token")</f>
        <v>melo-token</v>
      </c>
      <c r="B7271" s="3" t="str">
        <f>IFERROR(__xludf.DUMMYFUNCTION("""COMPUTED_VALUE"""),"melo")</f>
        <v>melo</v>
      </c>
      <c r="C7271" s="3" t="str">
        <f>IFERROR(__xludf.DUMMYFUNCTION("""COMPUTED_VALUE"""),"Melo")</f>
        <v>Melo</v>
      </c>
    </row>
    <row r="7272">
      <c r="A7272" s="3" t="str">
        <f>IFERROR(__xludf.DUMMYFUNCTION("""COMPUTED_VALUE"""),"membrana-platform")</f>
        <v>membrana-platform</v>
      </c>
      <c r="B7272" s="3" t="str">
        <f>IFERROR(__xludf.DUMMYFUNCTION("""COMPUTED_VALUE"""),"mbn")</f>
        <v>mbn</v>
      </c>
      <c r="C7272" s="3" t="str">
        <f>IFERROR(__xludf.DUMMYFUNCTION("""COMPUTED_VALUE"""),"Membrana")</f>
        <v>Membrana</v>
      </c>
    </row>
    <row r="7273">
      <c r="A7273" s="3" t="str">
        <f>IFERROR(__xludf.DUMMYFUNCTION("""COMPUTED_VALUE"""),"memebank")</f>
        <v>memebank</v>
      </c>
      <c r="B7273" s="3" t="str">
        <f>IFERROR(__xludf.DUMMYFUNCTION("""COMPUTED_VALUE"""),"mbk")</f>
        <v>mbk</v>
      </c>
      <c r="C7273" s="3" t="str">
        <f>IFERROR(__xludf.DUMMYFUNCTION("""COMPUTED_VALUE"""),"MeMeBank")</f>
        <v>MeMeBank</v>
      </c>
    </row>
    <row r="7274">
      <c r="A7274" s="3" t="str">
        <f>IFERROR(__xludf.DUMMYFUNCTION("""COMPUTED_VALUE"""),"memecard")</f>
        <v>memecard</v>
      </c>
      <c r="B7274" s="3" t="str">
        <f>IFERROR(__xludf.DUMMYFUNCTION("""COMPUTED_VALUE"""),"mmc")</f>
        <v>mmc</v>
      </c>
      <c r="C7274" s="3" t="str">
        <f>IFERROR(__xludf.DUMMYFUNCTION("""COMPUTED_VALUE"""),"MemeCard")</f>
        <v>MemeCard</v>
      </c>
    </row>
    <row r="7275">
      <c r="A7275" s="3" t="str">
        <f>IFERROR(__xludf.DUMMYFUNCTION("""COMPUTED_VALUE"""),"memecoin")</f>
        <v>memecoin</v>
      </c>
      <c r="B7275" s="3" t="str">
        <f>IFERROR(__xludf.DUMMYFUNCTION("""COMPUTED_VALUE"""),"mem")</f>
        <v>mem</v>
      </c>
      <c r="C7275" s="3" t="str">
        <f>IFERROR(__xludf.DUMMYFUNCTION("""COMPUTED_VALUE"""),"Memecoin")</f>
        <v>Memecoin</v>
      </c>
    </row>
    <row r="7276">
      <c r="A7276" s="3" t="str">
        <f>IFERROR(__xludf.DUMMYFUNCTION("""COMPUTED_VALUE"""),"meme-elon-doge-floki")</f>
        <v>meme-elon-doge-floki</v>
      </c>
      <c r="B7276" s="3" t="str">
        <f>IFERROR(__xludf.DUMMYFUNCTION("""COMPUTED_VALUE"""),"memelon")</f>
        <v>memelon</v>
      </c>
      <c r="C7276" s="3" t="str">
        <f>IFERROR(__xludf.DUMMYFUNCTION("""COMPUTED_VALUE"""),"Meme Elon Doge Floki")</f>
        <v>Meme Elon Doge Floki</v>
      </c>
    </row>
    <row r="7277">
      <c r="A7277" s="3" t="str">
        <f>IFERROR(__xludf.DUMMYFUNCTION("""COMPUTED_VALUE"""),"memeflate")</f>
        <v>memeflate</v>
      </c>
      <c r="B7277" s="3" t="str">
        <f>IFERROR(__xludf.DUMMYFUNCTION("""COMPUTED_VALUE"""),"mflate")</f>
        <v>mflate</v>
      </c>
      <c r="C7277" s="3" t="str">
        <f>IFERROR(__xludf.DUMMYFUNCTION("""COMPUTED_VALUE"""),"Memeflate")</f>
        <v>Memeflate</v>
      </c>
    </row>
    <row r="7278">
      <c r="A7278" s="3" t="str">
        <f>IFERROR(__xludf.DUMMYFUNCTION("""COMPUTED_VALUE"""),"meme-inu")</f>
        <v>meme-inu</v>
      </c>
      <c r="B7278" s="3" t="str">
        <f>IFERROR(__xludf.DUMMYFUNCTION("""COMPUTED_VALUE"""),"meme")</f>
        <v>meme</v>
      </c>
      <c r="C7278" s="3" t="str">
        <f>IFERROR(__xludf.DUMMYFUNCTION("""COMPUTED_VALUE"""),"Meme Inu")</f>
        <v>Meme Inu</v>
      </c>
    </row>
    <row r="7279">
      <c r="A7279" s="3" t="str">
        <f>IFERROR(__xludf.DUMMYFUNCTION("""COMPUTED_VALUE"""),"meme-kong")</f>
        <v>meme-kong</v>
      </c>
      <c r="B7279" s="3" t="str">
        <f>IFERROR(__xludf.DUMMYFUNCTION("""COMPUTED_VALUE"""),"mkong")</f>
        <v>mkong</v>
      </c>
      <c r="C7279" s="3" t="str">
        <f>IFERROR(__xludf.DUMMYFUNCTION("""COMPUTED_VALUE"""),"Meme Kong")</f>
        <v>Meme Kong</v>
      </c>
    </row>
    <row r="7280">
      <c r="A7280" s="3" t="str">
        <f>IFERROR(__xludf.DUMMYFUNCTION("""COMPUTED_VALUE"""),"meme-lordz")</f>
        <v>meme-lordz</v>
      </c>
      <c r="B7280" s="3" t="str">
        <f>IFERROR(__xludf.DUMMYFUNCTION("""COMPUTED_VALUE"""),"$lordz")</f>
        <v>$lordz</v>
      </c>
      <c r="C7280" s="3" t="str">
        <f>IFERROR(__xludf.DUMMYFUNCTION("""COMPUTED_VALUE"""),"Meme Lordz")</f>
        <v>Meme Lordz</v>
      </c>
    </row>
    <row r="7281">
      <c r="A7281" s="3" t="str">
        <f>IFERROR(__xludf.DUMMYFUNCTION("""COMPUTED_VALUE"""),"meme-ltd")</f>
        <v>meme-ltd</v>
      </c>
      <c r="B7281" s="3" t="str">
        <f>IFERROR(__xludf.DUMMYFUNCTION("""COMPUTED_VALUE"""),"meme20")</f>
        <v>meme20</v>
      </c>
      <c r="C7281" s="3" t="str">
        <f>IFERROR(__xludf.DUMMYFUNCTION("""COMPUTED_VALUE"""),"MEME LTD")</f>
        <v>MEME LTD</v>
      </c>
    </row>
    <row r="7282">
      <c r="A7282" s="3" t="str">
        <f>IFERROR(__xludf.DUMMYFUNCTION("""COMPUTED_VALUE"""),"meme-machine")</f>
        <v>meme-machine</v>
      </c>
      <c r="B7282" s="3" t="str">
        <f>IFERROR(__xludf.DUMMYFUNCTION("""COMPUTED_VALUE"""),"mema")</f>
        <v>mema</v>
      </c>
      <c r="C7282" s="3" t="str">
        <f>IFERROR(__xludf.DUMMYFUNCTION("""COMPUTED_VALUE"""),"Meme Machine")</f>
        <v>Meme Machine</v>
      </c>
    </row>
    <row r="7283">
      <c r="A7283" s="3" t="str">
        <f>IFERROR(__xludf.DUMMYFUNCTION("""COMPUTED_VALUE"""),"memenft-official")</f>
        <v>memenft-official</v>
      </c>
      <c r="B7283" s="3" t="str">
        <f>IFERROR(__xludf.DUMMYFUNCTION("""COMPUTED_VALUE"""),"mnft")</f>
        <v>mnft</v>
      </c>
      <c r="C7283" s="3" t="str">
        <f>IFERROR(__xludf.DUMMYFUNCTION("""COMPUTED_VALUE"""),"MemeNFT Official")</f>
        <v>MemeNFT Official</v>
      </c>
    </row>
    <row r="7284">
      <c r="A7284" s="3" t="str">
        <f>IFERROR(__xludf.DUMMYFUNCTION("""COMPUTED_VALUE"""),"memenopoly-money")</f>
        <v>memenopoly-money</v>
      </c>
      <c r="B7284" s="3" t="str">
        <f>IFERROR(__xludf.DUMMYFUNCTION("""COMPUTED_VALUE"""),"mnop")</f>
        <v>mnop</v>
      </c>
      <c r="C7284" s="3" t="str">
        <f>IFERROR(__xludf.DUMMYFUNCTION("""COMPUTED_VALUE"""),"Memenopoly Money")</f>
        <v>Memenopoly Money</v>
      </c>
    </row>
    <row r="7285">
      <c r="A7285" s="3" t="str">
        <f>IFERROR(__xludf.DUMMYFUNCTION("""COMPUTED_VALUE"""),"memepad")</f>
        <v>memepad</v>
      </c>
      <c r="B7285" s="3" t="str">
        <f>IFERROR(__xludf.DUMMYFUNCTION("""COMPUTED_VALUE"""),"mepad")</f>
        <v>mepad</v>
      </c>
      <c r="C7285" s="3" t="str">
        <f>IFERROR(__xludf.DUMMYFUNCTION("""COMPUTED_VALUE"""),"MemePad")</f>
        <v>MemePad</v>
      </c>
    </row>
    <row r="7286">
      <c r="A7286" s="3" t="str">
        <f>IFERROR(__xludf.DUMMYFUNCTION("""COMPUTED_VALUE"""),"meme-protocol")</f>
        <v>meme-protocol</v>
      </c>
      <c r="B7286" s="3" t="str">
        <f>IFERROR(__xludf.DUMMYFUNCTION("""COMPUTED_VALUE"""),"meme")</f>
        <v>meme</v>
      </c>
      <c r="C7286" s="3" t="str">
        <f>IFERROR(__xludf.DUMMYFUNCTION("""COMPUTED_VALUE"""),"Meme Protocol")</f>
        <v>Meme Protocol</v>
      </c>
    </row>
    <row r="7287">
      <c r="A7287" s="3" t="str">
        <f>IFERROR(__xludf.DUMMYFUNCTION("""COMPUTED_VALUE"""),"memetic")</f>
        <v>memetic</v>
      </c>
      <c r="B7287" s="3" t="str">
        <f>IFERROR(__xludf.DUMMYFUNCTION("""COMPUTED_VALUE"""),"meme")</f>
        <v>meme</v>
      </c>
      <c r="C7287" s="3" t="str">
        <f>IFERROR(__xludf.DUMMYFUNCTION("""COMPUTED_VALUE"""),"Memetic")</f>
        <v>Memetic</v>
      </c>
    </row>
    <row r="7288">
      <c r="A7288" s="3" t="str">
        <f>IFERROR(__xludf.DUMMYFUNCTION("""COMPUTED_VALUE"""),"memeverse")</f>
        <v>memeverse</v>
      </c>
      <c r="B7288" s="3" t="str">
        <f>IFERROR(__xludf.DUMMYFUNCTION("""COMPUTED_VALUE"""),"meme")</f>
        <v>meme</v>
      </c>
      <c r="C7288" s="3" t="str">
        <f>IFERROR(__xludf.DUMMYFUNCTION("""COMPUTED_VALUE"""),"Memeverse")</f>
        <v>Memeverse</v>
      </c>
    </row>
    <row r="7289">
      <c r="A7289" s="3" t="str">
        <f>IFERROR(__xludf.DUMMYFUNCTION("""COMPUTED_VALUE"""),"memewars")</f>
        <v>memewars</v>
      </c>
      <c r="B7289" s="3" t="str">
        <f>IFERROR(__xludf.DUMMYFUNCTION("""COMPUTED_VALUE"""),"mwar")</f>
        <v>mwar</v>
      </c>
      <c r="C7289" s="3" t="str">
        <f>IFERROR(__xludf.DUMMYFUNCTION("""COMPUTED_VALUE"""),"MemeWars")</f>
        <v>MemeWars</v>
      </c>
    </row>
    <row r="7290">
      <c r="A7290" s="3" t="str">
        <f>IFERROR(__xludf.DUMMYFUNCTION("""COMPUTED_VALUE"""),"menapay")</f>
        <v>menapay</v>
      </c>
      <c r="B7290" s="3" t="str">
        <f>IFERROR(__xludf.DUMMYFUNCTION("""COMPUTED_VALUE"""),"mpay")</f>
        <v>mpay</v>
      </c>
      <c r="C7290" s="3" t="str">
        <f>IFERROR(__xludf.DUMMYFUNCTION("""COMPUTED_VALUE"""),"Menapay")</f>
        <v>Menapay</v>
      </c>
    </row>
    <row r="7291">
      <c r="A7291" s="3" t="str">
        <f>IFERROR(__xludf.DUMMYFUNCTION("""COMPUTED_VALUE"""),"mend")</f>
        <v>mend</v>
      </c>
      <c r="B7291" s="3" t="str">
        <f>IFERROR(__xludf.DUMMYFUNCTION("""COMPUTED_VALUE"""),"mend")</f>
        <v>mend</v>
      </c>
      <c r="C7291" s="3" t="str">
        <f>IFERROR(__xludf.DUMMYFUNCTION("""COMPUTED_VALUE"""),"Mend")</f>
        <v>Mend</v>
      </c>
    </row>
    <row r="7292">
      <c r="A7292" s="3" t="str">
        <f>IFERROR(__xludf.DUMMYFUNCTION("""COMPUTED_VALUE"""),"menzy")</f>
        <v>menzy</v>
      </c>
      <c r="B7292" s="3" t="str">
        <f>IFERROR(__xludf.DUMMYFUNCTION("""COMPUTED_VALUE"""),"mnz")</f>
        <v>mnz</v>
      </c>
      <c r="C7292" s="3" t="str">
        <f>IFERROR(__xludf.DUMMYFUNCTION("""COMPUTED_VALUE"""),"Menzy")</f>
        <v>Menzy</v>
      </c>
    </row>
    <row r="7293">
      <c r="A7293" s="3" t="str">
        <f>IFERROR(__xludf.DUMMYFUNCTION("""COMPUTED_VALUE"""),"meong-token")</f>
        <v>meong-token</v>
      </c>
      <c r="B7293" s="3" t="str">
        <f>IFERROR(__xludf.DUMMYFUNCTION("""COMPUTED_VALUE"""),"meong")</f>
        <v>meong</v>
      </c>
      <c r="C7293" s="3" t="str">
        <f>IFERROR(__xludf.DUMMYFUNCTION("""COMPUTED_VALUE"""),"Meong")</f>
        <v>Meong</v>
      </c>
    </row>
    <row r="7294">
      <c r="A7294" s="3" t="str">
        <f>IFERROR(__xludf.DUMMYFUNCTION("""COMPUTED_VALUE"""),"meowcoin")</f>
        <v>meowcoin</v>
      </c>
      <c r="B7294" s="3" t="str">
        <f>IFERROR(__xludf.DUMMYFUNCTION("""COMPUTED_VALUE"""),"mewc")</f>
        <v>mewc</v>
      </c>
      <c r="C7294" s="3" t="str">
        <f>IFERROR(__xludf.DUMMYFUNCTION("""COMPUTED_VALUE"""),"MeowCoin")</f>
        <v>MeowCoin</v>
      </c>
    </row>
    <row r="7295">
      <c r="A7295" s="3" t="str">
        <f>IFERROR(__xludf.DUMMYFUNCTION("""COMPUTED_VALUE"""),"meownaut")</f>
        <v>meownaut</v>
      </c>
      <c r="B7295" s="3" t="str">
        <f>IFERROR(__xludf.DUMMYFUNCTION("""COMPUTED_VALUE"""),"mnt")</f>
        <v>mnt</v>
      </c>
      <c r="C7295" s="3" t="str">
        <f>IFERROR(__xludf.DUMMYFUNCTION("""COMPUTED_VALUE"""),"Meownaut")</f>
        <v>Meownaut</v>
      </c>
    </row>
    <row r="7296">
      <c r="A7296" s="3" t="str">
        <f>IFERROR(__xludf.DUMMYFUNCTION("""COMPUTED_VALUE"""),"meowswap-token")</f>
        <v>meowswap-token</v>
      </c>
      <c r="B7296" s="3" t="str">
        <f>IFERROR(__xludf.DUMMYFUNCTION("""COMPUTED_VALUE"""),"meow")</f>
        <v>meow</v>
      </c>
      <c r="C7296" s="3" t="str">
        <f>IFERROR(__xludf.DUMMYFUNCTION("""COMPUTED_VALUE"""),"MeowSwap")</f>
        <v>MeowSwap</v>
      </c>
    </row>
    <row r="7297">
      <c r="A7297" s="3" t="str">
        <f>IFERROR(__xludf.DUMMYFUNCTION("""COMPUTED_VALUE"""),"merchant-token")</f>
        <v>merchant-token</v>
      </c>
      <c r="B7297" s="3" t="str">
        <f>IFERROR(__xludf.DUMMYFUNCTION("""COMPUTED_VALUE"""),"mto")</f>
        <v>mto</v>
      </c>
      <c r="C7297" s="3" t="str">
        <f>IFERROR(__xludf.DUMMYFUNCTION("""COMPUTED_VALUE"""),"Merchant")</f>
        <v>Merchant</v>
      </c>
    </row>
    <row r="7298">
      <c r="A7298" s="3" t="str">
        <f>IFERROR(__xludf.DUMMYFUNCTION("""COMPUTED_VALUE"""),"merchdao")</f>
        <v>merchdao</v>
      </c>
      <c r="B7298" s="3" t="str">
        <f>IFERROR(__xludf.DUMMYFUNCTION("""COMPUTED_VALUE"""),"mrch")</f>
        <v>mrch</v>
      </c>
      <c r="C7298" s="3" t="str">
        <f>IFERROR(__xludf.DUMMYFUNCTION("""COMPUTED_VALUE"""),"MerchDAO")</f>
        <v>MerchDAO</v>
      </c>
    </row>
    <row r="7299">
      <c r="A7299" s="3" t="str">
        <f>IFERROR(__xludf.DUMMYFUNCTION("""COMPUTED_VALUE"""),"mercor-finance")</f>
        <v>mercor-finance</v>
      </c>
      <c r="B7299" s="3" t="str">
        <f>IFERROR(__xludf.DUMMYFUNCTION("""COMPUTED_VALUE"""),"mrcr")</f>
        <v>mrcr</v>
      </c>
      <c r="C7299" s="3" t="str">
        <f>IFERROR(__xludf.DUMMYFUNCTION("""COMPUTED_VALUE"""),"Mercor Finance")</f>
        <v>Mercor Finance</v>
      </c>
    </row>
    <row r="7300">
      <c r="A7300" s="3" t="str">
        <f>IFERROR(__xludf.DUMMYFUNCTION("""COMPUTED_VALUE"""),"merculet")</f>
        <v>merculet</v>
      </c>
      <c r="B7300" s="3" t="str">
        <f>IFERROR(__xludf.DUMMYFUNCTION("""COMPUTED_VALUE"""),"mvp")</f>
        <v>mvp</v>
      </c>
      <c r="C7300" s="3" t="str">
        <f>IFERROR(__xludf.DUMMYFUNCTION("""COMPUTED_VALUE"""),"Merculet")</f>
        <v>Merculet</v>
      </c>
    </row>
    <row r="7301">
      <c r="A7301" s="3" t="str">
        <f>IFERROR(__xludf.DUMMYFUNCTION("""COMPUTED_VALUE"""),"mercurial")</f>
        <v>mercurial</v>
      </c>
      <c r="B7301" s="3" t="str">
        <f>IFERROR(__xludf.DUMMYFUNCTION("""COMPUTED_VALUE"""),"mer")</f>
        <v>mer</v>
      </c>
      <c r="C7301" s="3" t="str">
        <f>IFERROR(__xludf.DUMMYFUNCTION("""COMPUTED_VALUE"""),"Mercurial")</f>
        <v>Mercurial</v>
      </c>
    </row>
    <row r="7302">
      <c r="A7302" s="3" t="str">
        <f>IFERROR(__xludf.DUMMYFUNCTION("""COMPUTED_VALUE"""),"mercury")</f>
        <v>mercury</v>
      </c>
      <c r="B7302" s="3" t="str">
        <f>IFERROR(__xludf.DUMMYFUNCTION("""COMPUTED_VALUE"""),"mer")</f>
        <v>mer</v>
      </c>
      <c r="C7302" s="3" t="str">
        <f>IFERROR(__xludf.DUMMYFUNCTION("""COMPUTED_VALUE"""),"Mercury")</f>
        <v>Mercury</v>
      </c>
    </row>
    <row r="7303">
      <c r="A7303" s="3" t="str">
        <f>IFERROR(__xludf.DUMMYFUNCTION("""COMPUTED_VALUE"""),"merebel")</f>
        <v>merebel</v>
      </c>
      <c r="B7303" s="3" t="str">
        <f>IFERROR(__xludf.DUMMYFUNCTION("""COMPUTED_VALUE"""),"meri")</f>
        <v>meri</v>
      </c>
      <c r="C7303" s="3" t="str">
        <f>IFERROR(__xludf.DUMMYFUNCTION("""COMPUTED_VALUE"""),"Merebel")</f>
        <v>Merebel</v>
      </c>
    </row>
    <row r="7304">
      <c r="A7304" s="3" t="str">
        <f>IFERROR(__xludf.DUMMYFUNCTION("""COMPUTED_VALUE"""),"merge")</f>
        <v>merge</v>
      </c>
      <c r="B7304" s="3" t="str">
        <f>IFERROR(__xludf.DUMMYFUNCTION("""COMPUTED_VALUE"""),"merge")</f>
        <v>merge</v>
      </c>
      <c r="C7304" s="3" t="str">
        <f>IFERROR(__xludf.DUMMYFUNCTION("""COMPUTED_VALUE"""),"Merge")</f>
        <v>Merge</v>
      </c>
    </row>
    <row r="7305">
      <c r="A7305" s="3" t="str">
        <f>IFERROR(__xludf.DUMMYFUNCTION("""COMPUTED_VALUE"""),"meridian-network")</f>
        <v>meridian-network</v>
      </c>
      <c r="B7305" s="3" t="str">
        <f>IFERROR(__xludf.DUMMYFUNCTION("""COMPUTED_VALUE"""),"lock")</f>
        <v>lock</v>
      </c>
      <c r="C7305" s="3" t="str">
        <f>IFERROR(__xludf.DUMMYFUNCTION("""COMPUTED_VALUE"""),"Meridian Network")</f>
        <v>Meridian Network</v>
      </c>
    </row>
    <row r="7306">
      <c r="A7306" s="3" t="str">
        <f>IFERROR(__xludf.DUMMYFUNCTION("""COMPUTED_VALUE"""),"merit-circle")</f>
        <v>merit-circle</v>
      </c>
      <c r="B7306" s="3" t="str">
        <f>IFERROR(__xludf.DUMMYFUNCTION("""COMPUTED_VALUE"""),"mc")</f>
        <v>mc</v>
      </c>
      <c r="C7306" s="3" t="str">
        <f>IFERROR(__xludf.DUMMYFUNCTION("""COMPUTED_VALUE"""),"Merit Circle")</f>
        <v>Merit Circle</v>
      </c>
    </row>
    <row r="7307">
      <c r="A7307" s="3" t="str">
        <f>IFERROR(__xludf.DUMMYFUNCTION("""COMPUTED_VALUE"""),"merkle-network")</f>
        <v>merkle-network</v>
      </c>
      <c r="B7307" s="3" t="str">
        <f>IFERROR(__xludf.DUMMYFUNCTION("""COMPUTED_VALUE"""),"merkle")</f>
        <v>merkle</v>
      </c>
      <c r="C7307" s="3" t="str">
        <f>IFERROR(__xludf.DUMMYFUNCTION("""COMPUTED_VALUE"""),"Merkle Network")</f>
        <v>Merkle Network</v>
      </c>
    </row>
    <row r="7308">
      <c r="A7308" s="3" t="str">
        <f>IFERROR(__xludf.DUMMYFUNCTION("""COMPUTED_VALUE"""),"meschain")</f>
        <v>meschain</v>
      </c>
      <c r="B7308" s="3" t="str">
        <f>IFERROR(__xludf.DUMMYFUNCTION("""COMPUTED_VALUE"""),"mes")</f>
        <v>mes</v>
      </c>
      <c r="C7308" s="3" t="str">
        <f>IFERROR(__xludf.DUMMYFUNCTION("""COMPUTED_VALUE"""),"MesChain")</f>
        <v>MesChain</v>
      </c>
    </row>
    <row r="7309">
      <c r="A7309" s="3" t="str">
        <f>IFERROR(__xludf.DUMMYFUNCTION("""COMPUTED_VALUE"""),"mesefa")</f>
        <v>mesefa</v>
      </c>
      <c r="B7309" s="3" t="str">
        <f>IFERROR(__xludf.DUMMYFUNCTION("""COMPUTED_VALUE"""),"sefa")</f>
        <v>sefa</v>
      </c>
      <c r="C7309" s="3" t="str">
        <f>IFERROR(__xludf.DUMMYFUNCTION("""COMPUTED_VALUE"""),"Mesefa")</f>
        <v>Mesefa</v>
      </c>
    </row>
    <row r="7310">
      <c r="A7310" s="3" t="str">
        <f>IFERROR(__xludf.DUMMYFUNCTION("""COMPUTED_VALUE"""),"meshbox")</f>
        <v>meshbox</v>
      </c>
      <c r="B7310" s="3" t="str">
        <f>IFERROR(__xludf.DUMMYFUNCTION("""COMPUTED_VALUE"""),"mesh")</f>
        <v>mesh</v>
      </c>
      <c r="C7310" s="3" t="str">
        <f>IFERROR(__xludf.DUMMYFUNCTION("""COMPUTED_VALUE"""),"MeshBox")</f>
        <v>MeshBox</v>
      </c>
    </row>
    <row r="7311">
      <c r="A7311" s="3" t="str">
        <f>IFERROR(__xludf.DUMMYFUNCTION("""COMPUTED_VALUE"""),"meshswap-protocol")</f>
        <v>meshswap-protocol</v>
      </c>
      <c r="B7311" s="3" t="str">
        <f>IFERROR(__xludf.DUMMYFUNCTION("""COMPUTED_VALUE"""),"mesh")</f>
        <v>mesh</v>
      </c>
      <c r="C7311" s="3" t="str">
        <f>IFERROR(__xludf.DUMMYFUNCTION("""COMPUTED_VALUE"""),"Meshswap Protocol")</f>
        <v>Meshswap Protocol</v>
      </c>
    </row>
    <row r="7312">
      <c r="A7312" s="3" t="str">
        <f>IFERROR(__xludf.DUMMYFUNCTION("""COMPUTED_VALUE"""),"meso")</f>
        <v>meso</v>
      </c>
      <c r="B7312" s="3" t="str">
        <f>IFERROR(__xludf.DUMMYFUNCTION("""COMPUTED_VALUE"""),"meso")</f>
        <v>meso</v>
      </c>
      <c r="C7312" s="3" t="str">
        <f>IFERROR(__xludf.DUMMYFUNCTION("""COMPUTED_VALUE"""),"Meso")</f>
        <v>Meso</v>
      </c>
    </row>
    <row r="7313">
      <c r="A7313" s="3" t="str">
        <f>IFERROR(__xludf.DUMMYFUNCTION("""COMPUTED_VALUE"""),"messier")</f>
        <v>messier</v>
      </c>
      <c r="B7313" s="3" t="str">
        <f>IFERROR(__xludf.DUMMYFUNCTION("""COMPUTED_VALUE"""),"m87")</f>
        <v>m87</v>
      </c>
      <c r="C7313" s="3" t="str">
        <f>IFERROR(__xludf.DUMMYFUNCTION("""COMPUTED_VALUE"""),"MESSIER")</f>
        <v>MESSIER</v>
      </c>
    </row>
    <row r="7314">
      <c r="A7314" s="3" t="str">
        <f>IFERROR(__xludf.DUMMYFUNCTION("""COMPUTED_VALUE"""),"meta")</f>
        <v>meta</v>
      </c>
      <c r="B7314" s="3" t="str">
        <f>IFERROR(__xludf.DUMMYFUNCTION("""COMPUTED_VALUE"""),"mta")</f>
        <v>mta</v>
      </c>
      <c r="C7314" s="3" t="str">
        <f>IFERROR(__xludf.DUMMYFUNCTION("""COMPUTED_VALUE"""),"mStable Governance: Meta")</f>
        <v>mStable Governance: Meta</v>
      </c>
    </row>
    <row r="7315">
      <c r="A7315" s="3" t="str">
        <f>IFERROR(__xludf.DUMMYFUNCTION("""COMPUTED_VALUE"""),"meta3")</f>
        <v>meta3</v>
      </c>
      <c r="B7315" s="3" t="str">
        <f>IFERROR(__xludf.DUMMYFUNCTION("""COMPUTED_VALUE"""),"mt3")</f>
        <v>mt3</v>
      </c>
      <c r="C7315" s="3" t="str">
        <f>IFERROR(__xludf.DUMMYFUNCTION("""COMPUTED_VALUE"""),"Meta3")</f>
        <v>Meta3</v>
      </c>
    </row>
    <row r="7316">
      <c r="A7316" s="3" t="str">
        <f>IFERROR(__xludf.DUMMYFUNCTION("""COMPUTED_VALUE"""),"meta-age-of-empires")</f>
        <v>meta-age-of-empires</v>
      </c>
      <c r="B7316" s="3" t="str">
        <f>IFERROR(__xludf.DUMMYFUNCTION("""COMPUTED_VALUE"""),"maoe")</f>
        <v>maoe</v>
      </c>
      <c r="C7316" s="3" t="str">
        <f>IFERROR(__xludf.DUMMYFUNCTION("""COMPUTED_VALUE"""),"Meta Age of Empires")</f>
        <v>Meta Age of Empires</v>
      </c>
    </row>
    <row r="7317">
      <c r="A7317" s="3" t="str">
        <f>IFERROR(__xludf.DUMMYFUNCTION("""COMPUTED_VALUE"""),"metaair")</f>
        <v>metaair</v>
      </c>
      <c r="B7317" s="3" t="str">
        <f>IFERROR(__xludf.DUMMYFUNCTION("""COMPUTED_VALUE"""),"mair")</f>
        <v>mair</v>
      </c>
      <c r="C7317" s="3" t="str">
        <f>IFERROR(__xludf.DUMMYFUNCTION("""COMPUTED_VALUE"""),"MetaAir")</f>
        <v>MetaAir</v>
      </c>
    </row>
    <row r="7318">
      <c r="A7318" s="3" t="str">
        <f>IFERROR(__xludf.DUMMYFUNCTION("""COMPUTED_VALUE"""),"meta-apes")</f>
        <v>meta-apes</v>
      </c>
      <c r="B7318" s="3" t="str">
        <f>IFERROR(__xludf.DUMMYFUNCTION("""COMPUTED_VALUE"""),"mapes")</f>
        <v>mapes</v>
      </c>
      <c r="C7318" s="3" t="str">
        <f>IFERROR(__xludf.DUMMYFUNCTION("""COMPUTED_VALUE"""),"Meta Apes")</f>
        <v>Meta Apes</v>
      </c>
    </row>
    <row r="7319">
      <c r="A7319" s="3" t="str">
        <f>IFERROR(__xludf.DUMMYFUNCTION("""COMPUTED_VALUE"""),"meta-apes-peel")</f>
        <v>meta-apes-peel</v>
      </c>
      <c r="B7319" s="3" t="str">
        <f>IFERROR(__xludf.DUMMYFUNCTION("""COMPUTED_VALUE"""),"peel")</f>
        <v>peel</v>
      </c>
      <c r="C7319" s="3" t="str">
        <f>IFERROR(__xludf.DUMMYFUNCTION("""COMPUTED_VALUE"""),"Meta Apes PEEL")</f>
        <v>Meta Apes PEEL</v>
      </c>
    </row>
    <row r="7320">
      <c r="A7320" s="3" t="str">
        <f>IFERROR(__xludf.DUMMYFUNCTION("""COMPUTED_VALUE"""),"meta-apes-shell")</f>
        <v>meta-apes-shell</v>
      </c>
      <c r="B7320" s="3" t="str">
        <f>IFERROR(__xludf.DUMMYFUNCTION("""COMPUTED_VALUE"""),"shell")</f>
        <v>shell</v>
      </c>
      <c r="C7320" s="3" t="str">
        <f>IFERROR(__xludf.DUMMYFUNCTION("""COMPUTED_VALUE"""),"Meta Apes Shell")</f>
        <v>Meta Apes Shell</v>
      </c>
    </row>
    <row r="7321">
      <c r="A7321" s="3" t="str">
        <f>IFERROR(__xludf.DUMMYFUNCTION("""COMPUTED_VALUE"""),"metaaxis")</f>
        <v>metaaxis</v>
      </c>
      <c r="B7321" s="3" t="str">
        <f>IFERROR(__xludf.DUMMYFUNCTION("""COMPUTED_VALUE"""),"mta")</f>
        <v>mta</v>
      </c>
      <c r="C7321" s="3" t="str">
        <f>IFERROR(__xludf.DUMMYFUNCTION("""COMPUTED_VALUE"""),"MetaAxis")</f>
        <v>MetaAxis</v>
      </c>
    </row>
    <row r="7322">
      <c r="A7322" s="3" t="str">
        <f>IFERROR(__xludf.DUMMYFUNCTION("""COMPUTED_VALUE"""),"metababy")</f>
        <v>metababy</v>
      </c>
      <c r="B7322" s="3" t="str">
        <f>IFERROR(__xludf.DUMMYFUNCTION("""COMPUTED_VALUE"""),"baby")</f>
        <v>baby</v>
      </c>
      <c r="C7322" s="3" t="str">
        <f>IFERROR(__xludf.DUMMYFUNCTION("""COMPUTED_VALUE"""),"Metababy")</f>
        <v>Metababy</v>
      </c>
    </row>
    <row r="7323">
      <c r="A7323" s="3" t="str">
        <f>IFERROR(__xludf.DUMMYFUNCTION("""COMPUTED_VALUE"""),"metabet")</f>
        <v>metabet</v>
      </c>
      <c r="B7323" s="3" t="str">
        <f>IFERROR(__xludf.DUMMYFUNCTION("""COMPUTED_VALUE"""),"mbet")</f>
        <v>mbet</v>
      </c>
      <c r="C7323" s="3" t="str">
        <f>IFERROR(__xludf.DUMMYFUNCTION("""COMPUTED_VALUE"""),"MetaBET")</f>
        <v>MetaBET</v>
      </c>
    </row>
    <row r="7324">
      <c r="A7324" s="3" t="str">
        <f>IFERROR(__xludf.DUMMYFUNCTION("""COMPUTED_VALUE"""),"metablackout")</f>
        <v>metablackout</v>
      </c>
      <c r="B7324" s="3" t="str">
        <f>IFERROR(__xludf.DUMMYFUNCTION("""COMPUTED_VALUE"""),"mbt")</f>
        <v>mbt</v>
      </c>
      <c r="C7324" s="3" t="str">
        <f>IFERROR(__xludf.DUMMYFUNCTION("""COMPUTED_VALUE"""),"MetaBlackout")</f>
        <v>MetaBlackout</v>
      </c>
    </row>
    <row r="7325">
      <c r="A7325" s="3" t="str">
        <f>IFERROR(__xludf.DUMMYFUNCTION("""COMPUTED_VALUE"""),"metabolic")</f>
        <v>metabolic</v>
      </c>
      <c r="B7325" s="3" t="str">
        <f>IFERROR(__xludf.DUMMYFUNCTION("""COMPUTED_VALUE"""),"mtbc")</f>
        <v>mtbc</v>
      </c>
      <c r="C7325" s="3" t="str">
        <f>IFERROR(__xludf.DUMMYFUNCTION("""COMPUTED_VALUE"""),"Metabolic")</f>
        <v>Metabolic</v>
      </c>
    </row>
    <row r="7326">
      <c r="A7326" s="3" t="str">
        <f>IFERROR(__xludf.DUMMYFUNCTION("""COMPUTED_VALUE"""),"metabomb")</f>
        <v>metabomb</v>
      </c>
      <c r="B7326" s="3" t="str">
        <f>IFERROR(__xludf.DUMMYFUNCTION("""COMPUTED_VALUE"""),"mtb")</f>
        <v>mtb</v>
      </c>
      <c r="C7326" s="3" t="str">
        <f>IFERROR(__xludf.DUMMYFUNCTION("""COMPUTED_VALUE"""),"MetaBomb")</f>
        <v>MetaBomb</v>
      </c>
    </row>
    <row r="7327">
      <c r="A7327" s="3" t="str">
        <f>IFERROR(__xludf.DUMMYFUNCTION("""COMPUTED_VALUE"""),"metabrands")</f>
        <v>metabrands</v>
      </c>
      <c r="B7327" s="3" t="str">
        <f>IFERROR(__xludf.DUMMYFUNCTION("""COMPUTED_VALUE"""),"mage")</f>
        <v>mage</v>
      </c>
      <c r="C7327" s="3" t="str">
        <f>IFERROR(__xludf.DUMMYFUNCTION("""COMPUTED_VALUE"""),"MetaBrands")</f>
        <v>MetaBrands</v>
      </c>
    </row>
    <row r="7328">
      <c r="A7328" s="3" t="str">
        <f>IFERROR(__xludf.DUMMYFUNCTION("""COMPUTED_VALUE"""),"meta-brawl")</f>
        <v>meta-brawl</v>
      </c>
      <c r="B7328" s="3" t="str">
        <f>IFERROR(__xludf.DUMMYFUNCTION("""COMPUTED_VALUE"""),"brawl")</f>
        <v>brawl</v>
      </c>
      <c r="C7328" s="3" t="str">
        <f>IFERROR(__xludf.DUMMYFUNCTION("""COMPUTED_VALUE"""),"Meta Brawl")</f>
        <v>Meta Brawl</v>
      </c>
    </row>
    <row r="7329">
      <c r="A7329" s="3" t="str">
        <f>IFERROR(__xludf.DUMMYFUNCTION("""COMPUTED_VALUE"""),"metabridge")</f>
        <v>metabridge</v>
      </c>
      <c r="B7329" s="3" t="str">
        <f>IFERROR(__xludf.DUMMYFUNCTION("""COMPUTED_VALUE"""),"mtb")</f>
        <v>mtb</v>
      </c>
      <c r="C7329" s="3" t="str">
        <f>IFERROR(__xludf.DUMMYFUNCTION("""COMPUTED_VALUE"""),"MetaBridge")</f>
        <v>MetaBridge</v>
      </c>
    </row>
    <row r="7330">
      <c r="A7330" s="3" t="str">
        <f>IFERROR(__xludf.DUMMYFUNCTION("""COMPUTED_VALUE"""),"meta-bsc")</f>
        <v>meta-bsc</v>
      </c>
      <c r="B7330" s="3" t="str">
        <f>IFERROR(__xludf.DUMMYFUNCTION("""COMPUTED_VALUE"""),"meta")</f>
        <v>meta</v>
      </c>
      <c r="C7330" s="3" t="str">
        <f>IFERROR(__xludf.DUMMYFUNCTION("""COMPUTED_VALUE"""),"Meta BSC")</f>
        <v>Meta BSC</v>
      </c>
    </row>
    <row r="7331">
      <c r="A7331" s="3" t="str">
        <f>IFERROR(__xludf.DUMMYFUNCTION("""COMPUTED_VALUE"""),"metabullrun")</f>
        <v>metabullrun</v>
      </c>
      <c r="B7331" s="3" t="str">
        <f>IFERROR(__xludf.DUMMYFUNCTION("""COMPUTED_VALUE"""),"mbr")</f>
        <v>mbr</v>
      </c>
      <c r="C7331" s="3" t="str">
        <f>IFERROR(__xludf.DUMMYFUNCTION("""COMPUTED_VALUE"""),"MetaBullRun")</f>
        <v>MetaBullRun</v>
      </c>
    </row>
    <row r="7332">
      <c r="A7332" s="3" t="str">
        <f>IFERROR(__xludf.DUMMYFUNCTION("""COMPUTED_VALUE"""),"metaburst")</f>
        <v>metaburst</v>
      </c>
      <c r="B7332" s="3" t="str">
        <f>IFERROR(__xludf.DUMMYFUNCTION("""COMPUTED_VALUE"""),"mebu")</f>
        <v>mebu</v>
      </c>
      <c r="C7332" s="3" t="str">
        <f>IFERROR(__xludf.DUMMYFUNCTION("""COMPUTED_VALUE"""),"Metaburst")</f>
        <v>Metaburst</v>
      </c>
    </row>
    <row r="7333">
      <c r="A7333" s="3" t="str">
        <f>IFERROR(__xludf.DUMMYFUNCTION("""COMPUTED_VALUE"""),"metabusdcoin")</f>
        <v>metabusdcoin</v>
      </c>
      <c r="B7333" s="3" t="str">
        <f>IFERROR(__xludf.DUMMYFUNCTION("""COMPUTED_VALUE"""),"mbc")</f>
        <v>mbc</v>
      </c>
      <c r="C7333" s="3" t="str">
        <f>IFERROR(__xludf.DUMMYFUNCTION("""COMPUTED_VALUE"""),"MetaBUSDCoin")</f>
        <v>MetaBUSDCoin</v>
      </c>
    </row>
    <row r="7334">
      <c r="A7334" s="3" t="str">
        <f>IFERROR(__xludf.DUMMYFUNCTION("""COMPUTED_VALUE"""),"metabusiness")</f>
        <v>metabusiness</v>
      </c>
      <c r="B7334" s="3" t="str">
        <f>IFERROR(__xludf.DUMMYFUNCTION("""COMPUTED_VALUE"""),"mefi")</f>
        <v>mefi</v>
      </c>
      <c r="C7334" s="3" t="str">
        <f>IFERROR(__xludf.DUMMYFUNCTION("""COMPUTED_VALUE"""),"Metabusiness")</f>
        <v>Metabusiness</v>
      </c>
    </row>
    <row r="7335">
      <c r="A7335" s="3" t="str">
        <f>IFERROR(__xludf.DUMMYFUNCTION("""COMPUTED_VALUE"""),"meta-capital")</f>
        <v>meta-capital</v>
      </c>
      <c r="B7335" s="3" t="str">
        <f>IFERROR(__xludf.DUMMYFUNCTION("""COMPUTED_VALUE"""),"mcap")</f>
        <v>mcap</v>
      </c>
      <c r="C7335" s="3" t="str">
        <f>IFERROR(__xludf.DUMMYFUNCTION("""COMPUTED_VALUE"""),"Meta Capital")</f>
        <v>Meta Capital</v>
      </c>
    </row>
    <row r="7336">
      <c r="A7336" s="3" t="str">
        <f>IFERROR(__xludf.DUMMYFUNCTION("""COMPUTED_VALUE"""),"meta-car")</f>
        <v>meta-car</v>
      </c>
      <c r="B7336" s="3" t="str">
        <f>IFERROR(__xludf.DUMMYFUNCTION("""COMPUTED_VALUE"""),"meta car")</f>
        <v>meta car</v>
      </c>
      <c r="C7336" s="3" t="str">
        <f>IFERROR(__xludf.DUMMYFUNCTION("""COMPUTED_VALUE"""),"Meta Car")</f>
        <v>Meta Car</v>
      </c>
    </row>
    <row r="7337">
      <c r="A7337" s="3" t="str">
        <f>IFERROR(__xludf.DUMMYFUNCTION("""COMPUTED_VALUE"""),"metacars")</f>
        <v>metacars</v>
      </c>
      <c r="B7337" s="3" t="str">
        <f>IFERROR(__xludf.DUMMYFUNCTION("""COMPUTED_VALUE"""),"mtc")</f>
        <v>mtc</v>
      </c>
      <c r="C7337" s="3" t="str">
        <f>IFERROR(__xludf.DUMMYFUNCTION("""COMPUTED_VALUE"""),"MetaCars")</f>
        <v>MetaCars</v>
      </c>
    </row>
    <row r="7338">
      <c r="A7338" s="3" t="str">
        <f>IFERROR(__xludf.DUMMYFUNCTION("""COMPUTED_VALUE"""),"metacash")</f>
        <v>metacash</v>
      </c>
      <c r="B7338" s="3" t="str">
        <f>IFERROR(__xludf.DUMMYFUNCTION("""COMPUTED_VALUE"""),"meta")</f>
        <v>meta</v>
      </c>
      <c r="C7338" s="3" t="str">
        <f>IFERROR(__xludf.DUMMYFUNCTION("""COMPUTED_VALUE"""),"MetaCash")</f>
        <v>MetaCash</v>
      </c>
    </row>
    <row r="7339">
      <c r="A7339" s="3" t="str">
        <f>IFERROR(__xludf.DUMMYFUNCTION("""COMPUTED_VALUE"""),"metacat")</f>
        <v>metacat</v>
      </c>
      <c r="B7339" s="3" t="str">
        <f>IFERROR(__xludf.DUMMYFUNCTION("""COMPUTED_VALUE"""),"metacat")</f>
        <v>metacat</v>
      </c>
      <c r="C7339" s="3" t="str">
        <f>IFERROR(__xludf.DUMMYFUNCTION("""COMPUTED_VALUE"""),"MetaCat")</f>
        <v>MetaCat</v>
      </c>
    </row>
    <row r="7340">
      <c r="A7340" s="3" t="str">
        <f>IFERROR(__xludf.DUMMYFUNCTION("""COMPUTED_VALUE"""),"meta-cat")</f>
        <v>meta-cat</v>
      </c>
      <c r="B7340" s="3" t="str">
        <f>IFERROR(__xludf.DUMMYFUNCTION("""COMPUTED_VALUE"""),"mcat")</f>
        <v>mcat</v>
      </c>
      <c r="C7340" s="3" t="str">
        <f>IFERROR(__xludf.DUMMYFUNCTION("""COMPUTED_VALUE"""),"Meta Cat")</f>
        <v>Meta Cat</v>
      </c>
    </row>
    <row r="7341">
      <c r="A7341" s="3" t="str">
        <f>IFERROR(__xludf.DUMMYFUNCTION("""COMPUTED_VALUE"""),"metacelo")</f>
        <v>metacelo</v>
      </c>
      <c r="B7341" s="3" t="str">
        <f>IFERROR(__xludf.DUMMYFUNCTION("""COMPUTED_VALUE"""),"cmeta")</f>
        <v>cmeta</v>
      </c>
      <c r="C7341" s="3" t="str">
        <f>IFERROR(__xludf.DUMMYFUNCTION("""COMPUTED_VALUE"""),"MetaCelo")</f>
        <v>MetaCelo</v>
      </c>
    </row>
    <row r="7342">
      <c r="A7342" s="3" t="str">
        <f>IFERROR(__xludf.DUMMYFUNCTION("""COMPUTED_VALUE"""),"meta-cloth")</f>
        <v>meta-cloth</v>
      </c>
      <c r="B7342" s="3" t="str">
        <f>IFERROR(__xludf.DUMMYFUNCTION("""COMPUTED_VALUE"""),"meta cloth")</f>
        <v>meta cloth</v>
      </c>
      <c r="C7342" s="3" t="str">
        <f>IFERROR(__xludf.DUMMYFUNCTION("""COMPUTED_VALUE"""),"Meta Cloth")</f>
        <v>Meta Cloth</v>
      </c>
    </row>
    <row r="7343">
      <c r="A7343" s="3" t="str">
        <f>IFERROR(__xludf.DUMMYFUNCTION("""COMPUTED_VALUE"""),"metacoin")</f>
        <v>metacoin</v>
      </c>
      <c r="B7343" s="3" t="str">
        <f>IFERROR(__xludf.DUMMYFUNCTION("""COMPUTED_VALUE"""),"mtc")</f>
        <v>mtc</v>
      </c>
      <c r="C7343" s="3" t="str">
        <f>IFERROR(__xludf.DUMMYFUNCTION("""COMPUTED_VALUE"""),"Metacoin")</f>
        <v>Metacoin</v>
      </c>
    </row>
    <row r="7344">
      <c r="A7344" s="3" t="str">
        <f>IFERROR(__xludf.DUMMYFUNCTION("""COMPUTED_VALUE"""),"metacontinental")</f>
        <v>metacontinental</v>
      </c>
      <c r="B7344" s="3" t="str">
        <f>IFERROR(__xludf.DUMMYFUNCTION("""COMPUTED_VALUE"""),"con")</f>
        <v>con</v>
      </c>
      <c r="C7344" s="3" t="str">
        <f>IFERROR(__xludf.DUMMYFUNCTION("""COMPUTED_VALUE"""),"MetaContinental")</f>
        <v>MetaContinental</v>
      </c>
    </row>
    <row r="7345">
      <c r="A7345" s="3" t="str">
        <f>IFERROR(__xludf.DUMMYFUNCTION("""COMPUTED_VALUE"""),"meta-course")</f>
        <v>meta-course</v>
      </c>
      <c r="B7345" s="3" t="str">
        <f>IFERROR(__xludf.DUMMYFUNCTION("""COMPUTED_VALUE"""),"course")</f>
        <v>course</v>
      </c>
      <c r="C7345" s="3" t="str">
        <f>IFERROR(__xludf.DUMMYFUNCTION("""COMPUTED_VALUE"""),"Meta Course")</f>
        <v>Meta Course</v>
      </c>
    </row>
    <row r="7346">
      <c r="A7346" s="3" t="str">
        <f>IFERROR(__xludf.DUMMYFUNCTION("""COMPUTED_VALUE"""),"metacraft")</f>
        <v>metacraft</v>
      </c>
      <c r="B7346" s="3" t="str">
        <f>IFERROR(__xludf.DUMMYFUNCTION("""COMPUTED_VALUE"""),"mct")</f>
        <v>mct</v>
      </c>
      <c r="C7346" s="3" t="str">
        <f>IFERROR(__xludf.DUMMYFUNCTION("""COMPUTED_VALUE"""),"Metacraft")</f>
        <v>Metacraft</v>
      </c>
    </row>
    <row r="7347">
      <c r="A7347" s="3" t="str">
        <f>IFERROR(__xludf.DUMMYFUNCTION("""COMPUTED_VALUE"""),"metacraft-mineral")</f>
        <v>metacraft-mineral</v>
      </c>
      <c r="B7347" s="3" t="str">
        <f>IFERROR(__xludf.DUMMYFUNCTION("""COMPUTED_VALUE"""),"memi")</f>
        <v>memi</v>
      </c>
      <c r="C7347" s="3" t="str">
        <f>IFERROR(__xludf.DUMMYFUNCTION("""COMPUTED_VALUE"""),"Metacraft Mineral")</f>
        <v>Metacraft Mineral</v>
      </c>
    </row>
    <row r="7348">
      <c r="A7348" s="3" t="str">
        <f>IFERROR(__xludf.DUMMYFUNCTION("""COMPUTED_VALUE"""),"metaderby")</f>
        <v>metaderby</v>
      </c>
      <c r="B7348" s="3" t="str">
        <f>IFERROR(__xludf.DUMMYFUNCTION("""COMPUTED_VALUE"""),"dby")</f>
        <v>dby</v>
      </c>
      <c r="C7348" s="3" t="str">
        <f>IFERROR(__xludf.DUMMYFUNCTION("""COMPUTED_VALUE"""),"Metaderby")</f>
        <v>Metaderby</v>
      </c>
    </row>
    <row r="7349">
      <c r="A7349" s="3" t="str">
        <f>IFERROR(__xludf.DUMMYFUNCTION("""COMPUTED_VALUE"""),"metaderby-hoof")</f>
        <v>metaderby-hoof</v>
      </c>
      <c r="B7349" s="3" t="str">
        <f>IFERROR(__xludf.DUMMYFUNCTION("""COMPUTED_VALUE"""),"hoof")</f>
        <v>hoof</v>
      </c>
      <c r="C7349" s="3" t="str">
        <f>IFERROR(__xludf.DUMMYFUNCTION("""COMPUTED_VALUE"""),"Metaderby Hoof")</f>
        <v>Metaderby Hoof</v>
      </c>
    </row>
    <row r="7350">
      <c r="A7350" s="3" t="str">
        <f>IFERROR(__xludf.DUMMYFUNCTION("""COMPUTED_VALUE"""),"metadium")</f>
        <v>metadium</v>
      </c>
      <c r="B7350" s="3" t="str">
        <f>IFERROR(__xludf.DUMMYFUNCTION("""COMPUTED_VALUE"""),"meta")</f>
        <v>meta</v>
      </c>
      <c r="C7350" s="3" t="str">
        <f>IFERROR(__xludf.DUMMYFUNCTION("""COMPUTED_VALUE"""),"Metadium")</f>
        <v>Metadium</v>
      </c>
    </row>
    <row r="7351">
      <c r="A7351" s="3" t="str">
        <f>IFERROR(__xludf.DUMMYFUNCTION("""COMPUTED_VALUE"""),"metadoctor")</f>
        <v>metadoctor</v>
      </c>
      <c r="B7351" s="3" t="str">
        <f>IFERROR(__xludf.DUMMYFUNCTION("""COMPUTED_VALUE"""),"medoc")</f>
        <v>medoc</v>
      </c>
      <c r="C7351" s="3" t="str">
        <f>IFERROR(__xludf.DUMMYFUNCTION("""COMPUTED_VALUE"""),"MetaDoctor")</f>
        <v>MetaDoctor</v>
      </c>
    </row>
    <row r="7352">
      <c r="A7352" s="3" t="str">
        <f>IFERROR(__xludf.DUMMYFUNCTION("""COMPUTED_VALUE"""),"meta-doge")</f>
        <v>meta-doge</v>
      </c>
      <c r="B7352" s="3" t="str">
        <f>IFERROR(__xludf.DUMMYFUNCTION("""COMPUTED_VALUE"""),"metadoge")</f>
        <v>metadoge</v>
      </c>
      <c r="C7352" s="3" t="str">
        <f>IFERROR(__xludf.DUMMYFUNCTION("""COMPUTED_VALUE"""),"Meta Doge")</f>
        <v>Meta Doge</v>
      </c>
    </row>
    <row r="7353">
      <c r="A7353" s="3" t="str">
        <f>IFERROR(__xludf.DUMMYFUNCTION("""COMPUTED_VALUE"""),"metadoge-v2")</f>
        <v>metadoge-v2</v>
      </c>
      <c r="B7353" s="3" t="str">
        <f>IFERROR(__xludf.DUMMYFUNCTION("""COMPUTED_VALUE"""),"metadogev2")</f>
        <v>metadogev2</v>
      </c>
      <c r="C7353" s="3" t="str">
        <f>IFERROR(__xludf.DUMMYFUNCTION("""COMPUTED_VALUE"""),"MetaDoge V2")</f>
        <v>MetaDoge V2</v>
      </c>
    </row>
    <row r="7354">
      <c r="A7354" s="3" t="str">
        <f>IFERROR(__xludf.DUMMYFUNCTION("""COMPUTED_VALUE"""),"metadrace")</f>
        <v>metadrace</v>
      </c>
      <c r="B7354" s="3" t="str">
        <f>IFERROR(__xludf.DUMMYFUNCTION("""COMPUTED_VALUE"""),"drace")</f>
        <v>drace</v>
      </c>
      <c r="C7354" s="3" t="str">
        <f>IFERROR(__xludf.DUMMYFUNCTION("""COMPUTED_VALUE"""),"MetaDrace")</f>
        <v>MetaDrace</v>
      </c>
    </row>
    <row r="7355">
      <c r="A7355" s="3" t="str">
        <f>IFERROR(__xludf.DUMMYFUNCTION("""COMPUTED_VALUE"""),"meta-dragon-city")</f>
        <v>meta-dragon-city</v>
      </c>
      <c r="B7355" s="3" t="str">
        <f>IFERROR(__xludf.DUMMYFUNCTION("""COMPUTED_VALUE"""),"dragon")</f>
        <v>dragon</v>
      </c>
      <c r="C7355" s="3" t="str">
        <f>IFERROR(__xludf.DUMMYFUNCTION("""COMPUTED_VALUE"""),"Meta Dragon City")</f>
        <v>Meta Dragon City</v>
      </c>
    </row>
    <row r="7356">
      <c r="A7356" s="3" t="str">
        <f>IFERROR(__xludf.DUMMYFUNCTION("""COMPUTED_VALUE"""),"metadubai")</f>
        <v>metadubai</v>
      </c>
      <c r="B7356" s="3" t="str">
        <f>IFERROR(__xludf.DUMMYFUNCTION("""COMPUTED_VALUE"""),"mdb")</f>
        <v>mdb</v>
      </c>
      <c r="C7356" s="3" t="str">
        <f>IFERROR(__xludf.DUMMYFUNCTION("""COMPUTED_VALUE"""),"MetaDubai")</f>
        <v>MetaDubai</v>
      </c>
    </row>
    <row r="7357">
      <c r="A7357" s="3" t="str">
        <f>IFERROR(__xludf.DUMMYFUNCTION("""COMPUTED_VALUE"""),"metaegg-defi")</f>
        <v>metaegg-defi</v>
      </c>
      <c r="B7357" s="3" t="str">
        <f>IFERROR(__xludf.DUMMYFUNCTION("""COMPUTED_VALUE"""),"megg")</f>
        <v>megg</v>
      </c>
      <c r="C7357" s="3" t="str">
        <f>IFERROR(__xludf.DUMMYFUNCTION("""COMPUTED_VALUE"""),"Metaegg DeFi")</f>
        <v>Metaegg DeFi</v>
      </c>
    </row>
    <row r="7358">
      <c r="A7358" s="3" t="str">
        <f>IFERROR(__xludf.DUMMYFUNCTION("""COMPUTED_VALUE"""),"metaelfland-token")</f>
        <v>metaelfland-token</v>
      </c>
      <c r="B7358" s="3" t="str">
        <f>IFERROR(__xludf.DUMMYFUNCTION("""COMPUTED_VALUE"""),"melt")</f>
        <v>melt</v>
      </c>
      <c r="C7358" s="3" t="str">
        <f>IFERROR(__xludf.DUMMYFUNCTION("""COMPUTED_VALUE"""),"MetaElfLand Token")</f>
        <v>MetaElfLand Token</v>
      </c>
    </row>
    <row r="7359">
      <c r="A7359" s="3" t="str">
        <f>IFERROR(__xludf.DUMMYFUNCTION("""COMPUTED_VALUE"""),"metaf1")</f>
        <v>metaf1</v>
      </c>
      <c r="B7359" s="3" t="str">
        <f>IFERROR(__xludf.DUMMYFUNCTION("""COMPUTED_VALUE"""),"f1t")</f>
        <v>f1t</v>
      </c>
      <c r="C7359" s="3" t="str">
        <f>IFERROR(__xludf.DUMMYFUNCTION("""COMPUTED_VALUE"""),"MetaF1")</f>
        <v>MetaF1</v>
      </c>
    </row>
    <row r="7360">
      <c r="A7360" s="3" t="str">
        <f>IFERROR(__xludf.DUMMYFUNCTION("""COMPUTED_VALUE"""),"metafabric")</f>
        <v>metafabric</v>
      </c>
      <c r="B7360" s="3" t="str">
        <f>IFERROR(__xludf.DUMMYFUNCTION("""COMPUTED_VALUE"""),"fabric")</f>
        <v>fabric</v>
      </c>
      <c r="C7360" s="3" t="str">
        <f>IFERROR(__xludf.DUMMYFUNCTION("""COMPUTED_VALUE"""),"MetaFabric")</f>
        <v>MetaFabric</v>
      </c>
    </row>
    <row r="7361">
      <c r="A7361" s="3" t="str">
        <f>IFERROR(__xludf.DUMMYFUNCTION("""COMPUTED_VALUE"""),"meta-farmer-finance")</f>
        <v>meta-farmer-finance</v>
      </c>
      <c r="B7361" s="3" t="str">
        <f>IFERROR(__xludf.DUMMYFUNCTION("""COMPUTED_VALUE"""),"mff")</f>
        <v>mff</v>
      </c>
      <c r="C7361" s="3" t="str">
        <f>IFERROR(__xludf.DUMMYFUNCTION("""COMPUTED_VALUE"""),"Meta Farmer Finance")</f>
        <v>Meta Farmer Finance</v>
      </c>
    </row>
    <row r="7362">
      <c r="A7362" s="3" t="str">
        <f>IFERROR(__xludf.DUMMYFUNCTION("""COMPUTED_VALUE"""),"metaficial-world")</f>
        <v>metaficial-world</v>
      </c>
      <c r="B7362" s="3" t="str">
        <f>IFERROR(__xludf.DUMMYFUNCTION("""COMPUTED_VALUE"""),"mw")</f>
        <v>mw</v>
      </c>
      <c r="C7362" s="3" t="str">
        <f>IFERROR(__xludf.DUMMYFUNCTION("""COMPUTED_VALUE"""),"Metaficial World")</f>
        <v>Metaficial World</v>
      </c>
    </row>
    <row r="7363">
      <c r="A7363" s="3" t="str">
        <f>IFERROR(__xludf.DUMMYFUNCTION("""COMPUTED_VALUE"""),"metafighter")</f>
        <v>metafighter</v>
      </c>
      <c r="B7363" s="3" t="str">
        <f>IFERROR(__xludf.DUMMYFUNCTION("""COMPUTED_VALUE"""),"mf")</f>
        <v>mf</v>
      </c>
      <c r="C7363" s="3" t="str">
        <f>IFERROR(__xludf.DUMMYFUNCTION("""COMPUTED_VALUE"""),"MetaFighter")</f>
        <v>MetaFighter</v>
      </c>
    </row>
    <row r="7364">
      <c r="A7364" s="3" t="str">
        <f>IFERROR(__xludf.DUMMYFUNCTION("""COMPUTED_VALUE"""),"metafinance")</f>
        <v>metafinance</v>
      </c>
      <c r="B7364" s="3" t="str">
        <f>IFERROR(__xludf.DUMMYFUNCTION("""COMPUTED_VALUE"""),"mfi")</f>
        <v>mfi</v>
      </c>
      <c r="C7364" s="3" t="str">
        <f>IFERROR(__xludf.DUMMYFUNCTION("""COMPUTED_VALUE"""),"MetaFinance")</f>
        <v>MetaFinance</v>
      </c>
    </row>
    <row r="7365">
      <c r="A7365" s="3" t="str">
        <f>IFERROR(__xludf.DUMMYFUNCTION("""COMPUTED_VALUE"""),"meta_finance")</f>
        <v>meta_finance</v>
      </c>
      <c r="B7365" s="3" t="str">
        <f>IFERROR(__xludf.DUMMYFUNCTION("""COMPUTED_VALUE"""),"mf1")</f>
        <v>mf1</v>
      </c>
      <c r="C7365" s="3" t="str">
        <f>IFERROR(__xludf.DUMMYFUNCTION("""COMPUTED_VALUE"""),"Meta Finance")</f>
        <v>Meta Finance</v>
      </c>
    </row>
    <row r="7366">
      <c r="A7366" s="3" t="str">
        <f>IFERROR(__xludf.DUMMYFUNCTION("""COMPUTED_VALUE"""),"metafish")</f>
        <v>metafish</v>
      </c>
      <c r="B7366" s="3" t="str">
        <f>IFERROR(__xludf.DUMMYFUNCTION("""COMPUTED_VALUE"""),"fish")</f>
        <v>fish</v>
      </c>
      <c r="C7366" s="3" t="str">
        <f>IFERROR(__xludf.DUMMYFUNCTION("""COMPUTED_VALUE"""),"Metafish")</f>
        <v>Metafish</v>
      </c>
    </row>
    <row r="7367">
      <c r="A7367" s="3" t="str">
        <f>IFERROR(__xludf.DUMMYFUNCTION("""COMPUTED_VALUE"""),"metafishing")</f>
        <v>metafishing</v>
      </c>
      <c r="B7367" s="3" t="str">
        <f>IFERROR(__xludf.DUMMYFUNCTION("""COMPUTED_VALUE"""),"dgc")</f>
        <v>dgc</v>
      </c>
      <c r="C7367" s="3" t="str">
        <f>IFERROR(__xludf.DUMMYFUNCTION("""COMPUTED_VALUE"""),"MetaFishing")</f>
        <v>MetaFishing</v>
      </c>
    </row>
    <row r="7368">
      <c r="A7368" s="3" t="str">
        <f>IFERROR(__xludf.DUMMYFUNCTION("""COMPUTED_VALUE"""),"metaflip")</f>
        <v>metaflip</v>
      </c>
      <c r="B7368" s="3" t="str">
        <f>IFERROR(__xludf.DUMMYFUNCTION("""COMPUTED_VALUE"""),"metaflip")</f>
        <v>metaflip</v>
      </c>
      <c r="C7368" s="3" t="str">
        <f>IFERROR(__xludf.DUMMYFUNCTION("""COMPUTED_VALUE"""),"MetaFlip")</f>
        <v>MetaFlip</v>
      </c>
    </row>
    <row r="7369">
      <c r="A7369" s="3" t="str">
        <f>IFERROR(__xludf.DUMMYFUNCTION("""COMPUTED_VALUE"""),"meta-floki")</f>
        <v>meta-floki</v>
      </c>
      <c r="B7369" s="3" t="str">
        <f>IFERROR(__xludf.DUMMYFUNCTION("""COMPUTED_VALUE"""),"mfloki")</f>
        <v>mfloki</v>
      </c>
      <c r="C7369" s="3" t="str">
        <f>IFERROR(__xludf.DUMMYFUNCTION("""COMPUTED_VALUE"""),"Meta Floki")</f>
        <v>Meta Floki</v>
      </c>
    </row>
    <row r="7370">
      <c r="A7370" s="3" t="str">
        <f>IFERROR(__xludf.DUMMYFUNCTION("""COMPUTED_VALUE"""),"metafluence")</f>
        <v>metafluence</v>
      </c>
      <c r="B7370" s="3" t="str">
        <f>IFERROR(__xludf.DUMMYFUNCTION("""COMPUTED_VALUE"""),"meto")</f>
        <v>meto</v>
      </c>
      <c r="C7370" s="3" t="str">
        <f>IFERROR(__xludf.DUMMYFUNCTION("""COMPUTED_VALUE"""),"Metafluence")</f>
        <v>Metafluence</v>
      </c>
    </row>
    <row r="7371">
      <c r="A7371" s="3" t="str">
        <f>IFERROR(__xludf.DUMMYFUNCTION("""COMPUTED_VALUE"""),"metafootball")</f>
        <v>metafootball</v>
      </c>
      <c r="B7371" s="3" t="str">
        <f>IFERROR(__xludf.DUMMYFUNCTION("""COMPUTED_VALUE"""),"mtf")</f>
        <v>mtf</v>
      </c>
      <c r="C7371" s="3" t="str">
        <f>IFERROR(__xludf.DUMMYFUNCTION("""COMPUTED_VALUE"""),"MetaFootball")</f>
        <v>MetaFootball</v>
      </c>
    </row>
    <row r="7372">
      <c r="A7372" s="3" t="str">
        <f>IFERROR(__xludf.DUMMYFUNCTION("""COMPUTED_VALUE"""),"metafooty")</f>
        <v>metafooty</v>
      </c>
      <c r="B7372" s="3" t="str">
        <f>IFERROR(__xludf.DUMMYFUNCTION("""COMPUTED_VALUE"""),"mfy")</f>
        <v>mfy</v>
      </c>
      <c r="C7372" s="3" t="str">
        <f>IFERROR(__xludf.DUMMYFUNCTION("""COMPUTED_VALUE"""),"MetaFooty")</f>
        <v>MetaFooty</v>
      </c>
    </row>
    <row r="7373">
      <c r="A7373" s="3" t="str">
        <f>IFERROR(__xludf.DUMMYFUNCTION("""COMPUTED_VALUE"""),"metagalaxy-land")</f>
        <v>metagalaxy-land</v>
      </c>
      <c r="B7373" s="3" t="str">
        <f>IFERROR(__xludf.DUMMYFUNCTION("""COMPUTED_VALUE"""),"megaland")</f>
        <v>megaland</v>
      </c>
      <c r="C7373" s="3" t="str">
        <f>IFERROR(__xludf.DUMMYFUNCTION("""COMPUTED_VALUE"""),"Metagalaxy Land")</f>
        <v>Metagalaxy Land</v>
      </c>
    </row>
    <row r="7374">
      <c r="A7374" s="3" t="str">
        <f>IFERROR(__xludf.DUMMYFUNCTION("""COMPUTED_VALUE"""),"metagame")</f>
        <v>metagame</v>
      </c>
      <c r="B7374" s="3" t="str">
        <f>IFERROR(__xludf.DUMMYFUNCTION("""COMPUTED_VALUE"""),"seed")</f>
        <v>seed</v>
      </c>
      <c r="C7374" s="3" t="str">
        <f>IFERROR(__xludf.DUMMYFUNCTION("""COMPUTED_VALUE"""),"MetaGame")</f>
        <v>MetaGame</v>
      </c>
    </row>
    <row r="7375">
      <c r="A7375" s="3" t="str">
        <f>IFERROR(__xludf.DUMMYFUNCTION("""COMPUTED_VALUE"""),"metagame-arena")</f>
        <v>metagame-arena</v>
      </c>
      <c r="B7375" s="3" t="str">
        <f>IFERROR(__xludf.DUMMYFUNCTION("""COMPUTED_VALUE"""),"mga")</f>
        <v>mga</v>
      </c>
      <c r="C7375" s="3" t="str">
        <f>IFERROR(__xludf.DUMMYFUNCTION("""COMPUTED_VALUE"""),"Metagame Arena")</f>
        <v>Metagame Arena</v>
      </c>
    </row>
    <row r="7376">
      <c r="A7376" s="3" t="str">
        <f>IFERROR(__xludf.DUMMYFUNCTION("""COMPUTED_VALUE"""),"metagamehub-dao")</f>
        <v>metagamehub-dao</v>
      </c>
      <c r="B7376" s="3" t="str">
        <f>IFERROR(__xludf.DUMMYFUNCTION("""COMPUTED_VALUE"""),"mgh")</f>
        <v>mgh</v>
      </c>
      <c r="C7376" s="3" t="str">
        <f>IFERROR(__xludf.DUMMYFUNCTION("""COMPUTED_VALUE"""),"MetaGameHub DAO")</f>
        <v>MetaGameHub DAO</v>
      </c>
    </row>
    <row r="7377">
      <c r="A7377" s="3" t="str">
        <f>IFERROR(__xludf.DUMMYFUNCTION("""COMPUTED_VALUE"""),"metagamespace")</f>
        <v>metagamespace</v>
      </c>
      <c r="B7377" s="3" t="str">
        <f>IFERROR(__xludf.DUMMYFUNCTION("""COMPUTED_VALUE"""),"metags")</f>
        <v>metags</v>
      </c>
      <c r="C7377" s="3" t="str">
        <f>IFERROR(__xludf.DUMMYFUNCTION("""COMPUTED_VALUE"""),"MetaGameSpace")</f>
        <v>MetaGameSpace</v>
      </c>
    </row>
    <row r="7378">
      <c r="A7378" s="3" t="str">
        <f>IFERROR(__xludf.DUMMYFUNCTION("""COMPUTED_VALUE"""),"metagaming-guild")</f>
        <v>metagaming-guild</v>
      </c>
      <c r="B7378" s="3" t="str">
        <f>IFERROR(__xludf.DUMMYFUNCTION("""COMPUTED_VALUE"""),"mgg")</f>
        <v>mgg</v>
      </c>
      <c r="C7378" s="3" t="str">
        <f>IFERROR(__xludf.DUMMYFUNCTION("""COMPUTED_VALUE"""),"MetaGaming Guild")</f>
        <v>MetaGaming Guild</v>
      </c>
    </row>
    <row r="7379">
      <c r="A7379" s="3" t="str">
        <f>IFERROR(__xludf.DUMMYFUNCTION("""COMPUTED_VALUE"""),"metagamz")</f>
        <v>metagamz</v>
      </c>
      <c r="B7379" s="3" t="str">
        <f>IFERROR(__xludf.DUMMYFUNCTION("""COMPUTED_VALUE"""),"metag")</f>
        <v>metag</v>
      </c>
      <c r="C7379" s="3" t="str">
        <f>IFERROR(__xludf.DUMMYFUNCTION("""COMPUTED_VALUE"""),"MetagamZ")</f>
        <v>MetagamZ</v>
      </c>
    </row>
    <row r="7380">
      <c r="A7380" s="3" t="str">
        <f>IFERROR(__xludf.DUMMYFUNCTION("""COMPUTED_VALUE"""),"metagear")</f>
        <v>metagear</v>
      </c>
      <c r="B7380" s="3" t="str">
        <f>IFERROR(__xludf.DUMMYFUNCTION("""COMPUTED_VALUE"""),"gear")</f>
        <v>gear</v>
      </c>
      <c r="C7380" s="3" t="str">
        <f>IFERROR(__xludf.DUMMYFUNCTION("""COMPUTED_VALUE"""),"MetaGear")</f>
        <v>MetaGear</v>
      </c>
    </row>
    <row r="7381">
      <c r="A7381" s="3" t="str">
        <f>IFERROR(__xludf.DUMMYFUNCTION("""COMPUTED_VALUE"""),"metagin")</f>
        <v>metagin</v>
      </c>
      <c r="B7381" s="3" t="str">
        <f>IFERROR(__xludf.DUMMYFUNCTION("""COMPUTED_VALUE"""),"metagin")</f>
        <v>metagin</v>
      </c>
      <c r="C7381" s="3" t="str">
        <f>IFERROR(__xludf.DUMMYFUNCTION("""COMPUTED_VALUE"""),"MetaGin")</f>
        <v>MetaGin</v>
      </c>
    </row>
    <row r="7382">
      <c r="A7382" s="3" t="str">
        <f>IFERROR(__xludf.DUMMYFUNCTION("""COMPUTED_VALUE"""),"metagochi")</f>
        <v>metagochi</v>
      </c>
      <c r="B7382" s="3" t="str">
        <f>IFERROR(__xludf.DUMMYFUNCTION("""COMPUTED_VALUE"""),"mgchi")</f>
        <v>mgchi</v>
      </c>
      <c r="C7382" s="3" t="str">
        <f>IFERROR(__xludf.DUMMYFUNCTION("""COMPUTED_VALUE"""),"Metagochi")</f>
        <v>Metagochi</v>
      </c>
    </row>
    <row r="7383">
      <c r="A7383" s="3" t="str">
        <f>IFERROR(__xludf.DUMMYFUNCTION("""COMPUTED_VALUE"""),"metagods")</f>
        <v>metagods</v>
      </c>
      <c r="B7383" s="3" t="str">
        <f>IFERROR(__xludf.DUMMYFUNCTION("""COMPUTED_VALUE"""),"mgod")</f>
        <v>mgod</v>
      </c>
      <c r="C7383" s="3" t="str">
        <f>IFERROR(__xludf.DUMMYFUNCTION("""COMPUTED_VALUE"""),"MetaGods")</f>
        <v>MetaGods</v>
      </c>
    </row>
    <row r="7384">
      <c r="A7384" s="3" t="str">
        <f>IFERROR(__xludf.DUMMYFUNCTION("""COMPUTED_VALUE"""),"metagon")</f>
        <v>metagon</v>
      </c>
      <c r="B7384" s="3" t="str">
        <f>IFERROR(__xludf.DUMMYFUNCTION("""COMPUTED_VALUE"""),"metagon")</f>
        <v>metagon</v>
      </c>
      <c r="C7384" s="3" t="str">
        <f>IFERROR(__xludf.DUMMYFUNCTION("""COMPUTED_VALUE"""),"Metagon")</f>
        <v>Metagon</v>
      </c>
    </row>
    <row r="7385">
      <c r="A7385" s="3" t="str">
        <f>IFERROR(__xludf.DUMMYFUNCTION("""COMPUTED_VALUE"""),"metagox")</f>
        <v>metagox</v>
      </c>
      <c r="B7385" s="3" t="str">
        <f>IFERROR(__xludf.DUMMYFUNCTION("""COMPUTED_VALUE"""),"mtx")</f>
        <v>mtx</v>
      </c>
      <c r="C7385" s="3" t="str">
        <f>IFERROR(__xludf.DUMMYFUNCTION("""COMPUTED_VALUE"""),"Metagox")</f>
        <v>Metagox</v>
      </c>
    </row>
    <row r="7386">
      <c r="A7386" s="3" t="str">
        <f>IFERROR(__xludf.DUMMYFUNCTION("""COMPUTED_VALUE"""),"meta-grow")</f>
        <v>meta-grow</v>
      </c>
      <c r="B7386" s="3" t="str">
        <f>IFERROR(__xludf.DUMMYFUNCTION("""COMPUTED_VALUE"""),"meta")</f>
        <v>meta</v>
      </c>
      <c r="C7386" s="3" t="str">
        <f>IFERROR(__xludf.DUMMYFUNCTION("""COMPUTED_VALUE"""),"META GROW")</f>
        <v>META GROW</v>
      </c>
    </row>
    <row r="7387">
      <c r="A7387" s="3" t="str">
        <f>IFERROR(__xludf.DUMMYFUNCTION("""COMPUTED_VALUE"""),"metahamster")</f>
        <v>metahamster</v>
      </c>
      <c r="B7387" s="3" t="str">
        <f>IFERROR(__xludf.DUMMYFUNCTION("""COMPUTED_VALUE"""),"mham")</f>
        <v>mham</v>
      </c>
      <c r="C7387" s="3" t="str">
        <f>IFERROR(__xludf.DUMMYFUNCTION("""COMPUTED_VALUE"""),"Metahamster")</f>
        <v>Metahamster</v>
      </c>
    </row>
    <row r="7388">
      <c r="A7388" s="3" t="str">
        <f>IFERROR(__xludf.DUMMYFUNCTION("""COMPUTED_VALUE"""),"metahash")</f>
        <v>metahash</v>
      </c>
      <c r="B7388" s="3" t="str">
        <f>IFERROR(__xludf.DUMMYFUNCTION("""COMPUTED_VALUE"""),"mhc")</f>
        <v>mhc</v>
      </c>
      <c r="C7388" s="3" t="str">
        <f>IFERROR(__xludf.DUMMYFUNCTION("""COMPUTED_VALUE"""),"#MetaHash")</f>
        <v>#MetaHash</v>
      </c>
    </row>
    <row r="7389">
      <c r="A7389" s="3" t="str">
        <f>IFERROR(__xludf.DUMMYFUNCTION("""COMPUTED_VALUE"""),"metahero")</f>
        <v>metahero</v>
      </c>
      <c r="B7389" s="3" t="str">
        <f>IFERROR(__xludf.DUMMYFUNCTION("""COMPUTED_VALUE"""),"hero")</f>
        <v>hero</v>
      </c>
      <c r="C7389" s="3" t="str">
        <f>IFERROR(__xludf.DUMMYFUNCTION("""COMPUTED_VALUE"""),"Metahero")</f>
        <v>Metahero</v>
      </c>
    </row>
    <row r="7390">
      <c r="A7390" s="3" t="str">
        <f>IFERROR(__xludf.DUMMYFUNCTION("""COMPUTED_VALUE"""),"metahome")</f>
        <v>metahome</v>
      </c>
      <c r="B7390" s="3" t="str">
        <f>IFERROR(__xludf.DUMMYFUNCTION("""COMPUTED_VALUE"""),"metahome")</f>
        <v>metahome</v>
      </c>
      <c r="C7390" s="3" t="str">
        <f>IFERROR(__xludf.DUMMYFUNCTION("""COMPUTED_VALUE"""),"MetaHome")</f>
        <v>MetaHome</v>
      </c>
    </row>
    <row r="7391">
      <c r="A7391" s="3" t="str">
        <f>IFERROR(__xludf.DUMMYFUNCTION("""COMPUTED_VALUE"""),"meta-house")</f>
        <v>meta-house</v>
      </c>
      <c r="B7391" s="3" t="str">
        <f>IFERROR(__xludf.DUMMYFUNCTION("""COMPUTED_VALUE"""),"meta house")</f>
        <v>meta house</v>
      </c>
      <c r="C7391" s="3" t="str">
        <f>IFERROR(__xludf.DUMMYFUNCTION("""COMPUTED_VALUE"""),"Meta House")</f>
        <v>Meta House</v>
      </c>
    </row>
    <row r="7392">
      <c r="A7392" s="3" t="str">
        <f>IFERROR(__xludf.DUMMYFUNCTION("""COMPUTED_VALUE"""),"meta-inu-token")</f>
        <v>meta-inu-token</v>
      </c>
      <c r="B7392" s="3" t="str">
        <f>IFERROR(__xludf.DUMMYFUNCTION("""COMPUTED_VALUE"""),"meta")</f>
        <v>meta</v>
      </c>
      <c r="C7392" s="3" t="str">
        <f>IFERROR(__xludf.DUMMYFUNCTION("""COMPUTED_VALUE"""),"Meta Inu Token")</f>
        <v>Meta Inu Token</v>
      </c>
    </row>
    <row r="7393">
      <c r="A7393" s="3" t="str">
        <f>IFERROR(__xludf.DUMMYFUNCTION("""COMPUTED_VALUE"""),"meta-islands")</f>
        <v>meta-islands</v>
      </c>
      <c r="B7393" s="3" t="str">
        <f>IFERROR(__xludf.DUMMYFUNCTION("""COMPUTED_VALUE"""),"igo")</f>
        <v>igo</v>
      </c>
      <c r="C7393" s="3" t="str">
        <f>IFERROR(__xludf.DUMMYFUNCTION("""COMPUTED_VALUE"""),"Meta Islands")</f>
        <v>Meta Islands</v>
      </c>
    </row>
    <row r="7394">
      <c r="A7394" s="3" t="str">
        <f>IFERROR(__xludf.DUMMYFUNCTION("""COMPUTED_VALUE"""),"metakeeper")</f>
        <v>metakeeper</v>
      </c>
      <c r="B7394" s="3" t="str">
        <f>IFERROR(__xludf.DUMMYFUNCTION("""COMPUTED_VALUE"""),"mkp")</f>
        <v>mkp</v>
      </c>
      <c r="C7394" s="3" t="str">
        <f>IFERROR(__xludf.DUMMYFUNCTION("""COMPUTED_VALUE"""),"MetaKeeper")</f>
        <v>MetaKeeper</v>
      </c>
    </row>
    <row r="7395">
      <c r="A7395" s="3" t="str">
        <f>IFERROR(__xludf.DUMMYFUNCTION("""COMPUTED_VALUE"""),"metakings")</f>
        <v>metakings</v>
      </c>
      <c r="B7395" s="3" t="str">
        <f>IFERROR(__xludf.DUMMYFUNCTION("""COMPUTED_VALUE"""),"mtk")</f>
        <v>mtk</v>
      </c>
      <c r="C7395" s="3" t="str">
        <f>IFERROR(__xludf.DUMMYFUNCTION("""COMPUTED_VALUE"""),"Metakings")</f>
        <v>Metakings</v>
      </c>
    </row>
    <row r="7396">
      <c r="A7396" s="3" t="str">
        <f>IFERROR(__xludf.DUMMYFUNCTION("""COMPUTED_VALUE"""),"metakombat")</f>
        <v>metakombat</v>
      </c>
      <c r="B7396" s="3" t="str">
        <f>IFERROR(__xludf.DUMMYFUNCTION("""COMPUTED_VALUE"""),"kombat")</f>
        <v>kombat</v>
      </c>
      <c r="C7396" s="3" t="str">
        <f>IFERROR(__xludf.DUMMYFUNCTION("""COMPUTED_VALUE"""),"MetaKombat")</f>
        <v>MetaKombat</v>
      </c>
    </row>
    <row r="7397">
      <c r="A7397" s="3" t="str">
        <f>IFERROR(__xludf.DUMMYFUNCTION("""COMPUTED_VALUE"""),"meta-kongz")</f>
        <v>meta-kongz</v>
      </c>
      <c r="B7397" s="3" t="str">
        <f>IFERROR(__xludf.DUMMYFUNCTION("""COMPUTED_VALUE"""),"mkc")</f>
        <v>mkc</v>
      </c>
      <c r="C7397" s="3" t="str">
        <f>IFERROR(__xludf.DUMMYFUNCTION("""COMPUTED_VALUE"""),"Meta Kongz")</f>
        <v>Meta Kongz</v>
      </c>
    </row>
    <row r="7398">
      <c r="A7398" s="3" t="str">
        <f>IFERROR(__xludf.DUMMYFUNCTION("""COMPUTED_VALUE"""),"metal")</f>
        <v>metal</v>
      </c>
      <c r="B7398" s="3" t="str">
        <f>IFERROR(__xludf.DUMMYFUNCTION("""COMPUTED_VALUE"""),"mtl")</f>
        <v>mtl</v>
      </c>
      <c r="C7398" s="3" t="str">
        <f>IFERROR(__xludf.DUMMYFUNCTION("""COMPUTED_VALUE"""),"Metal DAO")</f>
        <v>Metal DAO</v>
      </c>
    </row>
    <row r="7399">
      <c r="A7399" s="3" t="str">
        <f>IFERROR(__xludf.DUMMYFUNCTION("""COMPUTED_VALUE"""),"metalama")</f>
        <v>metalama</v>
      </c>
      <c r="B7399" s="3" t="str">
        <f>IFERROR(__xludf.DUMMYFUNCTION("""COMPUTED_VALUE"""),"lama")</f>
        <v>lama</v>
      </c>
      <c r="C7399" s="3" t="str">
        <f>IFERROR(__xludf.DUMMYFUNCTION("""COMPUTED_VALUE"""),"MetaLama")</f>
        <v>MetaLama</v>
      </c>
    </row>
    <row r="7400">
      <c r="A7400" s="3" t="str">
        <f>IFERROR(__xludf.DUMMYFUNCTION("""COMPUTED_VALUE"""),"metaland-dao")</f>
        <v>metaland-dao</v>
      </c>
      <c r="B7400" s="3" t="str">
        <f>IFERROR(__xludf.DUMMYFUNCTION("""COMPUTED_VALUE"""),"meta")</f>
        <v>meta</v>
      </c>
      <c r="C7400" s="3" t="str">
        <f>IFERROR(__xludf.DUMMYFUNCTION("""COMPUTED_VALUE"""),"Metaland DAO")</f>
        <v>Metaland DAO</v>
      </c>
    </row>
    <row r="7401">
      <c r="A7401" s="3" t="str">
        <f>IFERROR(__xludf.DUMMYFUNCTION("""COMPUTED_VALUE"""),"metaland-gameverse")</f>
        <v>metaland-gameverse</v>
      </c>
      <c r="B7401" s="3" t="str">
        <f>IFERROR(__xludf.DUMMYFUNCTION("""COMPUTED_VALUE"""),"mst")</f>
        <v>mst</v>
      </c>
      <c r="C7401" s="3" t="str">
        <f>IFERROR(__xludf.DUMMYFUNCTION("""COMPUTED_VALUE"""),"Monster")</f>
        <v>Monster</v>
      </c>
    </row>
    <row r="7402">
      <c r="A7402" s="3" t="str">
        <f>IFERROR(__xludf.DUMMYFUNCTION("""COMPUTED_VALUE"""),"metalandmap")</f>
        <v>metalandmap</v>
      </c>
      <c r="B7402" s="3" t="str">
        <f>IFERROR(__xludf.DUMMYFUNCTION("""COMPUTED_VALUE"""),"mland")</f>
        <v>mland</v>
      </c>
      <c r="C7402" s="3" t="str">
        <f>IFERROR(__xludf.DUMMYFUNCTION("""COMPUTED_VALUE"""),"MetaLandmap")</f>
        <v>MetaLandmap</v>
      </c>
    </row>
    <row r="7403">
      <c r="A7403" s="3" t="str">
        <f>IFERROR(__xludf.DUMMYFUNCTION("""COMPUTED_VALUE"""),"metalandz")</f>
        <v>metalandz</v>
      </c>
      <c r="B7403" s="3" t="str">
        <f>IFERROR(__xludf.DUMMYFUNCTION("""COMPUTED_VALUE"""),"$metaz")</f>
        <v>$metaz</v>
      </c>
      <c r="C7403" s="3" t="str">
        <f>IFERROR(__xludf.DUMMYFUNCTION("""COMPUTED_VALUE"""),"MetaLandz")</f>
        <v>MetaLandz</v>
      </c>
    </row>
    <row r="7404">
      <c r="A7404" s="3" t="str">
        <f>IFERROR(__xludf.DUMMYFUNCTION("""COMPUTED_VALUE"""),"metalaunchpad")</f>
        <v>metalaunchpad</v>
      </c>
      <c r="B7404" s="3" t="str">
        <f>IFERROR(__xludf.DUMMYFUNCTION("""COMPUTED_VALUE"""),"mlp")</f>
        <v>mlp</v>
      </c>
      <c r="C7404" s="3" t="str">
        <f>IFERROR(__xludf.DUMMYFUNCTION("""COMPUTED_VALUE"""),"MetaLaunchPad")</f>
        <v>MetaLaunchPad</v>
      </c>
    </row>
    <row r="7405">
      <c r="A7405" s="3" t="str">
        <f>IFERROR(__xludf.DUMMYFUNCTION("""COMPUTED_VALUE"""),"metal-backed-money")</f>
        <v>metal-backed-money</v>
      </c>
      <c r="B7405" s="3" t="str">
        <f>IFERROR(__xludf.DUMMYFUNCTION("""COMPUTED_VALUE"""),"mbmx")</f>
        <v>mbmx</v>
      </c>
      <c r="C7405" s="3" t="str">
        <f>IFERROR(__xludf.DUMMYFUNCTION("""COMPUTED_VALUE"""),"Metal Backed Money")</f>
        <v>Metal Backed Money</v>
      </c>
    </row>
    <row r="7406">
      <c r="A7406" s="3" t="str">
        <f>IFERROR(__xludf.DUMMYFUNCTION("""COMPUTED_VALUE"""),"metal-blockchain")</f>
        <v>metal-blockchain</v>
      </c>
      <c r="B7406" s="3" t="str">
        <f>IFERROR(__xludf.DUMMYFUNCTION("""COMPUTED_VALUE"""),"metal")</f>
        <v>metal</v>
      </c>
      <c r="C7406" s="3" t="str">
        <f>IFERROR(__xludf.DUMMYFUNCTION("""COMPUTED_VALUE"""),"Metal Blockchain")</f>
        <v>Metal Blockchain</v>
      </c>
    </row>
    <row r="7407">
      <c r="A7407" s="3" t="str">
        <f>IFERROR(__xludf.DUMMYFUNCTION("""COMPUTED_VALUE"""),"metalk")</f>
        <v>metalk</v>
      </c>
      <c r="B7407" s="3" t="str">
        <f>IFERROR(__xludf.DUMMYFUNCTION("""COMPUTED_VALUE"""),"meta")</f>
        <v>meta</v>
      </c>
      <c r="C7407" s="3" t="str">
        <f>IFERROR(__xludf.DUMMYFUNCTION("""COMPUTED_VALUE"""),"Metalk")</f>
        <v>Metalk</v>
      </c>
    </row>
    <row r="7408">
      <c r="A7408" s="3" t="str">
        <f>IFERROR(__xludf.DUMMYFUNCTION("""COMPUTED_VALUE"""),"metal-music-coin")</f>
        <v>metal-music-coin</v>
      </c>
      <c r="B7408" s="3" t="str">
        <f>IFERROR(__xludf.DUMMYFUNCTION("""COMPUTED_VALUE"""),"mtlmc3")</f>
        <v>mtlmc3</v>
      </c>
      <c r="C7408" s="3" t="str">
        <f>IFERROR(__xludf.DUMMYFUNCTION("""COMPUTED_VALUE"""),"Metal Music Coin")</f>
        <v>Metal Music Coin</v>
      </c>
    </row>
    <row r="7409">
      <c r="A7409" s="3" t="str">
        <f>IFERROR(__xludf.DUMMYFUNCTION("""COMPUTED_VALUE"""),"metaloop-tech")</f>
        <v>metaloop-tech</v>
      </c>
      <c r="B7409" s="3" t="str">
        <f>IFERROR(__xludf.DUMMYFUNCTION("""COMPUTED_VALUE"""),"mlt")</f>
        <v>mlt</v>
      </c>
      <c r="C7409" s="3" t="str">
        <f>IFERROR(__xludf.DUMMYFUNCTION("""COMPUTED_VALUE"""),"Metaloop Tech")</f>
        <v>Metaloop Tech</v>
      </c>
    </row>
    <row r="7410">
      <c r="A7410" s="3" t="str">
        <f>IFERROR(__xludf.DUMMYFUNCTION("""COMPUTED_VALUE"""),"metalswap")</f>
        <v>metalswap</v>
      </c>
      <c r="B7410" s="3" t="str">
        <f>IFERROR(__xludf.DUMMYFUNCTION("""COMPUTED_VALUE"""),"xmt")</f>
        <v>xmt</v>
      </c>
      <c r="C7410" s="3" t="str">
        <f>IFERROR(__xludf.DUMMYFUNCTION("""COMPUTED_VALUE"""),"MetalSwap")</f>
        <v>MetalSwap</v>
      </c>
    </row>
    <row r="7411">
      <c r="A7411" s="3" t="str">
        <f>IFERROR(__xludf.DUMMYFUNCTION("""COMPUTED_VALUE"""),"metamall")</f>
        <v>metamall</v>
      </c>
      <c r="B7411" s="3" t="str">
        <f>IFERROR(__xludf.DUMMYFUNCTION("""COMPUTED_VALUE"""),"mall")</f>
        <v>mall</v>
      </c>
      <c r="C7411" s="3" t="str">
        <f>IFERROR(__xludf.DUMMYFUNCTION("""COMPUTED_VALUE"""),"MetaMall")</f>
        <v>MetaMall</v>
      </c>
    </row>
    <row r="7412">
      <c r="A7412" s="3" t="str">
        <f>IFERROR(__xludf.DUMMYFUNCTION("""COMPUTED_VALUE"""),"metamars")</f>
        <v>metamars</v>
      </c>
      <c r="B7412" s="3" t="str">
        <f>IFERROR(__xludf.DUMMYFUNCTION("""COMPUTED_VALUE"""),"metam")</f>
        <v>metam</v>
      </c>
      <c r="C7412" s="3" t="str">
        <f>IFERROR(__xludf.DUMMYFUNCTION("""COMPUTED_VALUE"""),"MetaMars")</f>
        <v>MetaMars</v>
      </c>
    </row>
    <row r="7413">
      <c r="A7413" s="3" t="str">
        <f>IFERROR(__xludf.DUMMYFUNCTION("""COMPUTED_VALUE"""),"metamate")</f>
        <v>metamate</v>
      </c>
      <c r="B7413" s="3" t="str">
        <f>IFERROR(__xludf.DUMMYFUNCTION("""COMPUTED_VALUE"""),"mtm")</f>
        <v>mtm</v>
      </c>
      <c r="C7413" s="3" t="str">
        <f>IFERROR(__xludf.DUMMYFUNCTION("""COMPUTED_VALUE"""),"MetaMate")</f>
        <v>MetaMate</v>
      </c>
    </row>
    <row r="7414">
      <c r="A7414" s="3" t="str">
        <f>IFERROR(__xludf.DUMMYFUNCTION("""COMPUTED_VALUE"""),"metamerce")</f>
        <v>metamerce</v>
      </c>
      <c r="B7414" s="3" t="str">
        <f>IFERROR(__xludf.DUMMYFUNCTION("""COMPUTED_VALUE"""),"merce")</f>
        <v>merce</v>
      </c>
      <c r="C7414" s="3" t="str">
        <f>IFERROR(__xludf.DUMMYFUNCTION("""COMPUTED_VALUE"""),"MetaMerce")</f>
        <v>MetaMerce</v>
      </c>
    </row>
    <row r="7415">
      <c r="A7415" s="3" t="str">
        <f>IFERROR(__xludf.DUMMYFUNCTION("""COMPUTED_VALUE"""),"metamerce-token")</f>
        <v>metamerce-token</v>
      </c>
      <c r="B7415" s="3" t="str">
        <f>IFERROR(__xludf.DUMMYFUNCTION("""COMPUTED_VALUE"""),"mmtkn")</f>
        <v>mmtkn</v>
      </c>
      <c r="C7415" s="3" t="str">
        <f>IFERROR(__xludf.DUMMYFUNCTION("""COMPUTED_VALUE"""),"MetaMerce Token")</f>
        <v>MetaMerce Token</v>
      </c>
    </row>
    <row r="7416">
      <c r="A7416" s="3" t="str">
        <f>IFERROR(__xludf.DUMMYFUNCTION("""COMPUTED_VALUE"""),"meta-miner")</f>
        <v>meta-miner</v>
      </c>
      <c r="B7416" s="3" t="str">
        <f>IFERROR(__xludf.DUMMYFUNCTION("""COMPUTED_VALUE"""),"miner")</f>
        <v>miner</v>
      </c>
      <c r="C7416" s="3" t="str">
        <f>IFERROR(__xludf.DUMMYFUNCTION("""COMPUTED_VALUE"""),"Meta Miner")</f>
        <v>Meta Miner</v>
      </c>
    </row>
    <row r="7417">
      <c r="A7417" s="3" t="str">
        <f>IFERROR(__xludf.DUMMYFUNCTION("""COMPUTED_VALUE"""),"metamonkeyai")</f>
        <v>metamonkeyai</v>
      </c>
      <c r="B7417" s="3" t="str">
        <f>IFERROR(__xludf.DUMMYFUNCTION("""COMPUTED_VALUE"""),"mmai")</f>
        <v>mmai</v>
      </c>
      <c r="C7417" s="3" t="str">
        <f>IFERROR(__xludf.DUMMYFUNCTION("""COMPUTED_VALUE"""),"MetamonkeyAi")</f>
        <v>MetamonkeyAi</v>
      </c>
    </row>
    <row r="7418">
      <c r="A7418" s="3" t="str">
        <f>IFERROR(__xludf.DUMMYFUNCTION("""COMPUTED_VALUE"""),"metamoon")</f>
        <v>metamoon</v>
      </c>
      <c r="B7418" s="3" t="str">
        <f>IFERROR(__xludf.DUMMYFUNCTION("""COMPUTED_VALUE"""),"metamoon")</f>
        <v>metamoon</v>
      </c>
      <c r="C7418" s="3" t="str">
        <f>IFERROR(__xludf.DUMMYFUNCTION("""COMPUTED_VALUE"""),"MetaMoon")</f>
        <v>MetaMoon</v>
      </c>
    </row>
    <row r="7419">
      <c r="A7419" s="3" t="str">
        <f>IFERROR(__xludf.DUMMYFUNCTION("""COMPUTED_VALUE"""),"metamorph")</f>
        <v>metamorph</v>
      </c>
      <c r="B7419" s="3" t="str">
        <f>IFERROR(__xludf.DUMMYFUNCTION("""COMPUTED_VALUE"""),"metm")</f>
        <v>metm</v>
      </c>
      <c r="C7419" s="3" t="str">
        <f>IFERROR(__xludf.DUMMYFUNCTION("""COMPUTED_VALUE"""),"MetaMorph")</f>
        <v>MetaMorph</v>
      </c>
    </row>
    <row r="7420">
      <c r="A7420" s="3" t="str">
        <f>IFERROR(__xludf.DUMMYFUNCTION("""COMPUTED_VALUE"""),"metamounts")</f>
        <v>metamounts</v>
      </c>
      <c r="B7420" s="3" t="str">
        <f>IFERROR(__xludf.DUMMYFUNCTION("""COMPUTED_VALUE"""),"mount")</f>
        <v>mount</v>
      </c>
      <c r="C7420" s="3" t="str">
        <f>IFERROR(__xludf.DUMMYFUNCTION("""COMPUTED_VALUE"""),"MetaMounts")</f>
        <v>MetaMounts</v>
      </c>
    </row>
    <row r="7421">
      <c r="A7421" s="3" t="str">
        <f>IFERROR(__xludf.DUMMYFUNCTION("""COMPUTED_VALUE"""),"metamui")</f>
        <v>metamui</v>
      </c>
      <c r="B7421" s="3" t="str">
        <f>IFERROR(__xludf.DUMMYFUNCTION("""COMPUTED_VALUE"""),"mmui")</f>
        <v>mmui</v>
      </c>
      <c r="C7421" s="3" t="str">
        <f>IFERROR(__xludf.DUMMYFUNCTION("""COMPUTED_VALUE"""),"MetaMUI")</f>
        <v>MetaMUI</v>
      </c>
    </row>
    <row r="7422">
      <c r="A7422" s="3" t="str">
        <f>IFERROR(__xludf.DUMMYFUNCTION("""COMPUTED_VALUE"""),"meta-musk")</f>
        <v>meta-musk</v>
      </c>
      <c r="B7422" s="3" t="str">
        <f>IFERROR(__xludf.DUMMYFUNCTION("""COMPUTED_VALUE"""),"meta")</f>
        <v>meta</v>
      </c>
      <c r="C7422" s="3" t="str">
        <f>IFERROR(__xludf.DUMMYFUNCTION("""COMPUTED_VALUE"""),"Meta Musk")</f>
        <v>Meta Musk</v>
      </c>
    </row>
    <row r="7423">
      <c r="A7423" s="3" t="str">
        <f>IFERROR(__xludf.DUMMYFUNCTION("""COMPUTED_VALUE"""),"meta-mvrs")</f>
        <v>meta-mvrs</v>
      </c>
      <c r="B7423" s="3" t="str">
        <f>IFERROR(__xludf.DUMMYFUNCTION("""COMPUTED_VALUE"""),"mvrs")</f>
        <v>mvrs</v>
      </c>
      <c r="C7423" s="3" t="str">
        <f>IFERROR(__xludf.DUMMYFUNCTION("""COMPUTED_VALUE"""),"Meta MVRS")</f>
        <v>Meta MVRS</v>
      </c>
    </row>
    <row r="7424">
      <c r="A7424" s="3" t="str">
        <f>IFERROR(__xludf.DUMMYFUNCTION("""COMPUTED_VALUE"""),"meta-nebulas-ionz")</f>
        <v>meta-nebulas-ionz</v>
      </c>
      <c r="B7424" s="3" t="str">
        <f>IFERROR(__xludf.DUMMYFUNCTION("""COMPUTED_VALUE"""),"ionz")</f>
        <v>ionz</v>
      </c>
      <c r="C7424" s="3" t="str">
        <f>IFERROR(__xludf.DUMMYFUNCTION("""COMPUTED_VALUE"""),"IONZ")</f>
        <v>IONZ</v>
      </c>
    </row>
    <row r="7425">
      <c r="A7425" s="3" t="str">
        <f>IFERROR(__xludf.DUMMYFUNCTION("""COMPUTED_VALUE"""),"metanept")</f>
        <v>metanept</v>
      </c>
      <c r="B7425" s="3" t="str">
        <f>IFERROR(__xludf.DUMMYFUNCTION("""COMPUTED_VALUE"""),"nept")</f>
        <v>nept</v>
      </c>
      <c r="C7425" s="3" t="str">
        <f>IFERROR(__xludf.DUMMYFUNCTION("""COMPUTED_VALUE"""),"Metanept")</f>
        <v>Metanept</v>
      </c>
    </row>
    <row r="7426">
      <c r="A7426" s="3" t="str">
        <f>IFERROR(__xludf.DUMMYFUNCTION("""COMPUTED_VALUE"""),"metan-evolutions")</f>
        <v>metan-evolutions</v>
      </c>
      <c r="B7426" s="3" t="str">
        <f>IFERROR(__xludf.DUMMYFUNCTION("""COMPUTED_VALUE"""),"metan")</f>
        <v>metan</v>
      </c>
      <c r="C7426" s="3" t="str">
        <f>IFERROR(__xludf.DUMMYFUNCTION("""COMPUTED_VALUE"""),"Metan Evolutions")</f>
        <v>Metan Evolutions</v>
      </c>
    </row>
    <row r="7427">
      <c r="A7427" s="3" t="str">
        <f>IFERROR(__xludf.DUMMYFUNCTION("""COMPUTED_VALUE"""),"metaniagames")</f>
        <v>metaniagames</v>
      </c>
      <c r="B7427" s="3" t="str">
        <f>IFERROR(__xludf.DUMMYFUNCTION("""COMPUTED_VALUE"""),"metania")</f>
        <v>metania</v>
      </c>
      <c r="C7427" s="3" t="str">
        <f>IFERROR(__xludf.DUMMYFUNCTION("""COMPUTED_VALUE"""),"MetaniaGames")</f>
        <v>MetaniaGames</v>
      </c>
    </row>
    <row r="7428">
      <c r="A7428" s="3" t="str">
        <f>IFERROR(__xludf.DUMMYFUNCTION("""COMPUTED_VALUE"""),"metano")</f>
        <v>metano</v>
      </c>
      <c r="B7428" s="3" t="str">
        <f>IFERROR(__xludf.DUMMYFUNCTION("""COMPUTED_VALUE"""),"metano")</f>
        <v>metano</v>
      </c>
      <c r="C7428" s="3" t="str">
        <f>IFERROR(__xludf.DUMMYFUNCTION("""COMPUTED_VALUE"""),"Metano")</f>
        <v>Metano</v>
      </c>
    </row>
    <row r="7429">
      <c r="A7429" s="3" t="str">
        <f>IFERROR(__xludf.DUMMYFUNCTION("""COMPUTED_VALUE"""),"metanyx")</f>
        <v>metanyx</v>
      </c>
      <c r="B7429" s="3" t="str">
        <f>IFERROR(__xludf.DUMMYFUNCTION("""COMPUTED_VALUE"""),"metx")</f>
        <v>metx</v>
      </c>
      <c r="C7429" s="3" t="str">
        <f>IFERROR(__xludf.DUMMYFUNCTION("""COMPUTED_VALUE"""),"Metanyx")</f>
        <v>Metanyx</v>
      </c>
    </row>
    <row r="7430">
      <c r="A7430" s="3" t="str">
        <f>IFERROR(__xludf.DUMMYFUNCTION("""COMPUTED_VALUE"""),"metaoceancity")</f>
        <v>metaoceancity</v>
      </c>
      <c r="B7430" s="3" t="str">
        <f>IFERROR(__xludf.DUMMYFUNCTION("""COMPUTED_VALUE"""),"moc")</f>
        <v>moc</v>
      </c>
      <c r="C7430" s="3" t="str">
        <f>IFERROR(__xludf.DUMMYFUNCTION("""COMPUTED_VALUE"""),"MetaOceanCity")</f>
        <v>MetaOceanCity</v>
      </c>
    </row>
    <row r="7431">
      <c r="A7431" s="3" t="str">
        <f>IFERROR(__xludf.DUMMYFUNCTION("""COMPUTED_VALUE"""),"metaoctagon")</f>
        <v>metaoctagon</v>
      </c>
      <c r="B7431" s="3" t="str">
        <f>IFERROR(__xludf.DUMMYFUNCTION("""COMPUTED_VALUE"""),"motg")</f>
        <v>motg</v>
      </c>
      <c r="C7431" s="3" t="str">
        <f>IFERROR(__xludf.DUMMYFUNCTION("""COMPUTED_VALUE"""),"MetaOctagon")</f>
        <v>MetaOctagon</v>
      </c>
    </row>
    <row r="7432">
      <c r="A7432" s="3" t="str">
        <f>IFERROR(__xludf.DUMMYFUNCTION("""COMPUTED_VALUE"""),"metaoneverse")</f>
        <v>metaoneverse</v>
      </c>
      <c r="B7432" s="3" t="str">
        <f>IFERROR(__xludf.DUMMYFUNCTION("""COMPUTED_VALUE"""),"m1verse")</f>
        <v>m1verse</v>
      </c>
      <c r="C7432" s="3" t="str">
        <f>IFERROR(__xludf.DUMMYFUNCTION("""COMPUTED_VALUE"""),"MetaOneVerse")</f>
        <v>MetaOneVerse</v>
      </c>
    </row>
    <row r="7433">
      <c r="A7433" s="3" t="str">
        <f>IFERROR(__xludf.DUMMYFUNCTION("""COMPUTED_VALUE"""),"metapad")</f>
        <v>metapad</v>
      </c>
      <c r="B7433" s="3" t="str">
        <f>IFERROR(__xludf.DUMMYFUNCTION("""COMPUTED_VALUE"""),"mpd")</f>
        <v>mpd</v>
      </c>
      <c r="C7433" s="3" t="str">
        <f>IFERROR(__xludf.DUMMYFUNCTION("""COMPUTED_VALUE"""),"Metapad")</f>
        <v>Metapad</v>
      </c>
    </row>
    <row r="7434">
      <c r="A7434" s="3" t="str">
        <f>IFERROR(__xludf.DUMMYFUNCTION("""COMPUTED_VALUE"""),"metapets")</f>
        <v>metapets</v>
      </c>
      <c r="B7434" s="3" t="str">
        <f>IFERROR(__xludf.DUMMYFUNCTION("""COMPUTED_VALUE"""),"metapets")</f>
        <v>metapets</v>
      </c>
      <c r="C7434" s="3" t="str">
        <f>IFERROR(__xludf.DUMMYFUNCTION("""COMPUTED_VALUE"""),"MetaPets")</f>
        <v>MetaPets</v>
      </c>
    </row>
    <row r="7435">
      <c r="A7435" s="3" t="str">
        <f>IFERROR(__xludf.DUMMYFUNCTION("""COMPUTED_VALUE"""),"metaplace")</f>
        <v>metaplace</v>
      </c>
      <c r="B7435" s="3" t="str">
        <f>IFERROR(__xludf.DUMMYFUNCTION("""COMPUTED_VALUE"""),"mpc")</f>
        <v>mpc</v>
      </c>
      <c r="C7435" s="3" t="str">
        <f>IFERROR(__xludf.DUMMYFUNCTION("""COMPUTED_VALUE"""),"Metaplace")</f>
        <v>Metaplace</v>
      </c>
    </row>
    <row r="7436">
      <c r="A7436" s="3" t="str">
        <f>IFERROR(__xludf.DUMMYFUNCTION("""COMPUTED_VALUE"""),"metaplanet")</f>
        <v>metaplanet</v>
      </c>
      <c r="B7436" s="3" t="str">
        <f>IFERROR(__xludf.DUMMYFUNCTION("""COMPUTED_VALUE"""),"mpl")</f>
        <v>mpl</v>
      </c>
      <c r="C7436" s="3" t="str">
        <f>IFERROR(__xludf.DUMMYFUNCTION("""COMPUTED_VALUE"""),"MetaPlanet")</f>
        <v>MetaPlanet</v>
      </c>
    </row>
    <row r="7437">
      <c r="A7437" s="3" t="str">
        <f>IFERROR(__xludf.DUMMYFUNCTION("""COMPUTED_VALUE"""),"metaplayers-gg")</f>
        <v>metaplayers-gg</v>
      </c>
      <c r="B7437" s="3" t="str">
        <f>IFERROR(__xludf.DUMMYFUNCTION("""COMPUTED_VALUE"""),"fps")</f>
        <v>fps</v>
      </c>
      <c r="C7437" s="4" t="str">
        <f>IFERROR(__xludf.DUMMYFUNCTION("""COMPUTED_VALUE"""),"MetaPlayers.gg")</f>
        <v>MetaPlayers.gg</v>
      </c>
    </row>
    <row r="7438">
      <c r="A7438" s="3" t="str">
        <f>IFERROR(__xludf.DUMMYFUNCTION("""COMPUTED_VALUE"""),"metaple-finance")</f>
        <v>metaple-finance</v>
      </c>
      <c r="B7438" s="3" t="str">
        <f>IFERROR(__xludf.DUMMYFUNCTION("""COMPUTED_VALUE"""),"mlx")</f>
        <v>mlx</v>
      </c>
      <c r="C7438" s="3" t="str">
        <f>IFERROR(__xludf.DUMMYFUNCTION("""COMPUTED_VALUE"""),"Metaple Finance")</f>
        <v>Metaple Finance</v>
      </c>
    </row>
    <row r="7439">
      <c r="A7439" s="3" t="str">
        <f>IFERROR(__xludf.DUMMYFUNCTION("""COMPUTED_VALUE"""),"metaplex")</f>
        <v>metaplex</v>
      </c>
      <c r="B7439" s="3" t="str">
        <f>IFERROR(__xludf.DUMMYFUNCTION("""COMPUTED_VALUE"""),"mplx")</f>
        <v>mplx</v>
      </c>
      <c r="C7439" s="3" t="str">
        <f>IFERROR(__xludf.DUMMYFUNCTION("""COMPUTED_VALUE"""),"Metaplex")</f>
        <v>Metaplex</v>
      </c>
    </row>
    <row r="7440">
      <c r="A7440" s="3" t="str">
        <f>IFERROR(__xludf.DUMMYFUNCTION("""COMPUTED_VALUE"""),"meta-pool")</f>
        <v>meta-pool</v>
      </c>
      <c r="B7440" s="3" t="str">
        <f>IFERROR(__xludf.DUMMYFUNCTION("""COMPUTED_VALUE"""),"meta")</f>
        <v>meta</v>
      </c>
      <c r="C7440" s="3" t="str">
        <f>IFERROR(__xludf.DUMMYFUNCTION("""COMPUTED_VALUE"""),"Meta Pool")</f>
        <v>Meta Pool</v>
      </c>
    </row>
    <row r="7441">
      <c r="A7441" s="3" t="str">
        <f>IFERROR(__xludf.DUMMYFUNCTION("""COMPUTED_VALUE"""),"metaportal-gaming-index")</f>
        <v>metaportal-gaming-index</v>
      </c>
      <c r="B7441" s="3" t="str">
        <f>IFERROR(__xludf.DUMMYFUNCTION("""COMPUTED_VALUE"""),"game")</f>
        <v>game</v>
      </c>
      <c r="C7441" s="3" t="str">
        <f>IFERROR(__xludf.DUMMYFUNCTION("""COMPUTED_VALUE"""),"MetaPortal Gaming Index")</f>
        <v>MetaPortal Gaming Index</v>
      </c>
    </row>
    <row r="7442">
      <c r="A7442" s="3" t="str">
        <f>IFERROR(__xludf.DUMMYFUNCTION("""COMPUTED_VALUE"""),"metapplay")</f>
        <v>metapplay</v>
      </c>
      <c r="B7442" s="3" t="str">
        <f>IFERROR(__xludf.DUMMYFUNCTION("""COMPUTED_VALUE"""),"metap")</f>
        <v>metap</v>
      </c>
      <c r="C7442" s="3" t="str">
        <f>IFERROR(__xludf.DUMMYFUNCTION("""COMPUTED_VALUE"""),"MetapPlay")</f>
        <v>MetapPlay</v>
      </c>
    </row>
    <row r="7443">
      <c r="A7443" s="3" t="str">
        <f>IFERROR(__xludf.DUMMYFUNCTION("""COMPUTED_VALUE"""),"meta-protocol")</f>
        <v>meta-protocol</v>
      </c>
      <c r="B7443" s="3" t="str">
        <f>IFERROR(__xludf.DUMMYFUNCTION("""COMPUTED_VALUE"""),"mpc")</f>
        <v>mpc</v>
      </c>
      <c r="C7443" s="3" t="str">
        <f>IFERROR(__xludf.DUMMYFUNCTION("""COMPUTED_VALUE"""),"META PROTOCOL")</f>
        <v>META PROTOCOL</v>
      </c>
    </row>
    <row r="7444">
      <c r="A7444" s="3" t="str">
        <f>IFERROR(__xludf.DUMMYFUNCTION("""COMPUTED_VALUE"""),"metaq")</f>
        <v>metaq</v>
      </c>
      <c r="B7444" s="3" t="str">
        <f>IFERROR(__xludf.DUMMYFUNCTION("""COMPUTED_VALUE"""),"metaq")</f>
        <v>metaq</v>
      </c>
      <c r="C7444" s="3" t="str">
        <f>IFERROR(__xludf.DUMMYFUNCTION("""COMPUTED_VALUE"""),"MetaQ")</f>
        <v>MetaQ</v>
      </c>
    </row>
    <row r="7445">
      <c r="A7445" s="3" t="str">
        <f>IFERROR(__xludf.DUMMYFUNCTION("""COMPUTED_VALUE"""),"metaraca")</f>
        <v>metaraca</v>
      </c>
      <c r="B7445" s="3" t="str">
        <f>IFERROR(__xludf.DUMMYFUNCTION("""COMPUTED_VALUE"""),"metar")</f>
        <v>metar</v>
      </c>
      <c r="C7445" s="3" t="str">
        <f>IFERROR(__xludf.DUMMYFUNCTION("""COMPUTED_VALUE"""),"MetaRaca")</f>
        <v>MetaRaca</v>
      </c>
    </row>
    <row r="7446">
      <c r="A7446" s="3" t="str">
        <f>IFERROR(__xludf.DUMMYFUNCTION("""COMPUTED_VALUE"""),"metaracers")</f>
        <v>metaracers</v>
      </c>
      <c r="B7446" s="3" t="str">
        <f>IFERROR(__xludf.DUMMYFUNCTION("""COMPUTED_VALUE"""),"mrs")</f>
        <v>mrs</v>
      </c>
      <c r="C7446" s="3" t="str">
        <f>IFERROR(__xludf.DUMMYFUNCTION("""COMPUTED_VALUE"""),"MetaRacers")</f>
        <v>MetaRacers</v>
      </c>
    </row>
    <row r="7447">
      <c r="A7447" s="3" t="str">
        <f>IFERROR(__xludf.DUMMYFUNCTION("""COMPUTED_VALUE"""),"metarare")</f>
        <v>metarare</v>
      </c>
      <c r="B7447" s="3" t="str">
        <f>IFERROR(__xludf.DUMMYFUNCTION("""COMPUTED_VALUE"""),"mtra")</f>
        <v>mtra</v>
      </c>
      <c r="C7447" s="3" t="str">
        <f>IFERROR(__xludf.DUMMYFUNCTION("""COMPUTED_VALUE"""),"MetaRare")</f>
        <v>MetaRare</v>
      </c>
    </row>
    <row r="7448">
      <c r="A7448" s="3" t="str">
        <f>IFERROR(__xludf.DUMMYFUNCTION("""COMPUTED_VALUE"""),"metarealm")</f>
        <v>metarealm</v>
      </c>
      <c r="B7448" s="3" t="str">
        <f>IFERROR(__xludf.DUMMYFUNCTION("""COMPUTED_VALUE"""),"mrlm")</f>
        <v>mrlm</v>
      </c>
      <c r="C7448" s="3" t="str">
        <f>IFERROR(__xludf.DUMMYFUNCTION("""COMPUTED_VALUE"""),"MetaRealm")</f>
        <v>MetaRealm</v>
      </c>
    </row>
    <row r="7449">
      <c r="A7449" s="3" t="str">
        <f>IFERROR(__xludf.DUMMYFUNCTION("""COMPUTED_VALUE"""),"metareset")</f>
        <v>metareset</v>
      </c>
      <c r="B7449" s="3" t="str">
        <f>IFERROR(__xludf.DUMMYFUNCTION("""COMPUTED_VALUE"""),"reset")</f>
        <v>reset</v>
      </c>
      <c r="C7449" s="3" t="str">
        <f>IFERROR(__xludf.DUMMYFUNCTION("""COMPUTED_VALUE"""),"MetaReset")</f>
        <v>MetaReset</v>
      </c>
    </row>
    <row r="7450">
      <c r="A7450" s="3" t="str">
        <f>IFERROR(__xludf.DUMMYFUNCTION("""COMPUTED_VALUE"""),"metarim")</f>
        <v>metarim</v>
      </c>
      <c r="B7450" s="3" t="str">
        <f>IFERROR(__xludf.DUMMYFUNCTION("""COMPUTED_VALUE"""),"rim")</f>
        <v>rim</v>
      </c>
      <c r="C7450" s="3" t="str">
        <f>IFERROR(__xludf.DUMMYFUNCTION("""COMPUTED_VALUE"""),"MetaRim")</f>
        <v>MetaRim</v>
      </c>
    </row>
    <row r="7451">
      <c r="A7451" s="3" t="str">
        <f>IFERROR(__xludf.DUMMYFUNCTION("""COMPUTED_VALUE"""),"metarix")</f>
        <v>metarix</v>
      </c>
      <c r="B7451" s="3" t="str">
        <f>IFERROR(__xludf.DUMMYFUNCTION("""COMPUTED_VALUE"""),"mtrx")</f>
        <v>mtrx</v>
      </c>
      <c r="C7451" s="3" t="str">
        <f>IFERROR(__xludf.DUMMYFUNCTION("""COMPUTED_VALUE"""),"Metarix")</f>
        <v>Metarix</v>
      </c>
    </row>
    <row r="7452">
      <c r="A7452" s="3" t="str">
        <f>IFERROR(__xludf.DUMMYFUNCTION("""COMPUTED_VALUE"""),"metaroid-nft")</f>
        <v>metaroid-nft</v>
      </c>
      <c r="B7452" s="3" t="str">
        <f>IFERROR(__xludf.DUMMYFUNCTION("""COMPUTED_VALUE"""),"metaroid")</f>
        <v>metaroid</v>
      </c>
      <c r="C7452" s="3" t="str">
        <f>IFERROR(__xludf.DUMMYFUNCTION("""COMPUTED_VALUE"""),"Metaroid NFT")</f>
        <v>Metaroid NFT</v>
      </c>
    </row>
    <row r="7453">
      <c r="A7453" s="3" t="str">
        <f>IFERROR(__xludf.DUMMYFUNCTION("""COMPUTED_VALUE"""),"metars")</f>
        <v>metars</v>
      </c>
      <c r="B7453" s="3" t="str">
        <f>IFERROR(__xludf.DUMMYFUNCTION("""COMPUTED_VALUE"""),"mtsc")</f>
        <v>mtsc</v>
      </c>
      <c r="C7453" s="3" t="str">
        <f>IFERROR(__xludf.DUMMYFUNCTION("""COMPUTED_VALUE"""),"Metars")</f>
        <v>Metars</v>
      </c>
    </row>
    <row r="7454">
      <c r="A7454" s="3" t="str">
        <f>IFERROR(__xludf.DUMMYFUNCTION("""COMPUTED_VALUE"""),"metars-genesis")</f>
        <v>metars-genesis</v>
      </c>
      <c r="B7454" s="3" t="str">
        <f>IFERROR(__xludf.DUMMYFUNCTION("""COMPUTED_VALUE"""),"mrs")</f>
        <v>mrs</v>
      </c>
      <c r="C7454" s="3" t="str">
        <f>IFERROR(__xludf.DUMMYFUNCTION("""COMPUTED_VALUE"""),"Metars Genesis")</f>
        <v>Metars Genesis</v>
      </c>
    </row>
    <row r="7455">
      <c r="A7455" s="3" t="str">
        <f>IFERROR(__xludf.DUMMYFUNCTION("""COMPUTED_VALUE"""),"meta-ruffy")</f>
        <v>meta-ruffy</v>
      </c>
      <c r="B7455" s="3" t="str">
        <f>IFERROR(__xludf.DUMMYFUNCTION("""COMPUTED_VALUE"""),"mr")</f>
        <v>mr</v>
      </c>
      <c r="C7455" s="3" t="str">
        <f>IFERROR(__xludf.DUMMYFUNCTION("""COMPUTED_VALUE"""),"Meta Ruffy")</f>
        <v>Meta Ruffy</v>
      </c>
    </row>
    <row r="7456">
      <c r="A7456" s="3" t="str">
        <f>IFERROR(__xludf.DUMMYFUNCTION("""COMPUTED_VALUE"""),"meta-ruffy-old")</f>
        <v>meta-ruffy-old</v>
      </c>
      <c r="B7456" s="3" t="str">
        <f>IFERROR(__xludf.DUMMYFUNCTION("""COMPUTED_VALUE"""),"mr")</f>
        <v>mr</v>
      </c>
      <c r="C7456" s="3" t="str">
        <f>IFERROR(__xludf.DUMMYFUNCTION("""COMPUTED_VALUE"""),"Meta Ruffy [OLD]")</f>
        <v>Meta Ruffy [OLD]</v>
      </c>
    </row>
    <row r="7457">
      <c r="A7457" s="3" t="str">
        <f>IFERROR(__xludf.DUMMYFUNCTION("""COMPUTED_VALUE"""),"metarun")</f>
        <v>metarun</v>
      </c>
      <c r="B7457" s="3" t="str">
        <f>IFERROR(__xludf.DUMMYFUNCTION("""COMPUTED_VALUE"""),"mrun")</f>
        <v>mrun</v>
      </c>
      <c r="C7457" s="3" t="str">
        <f>IFERROR(__xludf.DUMMYFUNCTION("""COMPUTED_VALUE"""),"Metarun")</f>
        <v>Metarun</v>
      </c>
    </row>
    <row r="7458">
      <c r="A7458" s="3" t="str">
        <f>IFERROR(__xludf.DUMMYFUNCTION("""COMPUTED_VALUE"""),"metasafemoon")</f>
        <v>metasafemoon</v>
      </c>
      <c r="B7458" s="3" t="str">
        <f>IFERROR(__xludf.DUMMYFUNCTION("""COMPUTED_VALUE"""),"metasfm")</f>
        <v>metasfm</v>
      </c>
      <c r="C7458" s="3" t="str">
        <f>IFERROR(__xludf.DUMMYFUNCTION("""COMPUTED_VALUE"""),"MetaSafeMoon")</f>
        <v>MetaSafeMoon</v>
      </c>
    </row>
    <row r="7459">
      <c r="A7459" s="3" t="str">
        <f>IFERROR(__xludf.DUMMYFUNCTION("""COMPUTED_VALUE"""),"metaseer")</f>
        <v>metaseer</v>
      </c>
      <c r="B7459" s="3" t="str">
        <f>IFERROR(__xludf.DUMMYFUNCTION("""COMPUTED_VALUE"""),"metas")</f>
        <v>metas</v>
      </c>
      <c r="C7459" s="3" t="str">
        <f>IFERROR(__xludf.DUMMYFUNCTION("""COMPUTED_VALUE"""),"Metaseer")</f>
        <v>Metaseer</v>
      </c>
    </row>
    <row r="7460">
      <c r="A7460" s="3" t="str">
        <f>IFERROR(__xludf.DUMMYFUNCTION("""COMPUTED_VALUE"""),"metasens")</f>
        <v>metasens</v>
      </c>
      <c r="B7460" s="3" t="str">
        <f>IFERROR(__xludf.DUMMYFUNCTION("""COMPUTED_VALUE"""),"msu")</f>
        <v>msu</v>
      </c>
      <c r="C7460" s="3" t="str">
        <f>IFERROR(__xludf.DUMMYFUNCTION("""COMPUTED_VALUE"""),"Metasens")</f>
        <v>Metasens</v>
      </c>
    </row>
    <row r="7461">
      <c r="A7461" s="3" t="str">
        <f>IFERROR(__xludf.DUMMYFUNCTION("""COMPUTED_VALUE"""),"meta-shark")</f>
        <v>meta-shark</v>
      </c>
      <c r="B7461" s="3" t="str">
        <f>IFERROR(__xludf.DUMMYFUNCTION("""COMPUTED_VALUE"""),"mts")</f>
        <v>mts</v>
      </c>
      <c r="C7461" s="3" t="str">
        <f>IFERROR(__xludf.DUMMYFUNCTION("""COMPUTED_VALUE"""),"Meta Shark")</f>
        <v>Meta Shark</v>
      </c>
    </row>
    <row r="7462">
      <c r="A7462" s="3" t="str">
        <f>IFERROR(__xludf.DUMMYFUNCTION("""COMPUTED_VALUE"""),"metashells")</f>
        <v>metashells</v>
      </c>
      <c r="B7462" s="3" t="str">
        <f>IFERROR(__xludf.DUMMYFUNCTION("""COMPUTED_VALUE"""),"shell")</f>
        <v>shell</v>
      </c>
      <c r="C7462" s="3" t="str">
        <f>IFERROR(__xludf.DUMMYFUNCTION("""COMPUTED_VALUE"""),"MetaShells")</f>
        <v>MetaShells</v>
      </c>
    </row>
    <row r="7463">
      <c r="A7463" s="3" t="str">
        <f>IFERROR(__xludf.DUMMYFUNCTION("""COMPUTED_VALUE"""),"metashiba")</f>
        <v>metashiba</v>
      </c>
      <c r="B7463" s="3" t="str">
        <f>IFERROR(__xludf.DUMMYFUNCTION("""COMPUTED_VALUE"""),"metashib")</f>
        <v>metashib</v>
      </c>
      <c r="C7463" s="3" t="str">
        <f>IFERROR(__xludf.DUMMYFUNCTION("""COMPUTED_VALUE"""),"MetaShiba")</f>
        <v>MetaShiba</v>
      </c>
    </row>
    <row r="7464">
      <c r="A7464" s="3" t="str">
        <f>IFERROR(__xludf.DUMMYFUNCTION("""COMPUTED_VALUE"""),"meta-shiba")</f>
        <v>meta-shiba</v>
      </c>
      <c r="B7464" s="3" t="str">
        <f>IFERROR(__xludf.DUMMYFUNCTION("""COMPUTED_VALUE"""),"mshiba")</f>
        <v>mshiba</v>
      </c>
      <c r="C7464" s="3" t="str">
        <f>IFERROR(__xludf.DUMMYFUNCTION("""COMPUTED_VALUE"""),"Meta Shiba")</f>
        <v>Meta Shiba</v>
      </c>
    </row>
    <row r="7465">
      <c r="A7465" s="3" t="str">
        <f>IFERROR(__xludf.DUMMYFUNCTION("""COMPUTED_VALUE"""),"meta-shield")</f>
        <v>meta-shield</v>
      </c>
      <c r="B7465" s="3" t="str">
        <f>IFERROR(__xludf.DUMMYFUNCTION("""COMPUTED_VALUE"""),"shield")</f>
        <v>shield</v>
      </c>
      <c r="C7465" s="3" t="str">
        <f>IFERROR(__xludf.DUMMYFUNCTION("""COMPUTED_VALUE"""),"Meta Shield")</f>
        <v>Meta Shield</v>
      </c>
    </row>
    <row r="7466">
      <c r="A7466" s="3" t="str">
        <f>IFERROR(__xludf.DUMMYFUNCTION("""COMPUTED_VALUE"""),"metashooter")</f>
        <v>metashooter</v>
      </c>
      <c r="B7466" s="3" t="str">
        <f>IFERROR(__xludf.DUMMYFUNCTION("""COMPUTED_VALUE"""),"mhunt")</f>
        <v>mhunt</v>
      </c>
      <c r="C7466" s="3" t="str">
        <f>IFERROR(__xludf.DUMMYFUNCTION("""COMPUTED_VALUE"""),"MetaShooter")</f>
        <v>MetaShooter</v>
      </c>
    </row>
    <row r="7467">
      <c r="A7467" s="3" t="str">
        <f>IFERROR(__xludf.DUMMYFUNCTION("""COMPUTED_VALUE"""),"meta-skinny-hope")</f>
        <v>meta-skinny-hope</v>
      </c>
      <c r="B7467" s="3" t="str">
        <f>IFERROR(__xludf.DUMMYFUNCTION("""COMPUTED_VALUE"""),"metash")</f>
        <v>metash</v>
      </c>
      <c r="C7467" s="3" t="str">
        <f>IFERROR(__xludf.DUMMYFUNCTION("""COMPUTED_VALUE"""),"Meta Skinny&amp;Hope")</f>
        <v>Meta Skinny&amp;Hope</v>
      </c>
    </row>
    <row r="7468">
      <c r="A7468" s="3" t="str">
        <f>IFERROR(__xludf.DUMMYFUNCTION("""COMPUTED_VALUE"""),"metasnooker")</f>
        <v>metasnooker</v>
      </c>
      <c r="B7468" s="3" t="str">
        <f>IFERROR(__xludf.DUMMYFUNCTION("""COMPUTED_VALUE"""),"msr")</f>
        <v>msr</v>
      </c>
      <c r="C7468" s="3" t="str">
        <f>IFERROR(__xludf.DUMMYFUNCTION("""COMPUTED_VALUE"""),"MetaSnooker")</f>
        <v>MetaSnooker</v>
      </c>
    </row>
    <row r="7469">
      <c r="A7469" s="3" t="str">
        <f>IFERROR(__xludf.DUMMYFUNCTION("""COMPUTED_VALUE"""),"metasoccer")</f>
        <v>metasoccer</v>
      </c>
      <c r="B7469" s="3" t="str">
        <f>IFERROR(__xludf.DUMMYFUNCTION("""COMPUTED_VALUE"""),"msu")</f>
        <v>msu</v>
      </c>
      <c r="C7469" s="3" t="str">
        <f>IFERROR(__xludf.DUMMYFUNCTION("""COMPUTED_VALUE"""),"MetaSoccer")</f>
        <v>MetaSoccer</v>
      </c>
    </row>
    <row r="7470">
      <c r="A7470" s="3" t="str">
        <f>IFERROR(__xludf.DUMMYFUNCTION("""COMPUTED_VALUE"""),"metaspace")</f>
        <v>metaspace</v>
      </c>
      <c r="B7470" s="3" t="str">
        <f>IFERROR(__xludf.DUMMYFUNCTION("""COMPUTED_VALUE"""),"mspace")</f>
        <v>mspace</v>
      </c>
      <c r="C7470" s="3" t="str">
        <f>IFERROR(__xludf.DUMMYFUNCTION("""COMPUTED_VALUE"""),"Metaspace")</f>
        <v>Metaspace</v>
      </c>
    </row>
    <row r="7471">
      <c r="A7471" s="3" t="str">
        <f>IFERROR(__xludf.DUMMYFUNCTION("""COMPUTED_VALUE"""),"meta-space-2045")</f>
        <v>meta-space-2045</v>
      </c>
      <c r="B7471" s="3" t="str">
        <f>IFERROR(__xludf.DUMMYFUNCTION("""COMPUTED_VALUE"""),"mtw")</f>
        <v>mtw</v>
      </c>
      <c r="C7471" s="3" t="str">
        <f>IFERROR(__xludf.DUMMYFUNCTION("""COMPUTED_VALUE"""),"Meta Space 2045")</f>
        <v>Meta Space 2045</v>
      </c>
    </row>
    <row r="7472">
      <c r="A7472" s="3" t="str">
        <f>IFERROR(__xludf.DUMMYFUNCTION("""COMPUTED_VALUE"""),"meta-spatial")</f>
        <v>meta-spatial</v>
      </c>
      <c r="B7472" s="3" t="str">
        <f>IFERROR(__xludf.DUMMYFUNCTION("""COMPUTED_VALUE"""),"spat")</f>
        <v>spat</v>
      </c>
      <c r="C7472" s="3" t="str">
        <f>IFERROR(__xludf.DUMMYFUNCTION("""COMPUTED_VALUE"""),"Meta Spatial")</f>
        <v>Meta Spatial</v>
      </c>
    </row>
    <row r="7473">
      <c r="A7473" s="3" t="str">
        <f>IFERROR(__xludf.DUMMYFUNCTION("""COMPUTED_VALUE"""),"metaspets")</f>
        <v>metaspets</v>
      </c>
      <c r="B7473" s="3" t="str">
        <f>IFERROR(__xludf.DUMMYFUNCTION("""COMPUTED_VALUE"""),"msp")</f>
        <v>msp</v>
      </c>
      <c r="C7473" s="3" t="str">
        <f>IFERROR(__xludf.DUMMYFUNCTION("""COMPUTED_VALUE"""),"MetaSpets")</f>
        <v>MetaSpets</v>
      </c>
    </row>
    <row r="7474">
      <c r="A7474" s="3" t="str">
        <f>IFERROR(__xludf.DUMMYFUNCTION("""COMPUTED_VALUE"""),"metasphere")</f>
        <v>metasphere</v>
      </c>
      <c r="B7474" s="3" t="str">
        <f>IFERROR(__xludf.DUMMYFUNCTION("""COMPUTED_VALUE"""),"mtsp")</f>
        <v>mtsp</v>
      </c>
      <c r="C7474" s="3" t="str">
        <f>IFERROR(__xludf.DUMMYFUNCTION("""COMPUTED_VALUE"""),"Metasphere")</f>
        <v>Metasphere</v>
      </c>
    </row>
    <row r="7475">
      <c r="A7475" s="3" t="str">
        <f>IFERROR(__xludf.DUMMYFUNCTION("""COMPUTED_VALUE"""),"metasportstoken")</f>
        <v>metasportstoken</v>
      </c>
      <c r="B7475" s="3" t="str">
        <f>IFERROR(__xludf.DUMMYFUNCTION("""COMPUTED_VALUE"""),"mst")</f>
        <v>mst</v>
      </c>
      <c r="C7475" s="3" t="str">
        <f>IFERROR(__xludf.DUMMYFUNCTION("""COMPUTED_VALUE"""),"MetaSportsToken")</f>
        <v>MetaSportsToken</v>
      </c>
    </row>
    <row r="7476">
      <c r="A7476" s="3" t="str">
        <f>IFERROR(__xludf.DUMMYFUNCTION("""COMPUTED_VALUE"""),"metastocks")</f>
        <v>metastocks</v>
      </c>
      <c r="B7476" s="3" t="str">
        <f>IFERROR(__xludf.DUMMYFUNCTION("""COMPUTED_VALUE"""),"mtsks")</f>
        <v>mtsks</v>
      </c>
      <c r="C7476" s="3" t="str">
        <f>IFERROR(__xludf.DUMMYFUNCTION("""COMPUTED_VALUE"""),"MetaStocks")</f>
        <v>MetaStocks</v>
      </c>
    </row>
    <row r="7477">
      <c r="A7477" s="3" t="str">
        <f>IFERROR(__xludf.DUMMYFUNCTION("""COMPUTED_VALUE"""),"metastrike")</f>
        <v>metastrike</v>
      </c>
      <c r="B7477" s="3" t="str">
        <f>IFERROR(__xludf.DUMMYFUNCTION("""COMPUTED_VALUE"""),"mts")</f>
        <v>mts</v>
      </c>
      <c r="C7477" s="3" t="str">
        <f>IFERROR(__xludf.DUMMYFUNCTION("""COMPUTED_VALUE"""),"Metastrike")</f>
        <v>Metastrike</v>
      </c>
    </row>
    <row r="7478">
      <c r="A7478" s="3" t="str">
        <f>IFERROR(__xludf.DUMMYFUNCTION("""COMPUTED_VALUE"""),"metaswap")</f>
        <v>metaswap</v>
      </c>
      <c r="B7478" s="3" t="str">
        <f>IFERROR(__xludf.DUMMYFUNCTION("""COMPUTED_VALUE"""),"msc")</f>
        <v>msc</v>
      </c>
      <c r="C7478" s="3" t="str">
        <f>IFERROR(__xludf.DUMMYFUNCTION("""COMPUTED_VALUE"""),"MetaSwap")</f>
        <v>MetaSwap</v>
      </c>
    </row>
    <row r="7479">
      <c r="A7479" s="3" t="str">
        <f>IFERROR(__xludf.DUMMYFUNCTION("""COMPUTED_VALUE"""),"metatariff")</f>
        <v>metatariff</v>
      </c>
      <c r="B7479" s="3" t="str">
        <f>IFERROR(__xludf.DUMMYFUNCTION("""COMPUTED_VALUE"""),"riff")</f>
        <v>riff</v>
      </c>
      <c r="C7479" s="3" t="str">
        <f>IFERROR(__xludf.DUMMYFUNCTION("""COMPUTED_VALUE"""),"MetaTariff")</f>
        <v>MetaTariff</v>
      </c>
    </row>
    <row r="7480">
      <c r="A7480" s="3" t="str">
        <f>IFERROR(__xludf.DUMMYFUNCTION("""COMPUTED_VALUE"""),"meta-to-earn")</f>
        <v>meta-to-earn</v>
      </c>
      <c r="B7480" s="3" t="str">
        <f>IFERROR(__xludf.DUMMYFUNCTION("""COMPUTED_VALUE"""),"mte")</f>
        <v>mte</v>
      </c>
      <c r="C7480" s="3" t="str">
        <f>IFERROR(__xludf.DUMMYFUNCTION("""COMPUTED_VALUE"""),"Meta to Earn")</f>
        <v>Meta to Earn</v>
      </c>
    </row>
    <row r="7481">
      <c r="A7481" s="3" t="str">
        <f>IFERROR(__xludf.DUMMYFUNCTION("""COMPUTED_VALUE"""),"metatoken")</f>
        <v>metatoken</v>
      </c>
      <c r="B7481" s="3" t="str">
        <f>IFERROR(__xludf.DUMMYFUNCTION("""COMPUTED_VALUE"""),"mtk")</f>
        <v>mtk</v>
      </c>
      <c r="C7481" s="3" t="str">
        <f>IFERROR(__xludf.DUMMYFUNCTION("""COMPUTED_VALUE"""),"MetaToken")</f>
        <v>MetaToken</v>
      </c>
    </row>
    <row r="7482">
      <c r="A7482" s="3" t="str">
        <f>IFERROR(__xludf.DUMMYFUNCTION("""COMPUTED_VALUE"""),"metatoll")</f>
        <v>metatoll</v>
      </c>
      <c r="B7482" s="3" t="str">
        <f>IFERROR(__xludf.DUMMYFUNCTION("""COMPUTED_VALUE"""),"tax")</f>
        <v>tax</v>
      </c>
      <c r="C7482" s="3" t="str">
        <f>IFERROR(__xludf.DUMMYFUNCTION("""COMPUTED_VALUE"""),"MetaToll")</f>
        <v>MetaToll</v>
      </c>
    </row>
    <row r="7483">
      <c r="A7483" s="3" t="str">
        <f>IFERROR(__xludf.DUMMYFUNCTION("""COMPUTED_VALUE"""),"metatown")</f>
        <v>metatown</v>
      </c>
      <c r="B7483" s="3" t="str">
        <f>IFERROR(__xludf.DUMMYFUNCTION("""COMPUTED_VALUE"""),"mtown")</f>
        <v>mtown</v>
      </c>
      <c r="C7483" s="3" t="str">
        <f>IFERROR(__xludf.DUMMYFUNCTION("""COMPUTED_VALUE"""),"MetaTown")</f>
        <v>MetaTown</v>
      </c>
    </row>
    <row r="7484">
      <c r="A7484" s="3" t="str">
        <f>IFERROR(__xludf.DUMMYFUNCTION("""COMPUTED_VALUE"""),"metatrone")</f>
        <v>metatrone</v>
      </c>
      <c r="B7484" s="3" t="str">
        <f>IFERROR(__xludf.DUMMYFUNCTION("""COMPUTED_VALUE"""),"met")</f>
        <v>met</v>
      </c>
      <c r="C7484" s="3" t="str">
        <f>IFERROR(__xludf.DUMMYFUNCTION("""COMPUTED_VALUE"""),"Metatrone")</f>
        <v>Metatrone</v>
      </c>
    </row>
    <row r="7485">
      <c r="A7485" s="3" t="str">
        <f>IFERROR(__xludf.DUMMYFUNCTION("""COMPUTED_VALUE"""),"metaufo")</f>
        <v>metaufo</v>
      </c>
      <c r="B7485" s="3" t="str">
        <f>IFERROR(__xludf.DUMMYFUNCTION("""COMPUTED_VALUE"""),"metaufo")</f>
        <v>metaufo</v>
      </c>
      <c r="C7485" s="3" t="str">
        <f>IFERROR(__xludf.DUMMYFUNCTION("""COMPUTED_VALUE"""),"MetaUFO")</f>
        <v>MetaUFO</v>
      </c>
    </row>
    <row r="7486">
      <c r="A7486" s="3" t="str">
        <f>IFERROR(__xludf.DUMMYFUNCTION("""COMPUTED_VALUE"""),"meta-utopia")</f>
        <v>meta-utopia</v>
      </c>
      <c r="B7486" s="3" t="str">
        <f>IFERROR(__xludf.DUMMYFUNCTION("""COMPUTED_VALUE"""),"land")</f>
        <v>land</v>
      </c>
      <c r="C7486" s="3" t="str">
        <f>IFERROR(__xludf.DUMMYFUNCTION("""COMPUTED_VALUE"""),"Meta Utopia")</f>
        <v>Meta Utopia</v>
      </c>
    </row>
    <row r="7487">
      <c r="A7487" s="3" t="str">
        <f>IFERROR(__xludf.DUMMYFUNCTION("""COMPUTED_VALUE"""),"metavault-dao")</f>
        <v>metavault-dao</v>
      </c>
      <c r="B7487" s="3" t="str">
        <f>IFERROR(__xludf.DUMMYFUNCTION("""COMPUTED_VALUE"""),"mvd")</f>
        <v>mvd</v>
      </c>
      <c r="C7487" s="3" t="str">
        <f>IFERROR(__xludf.DUMMYFUNCTION("""COMPUTED_VALUE"""),"Metavault DAO")</f>
        <v>Metavault DAO</v>
      </c>
    </row>
    <row r="7488">
      <c r="A7488" s="3" t="str">
        <f>IFERROR(__xludf.DUMMYFUNCTION("""COMPUTED_VALUE"""),"metavault-trade")</f>
        <v>metavault-trade</v>
      </c>
      <c r="B7488" s="3" t="str">
        <f>IFERROR(__xludf.DUMMYFUNCTION("""COMPUTED_VALUE"""),"mvx")</f>
        <v>mvx</v>
      </c>
      <c r="C7488" s="3" t="str">
        <f>IFERROR(__xludf.DUMMYFUNCTION("""COMPUTED_VALUE"""),"Metavault Trade")</f>
        <v>Metavault Trade</v>
      </c>
    </row>
    <row r="7489">
      <c r="A7489" s="3" t="str">
        <f>IFERROR(__xludf.DUMMYFUNCTION("""COMPUTED_VALUE"""),"metavegas")</f>
        <v>metavegas</v>
      </c>
      <c r="B7489" s="3" t="str">
        <f>IFERROR(__xludf.DUMMYFUNCTION("""COMPUTED_VALUE"""),"metavegas")</f>
        <v>metavegas</v>
      </c>
      <c r="C7489" s="3" t="str">
        <f>IFERROR(__xludf.DUMMYFUNCTION("""COMPUTED_VALUE"""),"MetaVegas")</f>
        <v>MetaVegas</v>
      </c>
    </row>
    <row r="7490">
      <c r="A7490" s="3" t="str">
        <f>IFERROR(__xludf.DUMMYFUNCTION("""COMPUTED_VALUE"""),"metaverseair")</f>
        <v>metaverseair</v>
      </c>
      <c r="B7490" s="3" t="str">
        <f>IFERROR(__xludf.DUMMYFUNCTION("""COMPUTED_VALUE"""),"mvrs")</f>
        <v>mvrs</v>
      </c>
      <c r="C7490" s="3" t="str">
        <f>IFERROR(__xludf.DUMMYFUNCTION("""COMPUTED_VALUE"""),"MetaverseAir")</f>
        <v>MetaverseAir</v>
      </c>
    </row>
    <row r="7491">
      <c r="A7491" s="3" t="str">
        <f>IFERROR(__xludf.DUMMYFUNCTION("""COMPUTED_VALUE"""),"metaverse-box-game")</f>
        <v>metaverse-box-game</v>
      </c>
      <c r="B7491" s="3" t="str">
        <f>IFERROR(__xludf.DUMMYFUNCTION("""COMPUTED_VALUE"""),"mtvg")</f>
        <v>mtvg</v>
      </c>
      <c r="C7491" s="3" t="str">
        <f>IFERROR(__xludf.DUMMYFUNCTION("""COMPUTED_VALUE"""),"Metaverse Box Game")</f>
        <v>Metaverse Box Game</v>
      </c>
    </row>
    <row r="7492">
      <c r="A7492" s="3" t="str">
        <f>IFERROR(__xludf.DUMMYFUNCTION("""COMPUTED_VALUE"""),"metaverse-dao")</f>
        <v>metaverse-dao</v>
      </c>
      <c r="B7492" s="3" t="str">
        <f>IFERROR(__xludf.DUMMYFUNCTION("""COMPUTED_VALUE"""),"mdao")</f>
        <v>mdao</v>
      </c>
      <c r="C7492" s="3" t="str">
        <f>IFERROR(__xludf.DUMMYFUNCTION("""COMPUTED_VALUE"""),"Metaverse DAO")</f>
        <v>Metaverse DAO</v>
      </c>
    </row>
    <row r="7493">
      <c r="A7493" s="3" t="str">
        <f>IFERROR(__xludf.DUMMYFUNCTION("""COMPUTED_VALUE"""),"metaverse-dog")</f>
        <v>metaverse-dog</v>
      </c>
      <c r="B7493" s="3" t="str">
        <f>IFERROR(__xludf.DUMMYFUNCTION("""COMPUTED_VALUE"""),"mvdg")</f>
        <v>mvdg</v>
      </c>
      <c r="C7493" s="3" t="str">
        <f>IFERROR(__xludf.DUMMYFUNCTION("""COMPUTED_VALUE"""),"MetaVerse Dog")</f>
        <v>MetaVerse Dog</v>
      </c>
    </row>
    <row r="7494">
      <c r="A7494" s="3" t="str">
        <f>IFERROR(__xludf.DUMMYFUNCTION("""COMPUTED_VALUE"""),"metaverse-dualchain-network-architecture")</f>
        <v>metaverse-dualchain-network-architecture</v>
      </c>
      <c r="B7494" s="3" t="str">
        <f>IFERROR(__xludf.DUMMYFUNCTION("""COMPUTED_VALUE"""),"dna")</f>
        <v>dna</v>
      </c>
      <c r="C7494" s="3" t="str">
        <f>IFERROR(__xludf.DUMMYFUNCTION("""COMPUTED_VALUE"""),"Metaverse DNA")</f>
        <v>Metaverse DNA</v>
      </c>
    </row>
    <row r="7495">
      <c r="A7495" s="3" t="str">
        <f>IFERROR(__xludf.DUMMYFUNCTION("""COMPUTED_VALUE"""),"metaverse-etp")</f>
        <v>metaverse-etp</v>
      </c>
      <c r="B7495" s="3" t="str">
        <f>IFERROR(__xludf.DUMMYFUNCTION("""COMPUTED_VALUE"""),"etp")</f>
        <v>etp</v>
      </c>
      <c r="C7495" s="3" t="str">
        <f>IFERROR(__xludf.DUMMYFUNCTION("""COMPUTED_VALUE"""),"Metaverse ETP")</f>
        <v>Metaverse ETP</v>
      </c>
    </row>
    <row r="7496">
      <c r="A7496" s="3" t="str">
        <f>IFERROR(__xludf.DUMMYFUNCTION("""COMPUTED_VALUE"""),"metaverse-exchange")</f>
        <v>metaverse-exchange</v>
      </c>
      <c r="B7496" s="3" t="str">
        <f>IFERROR(__xludf.DUMMYFUNCTION("""COMPUTED_VALUE"""),"metacex")</f>
        <v>metacex</v>
      </c>
      <c r="C7496" s="3" t="str">
        <f>IFERROR(__xludf.DUMMYFUNCTION("""COMPUTED_VALUE"""),"Metaverse Exchange")</f>
        <v>Metaverse Exchange</v>
      </c>
    </row>
    <row r="7497">
      <c r="A7497" s="3" t="str">
        <f>IFERROR(__xludf.DUMMYFUNCTION("""COMPUTED_VALUE"""),"metaverse-face")</f>
        <v>metaverse-face</v>
      </c>
      <c r="B7497" s="3" t="str">
        <f>IFERROR(__xludf.DUMMYFUNCTION("""COMPUTED_VALUE"""),"mefa")</f>
        <v>mefa</v>
      </c>
      <c r="C7497" s="3" t="str">
        <f>IFERROR(__xludf.DUMMYFUNCTION("""COMPUTED_VALUE"""),"Metaverse Face")</f>
        <v>Metaverse Face</v>
      </c>
    </row>
    <row r="7498">
      <c r="A7498" s="3" t="str">
        <f>IFERROR(__xludf.DUMMYFUNCTION("""COMPUTED_VALUE"""),"metaverse-hub")</f>
        <v>metaverse-hub</v>
      </c>
      <c r="B7498" s="3" t="str">
        <f>IFERROR(__xludf.DUMMYFUNCTION("""COMPUTED_VALUE"""),"mhub")</f>
        <v>mhub</v>
      </c>
      <c r="C7498" s="3" t="str">
        <f>IFERROR(__xludf.DUMMYFUNCTION("""COMPUTED_VALUE"""),"Metaverse Hub")</f>
        <v>Metaverse Hub</v>
      </c>
    </row>
    <row r="7499">
      <c r="A7499" s="3" t="str">
        <f>IFERROR(__xludf.DUMMYFUNCTION("""COMPUTED_VALUE"""),"metaverse-index")</f>
        <v>metaverse-index</v>
      </c>
      <c r="B7499" s="3" t="str">
        <f>IFERROR(__xludf.DUMMYFUNCTION("""COMPUTED_VALUE"""),"mvi")</f>
        <v>mvi</v>
      </c>
      <c r="C7499" s="3" t="str">
        <f>IFERROR(__xludf.DUMMYFUNCTION("""COMPUTED_VALUE"""),"Metaverse Index")</f>
        <v>Metaverse Index</v>
      </c>
    </row>
    <row r="7500">
      <c r="A7500" s="3" t="str">
        <f>IFERROR(__xludf.DUMMYFUNCTION("""COMPUTED_VALUE"""),"metaverse-index-token")</f>
        <v>metaverse-index-token</v>
      </c>
      <c r="B7500" s="3" t="str">
        <f>IFERROR(__xludf.DUMMYFUNCTION("""COMPUTED_VALUE"""),"metai")</f>
        <v>metai</v>
      </c>
      <c r="C7500" s="3" t="str">
        <f>IFERROR(__xludf.DUMMYFUNCTION("""COMPUTED_VALUE"""),"Metaverse Index Token")</f>
        <v>Metaverse Index Token</v>
      </c>
    </row>
    <row r="7501">
      <c r="A7501" s="3" t="str">
        <f>IFERROR(__xludf.DUMMYFUNCTION("""COMPUTED_VALUE"""),"metaverse-m")</f>
        <v>metaverse-m</v>
      </c>
      <c r="B7501" s="3" t="str">
        <f>IFERROR(__xludf.DUMMYFUNCTION("""COMPUTED_VALUE"""),"m")</f>
        <v>m</v>
      </c>
      <c r="C7501" s="3" t="str">
        <f>IFERROR(__xludf.DUMMYFUNCTION("""COMPUTED_VALUE"""),"MetaVerse-M")</f>
        <v>MetaVerse-M</v>
      </c>
    </row>
    <row r="7502">
      <c r="A7502" s="3" t="str">
        <f>IFERROR(__xludf.DUMMYFUNCTION("""COMPUTED_VALUE"""),"metaversemgl")</f>
        <v>metaversemgl</v>
      </c>
      <c r="B7502" s="3" t="str">
        <f>IFERROR(__xludf.DUMMYFUNCTION("""COMPUTED_VALUE"""),"mglc")</f>
        <v>mglc</v>
      </c>
      <c r="C7502" s="3" t="str">
        <f>IFERROR(__xludf.DUMMYFUNCTION("""COMPUTED_VALUE"""),"MetaverseMGL")</f>
        <v>MetaverseMGL</v>
      </c>
    </row>
    <row r="7503">
      <c r="A7503" s="3" t="str">
        <f>IFERROR(__xludf.DUMMYFUNCTION("""COMPUTED_VALUE"""),"metaverse-miner")</f>
        <v>metaverse-miner</v>
      </c>
      <c r="B7503" s="3" t="str">
        <f>IFERROR(__xludf.DUMMYFUNCTION("""COMPUTED_VALUE"""),"meta")</f>
        <v>meta</v>
      </c>
      <c r="C7503" s="3" t="str">
        <f>IFERROR(__xludf.DUMMYFUNCTION("""COMPUTED_VALUE"""),"Metaverse Miner")</f>
        <v>Metaverse Miner</v>
      </c>
    </row>
    <row r="7504">
      <c r="A7504" s="3" t="str">
        <f>IFERROR(__xludf.DUMMYFUNCTION("""COMPUTED_VALUE"""),"metaverse-network-4e5ee514-56c4-4989-84df-c0b89cd19ec0")</f>
        <v>metaverse-network-4e5ee514-56c4-4989-84df-c0b89cd19ec0</v>
      </c>
      <c r="B7504" s="3" t="str">
        <f>IFERROR(__xludf.DUMMYFUNCTION("""COMPUTED_VALUE"""),"nuum")</f>
        <v>nuum</v>
      </c>
      <c r="C7504" s="3" t="str">
        <f>IFERROR(__xludf.DUMMYFUNCTION("""COMPUTED_VALUE"""),"Metaverse.Network")</f>
        <v>Metaverse.Network</v>
      </c>
    </row>
    <row r="7505">
      <c r="A7505" s="3" t="str">
        <f>IFERROR(__xludf.DUMMYFUNCTION("""COMPUTED_VALUE"""),"metaverse-network-pioneer")</f>
        <v>metaverse-network-pioneer</v>
      </c>
      <c r="B7505" s="3" t="str">
        <f>IFERROR(__xludf.DUMMYFUNCTION("""COMPUTED_VALUE"""),"neer")</f>
        <v>neer</v>
      </c>
      <c r="C7505" s="3" t="str">
        <f>IFERROR(__xludf.DUMMYFUNCTION("""COMPUTED_VALUE"""),"Metaverse.Network Pioneer")</f>
        <v>Metaverse.Network Pioneer</v>
      </c>
    </row>
    <row r="7506">
      <c r="A7506" s="3" t="str">
        <f>IFERROR(__xludf.DUMMYFUNCTION("""COMPUTED_VALUE"""),"metaverse-nft-index")</f>
        <v>metaverse-nft-index</v>
      </c>
      <c r="B7506" s="3" t="str">
        <f>IFERROR(__xludf.DUMMYFUNCTION("""COMPUTED_VALUE"""),"play")</f>
        <v>play</v>
      </c>
      <c r="C7506" s="3" t="str">
        <f>IFERROR(__xludf.DUMMYFUNCTION("""COMPUTED_VALUE"""),"Metaverse NFT Index")</f>
        <v>Metaverse NFT Index</v>
      </c>
    </row>
    <row r="7507">
      <c r="A7507" s="3" t="str">
        <f>IFERROR(__xludf.DUMMYFUNCTION("""COMPUTED_VALUE"""),"metaversepay")</f>
        <v>metaversepay</v>
      </c>
      <c r="B7507" s="3" t="str">
        <f>IFERROR(__xludf.DUMMYFUNCTION("""COMPUTED_VALUE"""),"mvp")</f>
        <v>mvp</v>
      </c>
      <c r="C7507" s="3" t="str">
        <f>IFERROR(__xludf.DUMMYFUNCTION("""COMPUTED_VALUE"""),"MetaversePay")</f>
        <v>MetaversePay</v>
      </c>
    </row>
    <row r="7508">
      <c r="A7508" s="3" t="str">
        <f>IFERROR(__xludf.DUMMYFUNCTION("""COMPUTED_VALUE"""),"metaverser")</f>
        <v>metaverser</v>
      </c>
      <c r="B7508" s="3" t="str">
        <f>IFERROR(__xludf.DUMMYFUNCTION("""COMPUTED_VALUE"""),"mtvt")</f>
        <v>mtvt</v>
      </c>
      <c r="C7508" s="3" t="str">
        <f>IFERROR(__xludf.DUMMYFUNCTION("""COMPUTED_VALUE"""),"Metaverser")</f>
        <v>Metaverser</v>
      </c>
    </row>
    <row r="7509">
      <c r="A7509" s="3" t="str">
        <f>IFERROR(__xludf.DUMMYFUNCTION("""COMPUTED_VALUE"""),"metaverse-vr")</f>
        <v>metaverse-vr</v>
      </c>
      <c r="B7509" s="3" t="str">
        <f>IFERROR(__xludf.DUMMYFUNCTION("""COMPUTED_VALUE"""),"mevr")</f>
        <v>mevr</v>
      </c>
      <c r="C7509" s="3" t="str">
        <f>IFERROR(__xludf.DUMMYFUNCTION("""COMPUTED_VALUE"""),"Metaverse VR")</f>
        <v>Metaverse VR</v>
      </c>
    </row>
    <row r="7510">
      <c r="A7510" s="3" t="str">
        <f>IFERROR(__xludf.DUMMYFUNCTION("""COMPUTED_VALUE"""),"metaverse-world")</f>
        <v>metaverse-world</v>
      </c>
      <c r="B7510" s="3" t="str">
        <f>IFERROR(__xludf.DUMMYFUNCTION("""COMPUTED_VALUE"""),"world")</f>
        <v>world</v>
      </c>
      <c r="C7510" s="3" t="str">
        <f>IFERROR(__xludf.DUMMYFUNCTION("""COMPUTED_VALUE"""),"Metaverse World")</f>
        <v>Metaverse World</v>
      </c>
    </row>
    <row r="7511">
      <c r="A7511" s="3" t="str">
        <f>IFERROR(__xludf.DUMMYFUNCTION("""COMPUTED_VALUE"""),"metaversex")</f>
        <v>metaversex</v>
      </c>
      <c r="B7511" s="3" t="str">
        <f>IFERROR(__xludf.DUMMYFUNCTION("""COMPUTED_VALUE"""),"metax")</f>
        <v>metax</v>
      </c>
      <c r="C7511" s="3" t="str">
        <f>IFERROR(__xludf.DUMMYFUNCTION("""COMPUTED_VALUE"""),"MetaverseX")</f>
        <v>MetaverseX</v>
      </c>
    </row>
    <row r="7512">
      <c r="A7512" s="3" t="str">
        <f>IFERROR(__xludf.DUMMYFUNCTION("""COMPUTED_VALUE"""),"metavie-token")</f>
        <v>metavie-token</v>
      </c>
      <c r="B7512" s="3" t="str">
        <f>IFERROR(__xludf.DUMMYFUNCTION("""COMPUTED_VALUE"""),"metavie")</f>
        <v>metavie</v>
      </c>
      <c r="C7512" s="3" t="str">
        <f>IFERROR(__xludf.DUMMYFUNCTION("""COMPUTED_VALUE"""),"Metavie")</f>
        <v>Metavie</v>
      </c>
    </row>
    <row r="7513">
      <c r="A7513" s="3" t="str">
        <f>IFERROR(__xludf.DUMMYFUNCTION("""COMPUTED_VALUE"""),"metavisa")</f>
        <v>metavisa</v>
      </c>
      <c r="B7513" s="3" t="str">
        <f>IFERROR(__xludf.DUMMYFUNCTION("""COMPUTED_VALUE"""),"mesa")</f>
        <v>mesa</v>
      </c>
      <c r="C7513" s="3" t="str">
        <f>IFERROR(__xludf.DUMMYFUNCTION("""COMPUTED_VALUE"""),"metavisa")</f>
        <v>metavisa</v>
      </c>
    </row>
    <row r="7514">
      <c r="A7514" s="3" t="str">
        <f>IFERROR(__xludf.DUMMYFUNCTION("""COMPUTED_VALUE"""),"metavpad")</f>
        <v>metavpad</v>
      </c>
      <c r="B7514" s="3" t="str">
        <f>IFERROR(__xludf.DUMMYFUNCTION("""COMPUTED_VALUE"""),"metav")</f>
        <v>metav</v>
      </c>
      <c r="C7514" s="3" t="str">
        <f>IFERROR(__xludf.DUMMYFUNCTION("""COMPUTED_VALUE"""),"MetaVPad")</f>
        <v>MetaVPad</v>
      </c>
    </row>
    <row r="7515">
      <c r="A7515" s="3" t="str">
        <f>IFERROR(__xludf.DUMMYFUNCTION("""COMPUTED_VALUE"""),"metawars")</f>
        <v>metawars</v>
      </c>
      <c r="B7515" s="3" t="str">
        <f>IFERROR(__xludf.DUMMYFUNCTION("""COMPUTED_VALUE"""),"wars")</f>
        <v>wars</v>
      </c>
      <c r="C7515" s="3" t="str">
        <f>IFERROR(__xludf.DUMMYFUNCTION("""COMPUTED_VALUE"""),"MetaWars")</f>
        <v>MetaWars</v>
      </c>
    </row>
    <row r="7516">
      <c r="A7516" s="3" t="str">
        <f>IFERROR(__xludf.DUMMYFUNCTION("""COMPUTED_VALUE"""),"metawar-token")</f>
        <v>metawar-token</v>
      </c>
      <c r="B7516" s="3" t="str">
        <f>IFERROR(__xludf.DUMMYFUNCTION("""COMPUTED_VALUE"""),"mtwr")</f>
        <v>mtwr</v>
      </c>
      <c r="C7516" s="3" t="str">
        <f>IFERROR(__xludf.DUMMYFUNCTION("""COMPUTED_VALUE"""),"MetaWar Token")</f>
        <v>MetaWar Token</v>
      </c>
    </row>
    <row r="7517">
      <c r="A7517" s="3" t="str">
        <f>IFERROR(__xludf.DUMMYFUNCTION("""COMPUTED_VALUE"""),"metawear")</f>
        <v>metawear</v>
      </c>
      <c r="B7517" s="3" t="str">
        <f>IFERROR(__xludf.DUMMYFUNCTION("""COMPUTED_VALUE"""),"wear")</f>
        <v>wear</v>
      </c>
      <c r="C7517" s="3" t="str">
        <f>IFERROR(__xludf.DUMMYFUNCTION("""COMPUTED_VALUE"""),"MetaWear")</f>
        <v>MetaWear</v>
      </c>
    </row>
    <row r="7518">
      <c r="A7518" s="3" t="str">
        <f>IFERROR(__xludf.DUMMYFUNCTION("""COMPUTED_VALUE"""),"metaweb3pad")</f>
        <v>metaweb3pad</v>
      </c>
      <c r="B7518" s="3" t="str">
        <f>IFERROR(__xludf.DUMMYFUNCTION("""COMPUTED_VALUE"""),"metaweb3pa")</f>
        <v>metaweb3pa</v>
      </c>
      <c r="C7518" s="3" t="str">
        <f>IFERROR(__xludf.DUMMYFUNCTION("""COMPUTED_VALUE"""),"MetaWeb3Pad")</f>
        <v>MetaWeb3Pad</v>
      </c>
    </row>
    <row r="7519">
      <c r="A7519" s="3" t="str">
        <f>IFERROR(__xludf.DUMMYFUNCTION("""COMPUTED_VALUE"""),"metaworld")</f>
        <v>metaworld</v>
      </c>
      <c r="B7519" s="3" t="str">
        <f>IFERROR(__xludf.DUMMYFUNCTION("""COMPUTED_VALUE"""),"mw")</f>
        <v>mw</v>
      </c>
      <c r="C7519" s="3" t="str">
        <f>IFERROR(__xludf.DUMMYFUNCTION("""COMPUTED_VALUE"""),"MetaWorld")</f>
        <v>MetaWorld</v>
      </c>
    </row>
    <row r="7520">
      <c r="A7520" s="3" t="str">
        <f>IFERROR(__xludf.DUMMYFUNCTION("""COMPUTED_VALUE"""),"meta-world")</f>
        <v>meta-world</v>
      </c>
      <c r="B7520" s="3" t="str">
        <f>IFERROR(__xludf.DUMMYFUNCTION("""COMPUTED_VALUE"""),"metaworld")</f>
        <v>metaworld</v>
      </c>
      <c r="C7520" s="3" t="str">
        <f>IFERROR(__xludf.DUMMYFUNCTION("""COMPUTED_VALUE"""),"Meta World")</f>
        <v>Meta World</v>
      </c>
    </row>
    <row r="7521">
      <c r="A7521" s="3" t="str">
        <f>IFERROR(__xludf.DUMMYFUNCTION("""COMPUTED_VALUE"""),"meta-world-game")</f>
        <v>meta-world-game</v>
      </c>
      <c r="B7521" s="3" t="str">
        <f>IFERROR(__xludf.DUMMYFUNCTION("""COMPUTED_VALUE"""),"mtw")</f>
        <v>mtw</v>
      </c>
      <c r="C7521" s="3" t="str">
        <f>IFERROR(__xludf.DUMMYFUNCTION("""COMPUTED_VALUE"""),"Meta World Game")</f>
        <v>Meta World Game</v>
      </c>
    </row>
    <row r="7522">
      <c r="A7522" s="3" t="str">
        <f>IFERROR(__xludf.DUMMYFUNCTION("""COMPUTED_VALUE"""),"metax")</f>
        <v>metax</v>
      </c>
      <c r="B7522" s="3" t="str">
        <f>IFERROR(__xludf.DUMMYFUNCTION("""COMPUTED_VALUE"""),"x1")</f>
        <v>x1</v>
      </c>
      <c r="C7522" s="3" t="str">
        <f>IFERROR(__xludf.DUMMYFUNCTION("""COMPUTED_VALUE"""),"MetaX")</f>
        <v>MetaX</v>
      </c>
    </row>
    <row r="7523">
      <c r="A7523" s="3" t="str">
        <f>IFERROR(__xludf.DUMMYFUNCTION("""COMPUTED_VALUE"""),"metaxa")</f>
        <v>metaxa</v>
      </c>
      <c r="B7523" s="3" t="str">
        <f>IFERROR(__xludf.DUMMYFUNCTION("""COMPUTED_VALUE"""),"metaxa")</f>
        <v>metaxa</v>
      </c>
      <c r="C7523" s="3" t="str">
        <f>IFERROR(__xludf.DUMMYFUNCTION("""COMPUTED_VALUE"""),"Metaxa")</f>
        <v>Metaxa</v>
      </c>
    </row>
    <row r="7524">
      <c r="A7524" s="3" t="str">
        <f>IFERROR(__xludf.DUMMYFUNCTION("""COMPUTED_VALUE"""),"metaxhunter")</f>
        <v>metaxhunter</v>
      </c>
      <c r="B7524" s="3" t="str">
        <f>IFERROR(__xludf.DUMMYFUNCTION("""COMPUTED_VALUE"""),"xhunter")</f>
        <v>xhunter</v>
      </c>
      <c r="C7524" s="3" t="str">
        <f>IFERROR(__xludf.DUMMYFUNCTION("""COMPUTED_VALUE"""),"MetaXHunter")</f>
        <v>MetaXHunter</v>
      </c>
    </row>
    <row r="7525">
      <c r="A7525" s="3" t="str">
        <f>IFERROR(__xludf.DUMMYFUNCTION("""COMPUTED_VALUE"""),"metaxiz")</f>
        <v>metaxiz</v>
      </c>
      <c r="B7525" s="3" t="str">
        <f>IFERROR(__xludf.DUMMYFUNCTION("""COMPUTED_VALUE"""),"mexi")</f>
        <v>mexi</v>
      </c>
      <c r="C7525" s="3" t="str">
        <f>IFERROR(__xludf.DUMMYFUNCTION("""COMPUTED_VALUE"""),"Metaxiz")</f>
        <v>Metaxiz</v>
      </c>
    </row>
    <row r="7526">
      <c r="A7526" s="3" t="str">
        <f>IFERROR(__xludf.DUMMYFUNCTION("""COMPUTED_VALUE"""),"metaxy")</f>
        <v>metaxy</v>
      </c>
      <c r="B7526" s="3" t="str">
        <f>IFERROR(__xludf.DUMMYFUNCTION("""COMPUTED_VALUE"""),"mxy")</f>
        <v>mxy</v>
      </c>
      <c r="C7526" s="3" t="str">
        <f>IFERROR(__xludf.DUMMYFUNCTION("""COMPUTED_VALUE"""),"Metaxy")</f>
        <v>Metaxy</v>
      </c>
    </row>
    <row r="7527">
      <c r="A7527" s="3" t="str">
        <f>IFERROR(__xludf.DUMMYFUNCTION("""COMPUTED_VALUE"""),"metayoka-spice")</f>
        <v>metayoka-spice</v>
      </c>
      <c r="B7527" s="3" t="str">
        <f>IFERROR(__xludf.DUMMYFUNCTION("""COMPUTED_VALUE"""),"spice")</f>
        <v>spice</v>
      </c>
      <c r="C7527" s="3" t="str">
        <f>IFERROR(__xludf.DUMMYFUNCTION("""COMPUTED_VALUE"""),"Metayoka Spice")</f>
        <v>Metayoka Spice</v>
      </c>
    </row>
    <row r="7528">
      <c r="A7528" s="3" t="str">
        <f>IFERROR(__xludf.DUMMYFUNCTION("""COMPUTED_VALUE"""),"meta-z")</f>
        <v>meta-z</v>
      </c>
      <c r="B7528" s="3" t="str">
        <f>IFERROR(__xludf.DUMMYFUNCTION("""COMPUTED_VALUE"""),"mzt")</f>
        <v>mzt</v>
      </c>
      <c r="C7528" s="3" t="str">
        <f>IFERROR(__xludf.DUMMYFUNCTION("""COMPUTED_VALUE"""),"Meta Z")</f>
        <v>Meta Z</v>
      </c>
    </row>
    <row r="7529">
      <c r="A7529" s="3" t="str">
        <f>IFERROR(__xludf.DUMMYFUNCTION("""COMPUTED_VALUE"""),"metazilla")</f>
        <v>metazilla</v>
      </c>
      <c r="B7529" s="3" t="str">
        <f>IFERROR(__xludf.DUMMYFUNCTION("""COMPUTED_VALUE"""),"mz")</f>
        <v>mz</v>
      </c>
      <c r="C7529" s="3" t="str">
        <f>IFERROR(__xludf.DUMMYFUNCTION("""COMPUTED_VALUE"""),"MetaZilla")</f>
        <v>MetaZilla</v>
      </c>
    </row>
    <row r="7530">
      <c r="A7530" s="3" t="str">
        <f>IFERROR(__xludf.DUMMYFUNCTION("""COMPUTED_VALUE"""),"metazombie")</f>
        <v>metazombie</v>
      </c>
      <c r="B7530" s="3" t="str">
        <f>IFERROR(__xludf.DUMMYFUNCTION("""COMPUTED_VALUE"""),"zombie")</f>
        <v>zombie</v>
      </c>
      <c r="C7530" s="3" t="str">
        <f>IFERROR(__xludf.DUMMYFUNCTION("""COMPUTED_VALUE"""),"MetaZombie")</f>
        <v>MetaZombie</v>
      </c>
    </row>
    <row r="7531">
      <c r="A7531" s="3" t="str">
        <f>IFERROR(__xludf.DUMMYFUNCTION("""COMPUTED_VALUE"""),"meteorite-network")</f>
        <v>meteorite-network</v>
      </c>
      <c r="B7531" s="3" t="str">
        <f>IFERROR(__xludf.DUMMYFUNCTION("""COMPUTED_VALUE"""),"meteor")</f>
        <v>meteor</v>
      </c>
      <c r="C7531" s="3" t="str">
        <f>IFERROR(__xludf.DUMMYFUNCTION("""COMPUTED_VALUE"""),"Meteorite Network")</f>
        <v>Meteorite Network</v>
      </c>
    </row>
    <row r="7532">
      <c r="A7532" s="3" t="str">
        <f>IFERROR(__xludf.DUMMYFUNCTION("""COMPUTED_VALUE"""),"meter")</f>
        <v>meter</v>
      </c>
      <c r="B7532" s="3" t="str">
        <f>IFERROR(__xludf.DUMMYFUNCTION("""COMPUTED_VALUE"""),"mtrg")</f>
        <v>mtrg</v>
      </c>
      <c r="C7532" s="3" t="str">
        <f>IFERROR(__xludf.DUMMYFUNCTION("""COMPUTED_VALUE"""),"Meter Governance")</f>
        <v>Meter Governance</v>
      </c>
    </row>
    <row r="7533">
      <c r="A7533" s="3" t="str">
        <f>IFERROR(__xludf.DUMMYFUNCTION("""COMPUTED_VALUE"""),"meter-governance-mapped-by-meter-io")</f>
        <v>meter-governance-mapped-by-meter-io</v>
      </c>
      <c r="B7533" s="3" t="str">
        <f>IFERROR(__xludf.DUMMYFUNCTION("""COMPUTED_VALUE"""),"emtrg")</f>
        <v>emtrg</v>
      </c>
      <c r="C7533" s="3" t="str">
        <f>IFERROR(__xludf.DUMMYFUNCTION("""COMPUTED_VALUE"""),"Meter Governance mapped by Meter.io")</f>
        <v>Meter Governance mapped by Meter.io</v>
      </c>
    </row>
    <row r="7534">
      <c r="A7534" s="3" t="str">
        <f>IFERROR(__xludf.DUMMYFUNCTION("""COMPUTED_VALUE"""),"meter-stable")</f>
        <v>meter-stable</v>
      </c>
      <c r="B7534" s="3" t="str">
        <f>IFERROR(__xludf.DUMMYFUNCTION("""COMPUTED_VALUE"""),"mtr")</f>
        <v>mtr</v>
      </c>
      <c r="C7534" s="3" t="str">
        <f>IFERROR(__xludf.DUMMYFUNCTION("""COMPUTED_VALUE"""),"Meter Stable")</f>
        <v>Meter Stable</v>
      </c>
    </row>
    <row r="7535">
      <c r="A7535" s="3" t="str">
        <f>IFERROR(__xludf.DUMMYFUNCTION("""COMPUTED_VALUE"""),"metfi")</f>
        <v>metfi</v>
      </c>
      <c r="B7535" s="3" t="str">
        <f>IFERROR(__xludf.DUMMYFUNCTION("""COMPUTED_VALUE"""),"mfi")</f>
        <v>mfi</v>
      </c>
      <c r="C7535" s="3" t="str">
        <f>IFERROR(__xludf.DUMMYFUNCTION("""COMPUTED_VALUE"""),"MetFi")</f>
        <v>MetFi</v>
      </c>
    </row>
    <row r="7536">
      <c r="A7536" s="3" t="str">
        <f>IFERROR(__xludf.DUMMYFUNCTION("""COMPUTED_VALUE"""),"metfx-watch-to-earn")</f>
        <v>metfx-watch-to-earn</v>
      </c>
      <c r="B7536" s="3" t="str">
        <f>IFERROR(__xludf.DUMMYFUNCTION("""COMPUTED_VALUE"""),"mfx")</f>
        <v>mfx</v>
      </c>
      <c r="C7536" s="3" t="str">
        <f>IFERROR(__xludf.DUMMYFUNCTION("""COMPUTED_VALUE"""),"METFX Watch To Earn")</f>
        <v>METFX Watch To Earn</v>
      </c>
    </row>
    <row r="7537">
      <c r="A7537" s="3" t="str">
        <f>IFERROR(__xludf.DUMMYFUNCTION("""COMPUTED_VALUE"""),"method-fi")</f>
        <v>method-fi</v>
      </c>
      <c r="B7537" s="3" t="str">
        <f>IFERROR(__xludf.DUMMYFUNCTION("""COMPUTED_VALUE"""),"mthd")</f>
        <v>mthd</v>
      </c>
      <c r="C7537" s="3" t="str">
        <f>IFERROR(__xludf.DUMMYFUNCTION("""COMPUTED_VALUE"""),"Method Finance")</f>
        <v>Method Finance</v>
      </c>
    </row>
    <row r="7538">
      <c r="A7538" s="3" t="str">
        <f>IFERROR(__xludf.DUMMYFUNCTION("""COMPUTED_VALUE"""),"metis")</f>
        <v>metis</v>
      </c>
      <c r="B7538" s="3" t="str">
        <f>IFERROR(__xludf.DUMMYFUNCTION("""COMPUTED_VALUE"""),"mts")</f>
        <v>mts</v>
      </c>
      <c r="C7538" s="3" t="str">
        <f>IFERROR(__xludf.DUMMYFUNCTION("""COMPUTED_VALUE"""),"Metis MTS")</f>
        <v>Metis MTS</v>
      </c>
    </row>
    <row r="7539">
      <c r="A7539" s="3" t="str">
        <f>IFERROR(__xludf.DUMMYFUNCTION("""COMPUTED_VALUE"""),"metis-token")</f>
        <v>metis-token</v>
      </c>
      <c r="B7539" s="3" t="str">
        <f>IFERROR(__xludf.DUMMYFUNCTION("""COMPUTED_VALUE"""),"metis")</f>
        <v>metis</v>
      </c>
      <c r="C7539" s="3" t="str">
        <f>IFERROR(__xludf.DUMMYFUNCTION("""COMPUTED_VALUE"""),"Metis")</f>
        <v>Metis</v>
      </c>
    </row>
    <row r="7540">
      <c r="A7540" s="3" t="str">
        <f>IFERROR(__xludf.DUMMYFUNCTION("""COMPUTED_VALUE"""),"metoo")</f>
        <v>metoo</v>
      </c>
      <c r="B7540" s="3" t="str">
        <f>IFERROR(__xludf.DUMMYFUNCTION("""COMPUTED_VALUE"""),"metoo")</f>
        <v>metoo</v>
      </c>
      <c r="C7540" s="3" t="str">
        <f>IFERROR(__xludf.DUMMYFUNCTION("""COMPUTED_VALUE"""),"Metoo")</f>
        <v>Metoo</v>
      </c>
    </row>
    <row r="7541">
      <c r="A7541" s="3" t="str">
        <f>IFERROR(__xludf.DUMMYFUNCTION("""COMPUTED_VALUE"""),"metoshi")</f>
        <v>metoshi</v>
      </c>
      <c r="B7541" s="3" t="str">
        <f>IFERROR(__xludf.DUMMYFUNCTION("""COMPUTED_VALUE"""),"meto")</f>
        <v>meto</v>
      </c>
      <c r="C7541" s="3" t="str">
        <f>IFERROR(__xludf.DUMMYFUNCTION("""COMPUTED_VALUE"""),"Metoshi")</f>
        <v>Metoshi</v>
      </c>
    </row>
    <row r="7542">
      <c r="A7542" s="3" t="str">
        <f>IFERROR(__xludf.DUMMYFUNCTION("""COMPUTED_VALUE"""),"metra")</f>
        <v>metra</v>
      </c>
      <c r="B7542" s="3" t="str">
        <f>IFERROR(__xludf.DUMMYFUNCTION("""COMPUTED_VALUE"""),"metra")</f>
        <v>metra</v>
      </c>
      <c r="C7542" s="3" t="str">
        <f>IFERROR(__xludf.DUMMYFUNCTION("""COMPUTED_VALUE"""),"Metra")</f>
        <v>Metra</v>
      </c>
    </row>
    <row r="7543">
      <c r="A7543" s="3" t="str">
        <f>IFERROR(__xludf.DUMMYFUNCTION("""COMPUTED_VALUE"""),"metria")</f>
        <v>metria</v>
      </c>
      <c r="B7543" s="3" t="str">
        <f>IFERROR(__xludf.DUMMYFUNCTION("""COMPUTED_VALUE"""),"metr")</f>
        <v>metr</v>
      </c>
      <c r="C7543" s="3" t="str">
        <f>IFERROR(__xludf.DUMMYFUNCTION("""COMPUTED_VALUE"""),"Metria Network")</f>
        <v>Metria Network</v>
      </c>
    </row>
    <row r="7544">
      <c r="A7544" s="3" t="str">
        <f>IFERROR(__xludf.DUMMYFUNCTION("""COMPUTED_VALUE"""),"metric-exchange")</f>
        <v>metric-exchange</v>
      </c>
      <c r="B7544" s="3" t="str">
        <f>IFERROR(__xludf.DUMMYFUNCTION("""COMPUTED_VALUE"""),"metric")</f>
        <v>metric</v>
      </c>
      <c r="C7544" s="3" t="str">
        <f>IFERROR(__xludf.DUMMYFUNCTION("""COMPUTED_VALUE"""),"MetricExchange")</f>
        <v>MetricExchange</v>
      </c>
    </row>
    <row r="7545">
      <c r="A7545" s="3" t="str">
        <f>IFERROR(__xludf.DUMMYFUNCTION("""COMPUTED_VALUE"""),"metronome")</f>
        <v>metronome</v>
      </c>
      <c r="B7545" s="3" t="str">
        <f>IFERROR(__xludf.DUMMYFUNCTION("""COMPUTED_VALUE"""),"met")</f>
        <v>met</v>
      </c>
      <c r="C7545" s="3" t="str">
        <f>IFERROR(__xludf.DUMMYFUNCTION("""COMPUTED_VALUE"""),"Metronome")</f>
        <v>Metronome</v>
      </c>
    </row>
    <row r="7546">
      <c r="A7546" s="3" t="str">
        <f>IFERROR(__xludf.DUMMYFUNCTION("""COMPUTED_VALUE"""),"metroverse")</f>
        <v>metroverse</v>
      </c>
      <c r="B7546" s="3" t="str">
        <f>IFERROR(__xludf.DUMMYFUNCTION("""COMPUTED_VALUE"""),"met")</f>
        <v>met</v>
      </c>
      <c r="C7546" s="3" t="str">
        <f>IFERROR(__xludf.DUMMYFUNCTION("""COMPUTED_VALUE"""),"Metroverse")</f>
        <v>Metroverse</v>
      </c>
    </row>
    <row r="7547">
      <c r="A7547" s="3" t="str">
        <f>IFERROR(__xludf.DUMMYFUNCTION("""COMPUTED_VALUE"""),"mettalex")</f>
        <v>mettalex</v>
      </c>
      <c r="B7547" s="3" t="str">
        <f>IFERROR(__xludf.DUMMYFUNCTION("""COMPUTED_VALUE"""),"mtlx")</f>
        <v>mtlx</v>
      </c>
      <c r="C7547" s="3" t="str">
        <f>IFERROR(__xludf.DUMMYFUNCTION("""COMPUTED_VALUE"""),"Mettalex")</f>
        <v>Mettalex</v>
      </c>
    </row>
    <row r="7548">
      <c r="A7548" s="3" t="str">
        <f>IFERROR(__xludf.DUMMYFUNCTION("""COMPUTED_VALUE"""),"metti-inu")</f>
        <v>metti-inu</v>
      </c>
      <c r="B7548" s="3" t="str">
        <f>IFERROR(__xludf.DUMMYFUNCTION("""COMPUTED_VALUE"""),"metti")</f>
        <v>metti</v>
      </c>
      <c r="C7548" s="3" t="str">
        <f>IFERROR(__xludf.DUMMYFUNCTION("""COMPUTED_VALUE"""),"Metti Inu")</f>
        <v>Metti Inu</v>
      </c>
    </row>
    <row r="7549">
      <c r="A7549" s="3" t="str">
        <f>IFERROR(__xludf.DUMMYFUNCTION("""COMPUTED_VALUE"""),"meverse")</f>
        <v>meverse</v>
      </c>
      <c r="B7549" s="3" t="str">
        <f>IFERROR(__xludf.DUMMYFUNCTION("""COMPUTED_VALUE"""),"mev")</f>
        <v>mev</v>
      </c>
      <c r="C7549" s="3" t="str">
        <f>IFERROR(__xludf.DUMMYFUNCTION("""COMPUTED_VALUE"""),"MEVerse")</f>
        <v>MEVerse</v>
      </c>
    </row>
    <row r="7550">
      <c r="A7550" s="3" t="str">
        <f>IFERROR(__xludf.DUMMYFUNCTION("""COMPUTED_VALUE"""),"mewtwo-inu")</f>
        <v>mewtwo-inu</v>
      </c>
      <c r="B7550" s="3" t="str">
        <f>IFERROR(__xludf.DUMMYFUNCTION("""COMPUTED_VALUE"""),"mewtwo")</f>
        <v>mewtwo</v>
      </c>
      <c r="C7550" s="3" t="str">
        <f>IFERROR(__xludf.DUMMYFUNCTION("""COMPUTED_VALUE"""),"Mewtwo Inu")</f>
        <v>Mewtwo Inu</v>
      </c>
    </row>
    <row r="7551">
      <c r="A7551" s="3" t="str">
        <f>IFERROR(__xludf.DUMMYFUNCTION("""COMPUTED_VALUE"""),"mex")</f>
        <v>mex</v>
      </c>
      <c r="B7551" s="3" t="str">
        <f>IFERROR(__xludf.DUMMYFUNCTION("""COMPUTED_VALUE"""),"mex")</f>
        <v>mex</v>
      </c>
      <c r="C7551" s="3" t="str">
        <f>IFERROR(__xludf.DUMMYFUNCTION("""COMPUTED_VALUE"""),"MEX")</f>
        <v>MEX</v>
      </c>
    </row>
    <row r="7552">
      <c r="A7552" s="3" t="str">
        <f>IFERROR(__xludf.DUMMYFUNCTION("""COMPUTED_VALUE"""),"mexc-football-fan-token-index")</f>
        <v>mexc-football-fan-token-index</v>
      </c>
      <c r="B7552" s="3" t="str">
        <f>IFERROR(__xludf.DUMMYFUNCTION("""COMPUTED_VALUE"""),"football")</f>
        <v>football</v>
      </c>
      <c r="C7552" s="3" t="str">
        <f>IFERROR(__xludf.DUMMYFUNCTION("""COMPUTED_VALUE"""),"MEXC Football Fan Token Index")</f>
        <v>MEXC Football Fan Token Index</v>
      </c>
    </row>
    <row r="7553">
      <c r="A7553" s="3" t="str">
        <f>IFERROR(__xludf.DUMMYFUNCTION("""COMPUTED_VALUE"""),"mexican-peso-tether")</f>
        <v>mexican-peso-tether</v>
      </c>
      <c r="B7553" s="3" t="str">
        <f>IFERROR(__xludf.DUMMYFUNCTION("""COMPUTED_VALUE"""),"mxnt")</f>
        <v>mxnt</v>
      </c>
      <c r="C7553" s="3" t="str">
        <f>IFERROR(__xludf.DUMMYFUNCTION("""COMPUTED_VALUE"""),"Mexican Peso Tether")</f>
        <v>Mexican Peso Tether</v>
      </c>
    </row>
    <row r="7554">
      <c r="A7554" s="3" t="str">
        <f>IFERROR(__xludf.DUMMYFUNCTION("""COMPUTED_VALUE"""),"mfet")</f>
        <v>mfet</v>
      </c>
      <c r="B7554" s="3" t="str">
        <f>IFERROR(__xludf.DUMMYFUNCTION("""COMPUTED_VALUE"""),"mfet")</f>
        <v>mfet</v>
      </c>
      <c r="C7554" s="3" t="str">
        <f>IFERROR(__xludf.DUMMYFUNCTION("""COMPUTED_VALUE"""),"MFET")</f>
        <v>MFET</v>
      </c>
    </row>
    <row r="7555">
      <c r="A7555" s="3" t="str">
        <f>IFERROR(__xludf.DUMMYFUNCTION("""COMPUTED_VALUE"""),"mg-social")</f>
        <v>mg-social</v>
      </c>
      <c r="B7555" s="3" t="str">
        <f>IFERROR(__xludf.DUMMYFUNCTION("""COMPUTED_VALUE"""),"mgs")</f>
        <v>mgs</v>
      </c>
      <c r="C7555" s="3" t="str">
        <f>IFERROR(__xludf.DUMMYFUNCTION("""COMPUTED_VALUE"""),"MG.Social")</f>
        <v>MG.Social</v>
      </c>
    </row>
    <row r="7556">
      <c r="A7556" s="3" t="str">
        <f>IFERROR(__xludf.DUMMYFUNCTION("""COMPUTED_VALUE"""),"miamicoin")</f>
        <v>miamicoin</v>
      </c>
      <c r="B7556" s="3" t="str">
        <f>IFERROR(__xludf.DUMMYFUNCTION("""COMPUTED_VALUE"""),"mia")</f>
        <v>mia</v>
      </c>
      <c r="C7556" s="3" t="str">
        <f>IFERROR(__xludf.DUMMYFUNCTION("""COMPUTED_VALUE"""),"MiamiCoin")</f>
        <v>MiamiCoin</v>
      </c>
    </row>
    <row r="7557">
      <c r="A7557" s="3" t="str">
        <f>IFERROR(__xludf.DUMMYFUNCTION("""COMPUTED_VALUE"""),"mib-coin")</f>
        <v>mib-coin</v>
      </c>
      <c r="B7557" s="3" t="str">
        <f>IFERROR(__xludf.DUMMYFUNCTION("""COMPUTED_VALUE"""),"mib")</f>
        <v>mib</v>
      </c>
      <c r="C7557" s="3" t="str">
        <f>IFERROR(__xludf.DUMMYFUNCTION("""COMPUTED_VALUE"""),"MIB Coin")</f>
        <v>MIB Coin</v>
      </c>
    </row>
    <row r="7558">
      <c r="A7558" s="3" t="str">
        <f>IFERROR(__xludf.DUMMYFUNCTION("""COMPUTED_VALUE"""),"mibr-fan-token")</f>
        <v>mibr-fan-token</v>
      </c>
      <c r="B7558" s="3" t="str">
        <f>IFERROR(__xludf.DUMMYFUNCTION("""COMPUTED_VALUE"""),"mibr")</f>
        <v>mibr</v>
      </c>
      <c r="C7558" s="3" t="str">
        <f>IFERROR(__xludf.DUMMYFUNCTION("""COMPUTED_VALUE"""),"MIBR Fan Token")</f>
        <v>MIBR Fan Token</v>
      </c>
    </row>
    <row r="7559">
      <c r="A7559" s="3" t="str">
        <f>IFERROR(__xludf.DUMMYFUNCTION("""COMPUTED_VALUE"""),"microbitcoin")</f>
        <v>microbitcoin</v>
      </c>
      <c r="B7559" s="3" t="str">
        <f>IFERROR(__xludf.DUMMYFUNCTION("""COMPUTED_VALUE"""),"mbc")</f>
        <v>mbc</v>
      </c>
      <c r="C7559" s="3" t="str">
        <f>IFERROR(__xludf.DUMMYFUNCTION("""COMPUTED_VALUE"""),"MicroBitcoin")</f>
        <v>MicroBitcoin</v>
      </c>
    </row>
    <row r="7560">
      <c r="A7560" s="3" t="str">
        <f>IFERROR(__xludf.DUMMYFUNCTION("""COMPUTED_VALUE"""),"micro-bitcoin-finance")</f>
        <v>micro-bitcoin-finance</v>
      </c>
      <c r="B7560" s="3" t="str">
        <f>IFERROR(__xludf.DUMMYFUNCTION("""COMPUTED_VALUE"""),"mbtc")</f>
        <v>mbtc</v>
      </c>
      <c r="C7560" s="3" t="str">
        <f>IFERROR(__xludf.DUMMYFUNCTION("""COMPUTED_VALUE"""),"Micro Bitcoin Finance")</f>
        <v>Micro Bitcoin Finance</v>
      </c>
    </row>
    <row r="7561">
      <c r="A7561" s="3" t="str">
        <f>IFERROR(__xludf.DUMMYFUNCTION("""COMPUTED_VALUE"""),"microchains-gov-token")</f>
        <v>microchains-gov-token</v>
      </c>
      <c r="B7561" s="3" t="str">
        <f>IFERROR(__xludf.DUMMYFUNCTION("""COMPUTED_VALUE"""),"mcg")</f>
        <v>mcg</v>
      </c>
      <c r="C7561" s="3" t="str">
        <f>IFERROR(__xludf.DUMMYFUNCTION("""COMPUTED_VALUE"""),"MicroChains Gov Token")</f>
        <v>MicroChains Gov Token</v>
      </c>
    </row>
    <row r="7562">
      <c r="A7562" s="3" t="str">
        <f>IFERROR(__xludf.DUMMYFUNCTION("""COMPUTED_VALUE"""),"microcoin")</f>
        <v>microcoin</v>
      </c>
      <c r="B7562" s="3" t="str">
        <f>IFERROR(__xludf.DUMMYFUNCTION("""COMPUTED_VALUE"""),"mcc")</f>
        <v>mcc</v>
      </c>
      <c r="C7562" s="3" t="str">
        <f>IFERROR(__xludf.DUMMYFUNCTION("""COMPUTED_VALUE"""),"MicroCoin")</f>
        <v>MicroCoin</v>
      </c>
    </row>
    <row r="7563">
      <c r="A7563" s="3" t="str">
        <f>IFERROR(__xludf.DUMMYFUNCTION("""COMPUTED_VALUE"""),"microcosm")</f>
        <v>microcosm</v>
      </c>
      <c r="B7563" s="3" t="str">
        <f>IFERROR(__xludf.DUMMYFUNCTION("""COMPUTED_VALUE"""),"mic")</f>
        <v>mic</v>
      </c>
      <c r="C7563" s="3" t="str">
        <f>IFERROR(__xludf.DUMMYFUNCTION("""COMPUTED_VALUE"""),"Microcosm")</f>
        <v>Microcosm</v>
      </c>
    </row>
    <row r="7564">
      <c r="A7564" s="3" t="str">
        <f>IFERROR(__xludf.DUMMYFUNCTION("""COMPUTED_VALUE"""),"microcredittoken")</f>
        <v>microcredittoken</v>
      </c>
      <c r="B7564" s="3" t="str">
        <f>IFERROR(__xludf.DUMMYFUNCTION("""COMPUTED_VALUE"""),"1mct")</f>
        <v>1mct</v>
      </c>
      <c r="C7564" s="3" t="str">
        <f>IFERROR(__xludf.DUMMYFUNCTION("""COMPUTED_VALUE"""),"MicroCredit")</f>
        <v>MicroCredit</v>
      </c>
    </row>
    <row r="7565">
      <c r="A7565" s="3" t="str">
        <f>IFERROR(__xludf.DUMMYFUNCTION("""COMPUTED_VALUE"""),"micromines")</f>
        <v>micromines</v>
      </c>
      <c r="B7565" s="3" t="str">
        <f>IFERROR(__xludf.DUMMYFUNCTION("""COMPUTED_VALUE"""),"micro")</f>
        <v>micro</v>
      </c>
      <c r="C7565" s="3" t="str">
        <f>IFERROR(__xludf.DUMMYFUNCTION("""COMPUTED_VALUE"""),"Micromines")</f>
        <v>Micromines</v>
      </c>
    </row>
    <row r="7566">
      <c r="A7566" s="3" t="str">
        <f>IFERROR(__xludf.DUMMYFUNCTION("""COMPUTED_VALUE"""),"micromoney")</f>
        <v>micromoney</v>
      </c>
      <c r="B7566" s="3" t="str">
        <f>IFERROR(__xludf.DUMMYFUNCTION("""COMPUTED_VALUE"""),"amm")</f>
        <v>amm</v>
      </c>
      <c r="C7566" s="3" t="str">
        <f>IFERROR(__xludf.DUMMYFUNCTION("""COMPUTED_VALUE"""),"MicroMoney")</f>
        <v>MicroMoney</v>
      </c>
    </row>
    <row r="7567">
      <c r="A7567" s="3" t="str">
        <f>IFERROR(__xludf.DUMMYFUNCTION("""COMPUTED_VALUE"""),"micronft")</f>
        <v>micronft</v>
      </c>
      <c r="B7567" s="3" t="str">
        <f>IFERROR(__xludf.DUMMYFUNCTION("""COMPUTED_VALUE"""),"mnt")</f>
        <v>mnt</v>
      </c>
      <c r="C7567" s="3" t="str">
        <f>IFERROR(__xludf.DUMMYFUNCTION("""COMPUTED_VALUE"""),"microNFT")</f>
        <v>microNFT</v>
      </c>
    </row>
    <row r="7568">
      <c r="A7568" s="3" t="str">
        <f>IFERROR(__xludf.DUMMYFUNCTION("""COMPUTED_VALUE"""),"micropets")</f>
        <v>micropets</v>
      </c>
      <c r="B7568" s="3" t="str">
        <f>IFERROR(__xludf.DUMMYFUNCTION("""COMPUTED_VALUE"""),"pets")</f>
        <v>pets</v>
      </c>
      <c r="C7568" s="3" t="str">
        <f>IFERROR(__xludf.DUMMYFUNCTION("""COMPUTED_VALUE"""),"MicroPets")</f>
        <v>MicroPets</v>
      </c>
    </row>
    <row r="7569">
      <c r="A7569" s="3" t="str">
        <f>IFERROR(__xludf.DUMMYFUNCTION("""COMPUTED_VALUE"""),"micro-santa-coin")</f>
        <v>micro-santa-coin</v>
      </c>
      <c r="B7569" s="3" t="str">
        <f>IFERROR(__xludf.DUMMYFUNCTION("""COMPUTED_VALUE"""),"microsanta")</f>
        <v>microsanta</v>
      </c>
      <c r="C7569" s="3" t="str">
        <f>IFERROR(__xludf.DUMMYFUNCTION("""COMPUTED_VALUE"""),"Micro Santa Coin")</f>
        <v>Micro Santa Coin</v>
      </c>
    </row>
    <row r="7570">
      <c r="A7570" s="3" t="str">
        <f>IFERROR(__xludf.DUMMYFUNCTION("""COMPUTED_VALUE"""),"microsoft-tokenized-stock-defichain")</f>
        <v>microsoft-tokenized-stock-defichain</v>
      </c>
      <c r="B7570" s="3" t="str">
        <f>IFERROR(__xludf.DUMMYFUNCTION("""COMPUTED_VALUE"""),"dmsft")</f>
        <v>dmsft</v>
      </c>
      <c r="C7570" s="3" t="str">
        <f>IFERROR(__xludf.DUMMYFUNCTION("""COMPUTED_VALUE"""),"Microsoft Tokenized Stock Defichain")</f>
        <v>Microsoft Tokenized Stock Defichain</v>
      </c>
    </row>
    <row r="7571">
      <c r="A7571" s="3" t="str">
        <f>IFERROR(__xludf.DUMMYFUNCTION("""COMPUTED_VALUE"""),"microtick")</f>
        <v>microtick</v>
      </c>
      <c r="B7571" s="3" t="str">
        <f>IFERROR(__xludf.DUMMYFUNCTION("""COMPUTED_VALUE"""),"tick")</f>
        <v>tick</v>
      </c>
      <c r="C7571" s="3" t="str">
        <f>IFERROR(__xludf.DUMMYFUNCTION("""COMPUTED_VALUE"""),"Microtick")</f>
        <v>Microtick</v>
      </c>
    </row>
    <row r="7572">
      <c r="A7572" s="3" t="str">
        <f>IFERROR(__xludf.DUMMYFUNCTION("""COMPUTED_VALUE"""),"microtuber")</f>
        <v>microtuber</v>
      </c>
      <c r="B7572" s="3" t="str">
        <f>IFERROR(__xludf.DUMMYFUNCTION("""COMPUTED_VALUE"""),"mct")</f>
        <v>mct</v>
      </c>
      <c r="C7572" s="3" t="str">
        <f>IFERROR(__xludf.DUMMYFUNCTION("""COMPUTED_VALUE"""),"MicroTuber")</f>
        <v>MicroTuber</v>
      </c>
    </row>
    <row r="7573">
      <c r="A7573" s="3" t="str">
        <f>IFERROR(__xludf.DUMMYFUNCTION("""COMPUTED_VALUE"""),"mida")</f>
        <v>mida</v>
      </c>
      <c r="B7573" s="3" t="str">
        <f>IFERROR(__xludf.DUMMYFUNCTION("""COMPUTED_VALUE"""),"mida")</f>
        <v>mida</v>
      </c>
      <c r="C7573" s="3" t="str">
        <f>IFERROR(__xludf.DUMMYFUNCTION("""COMPUTED_VALUE"""),"MIDA")</f>
        <v>MIDA</v>
      </c>
    </row>
    <row r="7574">
      <c r="A7574" s="3" t="str">
        <f>IFERROR(__xludf.DUMMYFUNCTION("""COMPUTED_VALUE"""),"midas")</f>
        <v>midas</v>
      </c>
      <c r="B7574" s="3" t="str">
        <f>IFERROR(__xludf.DUMMYFUNCTION("""COMPUTED_VALUE"""),"midas")</f>
        <v>midas</v>
      </c>
      <c r="C7574" s="3" t="str">
        <f>IFERROR(__xludf.DUMMYFUNCTION("""COMPUTED_VALUE"""),"Midas")</f>
        <v>Midas</v>
      </c>
    </row>
    <row r="7575">
      <c r="A7575" s="3" t="str">
        <f>IFERROR(__xludf.DUMMYFUNCTION("""COMPUTED_VALUE"""),"midas-miner")</f>
        <v>midas-miner</v>
      </c>
      <c r="B7575" s="3" t="str">
        <f>IFERROR(__xludf.DUMMYFUNCTION("""COMPUTED_VALUE"""),"mmi")</f>
        <v>mmi</v>
      </c>
      <c r="C7575" s="3" t="str">
        <f>IFERROR(__xludf.DUMMYFUNCTION("""COMPUTED_VALUE"""),"Midas Miner")</f>
        <v>Midas Miner</v>
      </c>
    </row>
    <row r="7576">
      <c r="A7576" s="3" t="str">
        <f>IFERROR(__xludf.DUMMYFUNCTION("""COMPUTED_VALUE"""),"midas-protocol")</f>
        <v>midas-protocol</v>
      </c>
      <c r="B7576" s="3" t="str">
        <f>IFERROR(__xludf.DUMMYFUNCTION("""COMPUTED_VALUE"""),"mas")</f>
        <v>mas</v>
      </c>
      <c r="C7576" s="3" t="str">
        <f>IFERROR(__xludf.DUMMYFUNCTION("""COMPUTED_VALUE"""),"Midas Protocol")</f>
        <v>Midas Protocol</v>
      </c>
    </row>
    <row r="7577">
      <c r="A7577" s="3" t="str">
        <f>IFERROR(__xludf.DUMMYFUNCTION("""COMPUTED_VALUE"""),"mie-network")</f>
        <v>mie-network</v>
      </c>
      <c r="B7577" s="3" t="str">
        <f>IFERROR(__xludf.DUMMYFUNCTION("""COMPUTED_VALUE"""),"mie")</f>
        <v>mie</v>
      </c>
      <c r="C7577" s="3" t="str">
        <f>IFERROR(__xludf.DUMMYFUNCTION("""COMPUTED_VALUE"""),"MIE Network")</f>
        <v>MIE Network</v>
      </c>
    </row>
    <row r="7578">
      <c r="A7578" s="3" t="str">
        <f>IFERROR(__xludf.DUMMYFUNCTION("""COMPUTED_VALUE"""),"miidas")</f>
        <v>miidas</v>
      </c>
      <c r="B7578" s="3" t="str">
        <f>IFERROR(__xludf.DUMMYFUNCTION("""COMPUTED_VALUE"""),"miidas")</f>
        <v>miidas</v>
      </c>
      <c r="C7578" s="3" t="str">
        <f>IFERROR(__xludf.DUMMYFUNCTION("""COMPUTED_VALUE"""),"Miidas")</f>
        <v>Miidas</v>
      </c>
    </row>
    <row r="7579">
      <c r="A7579" s="3" t="str">
        <f>IFERROR(__xludf.DUMMYFUNCTION("""COMPUTED_VALUE"""),"miku")</f>
        <v>miku</v>
      </c>
      <c r="B7579" s="3" t="str">
        <f>IFERROR(__xludf.DUMMYFUNCTION("""COMPUTED_VALUE"""),"miku")</f>
        <v>miku</v>
      </c>
      <c r="C7579" s="3" t="str">
        <f>IFERROR(__xludf.DUMMYFUNCTION("""COMPUTED_VALUE"""),"Miku")</f>
        <v>Miku</v>
      </c>
    </row>
    <row r="7580">
      <c r="A7580" s="3" t="str">
        <f>IFERROR(__xludf.DUMMYFUNCTION("""COMPUTED_VALUE"""),"milady-vault-nftx")</f>
        <v>milady-vault-nftx</v>
      </c>
      <c r="B7580" s="3" t="str">
        <f>IFERROR(__xludf.DUMMYFUNCTION("""COMPUTED_VALUE"""),"milady")</f>
        <v>milady</v>
      </c>
      <c r="C7580" s="3" t="str">
        <f>IFERROR(__xludf.DUMMYFUNCTION("""COMPUTED_VALUE"""),"Milady Vault (NFTX)")</f>
        <v>Milady Vault (NFTX)</v>
      </c>
    </row>
    <row r="7581">
      <c r="A7581" s="3" t="str">
        <f>IFERROR(__xludf.DUMMYFUNCTION("""COMPUTED_VALUE"""),"milestonebased")</f>
        <v>milestonebased</v>
      </c>
      <c r="B7581" s="3" t="str">
        <f>IFERROR(__xludf.DUMMYFUNCTION("""COMPUTED_VALUE"""),"mile")</f>
        <v>mile</v>
      </c>
      <c r="C7581" s="3" t="str">
        <f>IFERROR(__xludf.DUMMYFUNCTION("""COMPUTED_VALUE"""),"milestoneBased")</f>
        <v>milestoneBased</v>
      </c>
    </row>
    <row r="7582">
      <c r="A7582" s="3" t="str">
        <f>IFERROR(__xludf.DUMMYFUNCTION("""COMPUTED_VALUE"""),"mileverse")</f>
        <v>mileverse</v>
      </c>
      <c r="B7582" s="3" t="str">
        <f>IFERROR(__xludf.DUMMYFUNCTION("""COMPUTED_VALUE"""),"mvc")</f>
        <v>mvc</v>
      </c>
      <c r="C7582" s="3" t="str">
        <f>IFERROR(__xludf.DUMMYFUNCTION("""COMPUTED_VALUE"""),"MileVerse")</f>
        <v>MileVerse</v>
      </c>
    </row>
    <row r="7583">
      <c r="A7583" s="3" t="str">
        <f>IFERROR(__xludf.DUMMYFUNCTION("""COMPUTED_VALUE"""),"milf-finance")</f>
        <v>milf-finance</v>
      </c>
      <c r="B7583" s="3" t="str">
        <f>IFERROR(__xludf.DUMMYFUNCTION("""COMPUTED_VALUE"""),"milf")</f>
        <v>milf</v>
      </c>
      <c r="C7583" s="3" t="str">
        <f>IFERROR(__xludf.DUMMYFUNCTION("""COMPUTED_VALUE"""),"MILF Finance")</f>
        <v>MILF Finance</v>
      </c>
    </row>
    <row r="7584">
      <c r="A7584" s="3" t="str">
        <f>IFERROR(__xludf.DUMMYFUNCTION("""COMPUTED_VALUE"""),"military-finance")</f>
        <v>military-finance</v>
      </c>
      <c r="B7584" s="3" t="str">
        <f>IFERROR(__xludf.DUMMYFUNCTION("""COMPUTED_VALUE"""),"mil")</f>
        <v>mil</v>
      </c>
      <c r="C7584" s="3" t="str">
        <f>IFERROR(__xludf.DUMMYFUNCTION("""COMPUTED_VALUE"""),"Military Finance")</f>
        <v>Military Finance</v>
      </c>
    </row>
    <row r="7585">
      <c r="A7585" s="3" t="str">
        <f>IFERROR(__xludf.DUMMYFUNCTION("""COMPUTED_VALUE"""),"militia-games")</f>
        <v>militia-games</v>
      </c>
      <c r="B7585" s="3" t="str">
        <f>IFERROR(__xludf.DUMMYFUNCTION("""COMPUTED_VALUE"""),"milit")</f>
        <v>milit</v>
      </c>
      <c r="C7585" s="3" t="str">
        <f>IFERROR(__xludf.DUMMYFUNCTION("""COMPUTED_VALUE"""),"Militia Games")</f>
        <v>Militia Games</v>
      </c>
    </row>
    <row r="7586">
      <c r="A7586" s="3" t="str">
        <f>IFERROR(__xludf.DUMMYFUNCTION("""COMPUTED_VALUE"""),"milk")</f>
        <v>milk</v>
      </c>
      <c r="B7586" s="3" t="str">
        <f>IFERROR(__xludf.DUMMYFUNCTION("""COMPUTED_VALUE"""),"milk")</f>
        <v>milk</v>
      </c>
      <c r="C7586" s="3" t="str">
        <f>IFERROR(__xludf.DUMMYFUNCTION("""COMPUTED_VALUE"""),"Cool Cats Milk")</f>
        <v>Cool Cats Milk</v>
      </c>
    </row>
    <row r="7587">
      <c r="A7587" s="3" t="str">
        <f>IFERROR(__xludf.DUMMYFUNCTION("""COMPUTED_VALUE"""),"milk2")</f>
        <v>milk2</v>
      </c>
      <c r="B7587" s="3" t="str">
        <f>IFERROR(__xludf.DUMMYFUNCTION("""COMPUTED_VALUE"""),"milk")</f>
        <v>milk</v>
      </c>
      <c r="C7587" s="3" t="str">
        <f>IFERROR(__xludf.DUMMYFUNCTION("""COMPUTED_VALUE"""),"CashCow Protocol Milk")</f>
        <v>CashCow Protocol Milk</v>
      </c>
    </row>
    <row r="7588">
      <c r="A7588" s="3" t="str">
        <f>IFERROR(__xludf.DUMMYFUNCTION("""COMPUTED_VALUE"""),"milk-alliance")</f>
        <v>milk-alliance</v>
      </c>
      <c r="B7588" s="3" t="str">
        <f>IFERROR(__xludf.DUMMYFUNCTION("""COMPUTED_VALUE"""),"mlk")</f>
        <v>mlk</v>
      </c>
      <c r="C7588" s="3" t="str">
        <f>IFERROR(__xludf.DUMMYFUNCTION("""COMPUTED_VALUE"""),"MiL.k Alliance")</f>
        <v>MiL.k Alliance</v>
      </c>
    </row>
    <row r="7589">
      <c r="A7589" s="3" t="str">
        <f>IFERROR(__xludf.DUMMYFUNCTION("""COMPUTED_VALUE"""),"milk-and-butter")</f>
        <v>milk-and-butter</v>
      </c>
      <c r="B7589" s="3" t="str">
        <f>IFERROR(__xludf.DUMMYFUNCTION("""COMPUTED_VALUE"""),"mb")</f>
        <v>mb</v>
      </c>
      <c r="C7589" s="3" t="str">
        <f>IFERROR(__xludf.DUMMYFUNCTION("""COMPUTED_VALUE"""),"Milk and Butter")</f>
        <v>Milk and Butter</v>
      </c>
    </row>
    <row r="7590">
      <c r="A7590" s="3" t="str">
        <f>IFERROR(__xludf.DUMMYFUNCTION("""COMPUTED_VALUE"""),"milkshakeswap")</f>
        <v>milkshakeswap</v>
      </c>
      <c r="B7590" s="3" t="str">
        <f>IFERROR(__xludf.DUMMYFUNCTION("""COMPUTED_VALUE"""),"milk")</f>
        <v>milk</v>
      </c>
      <c r="C7590" s="3" t="str">
        <f>IFERROR(__xludf.DUMMYFUNCTION("""COMPUTED_VALUE"""),"Milkshake Swap")</f>
        <v>Milkshake Swap</v>
      </c>
    </row>
    <row r="7591">
      <c r="A7591" s="3" t="str">
        <f>IFERROR(__xludf.DUMMYFUNCTION("""COMPUTED_VALUE"""),"milkshiba")</f>
        <v>milkshiba</v>
      </c>
      <c r="B7591" s="3" t="str">
        <f>IFERROR(__xludf.DUMMYFUNCTION("""COMPUTED_VALUE"""),"mshib")</f>
        <v>mshib</v>
      </c>
      <c r="C7591" s="3" t="str">
        <f>IFERROR(__xludf.DUMMYFUNCTION("""COMPUTED_VALUE"""),"MilkShiba")</f>
        <v>MilkShiba</v>
      </c>
    </row>
    <row r="7592">
      <c r="A7592" s="3" t="str">
        <f>IFERROR(__xludf.DUMMYFUNCTION("""COMPUTED_VALUE"""),"milky-finance")</f>
        <v>milky-finance</v>
      </c>
      <c r="B7592" s="3" t="str">
        <f>IFERROR(__xludf.DUMMYFUNCTION("""COMPUTED_VALUE"""),"mifi")</f>
        <v>mifi</v>
      </c>
      <c r="C7592" s="3" t="str">
        <f>IFERROR(__xludf.DUMMYFUNCTION("""COMPUTED_VALUE"""),"Milky Finance")</f>
        <v>Milky Finance</v>
      </c>
    </row>
    <row r="7593">
      <c r="A7593" s="3" t="str">
        <f>IFERROR(__xludf.DUMMYFUNCTION("""COMPUTED_VALUE"""),"milkyswap")</f>
        <v>milkyswap</v>
      </c>
      <c r="B7593" s="3" t="str">
        <f>IFERROR(__xludf.DUMMYFUNCTION("""COMPUTED_VALUE"""),"milky")</f>
        <v>milky</v>
      </c>
      <c r="C7593" s="3" t="str">
        <f>IFERROR(__xludf.DUMMYFUNCTION("""COMPUTED_VALUE"""),"MilkySwap")</f>
        <v>MilkySwap</v>
      </c>
    </row>
    <row r="7594">
      <c r="A7594" s="3" t="str">
        <f>IFERROR(__xludf.DUMMYFUNCTION("""COMPUTED_VALUE"""),"milky-token")</f>
        <v>milky-token</v>
      </c>
      <c r="B7594" s="3" t="str">
        <f>IFERROR(__xludf.DUMMYFUNCTION("""COMPUTED_VALUE"""),"milky")</f>
        <v>milky</v>
      </c>
      <c r="C7594" s="3" t="str">
        <f>IFERROR(__xludf.DUMMYFUNCTION("""COMPUTED_VALUE"""),"Milky")</f>
        <v>Milky</v>
      </c>
    </row>
    <row r="7595">
      <c r="A7595" s="3" t="str">
        <f>IFERROR(__xludf.DUMMYFUNCTION("""COMPUTED_VALUE"""),"milkyway")</f>
        <v>milkyway</v>
      </c>
      <c r="B7595" s="3" t="str">
        <f>IFERROR(__xludf.DUMMYFUNCTION("""COMPUTED_VALUE"""),"milky")</f>
        <v>milky</v>
      </c>
      <c r="C7595" s="3" t="str">
        <f>IFERROR(__xludf.DUMMYFUNCTION("""COMPUTED_VALUE"""),"MilkyWay")</f>
        <v>MilkyWay</v>
      </c>
    </row>
    <row r="7596">
      <c r="A7596" s="3" t="str">
        <f>IFERROR(__xludf.DUMMYFUNCTION("""COMPUTED_VALUE"""),"milkywayex")</f>
        <v>milkywayex</v>
      </c>
      <c r="B7596" s="3" t="str">
        <f>IFERROR(__xludf.DUMMYFUNCTION("""COMPUTED_VALUE"""),"milky")</f>
        <v>milky</v>
      </c>
      <c r="C7596" s="3" t="str">
        <f>IFERROR(__xludf.DUMMYFUNCTION("""COMPUTED_VALUE"""),"MilkyWayEx")</f>
        <v>MilkyWayEx</v>
      </c>
    </row>
    <row r="7597">
      <c r="A7597" s="3" t="str">
        <f>IFERROR(__xludf.DUMMYFUNCTION("""COMPUTED_VALUE"""),"millenniumclub")</f>
        <v>millenniumclub</v>
      </c>
      <c r="B7597" s="3" t="str">
        <f>IFERROR(__xludf.DUMMYFUNCTION("""COMPUTED_VALUE"""),"mclb")</f>
        <v>mclb</v>
      </c>
      <c r="C7597" s="3" t="str">
        <f>IFERROR(__xludf.DUMMYFUNCTION("""COMPUTED_VALUE"""),"MillenniumClub Coin")</f>
        <v>MillenniumClub Coin</v>
      </c>
    </row>
    <row r="7598">
      <c r="A7598" s="3" t="str">
        <f>IFERROR(__xludf.DUMMYFUNCTION("""COMPUTED_VALUE"""),"millennium-sapphire")</f>
        <v>millennium-sapphire</v>
      </c>
      <c r="B7598" s="3" t="str">
        <f>IFERROR(__xludf.DUMMYFUNCTION("""COMPUTED_VALUE"""),"msto")</f>
        <v>msto</v>
      </c>
      <c r="C7598" s="3" t="str">
        <f>IFERROR(__xludf.DUMMYFUNCTION("""COMPUTED_VALUE"""),"Millennium Sapphire")</f>
        <v>Millennium Sapphire</v>
      </c>
    </row>
    <row r="7599">
      <c r="A7599" s="3" t="str">
        <f>IFERROR(__xludf.DUMMYFUNCTION("""COMPUTED_VALUE"""),"millimeter")</f>
        <v>millimeter</v>
      </c>
      <c r="B7599" s="3" t="str">
        <f>IFERROR(__xludf.DUMMYFUNCTION("""COMPUTED_VALUE"""),"mm")</f>
        <v>mm</v>
      </c>
      <c r="C7599" s="3" t="str">
        <f>IFERROR(__xludf.DUMMYFUNCTION("""COMPUTED_VALUE"""),"Millimeter")</f>
        <v>Millimeter</v>
      </c>
    </row>
    <row r="7600">
      <c r="A7600" s="3" t="str">
        <f>IFERROR(__xludf.DUMMYFUNCTION("""COMPUTED_VALUE"""),"million")</f>
        <v>million</v>
      </c>
      <c r="B7600" s="3" t="str">
        <f>IFERROR(__xludf.DUMMYFUNCTION("""COMPUTED_VALUE"""),"mm")</f>
        <v>mm</v>
      </c>
      <c r="C7600" s="3" t="str">
        <f>IFERROR(__xludf.DUMMYFUNCTION("""COMPUTED_VALUE"""),"Million")</f>
        <v>Million</v>
      </c>
    </row>
    <row r="7601">
      <c r="A7601" s="3" t="str">
        <f>IFERROR(__xludf.DUMMYFUNCTION("""COMPUTED_VALUE"""),"millionaire-land")</f>
        <v>millionaire-land</v>
      </c>
      <c r="B7601" s="3" t="str">
        <f>IFERROR(__xludf.DUMMYFUNCTION("""COMPUTED_VALUE"""),"tok")</f>
        <v>tok</v>
      </c>
      <c r="C7601" s="3" t="str">
        <f>IFERROR(__xludf.DUMMYFUNCTION("""COMPUTED_VALUE"""),"Millionaire Land")</f>
        <v>Millionaire Land</v>
      </c>
    </row>
    <row r="7602">
      <c r="A7602" s="3" t="str">
        <f>IFERROR(__xludf.DUMMYFUNCTION("""COMPUTED_VALUE"""),"millionaire-maker")</f>
        <v>millionaire-maker</v>
      </c>
      <c r="B7602" s="3" t="str">
        <f>IFERROR(__xludf.DUMMYFUNCTION("""COMPUTED_VALUE"""),"million")</f>
        <v>million</v>
      </c>
      <c r="C7602" s="3" t="str">
        <f>IFERROR(__xludf.DUMMYFUNCTION("""COMPUTED_VALUE"""),"Millionaire Maker")</f>
        <v>Millionaire Maker</v>
      </c>
    </row>
    <row r="7603">
      <c r="A7603" s="3" t="str">
        <f>IFERROR(__xludf.DUMMYFUNCTION("""COMPUTED_VALUE"""),"milliondollarbaby")</f>
        <v>milliondollarbaby</v>
      </c>
      <c r="B7603" s="3" t="str">
        <f>IFERROR(__xludf.DUMMYFUNCTION("""COMPUTED_VALUE"""),"mdb")</f>
        <v>mdb</v>
      </c>
      <c r="C7603" s="3" t="str">
        <f>IFERROR(__xludf.DUMMYFUNCTION("""COMPUTED_VALUE"""),"MillionDollarBaby")</f>
        <v>MillionDollarBaby</v>
      </c>
    </row>
    <row r="7604">
      <c r="A7604" s="3" t="str">
        <f>IFERROR(__xludf.DUMMYFUNCTION("""COMPUTED_VALUE"""),"million-monke")</f>
        <v>million-monke</v>
      </c>
      <c r="B7604" s="3" t="str">
        <f>IFERROR(__xludf.DUMMYFUNCTION("""COMPUTED_VALUE"""),"mimo")</f>
        <v>mimo</v>
      </c>
      <c r="C7604" s="3" t="str">
        <f>IFERROR(__xludf.DUMMYFUNCTION("""COMPUTED_VALUE"""),"Million Monke")</f>
        <v>Million Monke</v>
      </c>
    </row>
    <row r="7605">
      <c r="A7605" s="3" t="str">
        <f>IFERROR(__xludf.DUMMYFUNCTION("""COMPUTED_VALUE"""),"million-pixel")</f>
        <v>million-pixel</v>
      </c>
      <c r="B7605" s="3" t="str">
        <f>IFERROR(__xludf.DUMMYFUNCTION("""COMPUTED_VALUE"""),"xix")</f>
        <v>xix</v>
      </c>
      <c r="C7605" s="3" t="str">
        <f>IFERROR(__xludf.DUMMYFUNCTION("""COMPUTED_VALUE"""),"Million Pixel")</f>
        <v>Million Pixel</v>
      </c>
    </row>
    <row r="7606">
      <c r="A7606" s="3" t="str">
        <f>IFERROR(__xludf.DUMMYFUNCTION("""COMPUTED_VALUE"""),"millionsy")</f>
        <v>millionsy</v>
      </c>
      <c r="B7606" s="3" t="str">
        <f>IFERROR(__xludf.DUMMYFUNCTION("""COMPUTED_VALUE"""),"milli")</f>
        <v>milli</v>
      </c>
      <c r="C7606" s="3" t="str">
        <f>IFERROR(__xludf.DUMMYFUNCTION("""COMPUTED_VALUE"""),"MILLIONSY")</f>
        <v>MILLIONSY</v>
      </c>
    </row>
    <row r="7607">
      <c r="A7607" s="3" t="str">
        <f>IFERROR(__xludf.DUMMYFUNCTION("""COMPUTED_VALUE"""),"millonarios-fc-fan-token")</f>
        <v>millonarios-fc-fan-token</v>
      </c>
      <c r="B7607" s="3" t="str">
        <f>IFERROR(__xludf.DUMMYFUNCTION("""COMPUTED_VALUE"""),"mfc")</f>
        <v>mfc</v>
      </c>
      <c r="C7607" s="3" t="str">
        <f>IFERROR(__xludf.DUMMYFUNCTION("""COMPUTED_VALUE"""),"Millonarios FC Fan Token")</f>
        <v>Millonarios FC Fan Token</v>
      </c>
    </row>
    <row r="7608">
      <c r="A7608" s="3" t="str">
        <f>IFERROR(__xludf.DUMMYFUNCTION("""COMPUTED_VALUE"""),"milo-inu")</f>
        <v>milo-inu</v>
      </c>
      <c r="B7608" s="3" t="str">
        <f>IFERROR(__xludf.DUMMYFUNCTION("""COMPUTED_VALUE"""),"milo")</f>
        <v>milo</v>
      </c>
      <c r="C7608" s="3" t="str">
        <f>IFERROR(__xludf.DUMMYFUNCTION("""COMPUTED_VALUE"""),"Milo Inu")</f>
        <v>Milo Inu</v>
      </c>
    </row>
    <row r="7609">
      <c r="A7609" s="3" t="str">
        <f>IFERROR(__xludf.DUMMYFUNCTION("""COMPUTED_VALUE"""),"mim")</f>
        <v>mim</v>
      </c>
      <c r="B7609" s="3" t="str">
        <f>IFERROR(__xludf.DUMMYFUNCTION("""COMPUTED_VALUE"""),"swarm")</f>
        <v>swarm</v>
      </c>
      <c r="C7609" s="3" t="str">
        <f>IFERROR(__xludf.DUMMYFUNCTION("""COMPUTED_VALUE"""),"MIM")</f>
        <v>MIM</v>
      </c>
    </row>
    <row r="7610">
      <c r="A7610" s="3" t="str">
        <f>IFERROR(__xludf.DUMMYFUNCTION("""COMPUTED_VALUE"""),"mimas-finance")</f>
        <v>mimas-finance</v>
      </c>
      <c r="B7610" s="3" t="str">
        <f>IFERROR(__xludf.DUMMYFUNCTION("""COMPUTED_VALUE"""),"mimas")</f>
        <v>mimas</v>
      </c>
      <c r="C7610" s="3" t="str">
        <f>IFERROR(__xludf.DUMMYFUNCTION("""COMPUTED_VALUE"""),"Mimas Finance")</f>
        <v>Mimas Finance</v>
      </c>
    </row>
    <row r="7611">
      <c r="A7611" s="3" t="str">
        <f>IFERROR(__xludf.DUMMYFUNCTION("""COMPUTED_VALUE"""),"mimatic")</f>
        <v>mimatic</v>
      </c>
      <c r="B7611" s="3" t="str">
        <f>IFERROR(__xludf.DUMMYFUNCTION("""COMPUTED_VALUE"""),"mimatic")</f>
        <v>mimatic</v>
      </c>
      <c r="C7611" s="3" t="str">
        <f>IFERROR(__xludf.DUMMYFUNCTION("""COMPUTED_VALUE"""),"MAI")</f>
        <v>MAI</v>
      </c>
    </row>
    <row r="7612">
      <c r="A7612" s="3" t="str">
        <f>IFERROR(__xludf.DUMMYFUNCTION("""COMPUTED_VALUE"""),"mimblewimblecoin")</f>
        <v>mimblewimblecoin</v>
      </c>
      <c r="B7612" s="3" t="str">
        <f>IFERROR(__xludf.DUMMYFUNCTION("""COMPUTED_VALUE"""),"mwc")</f>
        <v>mwc</v>
      </c>
      <c r="C7612" s="3" t="str">
        <f>IFERROR(__xludf.DUMMYFUNCTION("""COMPUTED_VALUE"""),"MimbleWimbleCoin")</f>
        <v>MimbleWimbleCoin</v>
      </c>
    </row>
    <row r="7613">
      <c r="A7613" s="3" t="str">
        <f>IFERROR(__xludf.DUMMYFUNCTION("""COMPUTED_VALUE"""),"mimir-token")</f>
        <v>mimir-token</v>
      </c>
      <c r="B7613" s="3" t="str">
        <f>IFERROR(__xludf.DUMMYFUNCTION("""COMPUTED_VALUE"""),"mimir")</f>
        <v>mimir</v>
      </c>
      <c r="C7613" s="3" t="str">
        <f>IFERROR(__xludf.DUMMYFUNCTION("""COMPUTED_VALUE"""),"Mimir")</f>
        <v>Mimir</v>
      </c>
    </row>
    <row r="7614">
      <c r="A7614" s="3" t="str">
        <f>IFERROR(__xludf.DUMMYFUNCTION("""COMPUTED_VALUE"""),"mimo-parallel-governance-token")</f>
        <v>mimo-parallel-governance-token</v>
      </c>
      <c r="B7614" s="3" t="str">
        <f>IFERROR(__xludf.DUMMYFUNCTION("""COMPUTED_VALUE"""),"mimo")</f>
        <v>mimo</v>
      </c>
      <c r="C7614" s="3" t="str">
        <f>IFERROR(__xludf.DUMMYFUNCTION("""COMPUTED_VALUE"""),"Mimo Governance")</f>
        <v>Mimo Governance</v>
      </c>
    </row>
    <row r="7615">
      <c r="A7615" s="3" t="str">
        <f>IFERROR(__xludf.DUMMYFUNCTION("""COMPUTED_VALUE"""),"mimosa")</f>
        <v>mimosa</v>
      </c>
      <c r="B7615" s="3" t="str">
        <f>IFERROR(__xludf.DUMMYFUNCTION("""COMPUTED_VALUE"""),"mimo")</f>
        <v>mimo</v>
      </c>
      <c r="C7615" s="3" t="str">
        <f>IFERROR(__xludf.DUMMYFUNCTION("""COMPUTED_VALUE"""),"Mimosa")</f>
        <v>Mimosa</v>
      </c>
    </row>
    <row r="7616">
      <c r="A7616" s="3" t="str">
        <f>IFERROR(__xludf.DUMMYFUNCTION("""COMPUTED_VALUE"""),"mina-protocol")</f>
        <v>mina-protocol</v>
      </c>
      <c r="B7616" s="3" t="str">
        <f>IFERROR(__xludf.DUMMYFUNCTION("""COMPUTED_VALUE"""),"mina")</f>
        <v>mina</v>
      </c>
      <c r="C7616" s="3" t="str">
        <f>IFERROR(__xludf.DUMMYFUNCTION("""COMPUTED_VALUE"""),"Mina Protocol")</f>
        <v>Mina Protocol</v>
      </c>
    </row>
    <row r="7617">
      <c r="A7617" s="3" t="str">
        <f>IFERROR(__xludf.DUMMYFUNCTION("""COMPUTED_VALUE"""),"minato")</f>
        <v>minato</v>
      </c>
      <c r="B7617" s="3" t="str">
        <f>IFERROR(__xludf.DUMMYFUNCTION("""COMPUTED_VALUE"""),"mnto")</f>
        <v>mnto</v>
      </c>
      <c r="C7617" s="3" t="str">
        <f>IFERROR(__xludf.DUMMYFUNCTION("""COMPUTED_VALUE"""),"Minato")</f>
        <v>Minato</v>
      </c>
    </row>
    <row r="7618">
      <c r="A7618" s="3" t="str">
        <f>IFERROR(__xludf.DUMMYFUNCTION("""COMPUTED_VALUE"""),"mincoin")</f>
        <v>mincoin</v>
      </c>
      <c r="B7618" s="3" t="str">
        <f>IFERROR(__xludf.DUMMYFUNCTION("""COMPUTED_VALUE"""),"mnc")</f>
        <v>mnc</v>
      </c>
      <c r="C7618" s="3" t="str">
        <f>IFERROR(__xludf.DUMMYFUNCTION("""COMPUTED_VALUE"""),"Mincoin")</f>
        <v>Mincoin</v>
      </c>
    </row>
    <row r="7619">
      <c r="A7619" s="3" t="str">
        <f>IFERROR(__xludf.DUMMYFUNCTION("""COMPUTED_VALUE"""),"mindcell")</f>
        <v>mindcell</v>
      </c>
      <c r="B7619" s="3" t="str">
        <f>IFERROR(__xludf.DUMMYFUNCTION("""COMPUTED_VALUE"""),"mdc")</f>
        <v>mdc</v>
      </c>
      <c r="C7619" s="3" t="str">
        <f>IFERROR(__xludf.DUMMYFUNCTION("""COMPUTED_VALUE"""),"MindCell")</f>
        <v>MindCell</v>
      </c>
    </row>
    <row r="7620">
      <c r="A7620" s="3" t="str">
        <f>IFERROR(__xludf.DUMMYFUNCTION("""COMPUTED_VALUE"""),"mindcoin")</f>
        <v>mindcoin</v>
      </c>
      <c r="B7620" s="3" t="str">
        <f>IFERROR(__xludf.DUMMYFUNCTION("""COMPUTED_VALUE"""),"mnd")</f>
        <v>mnd</v>
      </c>
      <c r="C7620" s="3" t="str">
        <f>IFERROR(__xludf.DUMMYFUNCTION("""COMPUTED_VALUE"""),"MindCoin")</f>
        <v>MindCoin</v>
      </c>
    </row>
    <row r="7621">
      <c r="A7621" s="3" t="str">
        <f>IFERROR(__xludf.DUMMYFUNCTION("""COMPUTED_VALUE"""),"mindfolk-wood")</f>
        <v>mindfolk-wood</v>
      </c>
      <c r="B7621" s="3" t="str">
        <f>IFERROR(__xludf.DUMMYFUNCTION("""COMPUTED_VALUE"""),"$wood")</f>
        <v>$wood</v>
      </c>
      <c r="C7621" s="3" t="str">
        <f>IFERROR(__xludf.DUMMYFUNCTION("""COMPUTED_VALUE"""),"Mindfolk Wood")</f>
        <v>Mindfolk Wood</v>
      </c>
    </row>
    <row r="7622">
      <c r="A7622" s="3" t="str">
        <f>IFERROR(__xludf.DUMMYFUNCTION("""COMPUTED_VALUE"""),"mind-music")</f>
        <v>mind-music</v>
      </c>
      <c r="B7622" s="3" t="str">
        <f>IFERROR(__xludf.DUMMYFUNCTION("""COMPUTED_VALUE"""),"mnd")</f>
        <v>mnd</v>
      </c>
      <c r="C7622" s="3" t="str">
        <f>IFERROR(__xludf.DUMMYFUNCTION("""COMPUTED_VALUE"""),"Mind Music")</f>
        <v>Mind Music</v>
      </c>
    </row>
    <row r="7623">
      <c r="A7623" s="3" t="str">
        <f>IFERROR(__xludf.DUMMYFUNCTION("""COMPUTED_VALUE"""),"mindol")</f>
        <v>mindol</v>
      </c>
      <c r="B7623" s="3" t="str">
        <f>IFERROR(__xludf.DUMMYFUNCTION("""COMPUTED_VALUE"""),"min")</f>
        <v>min</v>
      </c>
      <c r="C7623" s="3" t="str">
        <f>IFERROR(__xludf.DUMMYFUNCTION("""COMPUTED_VALUE"""),"MINDOL")</f>
        <v>MINDOL</v>
      </c>
    </row>
    <row r="7624">
      <c r="A7624" s="3" t="str">
        <f>IFERROR(__xludf.DUMMYFUNCTION("""COMPUTED_VALUE"""),"minds")</f>
        <v>minds</v>
      </c>
      <c r="B7624" s="3" t="str">
        <f>IFERROR(__xludf.DUMMYFUNCTION("""COMPUTED_VALUE"""),"minds")</f>
        <v>minds</v>
      </c>
      <c r="C7624" s="3" t="str">
        <f>IFERROR(__xludf.DUMMYFUNCTION("""COMPUTED_VALUE"""),"Minds")</f>
        <v>Minds</v>
      </c>
    </row>
    <row r="7625">
      <c r="A7625" s="3" t="str">
        <f>IFERROR(__xludf.DUMMYFUNCTION("""COMPUTED_VALUE"""),"mindsync")</f>
        <v>mindsync</v>
      </c>
      <c r="B7625" s="3" t="str">
        <f>IFERROR(__xludf.DUMMYFUNCTION("""COMPUTED_VALUE"""),"mai")</f>
        <v>mai</v>
      </c>
      <c r="C7625" s="3" t="str">
        <f>IFERROR(__xludf.DUMMYFUNCTION("""COMPUTED_VALUE"""),"Mindsync")</f>
        <v>Mindsync</v>
      </c>
    </row>
    <row r="7626">
      <c r="A7626" s="3" t="str">
        <f>IFERROR(__xludf.DUMMYFUNCTION("""COMPUTED_VALUE"""),"minebase")</f>
        <v>minebase</v>
      </c>
      <c r="B7626" s="3" t="str">
        <f>IFERROR(__xludf.DUMMYFUNCTION("""COMPUTED_VALUE"""),"mbase")</f>
        <v>mbase</v>
      </c>
      <c r="C7626" s="3" t="str">
        <f>IFERROR(__xludf.DUMMYFUNCTION("""COMPUTED_VALUE"""),"Minebase")</f>
        <v>Minebase</v>
      </c>
    </row>
    <row r="7627">
      <c r="A7627" s="3" t="str">
        <f>IFERROR(__xludf.DUMMYFUNCTION("""COMPUTED_VALUE"""),"mine-empire")</f>
        <v>mine-empire</v>
      </c>
      <c r="B7627" s="3" t="str">
        <f>IFERROR(__xludf.DUMMYFUNCTION("""COMPUTED_VALUE"""),"gem")</f>
        <v>gem</v>
      </c>
      <c r="C7627" s="3" t="str">
        <f>IFERROR(__xludf.DUMMYFUNCTION("""COMPUTED_VALUE"""),"Mine Empire")</f>
        <v>Mine Empire</v>
      </c>
    </row>
    <row r="7628">
      <c r="A7628" s="3" t="str">
        <f>IFERROR(__xludf.DUMMYFUNCTION("""COMPUTED_VALUE"""),"mine-network")</f>
        <v>mine-network</v>
      </c>
      <c r="B7628" s="3" t="str">
        <f>IFERROR(__xludf.DUMMYFUNCTION("""COMPUTED_VALUE"""),"mnet")</f>
        <v>mnet</v>
      </c>
      <c r="C7628" s="3" t="str">
        <f>IFERROR(__xludf.DUMMYFUNCTION("""COMPUTED_VALUE"""),"MINE Network")</f>
        <v>MINE Network</v>
      </c>
    </row>
    <row r="7629">
      <c r="A7629" s="3" t="str">
        <f>IFERROR(__xludf.DUMMYFUNCTION("""COMPUTED_VALUE"""),"mineral")</f>
        <v>mineral</v>
      </c>
      <c r="B7629" s="3" t="str">
        <f>IFERROR(__xludf.DUMMYFUNCTION("""COMPUTED_VALUE"""),"mnr")</f>
        <v>mnr</v>
      </c>
      <c r="C7629" s="3" t="str">
        <f>IFERROR(__xludf.DUMMYFUNCTION("""COMPUTED_VALUE"""),"Mineral")</f>
        <v>Mineral</v>
      </c>
    </row>
    <row r="7630">
      <c r="A7630" s="3" t="str">
        <f>IFERROR(__xludf.DUMMYFUNCTION("""COMPUTED_VALUE"""),"minerblox")</f>
        <v>minerblox</v>
      </c>
      <c r="B7630" s="3" t="str">
        <f>IFERROR(__xludf.DUMMYFUNCTION("""COMPUTED_VALUE"""),"mblox")</f>
        <v>mblox</v>
      </c>
      <c r="C7630" s="3" t="str">
        <f>IFERROR(__xludf.DUMMYFUNCTION("""COMPUTED_VALUE"""),"MinerBlox")</f>
        <v>MinerBlox</v>
      </c>
    </row>
    <row r="7631">
      <c r="A7631" s="3" t="str">
        <f>IFERROR(__xludf.DUMMYFUNCTION("""COMPUTED_VALUE"""),"minereum")</f>
        <v>minereum</v>
      </c>
      <c r="B7631" s="3" t="str">
        <f>IFERROR(__xludf.DUMMYFUNCTION("""COMPUTED_VALUE"""),"mne")</f>
        <v>mne</v>
      </c>
      <c r="C7631" s="3" t="str">
        <f>IFERROR(__xludf.DUMMYFUNCTION("""COMPUTED_VALUE"""),"Minereum")</f>
        <v>Minereum</v>
      </c>
    </row>
    <row r="7632">
      <c r="A7632" s="3" t="str">
        <f>IFERROR(__xludf.DUMMYFUNCTION("""COMPUTED_VALUE"""),"minergate-token")</f>
        <v>minergate-token</v>
      </c>
      <c r="B7632" s="3" t="str">
        <f>IFERROR(__xludf.DUMMYFUNCTION("""COMPUTED_VALUE"""),"mg")</f>
        <v>mg</v>
      </c>
      <c r="C7632" s="3" t="str">
        <f>IFERROR(__xludf.DUMMYFUNCTION("""COMPUTED_VALUE"""),"MinerGate")</f>
        <v>MinerGate</v>
      </c>
    </row>
    <row r="7633">
      <c r="A7633" s="3" t="str">
        <f>IFERROR(__xludf.DUMMYFUNCTION("""COMPUTED_VALUE"""),"minerjoe")</f>
        <v>minerjoe</v>
      </c>
      <c r="B7633" s="3" t="str">
        <f>IFERROR(__xludf.DUMMYFUNCTION("""COMPUTED_VALUE"""),"gold")</f>
        <v>gold</v>
      </c>
      <c r="C7633" s="3" t="str">
        <f>IFERROR(__xludf.DUMMYFUNCTION("""COMPUTED_VALUE"""),"MinerJoe")</f>
        <v>MinerJoe</v>
      </c>
    </row>
    <row r="7634">
      <c r="A7634" s="3" t="str">
        <f>IFERROR(__xludf.DUMMYFUNCTION("""COMPUTED_VALUE"""),"minersdefi")</f>
        <v>minersdefi</v>
      </c>
      <c r="B7634" s="3" t="str">
        <f>IFERROR(__xludf.DUMMYFUNCTION("""COMPUTED_VALUE"""),"miners")</f>
        <v>miners</v>
      </c>
      <c r="C7634" s="3" t="str">
        <f>IFERROR(__xludf.DUMMYFUNCTION("""COMPUTED_VALUE"""),"MinersDefi")</f>
        <v>MinersDefi</v>
      </c>
    </row>
    <row r="7635">
      <c r="A7635" s="3" t="str">
        <f>IFERROR(__xludf.DUMMYFUNCTION("""COMPUTED_VALUE"""),"miners-of-kadenia")</f>
        <v>miners-of-kadenia</v>
      </c>
      <c r="B7635" s="3" t="str">
        <f>IFERROR(__xludf.DUMMYFUNCTION("""COMPUTED_VALUE"""),"mok")</f>
        <v>mok</v>
      </c>
      <c r="C7635" s="3" t="str">
        <f>IFERROR(__xludf.DUMMYFUNCTION("""COMPUTED_VALUE"""),"Miners of Kadenia")</f>
        <v>Miners of Kadenia</v>
      </c>
    </row>
    <row r="7636">
      <c r="A7636" s="3" t="str">
        <f>IFERROR(__xludf.DUMMYFUNCTION("""COMPUTED_VALUE"""),"minerva-wallet")</f>
        <v>minerva-wallet</v>
      </c>
      <c r="B7636" s="3" t="str">
        <f>IFERROR(__xludf.DUMMYFUNCTION("""COMPUTED_VALUE"""),"miva")</f>
        <v>miva</v>
      </c>
      <c r="C7636" s="3" t="str">
        <f>IFERROR(__xludf.DUMMYFUNCTION("""COMPUTED_VALUE"""),"Minerva Wallet")</f>
        <v>Minerva Wallet</v>
      </c>
    </row>
    <row r="7637">
      <c r="A7637" s="3" t="str">
        <f>IFERROR(__xludf.DUMMYFUNCTION("""COMPUTED_VALUE"""),"mine-shares")</f>
        <v>mine-shares</v>
      </c>
      <c r="B7637" s="3" t="str">
        <f>IFERROR(__xludf.DUMMYFUNCTION("""COMPUTED_VALUE"""),"mine")</f>
        <v>mine</v>
      </c>
      <c r="C7637" s="3" t="str">
        <f>IFERROR(__xludf.DUMMYFUNCTION("""COMPUTED_VALUE"""),"Mine Shares")</f>
        <v>Mine Shares</v>
      </c>
    </row>
    <row r="7638">
      <c r="A7638" s="3" t="str">
        <f>IFERROR(__xludf.DUMMYFUNCTION("""COMPUTED_VALUE"""),"mines-of-dalarnia")</f>
        <v>mines-of-dalarnia</v>
      </c>
      <c r="B7638" s="3" t="str">
        <f>IFERROR(__xludf.DUMMYFUNCTION("""COMPUTED_VALUE"""),"dar")</f>
        <v>dar</v>
      </c>
      <c r="C7638" s="3" t="str">
        <f>IFERROR(__xludf.DUMMYFUNCTION("""COMPUTED_VALUE"""),"Mines of Dalarnia")</f>
        <v>Mines of Dalarnia</v>
      </c>
    </row>
    <row r="7639">
      <c r="A7639" s="3" t="str">
        <f>IFERROR(__xludf.DUMMYFUNCTION("""COMPUTED_VALUE"""),"mineum")</f>
        <v>mineum</v>
      </c>
      <c r="B7639" s="3" t="str">
        <f>IFERROR(__xludf.DUMMYFUNCTION("""COMPUTED_VALUE"""),"mnm")</f>
        <v>mnm</v>
      </c>
      <c r="C7639" s="3" t="str">
        <f>IFERROR(__xludf.DUMMYFUNCTION("""COMPUTED_VALUE"""),"Mineum")</f>
        <v>Mineum</v>
      </c>
    </row>
    <row r="7640">
      <c r="A7640" s="3" t="str">
        <f>IFERROR(__xludf.DUMMYFUNCTION("""COMPUTED_VALUE"""),"mini")</f>
        <v>mini</v>
      </c>
      <c r="B7640" s="3" t="str">
        <f>IFERROR(__xludf.DUMMYFUNCTION("""COMPUTED_VALUE"""),"mini")</f>
        <v>mini</v>
      </c>
      <c r="C7640" s="3" t="str">
        <f>IFERROR(__xludf.DUMMYFUNCTION("""COMPUTED_VALUE"""),"Mini")</f>
        <v>Mini</v>
      </c>
    </row>
    <row r="7641">
      <c r="A7641" s="3" t="str">
        <f>IFERROR(__xludf.DUMMYFUNCTION("""COMPUTED_VALUE"""),"mini-baby-doge")</f>
        <v>mini-baby-doge</v>
      </c>
      <c r="B7641" s="3" t="str">
        <f>IFERROR(__xludf.DUMMYFUNCTION("""COMPUTED_VALUE"""),"minibabydoge")</f>
        <v>minibabydoge</v>
      </c>
      <c r="C7641" s="3" t="str">
        <f>IFERROR(__xludf.DUMMYFUNCTION("""COMPUTED_VALUE"""),"Mini Baby Doge")</f>
        <v>Mini Baby Doge</v>
      </c>
    </row>
    <row r="7642">
      <c r="A7642" s="3" t="str">
        <f>IFERROR(__xludf.DUMMYFUNCTION("""COMPUTED_VALUE"""),"minibitcoin")</f>
        <v>minibitcoin</v>
      </c>
      <c r="B7642" s="3" t="str">
        <f>IFERROR(__xludf.DUMMYFUNCTION("""COMPUTED_VALUE"""),"mbtc")</f>
        <v>mbtc</v>
      </c>
      <c r="C7642" s="3" t="str">
        <f>IFERROR(__xludf.DUMMYFUNCTION("""COMPUTED_VALUE"""),"MiniBitcoin")</f>
        <v>MiniBitcoin</v>
      </c>
    </row>
    <row r="7643">
      <c r="A7643" s="3" t="str">
        <f>IFERROR(__xludf.DUMMYFUNCTION("""COMPUTED_VALUE"""),"minibtc")</f>
        <v>minibtc</v>
      </c>
      <c r="B7643" s="3" t="str">
        <f>IFERROR(__xludf.DUMMYFUNCTION("""COMPUTED_VALUE"""),"minibtc")</f>
        <v>minibtc</v>
      </c>
      <c r="C7643" s="3" t="str">
        <f>IFERROR(__xludf.DUMMYFUNCTION("""COMPUTED_VALUE"""),"MiniBTC")</f>
        <v>MiniBTC</v>
      </c>
    </row>
    <row r="7644">
      <c r="A7644" s="3" t="str">
        <f>IFERROR(__xludf.DUMMYFUNCTION("""COMPUTED_VALUE"""),"minidoge")</f>
        <v>minidoge</v>
      </c>
      <c r="B7644" s="3" t="str">
        <f>IFERROR(__xludf.DUMMYFUNCTION("""COMPUTED_VALUE"""),"minidoge")</f>
        <v>minidoge</v>
      </c>
      <c r="C7644" s="3" t="str">
        <f>IFERROR(__xludf.DUMMYFUNCTION("""COMPUTED_VALUE"""),"MiniDOGE")</f>
        <v>MiniDOGE</v>
      </c>
    </row>
    <row r="7645">
      <c r="A7645" s="3" t="str">
        <f>IFERROR(__xludf.DUMMYFUNCTION("""COMPUTED_VALUE"""),"minifootball")</f>
        <v>minifootball</v>
      </c>
      <c r="B7645" s="3" t="str">
        <f>IFERROR(__xludf.DUMMYFUNCTION("""COMPUTED_VALUE"""),"minifootball")</f>
        <v>minifootball</v>
      </c>
      <c r="C7645" s="3" t="str">
        <f>IFERROR(__xludf.DUMMYFUNCTION("""COMPUTED_VALUE"""),"Minifootball")</f>
        <v>Minifootball</v>
      </c>
    </row>
    <row r="7646">
      <c r="A7646" s="3" t="str">
        <f>IFERROR(__xludf.DUMMYFUNCTION("""COMPUTED_VALUE"""),"minima")</f>
        <v>minima</v>
      </c>
      <c r="B7646" s="3" t="str">
        <f>IFERROR(__xludf.DUMMYFUNCTION("""COMPUTED_VALUE"""),"minima")</f>
        <v>minima</v>
      </c>
      <c r="C7646" s="3" t="str">
        <f>IFERROR(__xludf.DUMMYFUNCTION("""COMPUTED_VALUE"""),"Minima")</f>
        <v>Minima</v>
      </c>
    </row>
    <row r="7647">
      <c r="A7647" s="3" t="str">
        <f>IFERROR(__xludf.DUMMYFUNCTION("""COMPUTED_VALUE"""),"minimals")</f>
        <v>minimals</v>
      </c>
      <c r="B7647" s="3" t="str">
        <f>IFERROR(__xludf.DUMMYFUNCTION("""COMPUTED_VALUE"""),"mms")</f>
        <v>mms</v>
      </c>
      <c r="C7647" s="3" t="str">
        <f>IFERROR(__xludf.DUMMYFUNCTION("""COMPUTED_VALUE"""),"Minimals")</f>
        <v>Minimals</v>
      </c>
    </row>
    <row r="7648">
      <c r="A7648" s="3" t="str">
        <f>IFERROR(__xludf.DUMMYFUNCTION("""COMPUTED_VALUE"""),"mini-mongoose")</f>
        <v>mini-mongoose</v>
      </c>
      <c r="B7648" s="3" t="str">
        <f>IFERROR(__xludf.DUMMYFUNCTION("""COMPUTED_VALUE"""),"minimongoose")</f>
        <v>minimongoose</v>
      </c>
      <c r="C7648" s="3" t="str">
        <f>IFERROR(__xludf.DUMMYFUNCTION("""COMPUTED_VALUE"""),"mini Mongoose")</f>
        <v>mini Mongoose</v>
      </c>
    </row>
    <row r="7649">
      <c r="A7649" s="3" t="str">
        <f>IFERROR(__xludf.DUMMYFUNCTION("""COMPUTED_VALUE"""),"miningnft")</f>
        <v>miningnft</v>
      </c>
      <c r="B7649" s="3" t="str">
        <f>IFERROR(__xludf.DUMMYFUNCTION("""COMPUTED_VALUE"""),"mit")</f>
        <v>mit</v>
      </c>
      <c r="C7649" s="3" t="str">
        <f>IFERROR(__xludf.DUMMYFUNCTION("""COMPUTED_VALUE"""),"MiningNFT")</f>
        <v>MiningNFT</v>
      </c>
    </row>
    <row r="7650">
      <c r="A7650" s="3" t="str">
        <f>IFERROR(__xludf.DUMMYFUNCTION("""COMPUTED_VALUE"""),"minionverse")</f>
        <v>minionverse</v>
      </c>
      <c r="B7650" s="3" t="str">
        <f>IFERROR(__xludf.DUMMYFUNCTION("""COMPUTED_VALUE"""),"mivrs")</f>
        <v>mivrs</v>
      </c>
      <c r="C7650" s="3" t="str">
        <f>IFERROR(__xludf.DUMMYFUNCTION("""COMPUTED_VALUE"""),"Minionverse")</f>
        <v>Minionverse</v>
      </c>
    </row>
    <row r="7651">
      <c r="A7651" s="3" t="str">
        <f>IFERROR(__xludf.DUMMYFUNCTION("""COMPUTED_VALUE"""),"minipanther")</f>
        <v>minipanther</v>
      </c>
      <c r="B7651" s="3" t="str">
        <f>IFERROR(__xludf.DUMMYFUNCTION("""COMPUTED_VALUE"""),"mp")</f>
        <v>mp</v>
      </c>
      <c r="C7651" s="3" t="str">
        <f>IFERROR(__xludf.DUMMYFUNCTION("""COMPUTED_VALUE"""),"MiniPanther")</f>
        <v>MiniPanther</v>
      </c>
    </row>
    <row r="7652">
      <c r="A7652" s="3" t="str">
        <f>IFERROR(__xludf.DUMMYFUNCTION("""COMPUTED_VALUE"""),"minishib-token")</f>
        <v>minishib-token</v>
      </c>
      <c r="B7652" s="3" t="str">
        <f>IFERROR(__xludf.DUMMYFUNCTION("""COMPUTED_VALUE"""),"minishib")</f>
        <v>minishib</v>
      </c>
      <c r="C7652" s="3" t="str">
        <f>IFERROR(__xludf.DUMMYFUNCTION("""COMPUTED_VALUE"""),"miniSHIB Token")</f>
        <v>miniSHIB Token</v>
      </c>
    </row>
    <row r="7653">
      <c r="A7653" s="3" t="str">
        <f>IFERROR(__xludf.DUMMYFUNCTION("""COMPUTED_VALUE"""),"minisportzilla")</f>
        <v>minisportzilla</v>
      </c>
      <c r="B7653" s="3" t="str">
        <f>IFERROR(__xludf.DUMMYFUNCTION("""COMPUTED_VALUE"""),"minisportz")</f>
        <v>minisportz</v>
      </c>
      <c r="C7653" s="3" t="str">
        <f>IFERROR(__xludf.DUMMYFUNCTION("""COMPUTED_VALUE"""),"MiniSportZilla")</f>
        <v>MiniSportZilla</v>
      </c>
    </row>
    <row r="7654">
      <c r="A7654" s="3" t="str">
        <f>IFERROR(__xludf.DUMMYFUNCTION("""COMPUTED_VALUE"""),"miniverse-dollar")</f>
        <v>miniverse-dollar</v>
      </c>
      <c r="B7654" s="3" t="str">
        <f>IFERROR(__xludf.DUMMYFUNCTION("""COMPUTED_VALUE"""),"mvdollar")</f>
        <v>mvdollar</v>
      </c>
      <c r="C7654" s="3" t="str">
        <f>IFERROR(__xludf.DUMMYFUNCTION("""COMPUTED_VALUE"""),"MiniVerse Dollar")</f>
        <v>MiniVerse Dollar</v>
      </c>
    </row>
    <row r="7655">
      <c r="A7655" s="3" t="str">
        <f>IFERROR(__xludf.DUMMYFUNCTION("""COMPUTED_VALUE"""),"miniverse-share")</f>
        <v>miniverse-share</v>
      </c>
      <c r="B7655" s="3" t="str">
        <f>IFERROR(__xludf.DUMMYFUNCTION("""COMPUTED_VALUE"""),"mshare")</f>
        <v>mshare</v>
      </c>
      <c r="C7655" s="3" t="str">
        <f>IFERROR(__xludf.DUMMYFUNCTION("""COMPUTED_VALUE"""),"Miniverse Share")</f>
        <v>Miniverse Share</v>
      </c>
    </row>
    <row r="7656">
      <c r="A7656" s="3" t="str">
        <f>IFERROR(__xludf.DUMMYFUNCTION("""COMPUTED_VALUE"""),"minix")</f>
        <v>minix</v>
      </c>
      <c r="B7656" s="3" t="str">
        <f>IFERROR(__xludf.DUMMYFUNCTION("""COMPUTED_VALUE"""),"mnx")</f>
        <v>mnx</v>
      </c>
      <c r="C7656" s="3" t="str">
        <f>IFERROR(__xludf.DUMMYFUNCTION("""COMPUTED_VALUE"""),"MiniX")</f>
        <v>MiniX</v>
      </c>
    </row>
    <row r="7657">
      <c r="A7657" s="3" t="str">
        <f>IFERROR(__xludf.DUMMYFUNCTION("""COMPUTED_VALUE"""),"minswap")</f>
        <v>minswap</v>
      </c>
      <c r="B7657" s="3" t="str">
        <f>IFERROR(__xludf.DUMMYFUNCTION("""COMPUTED_VALUE"""),"min")</f>
        <v>min</v>
      </c>
      <c r="C7657" s="3" t="str">
        <f>IFERROR(__xludf.DUMMYFUNCTION("""COMPUTED_VALUE"""),"Minswap")</f>
        <v>Minswap</v>
      </c>
    </row>
    <row r="7658">
      <c r="A7658" s="3" t="str">
        <f>IFERROR(__xludf.DUMMYFUNCTION("""COMPUTED_VALUE"""),"mint-club")</f>
        <v>mint-club</v>
      </c>
      <c r="B7658" s="3" t="str">
        <f>IFERROR(__xludf.DUMMYFUNCTION("""COMPUTED_VALUE"""),"mint")</f>
        <v>mint</v>
      </c>
      <c r="C7658" s="3" t="str">
        <f>IFERROR(__xludf.DUMMYFUNCTION("""COMPUTED_VALUE"""),"Mint Club")</f>
        <v>Mint Club</v>
      </c>
    </row>
    <row r="7659">
      <c r="A7659" s="3" t="str">
        <f>IFERROR(__xludf.DUMMYFUNCTION("""COMPUTED_VALUE"""),"mintcoin")</f>
        <v>mintcoin</v>
      </c>
      <c r="B7659" s="3" t="str">
        <f>IFERROR(__xludf.DUMMYFUNCTION("""COMPUTED_VALUE"""),"mint")</f>
        <v>mint</v>
      </c>
      <c r="C7659" s="3" t="str">
        <f>IFERROR(__xludf.DUMMYFUNCTION("""COMPUTED_VALUE"""),"Mintcoin")</f>
        <v>Mintcoin</v>
      </c>
    </row>
    <row r="7660">
      <c r="A7660" s="3" t="str">
        <f>IFERROR(__xludf.DUMMYFUNCTION("""COMPUTED_VALUE"""),"minted")</f>
        <v>minted</v>
      </c>
      <c r="B7660" s="3" t="str">
        <f>IFERROR(__xludf.DUMMYFUNCTION("""COMPUTED_VALUE"""),"mtd")</f>
        <v>mtd</v>
      </c>
      <c r="C7660" s="3" t="str">
        <f>IFERROR(__xludf.DUMMYFUNCTION("""COMPUTED_VALUE"""),"Minted")</f>
        <v>Minted</v>
      </c>
    </row>
    <row r="7661">
      <c r="A7661" s="3" t="str">
        <f>IFERROR(__xludf.DUMMYFUNCTION("""COMPUTED_VALUE"""),"minter-hub")</f>
        <v>minter-hub</v>
      </c>
      <c r="B7661" s="3" t="str">
        <f>IFERROR(__xludf.DUMMYFUNCTION("""COMPUTED_VALUE"""),"hub")</f>
        <v>hub</v>
      </c>
      <c r="C7661" s="3" t="str">
        <f>IFERROR(__xludf.DUMMYFUNCTION("""COMPUTED_VALUE"""),"Minter Hub")</f>
        <v>Minter Hub</v>
      </c>
    </row>
    <row r="7662">
      <c r="A7662" s="3" t="str">
        <f>IFERROR(__xludf.DUMMYFUNCTION("""COMPUTED_VALUE"""),"minter-network")</f>
        <v>minter-network</v>
      </c>
      <c r="B7662" s="3" t="str">
        <f>IFERROR(__xludf.DUMMYFUNCTION("""COMPUTED_VALUE"""),"bip")</f>
        <v>bip</v>
      </c>
      <c r="C7662" s="3" t="str">
        <f>IFERROR(__xludf.DUMMYFUNCTION("""COMPUTED_VALUE"""),"Minter Network")</f>
        <v>Minter Network</v>
      </c>
    </row>
    <row r="7663">
      <c r="A7663" s="3" t="str">
        <f>IFERROR(__xludf.DUMMYFUNCTION("""COMPUTED_VALUE"""),"mint-marble")</f>
        <v>mint-marble</v>
      </c>
      <c r="B7663" s="3" t="str">
        <f>IFERROR(__xludf.DUMMYFUNCTION("""COMPUTED_VALUE"""),"mim")</f>
        <v>mim</v>
      </c>
      <c r="C7663" s="3" t="str">
        <f>IFERROR(__xludf.DUMMYFUNCTION("""COMPUTED_VALUE"""),"Mint Marble")</f>
        <v>Mint Marble</v>
      </c>
    </row>
    <row r="7664">
      <c r="A7664" s="3" t="str">
        <f>IFERROR(__xludf.DUMMYFUNCTION("""COMPUTED_VALUE"""),"minto")</f>
        <v>minto</v>
      </c>
      <c r="B7664" s="3" t="str">
        <f>IFERROR(__xludf.DUMMYFUNCTION("""COMPUTED_VALUE"""),"btcmt")</f>
        <v>btcmt</v>
      </c>
      <c r="C7664" s="3" t="str">
        <f>IFERROR(__xludf.DUMMYFUNCTION("""COMPUTED_VALUE"""),"Minto")</f>
        <v>Minto</v>
      </c>
    </row>
    <row r="7665">
      <c r="A7665" s="3" t="str">
        <f>IFERROR(__xludf.DUMMYFUNCTION("""COMPUTED_VALUE"""),"mintyswap")</f>
        <v>mintyswap</v>
      </c>
      <c r="B7665" s="3" t="str">
        <f>IFERROR(__xludf.DUMMYFUNCTION("""COMPUTED_VALUE"""),"mintys")</f>
        <v>mintys</v>
      </c>
      <c r="C7665" s="3" t="str">
        <f>IFERROR(__xludf.DUMMYFUNCTION("""COMPUTED_VALUE"""),"MintySwap")</f>
        <v>MintySwap</v>
      </c>
    </row>
    <row r="7666">
      <c r="A7666" s="3" t="str">
        <f>IFERROR(__xludf.DUMMYFUNCTION("""COMPUTED_VALUE"""),"miracle-universe")</f>
        <v>miracle-universe</v>
      </c>
      <c r="B7666" s="3" t="str">
        <f>IFERROR(__xludf.DUMMYFUNCTION("""COMPUTED_VALUE"""),"mu")</f>
        <v>mu</v>
      </c>
      <c r="C7666" s="3" t="str">
        <f>IFERROR(__xludf.DUMMYFUNCTION("""COMPUTED_VALUE"""),"Miracle Universe")</f>
        <v>Miracle Universe</v>
      </c>
    </row>
    <row r="7667">
      <c r="A7667" s="3" t="str">
        <f>IFERROR(__xludf.DUMMYFUNCTION("""COMPUTED_VALUE"""),"mirai-token")</f>
        <v>mirai-token</v>
      </c>
      <c r="B7667" s="3" t="str">
        <f>IFERROR(__xludf.DUMMYFUNCTION("""COMPUTED_VALUE"""),"mirai")</f>
        <v>mirai</v>
      </c>
      <c r="C7667" s="3" t="str">
        <f>IFERROR(__xludf.DUMMYFUNCTION("""COMPUTED_VALUE"""),"Mirai Labs")</f>
        <v>Mirai Labs</v>
      </c>
    </row>
    <row r="7668">
      <c r="A7668" s="3" t="str">
        <f>IFERROR(__xludf.DUMMYFUNCTION("""COMPUTED_VALUE"""),"miraqle")</f>
        <v>miraqle</v>
      </c>
      <c r="B7668" s="3" t="str">
        <f>IFERROR(__xludf.DUMMYFUNCTION("""COMPUTED_VALUE"""),"mql")</f>
        <v>mql</v>
      </c>
      <c r="C7668" s="3" t="str">
        <f>IFERROR(__xludf.DUMMYFUNCTION("""COMPUTED_VALUE"""),"MiraQle")</f>
        <v>MiraQle</v>
      </c>
    </row>
    <row r="7669">
      <c r="A7669" s="3" t="str">
        <f>IFERROR(__xludf.DUMMYFUNCTION("""COMPUTED_VALUE"""),"mirarc-chain")</f>
        <v>mirarc-chain</v>
      </c>
      <c r="B7669" s="3" t="str">
        <f>IFERROR(__xludf.DUMMYFUNCTION("""COMPUTED_VALUE"""),"mat")</f>
        <v>mat</v>
      </c>
      <c r="C7669" s="3" t="str">
        <f>IFERROR(__xludf.DUMMYFUNCTION("""COMPUTED_VALUE"""),"MirArc Chain")</f>
        <v>MirArc Chain</v>
      </c>
    </row>
    <row r="7670">
      <c r="A7670" s="3" t="str">
        <f>IFERROR(__xludf.DUMMYFUNCTION("""COMPUTED_VALUE"""),"mirocana")</f>
        <v>mirocana</v>
      </c>
      <c r="B7670" s="3" t="str">
        <f>IFERROR(__xludf.DUMMYFUNCTION("""COMPUTED_VALUE"""),"miro")</f>
        <v>miro</v>
      </c>
      <c r="C7670" s="3" t="str">
        <f>IFERROR(__xludf.DUMMYFUNCTION("""COMPUTED_VALUE"""),"Mirocana")</f>
        <v>Mirocana</v>
      </c>
    </row>
    <row r="7671">
      <c r="A7671" s="3" t="str">
        <f>IFERROR(__xludf.DUMMYFUNCTION("""COMPUTED_VALUE"""),"mirrored-ether")</f>
        <v>mirrored-ether</v>
      </c>
      <c r="B7671" s="3" t="str">
        <f>IFERROR(__xludf.DUMMYFUNCTION("""COMPUTED_VALUE"""),"meth")</f>
        <v>meth</v>
      </c>
      <c r="C7671" s="3" t="str">
        <f>IFERROR(__xludf.DUMMYFUNCTION("""COMPUTED_VALUE"""),"Mirrored Ether")</f>
        <v>Mirrored Ether</v>
      </c>
    </row>
    <row r="7672">
      <c r="A7672" s="3" t="str">
        <f>IFERROR(__xludf.DUMMYFUNCTION("""COMPUTED_VALUE"""),"mirror-finance")</f>
        <v>mirror-finance</v>
      </c>
      <c r="B7672" s="3" t="str">
        <f>IFERROR(__xludf.DUMMYFUNCTION("""COMPUTED_VALUE"""),"mirror")</f>
        <v>mirror</v>
      </c>
      <c r="C7672" s="3" t="str">
        <f>IFERROR(__xludf.DUMMYFUNCTION("""COMPUTED_VALUE"""),"Mirror Finance")</f>
        <v>Mirror Finance</v>
      </c>
    </row>
    <row r="7673">
      <c r="A7673" s="3" t="str">
        <f>IFERROR(__xludf.DUMMYFUNCTION("""COMPUTED_VALUE"""),"mirror-protocol")</f>
        <v>mirror-protocol</v>
      </c>
      <c r="B7673" s="3" t="str">
        <f>IFERROR(__xludf.DUMMYFUNCTION("""COMPUTED_VALUE"""),"mir")</f>
        <v>mir</v>
      </c>
      <c r="C7673" s="3" t="str">
        <f>IFERROR(__xludf.DUMMYFUNCTION("""COMPUTED_VALUE"""),"Mirror Protocol")</f>
        <v>Mirror Protocol</v>
      </c>
    </row>
    <row r="7674">
      <c r="A7674" s="3" t="str">
        <f>IFERROR(__xludf.DUMMYFUNCTION("""COMPUTED_VALUE"""),"misbloc")</f>
        <v>misbloc</v>
      </c>
      <c r="B7674" s="3" t="str">
        <f>IFERROR(__xludf.DUMMYFUNCTION("""COMPUTED_VALUE"""),"msb")</f>
        <v>msb</v>
      </c>
      <c r="C7674" s="3" t="str">
        <f>IFERROR(__xludf.DUMMYFUNCTION("""COMPUTED_VALUE"""),"Misbloc")</f>
        <v>Misbloc</v>
      </c>
    </row>
    <row r="7675">
      <c r="A7675" s="3" t="str">
        <f>IFERROR(__xludf.DUMMYFUNCTION("""COMPUTED_VALUE"""),"mission-helios")</f>
        <v>mission-helios</v>
      </c>
      <c r="B7675" s="3" t="str">
        <f>IFERROR(__xludf.DUMMYFUNCTION("""COMPUTED_VALUE"""),"helios")</f>
        <v>helios</v>
      </c>
      <c r="C7675" s="3" t="str">
        <f>IFERROR(__xludf.DUMMYFUNCTION("""COMPUTED_VALUE"""),"Mission Helios")</f>
        <v>Mission Helios</v>
      </c>
    </row>
    <row r="7676">
      <c r="A7676" s="3" t="str">
        <f>IFERROR(__xludf.DUMMYFUNCTION("""COMPUTED_VALUE"""),"mist")</f>
        <v>mist</v>
      </c>
      <c r="B7676" s="3" t="str">
        <f>IFERROR(__xludf.DUMMYFUNCTION("""COMPUTED_VALUE"""),"mist")</f>
        <v>mist</v>
      </c>
      <c r="C7676" s="3" t="str">
        <f>IFERROR(__xludf.DUMMYFUNCTION("""COMPUTED_VALUE"""),"Mist")</f>
        <v>Mist</v>
      </c>
    </row>
    <row r="7677">
      <c r="A7677" s="3" t="str">
        <f>IFERROR(__xludf.DUMMYFUNCTION("""COMPUTED_VALUE"""),"mistswap")</f>
        <v>mistswap</v>
      </c>
      <c r="B7677" s="3" t="str">
        <f>IFERROR(__xludf.DUMMYFUNCTION("""COMPUTED_VALUE"""),"mist")</f>
        <v>mist</v>
      </c>
      <c r="C7677" s="3" t="str">
        <f>IFERROR(__xludf.DUMMYFUNCTION("""COMPUTED_VALUE"""),"MistSwap")</f>
        <v>MistSwap</v>
      </c>
    </row>
    <row r="7678">
      <c r="A7678" s="3" t="str">
        <f>IFERROR(__xludf.DUMMYFUNCTION("""COMPUTED_VALUE"""),"mithril")</f>
        <v>mithril</v>
      </c>
      <c r="B7678" s="3" t="str">
        <f>IFERROR(__xludf.DUMMYFUNCTION("""COMPUTED_VALUE"""),"mith")</f>
        <v>mith</v>
      </c>
      <c r="C7678" s="3" t="str">
        <f>IFERROR(__xludf.DUMMYFUNCTION("""COMPUTED_VALUE"""),"Mithril")</f>
        <v>Mithril</v>
      </c>
    </row>
    <row r="7679">
      <c r="A7679" s="3" t="str">
        <f>IFERROR(__xludf.DUMMYFUNCTION("""COMPUTED_VALUE"""),"mithril-share")</f>
        <v>mithril-share</v>
      </c>
      <c r="B7679" s="3" t="str">
        <f>IFERROR(__xludf.DUMMYFUNCTION("""COMPUTED_VALUE"""),"mis")</f>
        <v>mis</v>
      </c>
      <c r="C7679" s="3" t="str">
        <f>IFERROR(__xludf.DUMMYFUNCTION("""COMPUTED_VALUE"""),"Mithril Share")</f>
        <v>Mithril Share</v>
      </c>
    </row>
    <row r="7680">
      <c r="A7680" s="3" t="str">
        <f>IFERROR(__xludf.DUMMYFUNCTION("""COMPUTED_VALUE"""),"mithrilverse")</f>
        <v>mithrilverse</v>
      </c>
      <c r="B7680" s="3" t="str">
        <f>IFERROR(__xludf.DUMMYFUNCTION("""COMPUTED_VALUE"""),"mithril")</f>
        <v>mithril</v>
      </c>
      <c r="C7680" s="3" t="str">
        <f>IFERROR(__xludf.DUMMYFUNCTION("""COMPUTED_VALUE"""),"Mithrilverse")</f>
        <v>Mithrilverse</v>
      </c>
    </row>
    <row r="7681">
      <c r="A7681" s="3" t="str">
        <f>IFERROR(__xludf.DUMMYFUNCTION("""COMPUTED_VALUE"""),"mixin")</f>
        <v>mixin</v>
      </c>
      <c r="B7681" s="3" t="str">
        <f>IFERROR(__xludf.DUMMYFUNCTION("""COMPUTED_VALUE"""),"xin")</f>
        <v>xin</v>
      </c>
      <c r="C7681" s="3" t="str">
        <f>IFERROR(__xludf.DUMMYFUNCTION("""COMPUTED_VALUE"""),"Mixin")</f>
        <v>Mixin</v>
      </c>
    </row>
    <row r="7682">
      <c r="A7682" s="3" t="str">
        <f>IFERROR(__xludf.DUMMYFUNCTION("""COMPUTED_VALUE"""),"mixmarvel")</f>
        <v>mixmarvel</v>
      </c>
      <c r="B7682" s="3" t="str">
        <f>IFERROR(__xludf.DUMMYFUNCTION("""COMPUTED_VALUE"""),"mix")</f>
        <v>mix</v>
      </c>
      <c r="C7682" s="3" t="str">
        <f>IFERROR(__xludf.DUMMYFUNCTION("""COMPUTED_VALUE"""),"MixMarvel")</f>
        <v>MixMarvel</v>
      </c>
    </row>
    <row r="7683">
      <c r="A7683" s="3" t="str">
        <f>IFERROR(__xludf.DUMMYFUNCTION("""COMPUTED_VALUE"""),"mixsome")</f>
        <v>mixsome</v>
      </c>
      <c r="B7683" s="3" t="str">
        <f>IFERROR(__xludf.DUMMYFUNCTION("""COMPUTED_VALUE"""),"some")</f>
        <v>some</v>
      </c>
      <c r="C7683" s="3" t="str">
        <f>IFERROR(__xludf.DUMMYFUNCTION("""COMPUTED_VALUE"""),"Mixsome")</f>
        <v>Mixsome</v>
      </c>
    </row>
    <row r="7684">
      <c r="A7684" s="3" t="str">
        <f>IFERROR(__xludf.DUMMYFUNCTION("""COMPUTED_VALUE"""),"mixtrust")</f>
        <v>mixtrust</v>
      </c>
      <c r="B7684" s="3" t="str">
        <f>IFERROR(__xludf.DUMMYFUNCTION("""COMPUTED_VALUE"""),"mxt")</f>
        <v>mxt</v>
      </c>
      <c r="C7684" s="3" t="str">
        <f>IFERROR(__xludf.DUMMYFUNCTION("""COMPUTED_VALUE"""),"MixTrust")</f>
        <v>MixTrust</v>
      </c>
    </row>
    <row r="7685">
      <c r="A7685" s="3" t="str">
        <f>IFERROR(__xludf.DUMMYFUNCTION("""COMPUTED_VALUE"""),"mixty-finance")</f>
        <v>mixty-finance</v>
      </c>
      <c r="B7685" s="3" t="str">
        <f>IFERROR(__xludf.DUMMYFUNCTION("""COMPUTED_VALUE"""),"mxf")</f>
        <v>mxf</v>
      </c>
      <c r="C7685" s="3" t="str">
        <f>IFERROR(__xludf.DUMMYFUNCTION("""COMPUTED_VALUE"""),"Mixty Finance")</f>
        <v>Mixty Finance</v>
      </c>
    </row>
    <row r="7686">
      <c r="A7686" s="3" t="str">
        <f>IFERROR(__xludf.DUMMYFUNCTION("""COMPUTED_VALUE"""),"miyazaki-inu")</f>
        <v>miyazaki-inu</v>
      </c>
      <c r="B7686" s="3" t="str">
        <f>IFERROR(__xludf.DUMMYFUNCTION("""COMPUTED_VALUE"""),"miyazaki")</f>
        <v>miyazaki</v>
      </c>
      <c r="C7686" s="3" t="str">
        <f>IFERROR(__xludf.DUMMYFUNCTION("""COMPUTED_VALUE"""),"Miyazaki Inu")</f>
        <v>Miyazaki Inu</v>
      </c>
    </row>
    <row r="7687">
      <c r="A7687" s="3" t="str">
        <f>IFERROR(__xludf.DUMMYFUNCTION("""COMPUTED_VALUE"""),"mjackswap")</f>
        <v>mjackswap</v>
      </c>
      <c r="B7687" s="3" t="str">
        <f>IFERROR(__xludf.DUMMYFUNCTION("""COMPUTED_VALUE"""),"mjack")</f>
        <v>mjack</v>
      </c>
      <c r="C7687" s="3" t="str">
        <f>IFERROR(__xludf.DUMMYFUNCTION("""COMPUTED_VALUE"""),"MjackSwap")</f>
        <v>MjackSwap</v>
      </c>
    </row>
    <row r="7688">
      <c r="A7688" s="3" t="str">
        <f>IFERROR(__xludf.DUMMYFUNCTION("""COMPUTED_VALUE"""),"mkitty")</f>
        <v>mkitty</v>
      </c>
      <c r="B7688" s="3" t="str">
        <f>IFERROR(__xludf.DUMMYFUNCTION("""COMPUTED_VALUE"""),"mkitty")</f>
        <v>mkitty</v>
      </c>
      <c r="C7688" s="3" t="str">
        <f>IFERROR(__xludf.DUMMYFUNCTION("""COMPUTED_VALUE"""),"mKitty")</f>
        <v>mKitty</v>
      </c>
    </row>
    <row r="7689">
      <c r="A7689" s="3" t="str">
        <f>IFERROR(__xludf.DUMMYFUNCTION("""COMPUTED_VALUE"""),"mktcash")</f>
        <v>mktcash</v>
      </c>
      <c r="B7689" s="3" t="str">
        <f>IFERROR(__xludf.DUMMYFUNCTION("""COMPUTED_VALUE"""),"mch")</f>
        <v>mch</v>
      </c>
      <c r="C7689" s="3" t="str">
        <f>IFERROR(__xludf.DUMMYFUNCTION("""COMPUTED_VALUE"""),"Mktcash")</f>
        <v>Mktcash</v>
      </c>
    </row>
    <row r="7690">
      <c r="A7690" s="3" t="str">
        <f>IFERROR(__xludf.DUMMYFUNCTION("""COMPUTED_VALUE"""),"mktcoin")</f>
        <v>mktcoin</v>
      </c>
      <c r="B7690" s="3" t="str">
        <f>IFERROR(__xludf.DUMMYFUNCTION("""COMPUTED_VALUE"""),"mkt")</f>
        <v>mkt</v>
      </c>
      <c r="C7690" s="3" t="str">
        <f>IFERROR(__xludf.DUMMYFUNCTION("""COMPUTED_VALUE"""),"MktCoin")</f>
        <v>MktCoin</v>
      </c>
    </row>
    <row r="7691">
      <c r="A7691" s="3" t="str">
        <f>IFERROR(__xludf.DUMMYFUNCTION("""COMPUTED_VALUE"""),"mland")</f>
        <v>mland</v>
      </c>
      <c r="B7691" s="3" t="str">
        <f>IFERROR(__xludf.DUMMYFUNCTION("""COMPUTED_VALUE"""),"mland")</f>
        <v>mland</v>
      </c>
      <c r="C7691" s="3" t="str">
        <f>IFERROR(__xludf.DUMMYFUNCTION("""COMPUTED_VALUE"""),"Mland")</f>
        <v>Mland</v>
      </c>
    </row>
    <row r="7692">
      <c r="A7692" s="3" t="str">
        <f>IFERROR(__xludf.DUMMYFUNCTION("""COMPUTED_VALUE"""),"mloky")</f>
        <v>mloky</v>
      </c>
      <c r="B7692" s="3" t="str">
        <f>IFERROR(__xludf.DUMMYFUNCTION("""COMPUTED_VALUE"""),"mloky")</f>
        <v>mloky</v>
      </c>
      <c r="C7692" s="3" t="str">
        <f>IFERROR(__xludf.DUMMYFUNCTION("""COMPUTED_VALUE"""),"MLOKY")</f>
        <v>MLOKY</v>
      </c>
    </row>
    <row r="7693">
      <c r="A7693" s="3" t="str">
        <f>IFERROR(__xludf.DUMMYFUNCTION("""COMPUTED_VALUE"""),"mm72")</f>
        <v>mm72</v>
      </c>
      <c r="B7693" s="3" t="str">
        <f>IFERROR(__xludf.DUMMYFUNCTION("""COMPUTED_VALUE"""),"mm72")</f>
        <v>mm72</v>
      </c>
      <c r="C7693" s="3" t="str">
        <f>IFERROR(__xludf.DUMMYFUNCTION("""COMPUTED_VALUE"""),"MM72")</f>
        <v>MM72</v>
      </c>
    </row>
    <row r="7694">
      <c r="A7694" s="3" t="str">
        <f>IFERROR(__xludf.DUMMYFUNCTION("""COMPUTED_VALUE"""),"mmacoin")</f>
        <v>mmacoin</v>
      </c>
      <c r="B7694" s="3" t="str">
        <f>IFERROR(__xludf.DUMMYFUNCTION("""COMPUTED_VALUE"""),"mma")</f>
        <v>mma</v>
      </c>
      <c r="C7694" s="3" t="str">
        <f>IFERROR(__xludf.DUMMYFUNCTION("""COMPUTED_VALUE"""),"MMACoin")</f>
        <v>MMACoin</v>
      </c>
    </row>
    <row r="7695">
      <c r="A7695" s="3" t="str">
        <f>IFERROR(__xludf.DUMMYFUNCTION("""COMPUTED_VALUE"""),"mma-gaming")</f>
        <v>mma-gaming</v>
      </c>
      <c r="B7695" s="3" t="str">
        <f>IFERROR(__xludf.DUMMYFUNCTION("""COMPUTED_VALUE"""),"mma")</f>
        <v>mma</v>
      </c>
      <c r="C7695" s="3" t="str">
        <f>IFERROR(__xludf.DUMMYFUNCTION("""COMPUTED_VALUE"""),"MMA Gaming")</f>
        <v>MMA Gaming</v>
      </c>
    </row>
    <row r="7696">
      <c r="A7696" s="3" t="str">
        <f>IFERROR(__xludf.DUMMYFUNCTION("""COMPUTED_VALUE"""),"mmaon")</f>
        <v>mmaon</v>
      </c>
      <c r="B7696" s="3" t="str">
        <f>IFERROR(__xludf.DUMMYFUNCTION("""COMPUTED_VALUE"""),"mmaon")</f>
        <v>mmaon</v>
      </c>
      <c r="C7696" s="3" t="str">
        <f>IFERROR(__xludf.DUMMYFUNCTION("""COMPUTED_VALUE"""),"MMAON")</f>
        <v>MMAON</v>
      </c>
    </row>
    <row r="7697">
      <c r="A7697" s="3" t="str">
        <f>IFERROR(__xludf.DUMMYFUNCTION("""COMPUTED_VALUE"""),"mmfinance")</f>
        <v>mmfinance</v>
      </c>
      <c r="B7697" s="3" t="str">
        <f>IFERROR(__xludf.DUMMYFUNCTION("""COMPUTED_VALUE"""),"mmf")</f>
        <v>mmf</v>
      </c>
      <c r="C7697" s="3" t="str">
        <f>IFERROR(__xludf.DUMMYFUNCTION("""COMPUTED_VALUE"""),"MMFinance (Cronos)")</f>
        <v>MMFinance (Cronos)</v>
      </c>
    </row>
    <row r="7698">
      <c r="A7698" s="3" t="str">
        <f>IFERROR(__xludf.DUMMYFUNCTION("""COMPUTED_VALUE"""),"mmfinance-polygon")</f>
        <v>mmfinance-polygon</v>
      </c>
      <c r="B7698" s="3" t="str">
        <f>IFERROR(__xludf.DUMMYFUNCTION("""COMPUTED_VALUE"""),"mmf")</f>
        <v>mmf</v>
      </c>
      <c r="C7698" s="3" t="str">
        <f>IFERROR(__xludf.DUMMYFUNCTION("""COMPUTED_VALUE"""),"MMFinance (Polygon)")</f>
        <v>MMFinance (Polygon)</v>
      </c>
    </row>
    <row r="7699">
      <c r="A7699" s="3" t="str">
        <f>IFERROR(__xludf.DUMMYFUNCTION("""COMPUTED_VALUE"""),"mmf-money")</f>
        <v>mmf-money</v>
      </c>
      <c r="B7699" s="3" t="str">
        <f>IFERROR(__xludf.DUMMYFUNCTION("""COMPUTED_VALUE"""),"burrow")</f>
        <v>burrow</v>
      </c>
      <c r="C7699" s="3" t="str">
        <f>IFERROR(__xludf.DUMMYFUNCTION("""COMPUTED_VALUE"""),"MMF Money")</f>
        <v>MMF Money</v>
      </c>
    </row>
    <row r="7700">
      <c r="A7700" s="3" t="str">
        <f>IFERROR(__xludf.DUMMYFUNCTION("""COMPUTED_VALUE"""),"mmg-token")</f>
        <v>mmg-token</v>
      </c>
      <c r="B7700" s="3" t="str">
        <f>IFERROR(__xludf.DUMMYFUNCTION("""COMPUTED_VALUE"""),"mmg")</f>
        <v>mmg</v>
      </c>
      <c r="C7700" s="3" t="str">
        <f>IFERROR(__xludf.DUMMYFUNCTION("""COMPUTED_VALUE"""),"Mad Monkey Guild")</f>
        <v>Mad Monkey Guild</v>
      </c>
    </row>
    <row r="7701">
      <c r="A7701" s="3" t="str">
        <f>IFERROR(__xludf.DUMMYFUNCTION("""COMPUTED_VALUE"""),"mmmluckup7")</f>
        <v>mmmluckup7</v>
      </c>
      <c r="B7701" s="3" t="str">
        <f>IFERROR(__xludf.DUMMYFUNCTION("""COMPUTED_VALUE"""),"mmm7")</f>
        <v>mmm7</v>
      </c>
      <c r="C7701" s="3" t="str">
        <f>IFERROR(__xludf.DUMMYFUNCTION("""COMPUTED_VALUE"""),"MMMLUCKUP7")</f>
        <v>MMMLUCKUP7</v>
      </c>
    </row>
    <row r="7702">
      <c r="A7702" s="3" t="str">
        <f>IFERROR(__xludf.DUMMYFUNCTION("""COMPUTED_VALUE"""),"mmocoin")</f>
        <v>mmocoin</v>
      </c>
      <c r="B7702" s="3" t="str">
        <f>IFERROR(__xludf.DUMMYFUNCTION("""COMPUTED_VALUE"""),"mmo")</f>
        <v>mmo</v>
      </c>
      <c r="C7702" s="3" t="str">
        <f>IFERROR(__xludf.DUMMYFUNCTION("""COMPUTED_VALUE"""),"MMOCoin")</f>
        <v>MMOCoin</v>
      </c>
    </row>
    <row r="7703">
      <c r="A7703" s="3" t="str">
        <f>IFERROR(__xludf.DUMMYFUNCTION("""COMPUTED_VALUE"""),"mms-cash")</f>
        <v>mms-cash</v>
      </c>
      <c r="B7703" s="3" t="str">
        <f>IFERROR(__xludf.DUMMYFUNCTION("""COMPUTED_VALUE"""),"mcash")</f>
        <v>mcash</v>
      </c>
      <c r="C7703" s="3" t="str">
        <f>IFERROR(__xludf.DUMMYFUNCTION("""COMPUTED_VALUE"""),"MMS Cash")</f>
        <v>MMS Cash</v>
      </c>
    </row>
    <row r="7704">
      <c r="A7704" s="3" t="str">
        <f>IFERROR(__xludf.DUMMYFUNCTION("""COMPUTED_VALUE"""),"mms-coin")</f>
        <v>mms-coin</v>
      </c>
      <c r="B7704" s="3" t="str">
        <f>IFERROR(__xludf.DUMMYFUNCTION("""COMPUTED_VALUE"""),"mmsc")</f>
        <v>mmsc</v>
      </c>
      <c r="C7704" s="3" t="str">
        <f>IFERROR(__xludf.DUMMYFUNCTION("""COMPUTED_VALUE"""),"MMS Coin")</f>
        <v>MMS Coin</v>
      </c>
    </row>
    <row r="7705">
      <c r="A7705" s="3" t="str">
        <f>IFERROR(__xludf.DUMMYFUNCTION("""COMPUTED_VALUE"""),"mnmcoin")</f>
        <v>mnmcoin</v>
      </c>
      <c r="B7705" s="3" t="str">
        <f>IFERROR(__xludf.DUMMYFUNCTION("""COMPUTED_VALUE"""),"mnmc")</f>
        <v>mnmc</v>
      </c>
      <c r="C7705" s="3" t="str">
        <f>IFERROR(__xludf.DUMMYFUNCTION("""COMPUTED_VALUE"""),"MNMCoin")</f>
        <v>MNMCoin</v>
      </c>
    </row>
    <row r="7706">
      <c r="A7706" s="3" t="str">
        <f>IFERROR(__xludf.DUMMYFUNCTION("""COMPUTED_VALUE"""),"mo")</f>
        <v>mo</v>
      </c>
      <c r="B7706" s="3" t="str">
        <f>IFERROR(__xludf.DUMMYFUNCTION("""COMPUTED_VALUE"""),"mo")</f>
        <v>mo</v>
      </c>
      <c r="C7706" s="3" t="str">
        <f>IFERROR(__xludf.DUMMYFUNCTION("""COMPUTED_VALUE"""),"MO")</f>
        <v>MO</v>
      </c>
    </row>
    <row r="7707">
      <c r="A7707" s="3" t="str">
        <f>IFERROR(__xludf.DUMMYFUNCTION("""COMPUTED_VALUE"""),"moar")</f>
        <v>moar</v>
      </c>
      <c r="B7707" s="3" t="str">
        <f>IFERROR(__xludf.DUMMYFUNCTION("""COMPUTED_VALUE"""),"moar")</f>
        <v>moar</v>
      </c>
      <c r="C7707" s="3" t="str">
        <f>IFERROR(__xludf.DUMMYFUNCTION("""COMPUTED_VALUE"""),"Moar Finance")</f>
        <v>Moar Finance</v>
      </c>
    </row>
    <row r="7708">
      <c r="A7708" s="3" t="str">
        <f>IFERROR(__xludf.DUMMYFUNCTION("""COMPUTED_VALUE"""),"mobiecoin")</f>
        <v>mobiecoin</v>
      </c>
      <c r="B7708" s="3" t="str">
        <f>IFERROR(__xludf.DUMMYFUNCTION("""COMPUTED_VALUE"""),"mbx")</f>
        <v>mbx</v>
      </c>
      <c r="C7708" s="3" t="str">
        <f>IFERROR(__xludf.DUMMYFUNCTION("""COMPUTED_VALUE"""),"MobieCoin")</f>
        <v>MobieCoin</v>
      </c>
    </row>
    <row r="7709">
      <c r="A7709" s="3" t="str">
        <f>IFERROR(__xludf.DUMMYFUNCTION("""COMPUTED_VALUE"""),"mobifi")</f>
        <v>mobifi</v>
      </c>
      <c r="B7709" s="3" t="str">
        <f>IFERROR(__xludf.DUMMYFUNCTION("""COMPUTED_VALUE"""),"mofi")</f>
        <v>mofi</v>
      </c>
      <c r="C7709" s="3" t="str">
        <f>IFERROR(__xludf.DUMMYFUNCTION("""COMPUTED_VALUE"""),"MobiFi")</f>
        <v>MobiFi</v>
      </c>
    </row>
    <row r="7710">
      <c r="A7710" s="3" t="str">
        <f>IFERROR(__xludf.DUMMYFUNCTION("""COMPUTED_VALUE"""),"mobilecoin")</f>
        <v>mobilecoin</v>
      </c>
      <c r="B7710" s="3" t="str">
        <f>IFERROR(__xludf.DUMMYFUNCTION("""COMPUTED_VALUE"""),"mob")</f>
        <v>mob</v>
      </c>
      <c r="C7710" s="3" t="str">
        <f>IFERROR(__xludf.DUMMYFUNCTION("""COMPUTED_VALUE"""),"MobileCoin")</f>
        <v>MobileCoin</v>
      </c>
    </row>
    <row r="7711">
      <c r="A7711" s="3" t="str">
        <f>IFERROR(__xludf.DUMMYFUNCTION("""COMPUTED_VALUE"""),"mobile-crypto-pay-coin")</f>
        <v>mobile-crypto-pay-coin</v>
      </c>
      <c r="B7711" s="3" t="str">
        <f>IFERROR(__xludf.DUMMYFUNCTION("""COMPUTED_VALUE"""),"mcpc")</f>
        <v>mcpc</v>
      </c>
      <c r="C7711" s="3" t="str">
        <f>IFERROR(__xludf.DUMMYFUNCTION("""COMPUTED_VALUE"""),"Mobile Crypto Pay Coin")</f>
        <v>Mobile Crypto Pay Coin</v>
      </c>
    </row>
    <row r="7712">
      <c r="A7712" s="3" t="str">
        <f>IFERROR(__xludf.DUMMYFUNCTION("""COMPUTED_VALUE"""),"mobilego")</f>
        <v>mobilego</v>
      </c>
      <c r="B7712" s="3" t="str">
        <f>IFERROR(__xludf.DUMMYFUNCTION("""COMPUTED_VALUE"""),"mgo")</f>
        <v>mgo</v>
      </c>
      <c r="C7712" s="3" t="str">
        <f>IFERROR(__xludf.DUMMYFUNCTION("""COMPUTED_VALUE"""),"MobileGo")</f>
        <v>MobileGo</v>
      </c>
    </row>
    <row r="7713">
      <c r="A7713" s="3" t="str">
        <f>IFERROR(__xludf.DUMMYFUNCTION("""COMPUTED_VALUE"""),"mobilian-coin")</f>
        <v>mobilian-coin</v>
      </c>
      <c r="B7713" s="3" t="str">
        <f>IFERROR(__xludf.DUMMYFUNCTION("""COMPUTED_VALUE"""),"mbn")</f>
        <v>mbn</v>
      </c>
      <c r="C7713" s="3" t="str">
        <f>IFERROR(__xludf.DUMMYFUNCTION("""COMPUTED_VALUE"""),"Mobilian Coin")</f>
        <v>Mobilian Coin</v>
      </c>
    </row>
    <row r="7714">
      <c r="A7714" s="3" t="str">
        <f>IFERROR(__xludf.DUMMYFUNCTION("""COMPUTED_VALUE"""),"mobility-coin")</f>
        <v>mobility-coin</v>
      </c>
      <c r="B7714" s="3" t="str">
        <f>IFERROR(__xludf.DUMMYFUNCTION("""COMPUTED_VALUE"""),"mobic")</f>
        <v>mobic</v>
      </c>
      <c r="C7714" s="3" t="str">
        <f>IFERROR(__xludf.DUMMYFUNCTION("""COMPUTED_VALUE"""),"Mobility Coin")</f>
        <v>Mobility Coin</v>
      </c>
    </row>
    <row r="7715">
      <c r="A7715" s="3" t="str">
        <f>IFERROR(__xludf.DUMMYFUNCTION("""COMPUTED_VALUE"""),"mobipad")</f>
        <v>mobipad</v>
      </c>
      <c r="B7715" s="3" t="str">
        <f>IFERROR(__xludf.DUMMYFUNCTION("""COMPUTED_VALUE"""),"mbp")</f>
        <v>mbp</v>
      </c>
      <c r="C7715" s="3" t="str">
        <f>IFERROR(__xludf.DUMMYFUNCTION("""COMPUTED_VALUE"""),"Mobipad")</f>
        <v>Mobipad</v>
      </c>
    </row>
    <row r="7716">
      <c r="A7716" s="3" t="str">
        <f>IFERROR(__xludf.DUMMYFUNCTION("""COMPUTED_VALUE"""),"mobist")</f>
        <v>mobist</v>
      </c>
      <c r="B7716" s="3" t="str">
        <f>IFERROR(__xludf.DUMMYFUNCTION("""COMPUTED_VALUE"""),"mitx")</f>
        <v>mitx</v>
      </c>
      <c r="C7716" s="3" t="str">
        <f>IFERROR(__xludf.DUMMYFUNCTION("""COMPUTED_VALUE"""),"Mobist")</f>
        <v>Mobist</v>
      </c>
    </row>
    <row r="7717">
      <c r="A7717" s="3" t="str">
        <f>IFERROR(__xludf.DUMMYFUNCTION("""COMPUTED_VALUE"""),"mobius")</f>
        <v>mobius</v>
      </c>
      <c r="B7717" s="3" t="str">
        <f>IFERROR(__xludf.DUMMYFUNCTION("""COMPUTED_VALUE"""),"mobi")</f>
        <v>mobi</v>
      </c>
      <c r="C7717" s="3" t="str">
        <f>IFERROR(__xludf.DUMMYFUNCTION("""COMPUTED_VALUE"""),"Mobius")</f>
        <v>Mobius</v>
      </c>
    </row>
    <row r="7718">
      <c r="A7718" s="3" t="str">
        <f>IFERROR(__xludf.DUMMYFUNCTION("""COMPUTED_VALUE"""),"mobius-finance")</f>
        <v>mobius-finance</v>
      </c>
      <c r="B7718" s="3" t="str">
        <f>IFERROR(__xludf.DUMMYFUNCTION("""COMPUTED_VALUE"""),"mot")</f>
        <v>mot</v>
      </c>
      <c r="C7718" s="3" t="str">
        <f>IFERROR(__xludf.DUMMYFUNCTION("""COMPUTED_VALUE"""),"Mobius Finance")</f>
        <v>Mobius Finance</v>
      </c>
    </row>
    <row r="7719">
      <c r="A7719" s="3" t="str">
        <f>IFERROR(__xludf.DUMMYFUNCTION("""COMPUTED_VALUE"""),"mobius-money")</f>
        <v>mobius-money</v>
      </c>
      <c r="B7719" s="3" t="str">
        <f>IFERROR(__xludf.DUMMYFUNCTION("""COMPUTED_VALUE"""),"mobi")</f>
        <v>mobi</v>
      </c>
      <c r="C7719" s="3" t="str">
        <f>IFERROR(__xludf.DUMMYFUNCTION("""COMPUTED_VALUE"""),"Mobius Money")</f>
        <v>Mobius Money</v>
      </c>
    </row>
    <row r="7720">
      <c r="A7720" s="3" t="str">
        <f>IFERROR(__xludf.DUMMYFUNCTION("""COMPUTED_VALUE"""),"mobix")</f>
        <v>mobix</v>
      </c>
      <c r="B7720" s="3" t="str">
        <f>IFERROR(__xludf.DUMMYFUNCTION("""COMPUTED_VALUE"""),"mobx")</f>
        <v>mobx</v>
      </c>
      <c r="C7720" s="3" t="str">
        <f>IFERROR(__xludf.DUMMYFUNCTION("""COMPUTED_VALUE"""),"MOBIX")</f>
        <v>MOBIX</v>
      </c>
    </row>
    <row r="7721">
      <c r="A7721" s="3" t="str">
        <f>IFERROR(__xludf.DUMMYFUNCTION("""COMPUTED_VALUE"""),"mobox")</f>
        <v>mobox</v>
      </c>
      <c r="B7721" s="3" t="str">
        <f>IFERROR(__xludf.DUMMYFUNCTION("""COMPUTED_VALUE"""),"mbox")</f>
        <v>mbox</v>
      </c>
      <c r="C7721" s="3" t="str">
        <f>IFERROR(__xludf.DUMMYFUNCTION("""COMPUTED_VALUE"""),"Mobox")</f>
        <v>Mobox</v>
      </c>
    </row>
    <row r="7722">
      <c r="A7722" s="3" t="str">
        <f>IFERROR(__xludf.DUMMYFUNCTION("""COMPUTED_VALUE"""),"moby-dick-2")</f>
        <v>moby-dick-2</v>
      </c>
      <c r="B7722" s="3" t="str">
        <f>IFERROR(__xludf.DUMMYFUNCTION("""COMPUTED_VALUE"""),"moby")</f>
        <v>moby</v>
      </c>
      <c r="C7722" s="3" t="str">
        <f>IFERROR(__xludf.DUMMYFUNCTION("""COMPUTED_VALUE"""),"Moby Dick")</f>
        <v>Moby Dick</v>
      </c>
    </row>
    <row r="7723">
      <c r="A7723" s="3" t="str">
        <f>IFERROR(__xludf.DUMMYFUNCTION("""COMPUTED_VALUE"""),"mochi-inu")</f>
        <v>mochi-inu</v>
      </c>
      <c r="B7723" s="3" t="str">
        <f>IFERROR(__xludf.DUMMYFUNCTION("""COMPUTED_VALUE"""),"mochi")</f>
        <v>mochi</v>
      </c>
      <c r="C7723" s="3" t="str">
        <f>IFERROR(__xludf.DUMMYFUNCTION("""COMPUTED_VALUE"""),"Mochi Inu")</f>
        <v>Mochi Inu</v>
      </c>
    </row>
    <row r="7724">
      <c r="A7724" s="3" t="str">
        <f>IFERROR(__xludf.DUMMYFUNCTION("""COMPUTED_VALUE"""),"mochi-market")</f>
        <v>mochi-market</v>
      </c>
      <c r="B7724" s="3" t="str">
        <f>IFERROR(__xludf.DUMMYFUNCTION("""COMPUTED_VALUE"""),"moma")</f>
        <v>moma</v>
      </c>
      <c r="C7724" s="3" t="str">
        <f>IFERROR(__xludf.DUMMYFUNCTION("""COMPUTED_VALUE"""),"Mochi Market")</f>
        <v>Mochi Market</v>
      </c>
    </row>
    <row r="7725">
      <c r="A7725" s="3" t="str">
        <f>IFERROR(__xludf.DUMMYFUNCTION("""COMPUTED_VALUE"""),"mochimo")</f>
        <v>mochimo</v>
      </c>
      <c r="B7725" s="3" t="str">
        <f>IFERROR(__xludf.DUMMYFUNCTION("""COMPUTED_VALUE"""),"mcm")</f>
        <v>mcm</v>
      </c>
      <c r="C7725" s="3" t="str">
        <f>IFERROR(__xludf.DUMMYFUNCTION("""COMPUTED_VALUE"""),"Mochimo")</f>
        <v>Mochimo</v>
      </c>
    </row>
    <row r="7726">
      <c r="A7726" s="3" t="str">
        <f>IFERROR(__xludf.DUMMYFUNCTION("""COMPUTED_VALUE"""),"mocossi-planet")</f>
        <v>mocossi-planet</v>
      </c>
      <c r="B7726" s="3" t="str">
        <f>IFERROR(__xludf.DUMMYFUNCTION("""COMPUTED_VALUE"""),"mcos")</f>
        <v>mcos</v>
      </c>
      <c r="C7726" s="3" t="str">
        <f>IFERROR(__xludf.DUMMYFUNCTION("""COMPUTED_VALUE"""),"Mocossi Planet")</f>
        <v>Mocossi Planet</v>
      </c>
    </row>
    <row r="7727">
      <c r="A7727" s="3" t="str">
        <f>IFERROR(__xludf.DUMMYFUNCTION("""COMPUTED_VALUE"""),"moda-dao")</f>
        <v>moda-dao</v>
      </c>
      <c r="B7727" s="3" t="str">
        <f>IFERROR(__xludf.DUMMYFUNCTION("""COMPUTED_VALUE"""),"moda")</f>
        <v>moda</v>
      </c>
      <c r="C7727" s="3" t="str">
        <f>IFERROR(__xludf.DUMMYFUNCTION("""COMPUTED_VALUE"""),"MODA DAO")</f>
        <v>MODA DAO</v>
      </c>
    </row>
    <row r="7728">
      <c r="A7728" s="3" t="str">
        <f>IFERROR(__xludf.DUMMYFUNCTION("""COMPUTED_VALUE"""),"modden")</f>
        <v>modden</v>
      </c>
      <c r="B7728" s="3" t="str">
        <f>IFERROR(__xludf.DUMMYFUNCTION("""COMPUTED_VALUE"""),"mddn")</f>
        <v>mddn</v>
      </c>
      <c r="C7728" s="3" t="str">
        <f>IFERROR(__xludf.DUMMYFUNCTION("""COMPUTED_VALUE"""),"Modden")</f>
        <v>Modden</v>
      </c>
    </row>
    <row r="7729">
      <c r="A7729" s="3" t="str">
        <f>IFERROR(__xludf.DUMMYFUNCTION("""COMPUTED_VALUE"""),"modefi")</f>
        <v>modefi</v>
      </c>
      <c r="B7729" s="3" t="str">
        <f>IFERROR(__xludf.DUMMYFUNCTION("""COMPUTED_VALUE"""),"mod")</f>
        <v>mod</v>
      </c>
      <c r="C7729" s="3" t="str">
        <f>IFERROR(__xludf.DUMMYFUNCTION("""COMPUTED_VALUE"""),"Modefi")</f>
        <v>Modefi</v>
      </c>
    </row>
    <row r="7730">
      <c r="A7730" s="3" t="str">
        <f>IFERROR(__xludf.DUMMYFUNCTION("""COMPUTED_VALUE"""),"model-x-coin")</f>
        <v>model-x-coin</v>
      </c>
      <c r="B7730" s="3" t="str">
        <f>IFERROR(__xludf.DUMMYFUNCTION("""COMPUTED_VALUE"""),"modx")</f>
        <v>modx</v>
      </c>
      <c r="C7730" s="3" t="str">
        <f>IFERROR(__xludf.DUMMYFUNCTION("""COMPUTED_VALUE"""),"MODEL-X-coin")</f>
        <v>MODEL-X-coin</v>
      </c>
    </row>
    <row r="7731">
      <c r="A7731" s="3" t="str">
        <f>IFERROR(__xludf.DUMMYFUNCTION("""COMPUTED_VALUE"""),"modex")</f>
        <v>modex</v>
      </c>
      <c r="B7731" s="3" t="str">
        <f>IFERROR(__xludf.DUMMYFUNCTION("""COMPUTED_VALUE"""),"modex")</f>
        <v>modex</v>
      </c>
      <c r="C7731" s="3" t="str">
        <f>IFERROR(__xludf.DUMMYFUNCTION("""COMPUTED_VALUE"""),"Modex")</f>
        <v>Modex</v>
      </c>
    </row>
    <row r="7732">
      <c r="A7732" s="3" t="str">
        <f>IFERROR(__xludf.DUMMYFUNCTION("""COMPUTED_VALUE"""),"modihost")</f>
        <v>modihost</v>
      </c>
      <c r="B7732" s="3" t="str">
        <f>IFERROR(__xludf.DUMMYFUNCTION("""COMPUTED_VALUE"""),"aim")</f>
        <v>aim</v>
      </c>
      <c r="C7732" s="3" t="str">
        <f>IFERROR(__xludf.DUMMYFUNCTION("""COMPUTED_VALUE"""),"ModiHost")</f>
        <v>ModiHost</v>
      </c>
    </row>
    <row r="7733">
      <c r="A7733" s="3" t="str">
        <f>IFERROR(__xludf.DUMMYFUNCTION("""COMPUTED_VALUE"""),"moebius")</f>
        <v>moebius</v>
      </c>
      <c r="B7733" s="3" t="str">
        <f>IFERROR(__xludf.DUMMYFUNCTION("""COMPUTED_VALUE"""),"mobi")</f>
        <v>mobi</v>
      </c>
      <c r="C7733" s="3" t="str">
        <f>IFERROR(__xludf.DUMMYFUNCTION("""COMPUTED_VALUE"""),"Moebius")</f>
        <v>Moebius</v>
      </c>
    </row>
    <row r="7734">
      <c r="A7734" s="3" t="str">
        <f>IFERROR(__xludf.DUMMYFUNCTION("""COMPUTED_VALUE"""),"moeda-loyalty-points")</f>
        <v>moeda-loyalty-points</v>
      </c>
      <c r="B7734" s="3" t="str">
        <f>IFERROR(__xludf.DUMMYFUNCTION("""COMPUTED_VALUE"""),"mda")</f>
        <v>mda</v>
      </c>
      <c r="C7734" s="3" t="str">
        <f>IFERROR(__xludf.DUMMYFUNCTION("""COMPUTED_VALUE"""),"Moeda Loyalty Points")</f>
        <v>Moeda Loyalty Points</v>
      </c>
    </row>
    <row r="7735">
      <c r="A7735" s="3" t="str">
        <f>IFERROR(__xludf.DUMMYFUNCTION("""COMPUTED_VALUE"""),"mogu")</f>
        <v>mogu</v>
      </c>
      <c r="B7735" s="3" t="str">
        <f>IFERROR(__xludf.DUMMYFUNCTION("""COMPUTED_VALUE"""),"mogx")</f>
        <v>mogx</v>
      </c>
      <c r="C7735" s="3" t="str">
        <f>IFERROR(__xludf.DUMMYFUNCTION("""COMPUTED_VALUE"""),"Mogu")</f>
        <v>Mogu</v>
      </c>
    </row>
    <row r="7736">
      <c r="A7736" s="3" t="str">
        <f>IFERROR(__xludf.DUMMYFUNCTION("""COMPUTED_VALUE"""),"mogul-productions")</f>
        <v>mogul-productions</v>
      </c>
      <c r="B7736" s="3" t="str">
        <f>IFERROR(__xludf.DUMMYFUNCTION("""COMPUTED_VALUE"""),"stars")</f>
        <v>stars</v>
      </c>
      <c r="C7736" s="3" t="str">
        <f>IFERROR(__xludf.DUMMYFUNCTION("""COMPUTED_VALUE"""),"Mogul Productions")</f>
        <v>Mogul Productions</v>
      </c>
    </row>
    <row r="7737">
      <c r="A7737" s="3" t="str">
        <f>IFERROR(__xludf.DUMMYFUNCTION("""COMPUTED_VALUE"""),"mohash")</f>
        <v>mohash</v>
      </c>
      <c r="B7737" s="3" t="str">
        <f>IFERROR(__xludf.DUMMYFUNCTION("""COMPUTED_VALUE"""),"moh")</f>
        <v>moh</v>
      </c>
      <c r="C7737" s="3" t="str">
        <f>IFERROR(__xludf.DUMMYFUNCTION("""COMPUTED_VALUE"""),"Mohash")</f>
        <v>Mohash</v>
      </c>
    </row>
    <row r="7738">
      <c r="A7738" s="3" t="str">
        <f>IFERROR(__xludf.DUMMYFUNCTION("""COMPUTED_VALUE"""),"mojito")</f>
        <v>mojito</v>
      </c>
      <c r="B7738" s="3" t="str">
        <f>IFERROR(__xludf.DUMMYFUNCTION("""COMPUTED_VALUE"""),"mojo")</f>
        <v>mojo</v>
      </c>
      <c r="C7738" s="3" t="str">
        <f>IFERROR(__xludf.DUMMYFUNCTION("""COMPUTED_VALUE"""),"Mojito")</f>
        <v>Mojito</v>
      </c>
    </row>
    <row r="7739">
      <c r="A7739" s="3" t="str">
        <f>IFERROR(__xludf.DUMMYFUNCTION("""COMPUTED_VALUE"""),"mojitoswap")</f>
        <v>mojitoswap</v>
      </c>
      <c r="B7739" s="3" t="str">
        <f>IFERROR(__xludf.DUMMYFUNCTION("""COMPUTED_VALUE"""),"mjt")</f>
        <v>mjt</v>
      </c>
      <c r="C7739" s="3" t="str">
        <f>IFERROR(__xludf.DUMMYFUNCTION("""COMPUTED_VALUE"""),"MojitoSwap")</f>
        <v>MojitoSwap</v>
      </c>
    </row>
    <row r="7740">
      <c r="A7740" s="3" t="str">
        <f>IFERROR(__xludf.DUMMYFUNCTION("""COMPUTED_VALUE"""),"mojo-v2")</f>
        <v>mojo-v2</v>
      </c>
      <c r="B7740" s="3" t="str">
        <f>IFERROR(__xludf.DUMMYFUNCTION("""COMPUTED_VALUE"""),"mojov2")</f>
        <v>mojov2</v>
      </c>
      <c r="C7740" s="3" t="str">
        <f>IFERROR(__xludf.DUMMYFUNCTION("""COMPUTED_VALUE"""),"Mojo V2")</f>
        <v>Mojo V2</v>
      </c>
    </row>
    <row r="7741">
      <c r="A7741" s="3" t="str">
        <f>IFERROR(__xludf.DUMMYFUNCTION("""COMPUTED_VALUE"""),"molecular-future")</f>
        <v>molecular-future</v>
      </c>
      <c r="B7741" s="3" t="str">
        <f>IFERROR(__xludf.DUMMYFUNCTION("""COMPUTED_VALUE"""),"mof")</f>
        <v>mof</v>
      </c>
      <c r="C7741" s="3" t="str">
        <f>IFERROR(__xludf.DUMMYFUNCTION("""COMPUTED_VALUE"""),"Molecular Future")</f>
        <v>Molecular Future</v>
      </c>
    </row>
    <row r="7742">
      <c r="A7742" s="3" t="str">
        <f>IFERROR(__xludf.DUMMYFUNCTION("""COMPUTED_VALUE"""),"mollector")</f>
        <v>mollector</v>
      </c>
      <c r="B7742" s="3" t="str">
        <f>IFERROR(__xludf.DUMMYFUNCTION("""COMPUTED_VALUE"""),"mol")</f>
        <v>mol</v>
      </c>
      <c r="C7742" s="3" t="str">
        <f>IFERROR(__xludf.DUMMYFUNCTION("""COMPUTED_VALUE"""),"Mollector")</f>
        <v>Mollector</v>
      </c>
    </row>
    <row r="7743">
      <c r="A7743" s="3" t="str">
        <f>IFERROR(__xludf.DUMMYFUNCTION("""COMPUTED_VALUE"""),"moma-protocol")</f>
        <v>moma-protocol</v>
      </c>
      <c r="B7743" s="3" t="str">
        <f>IFERROR(__xludf.DUMMYFUNCTION("""COMPUTED_VALUE"""),"momat")</f>
        <v>momat</v>
      </c>
      <c r="C7743" s="3" t="str">
        <f>IFERROR(__xludf.DUMMYFUNCTION("""COMPUTED_VALUE"""),"Moma Protocol")</f>
        <v>Moma Protocol</v>
      </c>
    </row>
    <row r="7744">
      <c r="A7744" s="3" t="str">
        <f>IFERROR(__xludf.DUMMYFUNCTION("""COMPUTED_VALUE"""),"momento")</f>
        <v>momento</v>
      </c>
      <c r="B7744" s="3" t="str">
        <f>IFERROR(__xludf.DUMMYFUNCTION("""COMPUTED_VALUE"""),"momento")</f>
        <v>momento</v>
      </c>
      <c r="C7744" s="3" t="str">
        <f>IFERROR(__xludf.DUMMYFUNCTION("""COMPUTED_VALUE"""),"Momento")</f>
        <v>Momento</v>
      </c>
    </row>
    <row r="7745">
      <c r="A7745" s="3" t="str">
        <f>IFERROR(__xludf.DUMMYFUNCTION("""COMPUTED_VALUE"""),"moments")</f>
        <v>moments</v>
      </c>
      <c r="B7745" s="3" t="str">
        <f>IFERROR(__xludf.DUMMYFUNCTION("""COMPUTED_VALUE"""),"mmt")</f>
        <v>mmt</v>
      </c>
      <c r="C7745" s="3" t="str">
        <f>IFERROR(__xludf.DUMMYFUNCTION("""COMPUTED_VALUE"""),"Moments Market")</f>
        <v>Moments Market</v>
      </c>
    </row>
    <row r="7746">
      <c r="A7746" s="3" t="str">
        <f>IFERROR(__xludf.DUMMYFUNCTION("""COMPUTED_VALUE"""),"momentum-token")</f>
        <v>momentum-token</v>
      </c>
      <c r="B7746" s="3" t="str">
        <f>IFERROR(__xludf.DUMMYFUNCTION("""COMPUTED_VALUE"""),"mtm")</f>
        <v>mtm</v>
      </c>
      <c r="C7746" s="3" t="str">
        <f>IFERROR(__xludf.DUMMYFUNCTION("""COMPUTED_VALUE"""),"Momentum MTM")</f>
        <v>Momentum MTM</v>
      </c>
    </row>
    <row r="7747">
      <c r="A7747" s="3" t="str">
        <f>IFERROR(__xludf.DUMMYFUNCTION("""COMPUTED_VALUE"""),"mommon")</f>
        <v>mommon</v>
      </c>
      <c r="B7747" s="3" t="str">
        <f>IFERROR(__xludf.DUMMYFUNCTION("""COMPUTED_VALUE"""),"mmon")</f>
        <v>mmon</v>
      </c>
      <c r="C7747" s="3" t="str">
        <f>IFERROR(__xludf.DUMMYFUNCTION("""COMPUTED_VALUE"""),"Mammon")</f>
        <v>Mammon</v>
      </c>
    </row>
    <row r="7748">
      <c r="A7748" s="3" t="str">
        <f>IFERROR(__xludf.DUMMYFUNCTION("""COMPUTED_VALUE"""),"mommy-doge")</f>
        <v>mommy-doge</v>
      </c>
      <c r="B7748" s="3" t="str">
        <f>IFERROR(__xludf.DUMMYFUNCTION("""COMPUTED_VALUE"""),"mommydoge")</f>
        <v>mommydoge</v>
      </c>
      <c r="C7748" s="3" t="str">
        <f>IFERROR(__xludf.DUMMYFUNCTION("""COMPUTED_VALUE"""),"Mommy Doge")</f>
        <v>Mommy Doge</v>
      </c>
    </row>
    <row r="7749">
      <c r="A7749" s="3" t="str">
        <f>IFERROR(__xludf.DUMMYFUNCTION("""COMPUTED_VALUE"""),"momo-key")</f>
        <v>momo-key</v>
      </c>
      <c r="B7749" s="3" t="str">
        <f>IFERROR(__xludf.DUMMYFUNCTION("""COMPUTED_VALUE"""),"key")</f>
        <v>key</v>
      </c>
      <c r="C7749" s="3" t="str">
        <f>IFERROR(__xludf.DUMMYFUNCTION("""COMPUTED_VALUE"""),"MoMo Key")</f>
        <v>MoMo Key</v>
      </c>
    </row>
    <row r="7750">
      <c r="A7750" s="3" t="str">
        <f>IFERROR(__xludf.DUMMYFUNCTION("""COMPUTED_VALUE"""),"momo-protocol")</f>
        <v>momo-protocol</v>
      </c>
      <c r="B7750" s="3" t="str">
        <f>IFERROR(__xludf.DUMMYFUNCTION("""COMPUTED_VALUE"""),"momo")</f>
        <v>momo</v>
      </c>
      <c r="C7750" s="3" t="str">
        <f>IFERROR(__xludf.DUMMYFUNCTION("""COMPUTED_VALUE"""),"Momo Protocol")</f>
        <v>Momo Protocol</v>
      </c>
    </row>
    <row r="7751">
      <c r="A7751" s="3" t="str">
        <f>IFERROR(__xludf.DUMMYFUNCTION("""COMPUTED_VALUE"""),"mona")</f>
        <v>mona</v>
      </c>
      <c r="B7751" s="3" t="str">
        <f>IFERROR(__xludf.DUMMYFUNCTION("""COMPUTED_VALUE"""),"mona")</f>
        <v>mona</v>
      </c>
      <c r="C7751" s="3" t="str">
        <f>IFERROR(__xludf.DUMMYFUNCTION("""COMPUTED_VALUE"""),"Monaco Planet")</f>
        <v>Monaco Planet</v>
      </c>
    </row>
    <row r="7752">
      <c r="A7752" s="3" t="str">
        <f>IFERROR(__xludf.DUMMYFUNCTION("""COMPUTED_VALUE"""),"monaco")</f>
        <v>monaco</v>
      </c>
      <c r="B7752" s="3" t="str">
        <f>IFERROR(__xludf.DUMMYFUNCTION("""COMPUTED_VALUE"""),"mco")</f>
        <v>mco</v>
      </c>
      <c r="C7752" s="3" t="str">
        <f>IFERROR(__xludf.DUMMYFUNCTION("""COMPUTED_VALUE"""),"MCO")</f>
        <v>MCO</v>
      </c>
    </row>
    <row r="7753">
      <c r="A7753" s="3" t="str">
        <f>IFERROR(__xludf.DUMMYFUNCTION("""COMPUTED_VALUE"""),"monacoin")</f>
        <v>monacoin</v>
      </c>
      <c r="B7753" s="3" t="str">
        <f>IFERROR(__xludf.DUMMYFUNCTION("""COMPUTED_VALUE"""),"mona")</f>
        <v>mona</v>
      </c>
      <c r="C7753" s="3" t="str">
        <f>IFERROR(__xludf.DUMMYFUNCTION("""COMPUTED_VALUE"""),"MonaCoin")</f>
        <v>MonaCoin</v>
      </c>
    </row>
    <row r="7754">
      <c r="A7754" s="3" t="str">
        <f>IFERROR(__xludf.DUMMYFUNCTION("""COMPUTED_VALUE"""),"monastery-finance")</f>
        <v>monastery-finance</v>
      </c>
      <c r="B7754" s="3" t="str">
        <f>IFERROR(__xludf.DUMMYFUNCTION("""COMPUTED_VALUE"""),"monk")</f>
        <v>monk</v>
      </c>
      <c r="C7754" s="3" t="str">
        <f>IFERROR(__xludf.DUMMYFUNCTION("""COMPUTED_VALUE"""),"Monastery Finance")</f>
        <v>Monastery Finance</v>
      </c>
    </row>
    <row r="7755">
      <c r="A7755" s="3" t="str">
        <f>IFERROR(__xludf.DUMMYFUNCTION("""COMPUTED_VALUE"""),"monavale")</f>
        <v>monavale</v>
      </c>
      <c r="B7755" s="3" t="str">
        <f>IFERROR(__xludf.DUMMYFUNCTION("""COMPUTED_VALUE"""),"mona")</f>
        <v>mona</v>
      </c>
      <c r="C7755" s="3" t="str">
        <f>IFERROR(__xludf.DUMMYFUNCTION("""COMPUTED_VALUE"""),"Monavale")</f>
        <v>Monavale</v>
      </c>
    </row>
    <row r="7756">
      <c r="A7756" s="3" t="str">
        <f>IFERROR(__xludf.DUMMYFUNCTION("""COMPUTED_VALUE"""),"mondayclub")</f>
        <v>mondayclub</v>
      </c>
      <c r="B7756" s="3" t="str">
        <f>IFERROR(__xludf.DUMMYFUNCTION("""COMPUTED_VALUE"""),"monday")</f>
        <v>monday</v>
      </c>
      <c r="C7756" s="3" t="str">
        <f>IFERROR(__xludf.DUMMYFUNCTION("""COMPUTED_VALUE"""),"MondayClub")</f>
        <v>MondayClub</v>
      </c>
    </row>
    <row r="7757">
      <c r="A7757" s="3" t="str">
        <f>IFERROR(__xludf.DUMMYFUNCTION("""COMPUTED_VALUE"""),"mondo-community-coin")</f>
        <v>mondo-community-coin</v>
      </c>
      <c r="B7757" s="3" t="str">
        <f>IFERROR(__xludf.DUMMYFUNCTION("""COMPUTED_VALUE"""),"mndcc")</f>
        <v>mndcc</v>
      </c>
      <c r="C7757" s="3" t="str">
        <f>IFERROR(__xludf.DUMMYFUNCTION("""COMPUTED_VALUE"""),"Mondo Community Coin")</f>
        <v>Mondo Community Coin</v>
      </c>
    </row>
    <row r="7758">
      <c r="A7758" s="3" t="str">
        <f>IFERROR(__xludf.DUMMYFUNCTION("""COMPUTED_VALUE"""),"monerium-eur-money")</f>
        <v>monerium-eur-money</v>
      </c>
      <c r="B7758" s="3" t="str">
        <f>IFERROR(__xludf.DUMMYFUNCTION("""COMPUTED_VALUE"""),"eure")</f>
        <v>eure</v>
      </c>
      <c r="C7758" s="3" t="str">
        <f>IFERROR(__xludf.DUMMYFUNCTION("""COMPUTED_VALUE"""),"Monerium EUR emoney")</f>
        <v>Monerium EUR emoney</v>
      </c>
    </row>
    <row r="7759">
      <c r="A7759" s="3" t="str">
        <f>IFERROR(__xludf.DUMMYFUNCTION("""COMPUTED_VALUE"""),"monero")</f>
        <v>monero</v>
      </c>
      <c r="B7759" s="3" t="str">
        <f>IFERROR(__xludf.DUMMYFUNCTION("""COMPUTED_VALUE"""),"xmr")</f>
        <v>xmr</v>
      </c>
      <c r="C7759" s="3" t="str">
        <f>IFERROR(__xludf.DUMMYFUNCTION("""COMPUTED_VALUE"""),"Monero")</f>
        <v>Monero</v>
      </c>
    </row>
    <row r="7760">
      <c r="A7760" s="3" t="str">
        <f>IFERROR(__xludf.DUMMYFUNCTION("""COMPUTED_VALUE"""),"monero-classic-xmc")</f>
        <v>monero-classic-xmc</v>
      </c>
      <c r="B7760" s="3" t="str">
        <f>IFERROR(__xludf.DUMMYFUNCTION("""COMPUTED_VALUE"""),"xmc")</f>
        <v>xmc</v>
      </c>
      <c r="C7760" s="3" t="str">
        <f>IFERROR(__xludf.DUMMYFUNCTION("""COMPUTED_VALUE"""),"Monero-Classic")</f>
        <v>Monero-Classic</v>
      </c>
    </row>
    <row r="7761">
      <c r="A7761" s="3" t="str">
        <f>IFERROR(__xludf.DUMMYFUNCTION("""COMPUTED_VALUE"""),"monerov")</f>
        <v>monerov</v>
      </c>
      <c r="B7761" s="3" t="str">
        <f>IFERROR(__xludf.DUMMYFUNCTION("""COMPUTED_VALUE"""),"xmv")</f>
        <v>xmv</v>
      </c>
      <c r="C7761" s="3" t="str">
        <f>IFERROR(__xludf.DUMMYFUNCTION("""COMPUTED_VALUE"""),"MoneroV")</f>
        <v>MoneroV</v>
      </c>
    </row>
    <row r="7762">
      <c r="A7762" s="3" t="str">
        <f>IFERROR(__xludf.DUMMYFUNCTION("""COMPUTED_VALUE"""),"mones")</f>
        <v>mones</v>
      </c>
      <c r="B7762" s="3" t="str">
        <f>IFERROR(__xludf.DUMMYFUNCTION("""COMPUTED_VALUE"""),"mones")</f>
        <v>mones</v>
      </c>
      <c r="C7762" s="3" t="str">
        <f>IFERROR(__xludf.DUMMYFUNCTION("""COMPUTED_VALUE"""),"Mones")</f>
        <v>Mones</v>
      </c>
    </row>
    <row r="7763">
      <c r="A7763" s="3" t="str">
        <f>IFERROR(__xludf.DUMMYFUNCTION("""COMPUTED_VALUE"""),"moneta")</f>
        <v>moneta</v>
      </c>
      <c r="B7763" s="3" t="str">
        <f>IFERROR(__xludf.DUMMYFUNCTION("""COMPUTED_VALUE"""),"moneta")</f>
        <v>moneta</v>
      </c>
      <c r="C7763" s="3" t="str">
        <f>IFERROR(__xludf.DUMMYFUNCTION("""COMPUTED_VALUE"""),"Moneta")</f>
        <v>Moneta</v>
      </c>
    </row>
    <row r="7764">
      <c r="A7764" s="3" t="str">
        <f>IFERROR(__xludf.DUMMYFUNCTION("""COMPUTED_VALUE"""),"moneta-digital")</f>
        <v>moneta-digital</v>
      </c>
      <c r="B7764" s="3" t="str">
        <f>IFERROR(__xludf.DUMMYFUNCTION("""COMPUTED_VALUE"""),"mmxn")</f>
        <v>mmxn</v>
      </c>
      <c r="C7764" s="3" t="str">
        <f>IFERROR(__xludf.DUMMYFUNCTION("""COMPUTED_VALUE"""),"Moneta Digital")</f>
        <v>Moneta Digital</v>
      </c>
    </row>
    <row r="7765">
      <c r="A7765" s="3" t="str">
        <f>IFERROR(__xludf.DUMMYFUNCTION("""COMPUTED_VALUE"""),"monetaryunit")</f>
        <v>monetaryunit</v>
      </c>
      <c r="B7765" s="3" t="str">
        <f>IFERROR(__xludf.DUMMYFUNCTION("""COMPUTED_VALUE"""),"mue")</f>
        <v>mue</v>
      </c>
      <c r="C7765" s="3" t="str">
        <f>IFERROR(__xludf.DUMMYFUNCTION("""COMPUTED_VALUE"""),"MonetaryUnit")</f>
        <v>MonetaryUnit</v>
      </c>
    </row>
    <row r="7766">
      <c r="A7766" s="3" t="str">
        <f>IFERROR(__xludf.DUMMYFUNCTION("""COMPUTED_VALUE"""),"monetas")</f>
        <v>monetas</v>
      </c>
      <c r="B7766" s="3" t="str">
        <f>IFERROR(__xludf.DUMMYFUNCTION("""COMPUTED_VALUE"""),"mntg")</f>
        <v>mntg</v>
      </c>
      <c r="C7766" s="3" t="str">
        <f>IFERROR(__xludf.DUMMYFUNCTION("""COMPUTED_VALUE"""),"Monetas")</f>
        <v>Monetas</v>
      </c>
    </row>
    <row r="7767">
      <c r="A7767" s="3" t="str">
        <f>IFERROR(__xludf.DUMMYFUNCTION("""COMPUTED_VALUE"""),"monetha")</f>
        <v>monetha</v>
      </c>
      <c r="B7767" s="3" t="str">
        <f>IFERROR(__xludf.DUMMYFUNCTION("""COMPUTED_VALUE"""),"mth")</f>
        <v>mth</v>
      </c>
      <c r="C7767" s="3" t="str">
        <f>IFERROR(__xludf.DUMMYFUNCTION("""COMPUTED_VALUE"""),"Monetha")</f>
        <v>Monetha</v>
      </c>
    </row>
    <row r="7768">
      <c r="A7768" s="3" t="str">
        <f>IFERROR(__xludf.DUMMYFUNCTION("""COMPUTED_VALUE"""),"moneybrain-bips")</f>
        <v>moneybrain-bips</v>
      </c>
      <c r="B7768" s="3" t="str">
        <f>IFERROR(__xludf.DUMMYFUNCTION("""COMPUTED_VALUE"""),"bips")</f>
        <v>bips</v>
      </c>
      <c r="C7768" s="3" t="str">
        <f>IFERROR(__xludf.DUMMYFUNCTION("""COMPUTED_VALUE"""),"Moneybrain BiPS")</f>
        <v>Moneybrain BiPS</v>
      </c>
    </row>
    <row r="7769">
      <c r="A7769" s="3" t="str">
        <f>IFERROR(__xludf.DUMMYFUNCTION("""COMPUTED_VALUE"""),"moneybyte")</f>
        <v>moneybyte</v>
      </c>
      <c r="B7769" s="3" t="str">
        <f>IFERROR(__xludf.DUMMYFUNCTION("""COMPUTED_VALUE"""),"mon")</f>
        <v>mon</v>
      </c>
      <c r="C7769" s="3" t="str">
        <f>IFERROR(__xludf.DUMMYFUNCTION("""COMPUTED_VALUE"""),"Moneybyte")</f>
        <v>Moneybyte</v>
      </c>
    </row>
    <row r="7770">
      <c r="A7770" s="3" t="str">
        <f>IFERROR(__xludf.DUMMYFUNCTION("""COMPUTED_VALUE"""),"moneydefiswap")</f>
        <v>moneydefiswap</v>
      </c>
      <c r="B7770" s="3" t="str">
        <f>IFERROR(__xludf.DUMMYFUNCTION("""COMPUTED_VALUE"""),"msd")</f>
        <v>msd</v>
      </c>
      <c r="C7770" s="3" t="str">
        <f>IFERROR(__xludf.DUMMYFUNCTION("""COMPUTED_VALUE"""),"MoneydefiSwap")</f>
        <v>MoneydefiSwap</v>
      </c>
    </row>
    <row r="7771">
      <c r="A7771" s="3" t="str">
        <f>IFERROR(__xludf.DUMMYFUNCTION("""COMPUTED_VALUE"""),"moneyhero")</f>
        <v>moneyhero</v>
      </c>
      <c r="B7771" s="3" t="str">
        <f>IFERROR(__xludf.DUMMYFUNCTION("""COMPUTED_VALUE"""),"myh")</f>
        <v>myh</v>
      </c>
      <c r="C7771" s="3" t="str">
        <f>IFERROR(__xludf.DUMMYFUNCTION("""COMPUTED_VALUE"""),"Moneyhero")</f>
        <v>Moneyhero</v>
      </c>
    </row>
    <row r="7772">
      <c r="A7772" s="3" t="str">
        <f>IFERROR(__xludf.DUMMYFUNCTION("""COMPUTED_VALUE"""),"moneyswap")</f>
        <v>moneyswap</v>
      </c>
      <c r="B7772" s="3" t="str">
        <f>IFERROR(__xludf.DUMMYFUNCTION("""COMPUTED_VALUE"""),"mswap")</f>
        <v>mswap</v>
      </c>
      <c r="C7772" s="3" t="str">
        <f>IFERROR(__xludf.DUMMYFUNCTION("""COMPUTED_VALUE"""),"MoneySwap")</f>
        <v>MoneySwap</v>
      </c>
    </row>
    <row r="7773">
      <c r="A7773" s="3" t="str">
        <f>IFERROR(__xludf.DUMMYFUNCTION("""COMPUTED_VALUE"""),"moneytoken")</f>
        <v>moneytoken</v>
      </c>
      <c r="B7773" s="3" t="str">
        <f>IFERROR(__xludf.DUMMYFUNCTION("""COMPUTED_VALUE"""),"imt")</f>
        <v>imt</v>
      </c>
      <c r="C7773" s="3" t="str">
        <f>IFERROR(__xludf.DUMMYFUNCTION("""COMPUTED_VALUE"""),"Money IMT")</f>
        <v>Money IMT</v>
      </c>
    </row>
    <row r="7774">
      <c r="A7774" s="3" t="str">
        <f>IFERROR(__xludf.DUMMYFUNCTION("""COMPUTED_VALUE"""),"moneytree")</f>
        <v>moneytree</v>
      </c>
      <c r="B7774" s="3" t="str">
        <f>IFERROR(__xludf.DUMMYFUNCTION("""COMPUTED_VALUE"""),"money")</f>
        <v>money</v>
      </c>
      <c r="C7774" s="3" t="str">
        <f>IFERROR(__xludf.DUMMYFUNCTION("""COMPUTED_VALUE"""),"MoneyTree")</f>
        <v>MoneyTree</v>
      </c>
    </row>
    <row r="7775">
      <c r="A7775" s="3" t="str">
        <f>IFERROR(__xludf.DUMMYFUNCTION("""COMPUTED_VALUE"""),"money-versum")</f>
        <v>money-versum</v>
      </c>
      <c r="B7775" s="3" t="str">
        <f>IFERROR(__xludf.DUMMYFUNCTION("""COMPUTED_VALUE"""),"myv")</f>
        <v>myv</v>
      </c>
      <c r="C7775" s="3" t="str">
        <f>IFERROR(__xludf.DUMMYFUNCTION("""COMPUTED_VALUE"""),"Money Versum")</f>
        <v>Money Versum</v>
      </c>
    </row>
    <row r="7776">
      <c r="A7776" s="3" t="str">
        <f>IFERROR(__xludf.DUMMYFUNCTION("""COMPUTED_VALUE"""),"monfter")</f>
        <v>monfter</v>
      </c>
      <c r="B7776" s="3" t="str">
        <f>IFERROR(__xludf.DUMMYFUNCTION("""COMPUTED_VALUE"""),"mon")</f>
        <v>mon</v>
      </c>
      <c r="C7776" s="3" t="str">
        <f>IFERROR(__xludf.DUMMYFUNCTION("""COMPUTED_VALUE"""),"Monfter")</f>
        <v>Monfter</v>
      </c>
    </row>
    <row r="7777">
      <c r="A7777" s="3" t="str">
        <f>IFERROR(__xludf.DUMMYFUNCTION("""COMPUTED_VALUE"""),"mongol-nft")</f>
        <v>mongol-nft</v>
      </c>
      <c r="B7777" s="3" t="str">
        <f>IFERROR(__xludf.DUMMYFUNCTION("""COMPUTED_VALUE"""),"mnft")</f>
        <v>mnft</v>
      </c>
      <c r="C7777" s="3" t="str">
        <f>IFERROR(__xludf.DUMMYFUNCTION("""COMPUTED_VALUE"""),"Mongol NFT")</f>
        <v>Mongol NFT</v>
      </c>
    </row>
    <row r="7778">
      <c r="A7778" s="3" t="str">
        <f>IFERROR(__xludf.DUMMYFUNCTION("""COMPUTED_VALUE"""),"mongoose")</f>
        <v>mongoose</v>
      </c>
      <c r="B7778" s="3" t="str">
        <f>IFERROR(__xludf.DUMMYFUNCTION("""COMPUTED_VALUE"""),"mongoose")</f>
        <v>mongoose</v>
      </c>
      <c r="C7778" s="3" t="str">
        <f>IFERROR(__xludf.DUMMYFUNCTION("""COMPUTED_VALUE"""),"Mongoose")</f>
        <v>Mongoose</v>
      </c>
    </row>
    <row r="7779">
      <c r="A7779" s="3" t="str">
        <f>IFERROR(__xludf.DUMMYFUNCTION("""COMPUTED_VALUE"""),"mongoosecoin")</f>
        <v>mongoosecoin</v>
      </c>
      <c r="B7779" s="3" t="str">
        <f>IFERROR(__xludf.DUMMYFUNCTION("""COMPUTED_VALUE"""),"mongoose")</f>
        <v>mongoose</v>
      </c>
      <c r="C7779" s="3" t="str">
        <f>IFERROR(__xludf.DUMMYFUNCTION("""COMPUTED_VALUE"""),"MongooseCoin")</f>
        <v>MongooseCoin</v>
      </c>
    </row>
    <row r="7780">
      <c r="A7780" s="3" t="str">
        <f>IFERROR(__xludf.DUMMYFUNCTION("""COMPUTED_VALUE"""),"moniwar")</f>
        <v>moniwar</v>
      </c>
      <c r="B7780" s="3" t="str">
        <f>IFERROR(__xludf.DUMMYFUNCTION("""COMPUTED_VALUE"""),"mowa")</f>
        <v>mowa</v>
      </c>
      <c r="C7780" s="3" t="str">
        <f>IFERROR(__xludf.DUMMYFUNCTION("""COMPUTED_VALUE"""),"Moniwar")</f>
        <v>Moniwar</v>
      </c>
    </row>
    <row r="7781">
      <c r="A7781" s="3" t="str">
        <f>IFERROR(__xludf.DUMMYFUNCTION("""COMPUTED_VALUE"""),"monk")</f>
        <v>monk</v>
      </c>
      <c r="B7781" s="3" t="str">
        <f>IFERROR(__xludf.DUMMYFUNCTION("""COMPUTED_VALUE"""),"monk")</f>
        <v>monk</v>
      </c>
      <c r="C7781" s="3" t="str">
        <f>IFERROR(__xludf.DUMMYFUNCTION("""COMPUTED_VALUE"""),"Monk")</f>
        <v>Monk</v>
      </c>
    </row>
    <row r="7782">
      <c r="A7782" s="3" t="str">
        <f>IFERROR(__xludf.DUMMYFUNCTION("""COMPUTED_VALUE"""),"monkeyball")</f>
        <v>monkeyball</v>
      </c>
      <c r="B7782" s="3" t="str">
        <f>IFERROR(__xludf.DUMMYFUNCTION("""COMPUTED_VALUE"""),"mbs")</f>
        <v>mbs</v>
      </c>
      <c r="C7782" s="3" t="str">
        <f>IFERROR(__xludf.DUMMYFUNCTION("""COMPUTED_VALUE"""),"MonkeyLeague")</f>
        <v>MonkeyLeague</v>
      </c>
    </row>
    <row r="7783">
      <c r="A7783" s="3" t="str">
        <f>IFERROR(__xludf.DUMMYFUNCTION("""COMPUTED_VALUE"""),"monkey-king")</f>
        <v>monkey-king</v>
      </c>
      <c r="B7783" s="3" t="str">
        <f>IFERROR(__xludf.DUMMYFUNCTION("""COMPUTED_VALUE"""),"wukong")</f>
        <v>wukong</v>
      </c>
      <c r="C7783" s="3" t="str">
        <f>IFERROR(__xludf.DUMMYFUNCTION("""COMPUTED_VALUE"""),"Monkey King")</f>
        <v>Monkey King</v>
      </c>
    </row>
    <row r="7784">
      <c r="A7784" s="3" t="str">
        <f>IFERROR(__xludf.DUMMYFUNCTION("""COMPUTED_VALUE"""),"monnfts")</f>
        <v>monnfts</v>
      </c>
      <c r="B7784" s="3" t="str">
        <f>IFERROR(__xludf.DUMMYFUNCTION("""COMPUTED_VALUE"""),"mon")</f>
        <v>mon</v>
      </c>
      <c r="C7784" s="3" t="str">
        <f>IFERROR(__xludf.DUMMYFUNCTION("""COMPUTED_VALUE"""),"MONNFTS")</f>
        <v>MONNFTS</v>
      </c>
    </row>
    <row r="7785">
      <c r="A7785" s="3" t="str">
        <f>IFERROR(__xludf.DUMMYFUNCTION("""COMPUTED_VALUE"""),"monnos")</f>
        <v>monnos</v>
      </c>
      <c r="B7785" s="3" t="str">
        <f>IFERROR(__xludf.DUMMYFUNCTION("""COMPUTED_VALUE"""),"mns")</f>
        <v>mns</v>
      </c>
      <c r="C7785" s="3" t="str">
        <f>IFERROR(__xludf.DUMMYFUNCTION("""COMPUTED_VALUE"""),"Monnos")</f>
        <v>Monnos</v>
      </c>
    </row>
    <row r="7786">
      <c r="A7786" s="3" t="str">
        <f>IFERROR(__xludf.DUMMYFUNCTION("""COMPUTED_VALUE"""),"monomoney")</f>
        <v>monomoney</v>
      </c>
      <c r="B7786" s="3" t="str">
        <f>IFERROR(__xludf.DUMMYFUNCTION("""COMPUTED_VALUE"""),"mono")</f>
        <v>mono</v>
      </c>
      <c r="C7786" s="3" t="str">
        <f>IFERROR(__xludf.DUMMYFUNCTION("""COMPUTED_VALUE"""),"MonoMoney")</f>
        <v>MonoMoney</v>
      </c>
    </row>
    <row r="7787">
      <c r="A7787" s="3" t="str">
        <f>IFERROR(__xludf.DUMMYFUNCTION("""COMPUTED_VALUE"""),"mononoke-inu")</f>
        <v>mononoke-inu</v>
      </c>
      <c r="B7787" s="3" t="str">
        <f>IFERROR(__xludf.DUMMYFUNCTION("""COMPUTED_VALUE"""),"mononoke-inu")</f>
        <v>mononoke-inu</v>
      </c>
      <c r="C7787" s="3" t="str">
        <f>IFERROR(__xludf.DUMMYFUNCTION("""COMPUTED_VALUE"""),"Mononoke Inu")</f>
        <v>Mononoke Inu</v>
      </c>
    </row>
    <row r="7788">
      <c r="A7788" s="3" t="str">
        <f>IFERROR(__xludf.DUMMYFUNCTION("""COMPUTED_VALUE"""),"monopoly-meta")</f>
        <v>monopoly-meta</v>
      </c>
      <c r="B7788" s="3" t="str">
        <f>IFERROR(__xludf.DUMMYFUNCTION("""COMPUTED_VALUE"""),"mpm")</f>
        <v>mpm</v>
      </c>
      <c r="C7788" s="3" t="str">
        <f>IFERROR(__xludf.DUMMYFUNCTION("""COMPUTED_VALUE"""),"Monopoly Meta")</f>
        <v>Monopoly Meta</v>
      </c>
    </row>
    <row r="7789">
      <c r="A7789" s="3" t="str">
        <f>IFERROR(__xludf.DUMMYFUNCTION("""COMPUTED_VALUE"""),"monopoly-millionaire-control")</f>
        <v>monopoly-millionaire-control</v>
      </c>
      <c r="B7789" s="3" t="str">
        <f>IFERROR(__xludf.DUMMYFUNCTION("""COMPUTED_VALUE"""),"mmc")</f>
        <v>mmc</v>
      </c>
      <c r="C7789" s="3" t="str">
        <f>IFERROR(__xludf.DUMMYFUNCTION("""COMPUTED_VALUE"""),"Monopoly Millionaire Control")</f>
        <v>Monopoly Millionaire Control</v>
      </c>
    </row>
    <row r="7790">
      <c r="A7790" s="3" t="str">
        <f>IFERROR(__xludf.DUMMYFUNCTION("""COMPUTED_VALUE"""),"monopoly-millionaire-game")</f>
        <v>monopoly-millionaire-game</v>
      </c>
      <c r="B7790" s="3" t="str">
        <f>IFERROR(__xludf.DUMMYFUNCTION("""COMPUTED_VALUE"""),"mmg")</f>
        <v>mmg</v>
      </c>
      <c r="C7790" s="3" t="str">
        <f>IFERROR(__xludf.DUMMYFUNCTION("""COMPUTED_VALUE"""),"Monopoly Millionaire Game")</f>
        <v>Monopoly Millionaire Game</v>
      </c>
    </row>
    <row r="7791">
      <c r="A7791" s="3" t="str">
        <f>IFERROR(__xludf.DUMMYFUNCTION("""COMPUTED_VALUE"""),"monox")</f>
        <v>monox</v>
      </c>
      <c r="B7791" s="3" t="str">
        <f>IFERROR(__xludf.DUMMYFUNCTION("""COMPUTED_VALUE"""),"mono")</f>
        <v>mono</v>
      </c>
      <c r="C7791" s="3" t="str">
        <f>IFERROR(__xludf.DUMMYFUNCTION("""COMPUTED_VALUE"""),"MonoX")</f>
        <v>MonoX</v>
      </c>
    </row>
    <row r="7792">
      <c r="A7792" s="3" t="str">
        <f>IFERROR(__xludf.DUMMYFUNCTION("""COMPUTED_VALUE"""),"monsoon-finance")</f>
        <v>monsoon-finance</v>
      </c>
      <c r="B7792" s="3" t="str">
        <f>IFERROR(__xludf.DUMMYFUNCTION("""COMPUTED_VALUE"""),"mcash")</f>
        <v>mcash</v>
      </c>
      <c r="C7792" s="3" t="str">
        <f>IFERROR(__xludf.DUMMYFUNCTION("""COMPUTED_VALUE"""),"Monsoon Finance")</f>
        <v>Monsoon Finance</v>
      </c>
    </row>
    <row r="7793">
      <c r="A7793" s="3" t="str">
        <f>IFERROR(__xludf.DUMMYFUNCTION("""COMPUTED_VALUE"""),"monsta-infinite")</f>
        <v>monsta-infinite</v>
      </c>
      <c r="B7793" s="3" t="str">
        <f>IFERROR(__xludf.DUMMYFUNCTION("""COMPUTED_VALUE"""),"moni")</f>
        <v>moni</v>
      </c>
      <c r="C7793" s="3" t="str">
        <f>IFERROR(__xludf.DUMMYFUNCTION("""COMPUTED_VALUE"""),"Monsta Infinite")</f>
        <v>Monsta Infinite</v>
      </c>
    </row>
    <row r="7794">
      <c r="A7794" s="3" t="str">
        <f>IFERROR(__xludf.DUMMYFUNCTION("""COMPUTED_VALUE"""),"monstaverse")</f>
        <v>monstaverse</v>
      </c>
      <c r="B7794" s="3" t="str">
        <f>IFERROR(__xludf.DUMMYFUNCTION("""COMPUTED_VALUE"""),"monstr")</f>
        <v>monstr</v>
      </c>
      <c r="C7794" s="3" t="str">
        <f>IFERROR(__xludf.DUMMYFUNCTION("""COMPUTED_VALUE"""),"MonstaVerse")</f>
        <v>MonstaVerse</v>
      </c>
    </row>
    <row r="7795">
      <c r="A7795" s="3" t="str">
        <f>IFERROR(__xludf.DUMMYFUNCTION("""COMPUTED_VALUE"""),"monster-adventure-token")</f>
        <v>monster-adventure-token</v>
      </c>
      <c r="B7795" s="3" t="str">
        <f>IFERROR(__xludf.DUMMYFUNCTION("""COMPUTED_VALUE"""),"mat")</f>
        <v>mat</v>
      </c>
      <c r="C7795" s="3" t="str">
        <f>IFERROR(__xludf.DUMMYFUNCTION("""COMPUTED_VALUE"""),"Monster Adventure")</f>
        <v>Monster Adventure</v>
      </c>
    </row>
    <row r="7796">
      <c r="A7796" s="3" t="str">
        <f>IFERROR(__xludf.DUMMYFUNCTION("""COMPUTED_VALUE"""),"monster-battle")</f>
        <v>monster-battle</v>
      </c>
      <c r="B7796" s="3" t="str">
        <f>IFERROR(__xludf.DUMMYFUNCTION("""COMPUTED_VALUE"""),"mbs")</f>
        <v>mbs</v>
      </c>
      <c r="C7796" s="3" t="str">
        <f>IFERROR(__xludf.DUMMYFUNCTION("""COMPUTED_VALUE"""),"Monster Battle")</f>
        <v>Monster Battle</v>
      </c>
    </row>
    <row r="7797">
      <c r="A7797" s="3" t="str">
        <f>IFERROR(__xludf.DUMMYFUNCTION("""COMPUTED_VALUE"""),"monster-cash-share")</f>
        <v>monster-cash-share</v>
      </c>
      <c r="B7797" s="3" t="str">
        <f>IFERROR(__xludf.DUMMYFUNCTION("""COMPUTED_VALUE"""),"mss")</f>
        <v>mss</v>
      </c>
      <c r="C7797" s="3" t="str">
        <f>IFERROR(__xludf.DUMMYFUNCTION("""COMPUTED_VALUE"""),"Monster Slayer Share")</f>
        <v>Monster Slayer Share</v>
      </c>
    </row>
    <row r="7798">
      <c r="A7798" s="3" t="str">
        <f>IFERROR(__xludf.DUMMYFUNCTION("""COMPUTED_VALUE"""),"monster-galaxy")</f>
        <v>monster-galaxy</v>
      </c>
      <c r="B7798" s="3" t="str">
        <f>IFERROR(__xludf.DUMMYFUNCTION("""COMPUTED_VALUE"""),"ggm")</f>
        <v>ggm</v>
      </c>
      <c r="C7798" s="3" t="str">
        <f>IFERROR(__xludf.DUMMYFUNCTION("""COMPUTED_VALUE"""),"Monster Galaxy")</f>
        <v>Monster Galaxy</v>
      </c>
    </row>
    <row r="7799">
      <c r="A7799" s="3" t="str">
        <f>IFERROR(__xludf.DUMMYFUNCTION("""COMPUTED_VALUE"""),"monster-of-god")</f>
        <v>monster-of-god</v>
      </c>
      <c r="B7799" s="3" t="str">
        <f>IFERROR(__xludf.DUMMYFUNCTION("""COMPUTED_VALUE"""),"monx")</f>
        <v>monx</v>
      </c>
      <c r="C7799" s="3" t="str">
        <f>IFERROR(__xludf.DUMMYFUNCTION("""COMPUTED_VALUE"""),"Monster of God")</f>
        <v>Monster of God</v>
      </c>
    </row>
    <row r="7800">
      <c r="A7800" s="3" t="str">
        <f>IFERROR(__xludf.DUMMYFUNCTION("""COMPUTED_VALUE"""),"monsterquest")</f>
        <v>monsterquest</v>
      </c>
      <c r="B7800" s="3" t="str">
        <f>IFERROR(__xludf.DUMMYFUNCTION("""COMPUTED_VALUE"""),"mqst")</f>
        <v>mqst</v>
      </c>
      <c r="C7800" s="3" t="str">
        <f>IFERROR(__xludf.DUMMYFUNCTION("""COMPUTED_VALUE"""),"MonsterQuest")</f>
        <v>MonsterQuest</v>
      </c>
    </row>
    <row r="7801">
      <c r="A7801" s="3" t="str">
        <f>IFERROR(__xludf.DUMMYFUNCTION("""COMPUTED_VALUE"""),"monsterra")</f>
        <v>monsterra</v>
      </c>
      <c r="B7801" s="3" t="str">
        <f>IFERROR(__xludf.DUMMYFUNCTION("""COMPUTED_VALUE"""),"mstr")</f>
        <v>mstr</v>
      </c>
      <c r="C7801" s="3" t="str">
        <f>IFERROR(__xludf.DUMMYFUNCTION("""COMPUTED_VALUE"""),"Monsterra")</f>
        <v>Monsterra</v>
      </c>
    </row>
    <row r="7802">
      <c r="A7802" s="3" t="str">
        <f>IFERROR(__xludf.DUMMYFUNCTION("""COMPUTED_VALUE"""),"monsterra-mag")</f>
        <v>monsterra-mag</v>
      </c>
      <c r="B7802" s="3" t="str">
        <f>IFERROR(__xludf.DUMMYFUNCTION("""COMPUTED_VALUE"""),"mag")</f>
        <v>mag</v>
      </c>
      <c r="C7802" s="3" t="str">
        <f>IFERROR(__xludf.DUMMYFUNCTION("""COMPUTED_VALUE"""),"Monsterra MAG")</f>
        <v>Monsterra MAG</v>
      </c>
    </row>
    <row r="7803">
      <c r="A7803" s="3" t="str">
        <f>IFERROR(__xludf.DUMMYFUNCTION("""COMPUTED_VALUE"""),"monster-saga")</f>
        <v>monster-saga</v>
      </c>
      <c r="B7803" s="3" t="str">
        <f>IFERROR(__xludf.DUMMYFUNCTION("""COMPUTED_VALUE"""),"mts")</f>
        <v>mts</v>
      </c>
      <c r="C7803" s="3" t="str">
        <f>IFERROR(__xludf.DUMMYFUNCTION("""COMPUTED_VALUE"""),"Monster Saga")</f>
        <v>Monster Saga</v>
      </c>
    </row>
    <row r="7804">
      <c r="A7804" s="3" t="str">
        <f>IFERROR(__xludf.DUMMYFUNCTION("""COMPUTED_VALUE"""),"monsters-clan")</f>
        <v>monsters-clan</v>
      </c>
      <c r="B7804" s="3" t="str">
        <f>IFERROR(__xludf.DUMMYFUNCTION("""COMPUTED_VALUE"""),"mons")</f>
        <v>mons</v>
      </c>
      <c r="C7804" s="3" t="str">
        <f>IFERROR(__xludf.DUMMYFUNCTION("""COMPUTED_VALUE"""),"Monsters Clan")</f>
        <v>Monsters Clan</v>
      </c>
    </row>
    <row r="7805">
      <c r="A7805" s="3" t="str">
        <f>IFERROR(__xludf.DUMMYFUNCTION("""COMPUTED_VALUE"""),"monster-valley")</f>
        <v>monster-valley</v>
      </c>
      <c r="B7805" s="3" t="str">
        <f>IFERROR(__xludf.DUMMYFUNCTION("""COMPUTED_VALUE"""),"monster")</f>
        <v>monster</v>
      </c>
      <c r="C7805" s="3" t="str">
        <f>IFERROR(__xludf.DUMMYFUNCTION("""COMPUTED_VALUE"""),"Monster Valley")</f>
        <v>Monster Valley</v>
      </c>
    </row>
    <row r="7806">
      <c r="A7806" s="3" t="str">
        <f>IFERROR(__xludf.DUMMYFUNCTION("""COMPUTED_VALUE"""),"monster-world")</f>
        <v>monster-world</v>
      </c>
      <c r="B7806" s="3" t="str">
        <f>IFERROR(__xludf.DUMMYFUNCTION("""COMPUTED_VALUE"""),"mw")</f>
        <v>mw</v>
      </c>
      <c r="C7806" s="3" t="str">
        <f>IFERROR(__xludf.DUMMYFUNCTION("""COMPUTED_VALUE"""),"Monster World")</f>
        <v>Monster World</v>
      </c>
    </row>
    <row r="7807">
      <c r="A7807" s="3" t="str">
        <f>IFERROR(__xludf.DUMMYFUNCTION("""COMPUTED_VALUE"""),"monstock")</f>
        <v>monstock</v>
      </c>
      <c r="B7807" s="3" t="str">
        <f>IFERROR(__xludf.DUMMYFUNCTION("""COMPUTED_VALUE"""),"mon")</f>
        <v>mon</v>
      </c>
      <c r="C7807" s="3" t="str">
        <f>IFERROR(__xludf.DUMMYFUNCTION("""COMPUTED_VALUE"""),"Monstock")</f>
        <v>Monstock</v>
      </c>
    </row>
    <row r="7808">
      <c r="A7808" s="3" t="str">
        <f>IFERROR(__xludf.DUMMYFUNCTION("""COMPUTED_VALUE"""),"monverse")</f>
        <v>monverse</v>
      </c>
      <c r="B7808" s="3" t="str">
        <f>IFERROR(__xludf.DUMMYFUNCTION("""COMPUTED_VALUE"""),"monstr")</f>
        <v>monstr</v>
      </c>
      <c r="C7808" s="3" t="str">
        <f>IFERROR(__xludf.DUMMYFUNCTION("""COMPUTED_VALUE"""),"Monverse")</f>
        <v>Monverse</v>
      </c>
    </row>
    <row r="7809">
      <c r="A7809" s="3" t="str">
        <f>IFERROR(__xludf.DUMMYFUNCTION("""COMPUTED_VALUE"""),"moochii")</f>
        <v>moochii</v>
      </c>
      <c r="B7809" s="3" t="str">
        <f>IFERROR(__xludf.DUMMYFUNCTION("""COMPUTED_VALUE"""),"moochii")</f>
        <v>moochii</v>
      </c>
      <c r="C7809" s="3" t="str">
        <f>IFERROR(__xludf.DUMMYFUNCTION("""COMPUTED_VALUE"""),"Moochii")</f>
        <v>Moochii</v>
      </c>
    </row>
    <row r="7810">
      <c r="A7810" s="3" t="str">
        <f>IFERROR(__xludf.DUMMYFUNCTION("""COMPUTED_VALUE"""),"moola-celo-atoken")</f>
        <v>moola-celo-atoken</v>
      </c>
      <c r="B7810" s="3" t="str">
        <f>IFERROR(__xludf.DUMMYFUNCTION("""COMPUTED_VALUE"""),"mcelo")</f>
        <v>mcelo</v>
      </c>
      <c r="C7810" s="3" t="str">
        <f>IFERROR(__xludf.DUMMYFUNCTION("""COMPUTED_VALUE"""),"Moola CELO AToken")</f>
        <v>Moola CELO AToken</v>
      </c>
    </row>
    <row r="7811">
      <c r="A7811" s="3" t="str">
        <f>IFERROR(__xludf.DUMMYFUNCTION("""COMPUTED_VALUE"""),"moola-celo-dollars")</f>
        <v>moola-celo-dollars</v>
      </c>
      <c r="B7811" s="3" t="str">
        <f>IFERROR(__xludf.DUMMYFUNCTION("""COMPUTED_VALUE"""),"mcusd")</f>
        <v>mcusd</v>
      </c>
      <c r="C7811" s="3" t="str">
        <f>IFERROR(__xludf.DUMMYFUNCTION("""COMPUTED_VALUE"""),"Moola Celo Dollars")</f>
        <v>Moola Celo Dollars</v>
      </c>
    </row>
    <row r="7812">
      <c r="A7812" s="3" t="str">
        <f>IFERROR(__xludf.DUMMYFUNCTION("""COMPUTED_VALUE"""),"moola-interest-bearing-creal")</f>
        <v>moola-interest-bearing-creal</v>
      </c>
      <c r="B7812" s="3" t="str">
        <f>IFERROR(__xludf.DUMMYFUNCTION("""COMPUTED_VALUE"""),"mcreal")</f>
        <v>mcreal</v>
      </c>
      <c r="C7812" s="3" t="str">
        <f>IFERROR(__xludf.DUMMYFUNCTION("""COMPUTED_VALUE"""),"Moola interest bearing CREAL")</f>
        <v>Moola interest bearing CREAL</v>
      </c>
    </row>
    <row r="7813">
      <c r="A7813" s="3" t="str">
        <f>IFERROR(__xludf.DUMMYFUNCTION("""COMPUTED_VALUE"""),"moola-market")</f>
        <v>moola-market</v>
      </c>
      <c r="B7813" s="3" t="str">
        <f>IFERROR(__xludf.DUMMYFUNCTION("""COMPUTED_VALUE"""),"moo")</f>
        <v>moo</v>
      </c>
      <c r="C7813" s="3" t="str">
        <f>IFERROR(__xludf.DUMMYFUNCTION("""COMPUTED_VALUE"""),"Moola Market")</f>
        <v>Moola Market</v>
      </c>
    </row>
    <row r="7814">
      <c r="A7814" s="3" t="str">
        <f>IFERROR(__xludf.DUMMYFUNCTION("""COMPUTED_VALUE"""),"moomonster")</f>
        <v>moomonster</v>
      </c>
      <c r="B7814" s="3" t="str">
        <f>IFERROR(__xludf.DUMMYFUNCTION("""COMPUTED_VALUE"""),"moo")</f>
        <v>moo</v>
      </c>
      <c r="C7814" s="3" t="str">
        <f>IFERROR(__xludf.DUMMYFUNCTION("""COMPUTED_VALUE"""),"MooMonster")</f>
        <v>MooMonster</v>
      </c>
    </row>
    <row r="7815">
      <c r="A7815" s="3" t="str">
        <f>IFERROR(__xludf.DUMMYFUNCTION("""COMPUTED_VALUE"""),"moon")</f>
        <v>moon</v>
      </c>
      <c r="B7815" s="3" t="str">
        <f>IFERROR(__xludf.DUMMYFUNCTION("""COMPUTED_VALUE"""),"moon")</f>
        <v>moon</v>
      </c>
      <c r="C7815" s="3" t="str">
        <f>IFERROR(__xludf.DUMMYFUNCTION("""COMPUTED_VALUE"""),"r/CryptoCurrency Moons")</f>
        <v>r/CryptoCurrency Moons</v>
      </c>
    </row>
    <row r="7816">
      <c r="A7816" s="3" t="str">
        <f>IFERROR(__xludf.DUMMYFUNCTION("""COMPUTED_VALUE"""),"moonai")</f>
        <v>moonai</v>
      </c>
      <c r="B7816" s="3" t="str">
        <f>IFERROR(__xludf.DUMMYFUNCTION("""COMPUTED_VALUE"""),"mooi")</f>
        <v>mooi</v>
      </c>
      <c r="C7816" s="3" t="str">
        <f>IFERROR(__xludf.DUMMYFUNCTION("""COMPUTED_VALUE"""),"Moonaï")</f>
        <v>Moonaï</v>
      </c>
    </row>
    <row r="7817">
      <c r="A7817" s="3" t="str">
        <f>IFERROR(__xludf.DUMMYFUNCTION("""COMPUTED_VALUE"""),"moonarch")</f>
        <v>moonarch</v>
      </c>
      <c r="B7817" s="3" t="str">
        <f>IFERROR(__xludf.DUMMYFUNCTION("""COMPUTED_VALUE"""),"moonarch")</f>
        <v>moonarch</v>
      </c>
      <c r="C7817" s="3" t="str">
        <f>IFERROR(__xludf.DUMMYFUNCTION("""COMPUTED_VALUE"""),"Moonarch")</f>
        <v>Moonarch</v>
      </c>
    </row>
    <row r="7818">
      <c r="A7818" s="3" t="str">
        <f>IFERROR(__xludf.DUMMYFUNCTION("""COMPUTED_VALUE"""),"moonbeam")</f>
        <v>moonbeam</v>
      </c>
      <c r="B7818" s="3" t="str">
        <f>IFERROR(__xludf.DUMMYFUNCTION("""COMPUTED_VALUE"""),"glmr")</f>
        <v>glmr</v>
      </c>
      <c r="C7818" s="3" t="str">
        <f>IFERROR(__xludf.DUMMYFUNCTION("""COMPUTED_VALUE"""),"Moonbeam")</f>
        <v>Moonbeam</v>
      </c>
    </row>
    <row r="7819">
      <c r="A7819" s="3" t="str">
        <f>IFERROR(__xludf.DUMMYFUNCTION("""COMPUTED_VALUE"""),"moonbeans")</f>
        <v>moonbeans</v>
      </c>
      <c r="B7819" s="3" t="str">
        <f>IFERROR(__xludf.DUMMYFUNCTION("""COMPUTED_VALUE"""),"beans")</f>
        <v>beans</v>
      </c>
      <c r="C7819" s="3" t="str">
        <f>IFERROR(__xludf.DUMMYFUNCTION("""COMPUTED_VALUE"""),"MoonBeans")</f>
        <v>MoonBeans</v>
      </c>
    </row>
    <row r="7820">
      <c r="A7820" s="3" t="str">
        <f>IFERROR(__xludf.DUMMYFUNCTION("""COMPUTED_VALUE"""),"moonbear-finance")</f>
        <v>moonbear-finance</v>
      </c>
      <c r="B7820" s="3" t="str">
        <f>IFERROR(__xludf.DUMMYFUNCTION("""COMPUTED_VALUE"""),"mbf")</f>
        <v>mbf</v>
      </c>
      <c r="C7820" s="3" t="str">
        <f>IFERROR(__xludf.DUMMYFUNCTION("""COMPUTED_VALUE"""),"MoonBear.Finance")</f>
        <v>MoonBear.Finance</v>
      </c>
    </row>
    <row r="7821">
      <c r="A7821" s="3" t="str">
        <f>IFERROR(__xludf.DUMMYFUNCTION("""COMPUTED_VALUE"""),"moonbird")</f>
        <v>moonbird</v>
      </c>
      <c r="B7821" s="3" t="str">
        <f>IFERROR(__xludf.DUMMYFUNCTION("""COMPUTED_VALUE"""),"mbird")</f>
        <v>mbird</v>
      </c>
      <c r="C7821" s="3" t="str">
        <f>IFERROR(__xludf.DUMMYFUNCTION("""COMPUTED_VALUE"""),"Moonbird")</f>
        <v>Moonbird</v>
      </c>
    </row>
    <row r="7822">
      <c r="A7822" s="3" t="str">
        <f>IFERROR(__xludf.DUMMYFUNCTION("""COMPUTED_VALUE"""),"moonbirds-nft-index-by-mexc")</f>
        <v>moonbirds-nft-index-by-mexc</v>
      </c>
      <c r="B7822" s="3" t="str">
        <f>IFERROR(__xludf.DUMMYFUNCTION("""COMPUTED_VALUE"""),"nmoon")</f>
        <v>nmoon</v>
      </c>
      <c r="C7822" s="3" t="str">
        <f>IFERROR(__xludf.DUMMYFUNCTION("""COMPUTED_VALUE"""),"Moonbirds NFT Index by MEXC")</f>
        <v>Moonbirds NFT Index by MEXC</v>
      </c>
    </row>
    <row r="7823">
      <c r="A7823" s="3" t="str">
        <f>IFERROR(__xludf.DUMMYFUNCTION("""COMPUTED_VALUE"""),"mooncake")</f>
        <v>mooncake</v>
      </c>
      <c r="B7823" s="3" t="str">
        <f>IFERROR(__xludf.DUMMYFUNCTION("""COMPUTED_VALUE"""),"moon")</f>
        <v>moon</v>
      </c>
      <c r="C7823" s="3" t="str">
        <f>IFERROR(__xludf.DUMMYFUNCTION("""COMPUTED_VALUE"""),"MoonCake")</f>
        <v>MoonCake</v>
      </c>
    </row>
    <row r="7824">
      <c r="A7824" s="3" t="str">
        <f>IFERROR(__xludf.DUMMYFUNCTION("""COMPUTED_VALUE"""),"mooncat-vault-nftx")</f>
        <v>mooncat-vault-nftx</v>
      </c>
      <c r="B7824" s="3" t="str">
        <f>IFERROR(__xludf.DUMMYFUNCTION("""COMPUTED_VALUE"""),"mooncat")</f>
        <v>mooncat</v>
      </c>
      <c r="C7824" s="3" t="str">
        <f>IFERROR(__xludf.DUMMYFUNCTION("""COMPUTED_VALUE"""),"MOONCAT Vault (NFTX)")</f>
        <v>MOONCAT Vault (NFTX)</v>
      </c>
    </row>
    <row r="7825">
      <c r="A7825" s="3" t="str">
        <f>IFERROR(__xludf.DUMMYFUNCTION("""COMPUTED_VALUE"""),"mooncoin")</f>
        <v>mooncoin</v>
      </c>
      <c r="B7825" s="3" t="str">
        <f>IFERROR(__xludf.DUMMYFUNCTION("""COMPUTED_VALUE"""),"moon")</f>
        <v>moon</v>
      </c>
      <c r="C7825" s="3" t="str">
        <f>IFERROR(__xludf.DUMMYFUNCTION("""COMPUTED_VALUE"""),"Mooncoin")</f>
        <v>Mooncoin</v>
      </c>
    </row>
    <row r="7826">
      <c r="A7826" s="3" t="str">
        <f>IFERROR(__xludf.DUMMYFUNCTION("""COMPUTED_VALUE"""),"moonedge")</f>
        <v>moonedge</v>
      </c>
      <c r="B7826" s="3" t="str">
        <f>IFERROR(__xludf.DUMMYFUNCTION("""COMPUTED_VALUE"""),"mooned")</f>
        <v>mooned</v>
      </c>
      <c r="C7826" s="3" t="str">
        <f>IFERROR(__xludf.DUMMYFUNCTION("""COMPUTED_VALUE"""),"MoonEdge")</f>
        <v>MoonEdge</v>
      </c>
    </row>
    <row r="7827">
      <c r="A7827" s="3" t="str">
        <f>IFERROR(__xludf.DUMMYFUNCTION("""COMPUTED_VALUE"""),"mooner")</f>
        <v>mooner</v>
      </c>
      <c r="B7827" s="3" t="str">
        <f>IFERROR(__xludf.DUMMYFUNCTION("""COMPUTED_VALUE"""),"mnr")</f>
        <v>mnr</v>
      </c>
      <c r="C7827" s="3" t="str">
        <f>IFERROR(__xludf.DUMMYFUNCTION("""COMPUTED_VALUE"""),"Mooner")</f>
        <v>Mooner</v>
      </c>
    </row>
    <row r="7828">
      <c r="A7828" s="3" t="str">
        <f>IFERROR(__xludf.DUMMYFUNCTION("""COMPUTED_VALUE"""),"moonery")</f>
        <v>moonery</v>
      </c>
      <c r="B7828" s="3" t="str">
        <f>IFERROR(__xludf.DUMMYFUNCTION("""COMPUTED_VALUE"""),"mnry")</f>
        <v>mnry</v>
      </c>
      <c r="C7828" s="3" t="str">
        <f>IFERROR(__xludf.DUMMYFUNCTION("""COMPUTED_VALUE"""),"Moonery")</f>
        <v>Moonery</v>
      </c>
    </row>
    <row r="7829">
      <c r="A7829" s="3" t="str">
        <f>IFERROR(__xludf.DUMMYFUNCTION("""COMPUTED_VALUE"""),"mooney")</f>
        <v>mooney</v>
      </c>
      <c r="B7829" s="3" t="str">
        <f>IFERROR(__xludf.DUMMYFUNCTION("""COMPUTED_VALUE"""),"mooney")</f>
        <v>mooney</v>
      </c>
      <c r="C7829" s="3" t="str">
        <f>IFERROR(__xludf.DUMMYFUNCTION("""COMPUTED_VALUE"""),"Moon DAO")</f>
        <v>Moon DAO</v>
      </c>
    </row>
    <row r="7830">
      <c r="A7830" s="3" t="str">
        <f>IFERROR(__xludf.DUMMYFUNCTION("""COMPUTED_VALUE"""),"moon-eye")</f>
        <v>moon-eye</v>
      </c>
      <c r="B7830" s="3" t="str">
        <f>IFERROR(__xludf.DUMMYFUNCTION("""COMPUTED_VALUE"""),"me")</f>
        <v>me</v>
      </c>
      <c r="C7830" s="3" t="str">
        <f>IFERROR(__xludf.DUMMYFUNCTION("""COMPUTED_VALUE"""),"Moon Eye")</f>
        <v>Moon Eye</v>
      </c>
    </row>
    <row r="7831">
      <c r="A7831" s="3" t="str">
        <f>IFERROR(__xludf.DUMMYFUNCTION("""COMPUTED_VALUE"""),"moonfarmer")</f>
        <v>moonfarmer</v>
      </c>
      <c r="B7831" s="3" t="str">
        <f>IFERROR(__xludf.DUMMYFUNCTION("""COMPUTED_VALUE"""),"mfm")</f>
        <v>mfm</v>
      </c>
      <c r="C7831" s="3" t="str">
        <f>IFERROR(__xludf.DUMMYFUNCTION("""COMPUTED_VALUE"""),"MoonFarmer")</f>
        <v>MoonFarmer</v>
      </c>
    </row>
    <row r="7832">
      <c r="A7832" s="3" t="str">
        <f>IFERROR(__xludf.DUMMYFUNCTION("""COMPUTED_VALUE"""),"moonfarm-finance")</f>
        <v>moonfarm-finance</v>
      </c>
      <c r="B7832" s="3" t="str">
        <f>IFERROR(__xludf.DUMMYFUNCTION("""COMPUTED_VALUE"""),"mfo")</f>
        <v>mfo</v>
      </c>
      <c r="C7832" s="3" t="str">
        <f>IFERROR(__xludf.DUMMYFUNCTION("""COMPUTED_VALUE"""),"MoonFarm Finance")</f>
        <v>MoonFarm Finance</v>
      </c>
    </row>
    <row r="7833">
      <c r="A7833" s="3" t="str">
        <f>IFERROR(__xludf.DUMMYFUNCTION("""COMPUTED_VALUE"""),"moongame")</f>
        <v>moongame</v>
      </c>
      <c r="B7833" s="3" t="str">
        <f>IFERROR(__xludf.DUMMYFUNCTION("""COMPUTED_VALUE"""),"mgt")</f>
        <v>mgt</v>
      </c>
      <c r="C7833" s="3" t="str">
        <f>IFERROR(__xludf.DUMMYFUNCTION("""COMPUTED_VALUE"""),"Moongame")</f>
        <v>Moongame</v>
      </c>
    </row>
    <row r="7834">
      <c r="A7834" s="3" t="str">
        <f>IFERROR(__xludf.DUMMYFUNCTION("""COMPUTED_VALUE"""),"mooni")</f>
        <v>mooni</v>
      </c>
      <c r="B7834" s="3" t="str">
        <f>IFERROR(__xludf.DUMMYFUNCTION("""COMPUTED_VALUE"""),"mooni")</f>
        <v>mooni</v>
      </c>
      <c r="C7834" s="3" t="str">
        <f>IFERROR(__xludf.DUMMYFUNCTION("""COMPUTED_VALUE"""),"Mooni")</f>
        <v>Mooni</v>
      </c>
    </row>
    <row r="7835">
      <c r="A7835" s="3" t="str">
        <f>IFERROR(__xludf.DUMMYFUNCTION("""COMPUTED_VALUE"""),"moonienft")</f>
        <v>moonienft</v>
      </c>
      <c r="B7835" s="3" t="str">
        <f>IFERROR(__xludf.DUMMYFUNCTION("""COMPUTED_VALUE"""),"mny")</f>
        <v>mny</v>
      </c>
      <c r="C7835" s="3" t="str">
        <f>IFERROR(__xludf.DUMMYFUNCTION("""COMPUTED_VALUE"""),"MoonieNFT")</f>
        <v>MoonieNFT</v>
      </c>
    </row>
    <row r="7836">
      <c r="A7836" s="3" t="str">
        <f>IFERROR(__xludf.DUMMYFUNCTION("""COMPUTED_VALUE"""),"moonions")</f>
        <v>moonions</v>
      </c>
      <c r="B7836" s="3" t="str">
        <f>IFERROR(__xludf.DUMMYFUNCTION("""COMPUTED_VALUE"""),"moonion")</f>
        <v>moonion</v>
      </c>
      <c r="C7836" s="3" t="str">
        <f>IFERROR(__xludf.DUMMYFUNCTION("""COMPUTED_VALUE"""),"Moonions")</f>
        <v>Moonions</v>
      </c>
    </row>
    <row r="7837">
      <c r="A7837" s="3" t="str">
        <f>IFERROR(__xludf.DUMMYFUNCTION("""COMPUTED_VALUE"""),"moonka")</f>
        <v>moonka</v>
      </c>
      <c r="B7837" s="3" t="str">
        <f>IFERROR(__xludf.DUMMYFUNCTION("""COMPUTED_VALUE"""),"mka")</f>
        <v>mka</v>
      </c>
      <c r="C7837" s="3" t="str">
        <f>IFERROR(__xludf.DUMMYFUNCTION("""COMPUTED_VALUE"""),"Moonka")</f>
        <v>Moonka</v>
      </c>
    </row>
    <row r="7838">
      <c r="A7838" s="3" t="str">
        <f>IFERROR(__xludf.DUMMYFUNCTION("""COMPUTED_VALUE"""),"moonkat-finance")</f>
        <v>moonkat-finance</v>
      </c>
      <c r="B7838" s="3" t="str">
        <f>IFERROR(__xludf.DUMMYFUNCTION("""COMPUTED_VALUE"""),"mkat")</f>
        <v>mkat</v>
      </c>
      <c r="C7838" s="3" t="str">
        <f>IFERROR(__xludf.DUMMYFUNCTION("""COMPUTED_VALUE"""),"MoonKat Finance")</f>
        <v>MoonKat Finance</v>
      </c>
    </row>
    <row r="7839">
      <c r="A7839" s="3" t="str">
        <f>IFERROR(__xludf.DUMMYFUNCTION("""COMPUTED_VALUE"""),"moonlana")</f>
        <v>moonlana</v>
      </c>
      <c r="B7839" s="3" t="str">
        <f>IFERROR(__xludf.DUMMYFUNCTION("""COMPUTED_VALUE"""),"mola")</f>
        <v>mola</v>
      </c>
      <c r="C7839" s="3" t="str">
        <f>IFERROR(__xludf.DUMMYFUNCTION("""COMPUTED_VALUE"""),"MoonLana")</f>
        <v>MoonLana</v>
      </c>
    </row>
    <row r="7840">
      <c r="A7840" s="3" t="str">
        <f>IFERROR(__xludf.DUMMYFUNCTION("""COMPUTED_VALUE"""),"moonlift")</f>
        <v>moonlift</v>
      </c>
      <c r="B7840" s="3" t="str">
        <f>IFERROR(__xludf.DUMMYFUNCTION("""COMPUTED_VALUE"""),"mltpx")</f>
        <v>mltpx</v>
      </c>
      <c r="C7840" s="3" t="str">
        <f>IFERROR(__xludf.DUMMYFUNCTION("""COMPUTED_VALUE"""),"Moonlift Capital")</f>
        <v>Moonlift Capital</v>
      </c>
    </row>
    <row r="7841">
      <c r="A7841" s="3" t="str">
        <f>IFERROR(__xludf.DUMMYFUNCTION("""COMPUTED_VALUE"""),"moonlight-metaverse")</f>
        <v>moonlight-metaverse</v>
      </c>
      <c r="B7841" s="3" t="str">
        <f>IFERROR(__xludf.DUMMYFUNCTION("""COMPUTED_VALUE"""),"$mlm")</f>
        <v>$mlm</v>
      </c>
      <c r="C7841" s="3" t="str">
        <f>IFERROR(__xludf.DUMMYFUNCTION("""COMPUTED_VALUE"""),"Moonlight Metaverse")</f>
        <v>Moonlight Metaverse</v>
      </c>
    </row>
    <row r="7842">
      <c r="A7842" s="3" t="str">
        <f>IFERROR(__xludf.DUMMYFUNCTION("""COMPUTED_VALUE"""),"moon-light-night")</f>
        <v>moon-light-night</v>
      </c>
      <c r="B7842" s="3" t="str">
        <f>IFERROR(__xludf.DUMMYFUNCTION("""COMPUTED_VALUE"""),"mlnt")</f>
        <v>mlnt</v>
      </c>
      <c r="C7842" s="3" t="str">
        <f>IFERROR(__xludf.DUMMYFUNCTION("""COMPUTED_VALUE"""),"Moon Light Night")</f>
        <v>Moon Light Night</v>
      </c>
    </row>
    <row r="7843">
      <c r="A7843" s="3" t="str">
        <f>IFERROR(__xludf.DUMMYFUNCTION("""COMPUTED_VALUE"""),"moonlight-token")</f>
        <v>moonlight-token</v>
      </c>
      <c r="B7843" s="3" t="str">
        <f>IFERROR(__xludf.DUMMYFUNCTION("""COMPUTED_VALUE"""),"moonlight")</f>
        <v>moonlight</v>
      </c>
      <c r="C7843" s="3" t="str">
        <f>IFERROR(__xludf.DUMMYFUNCTION("""COMPUTED_VALUE"""),"Moonlight")</f>
        <v>Moonlight</v>
      </c>
    </row>
    <row r="7844">
      <c r="A7844" s="3" t="str">
        <f>IFERROR(__xludf.DUMMYFUNCTION("""COMPUTED_VALUE"""),"moon-maker-protocol")</f>
        <v>moon-maker-protocol</v>
      </c>
      <c r="B7844" s="3" t="str">
        <f>IFERROR(__xludf.DUMMYFUNCTION("""COMPUTED_VALUE"""),"mmp")</f>
        <v>mmp</v>
      </c>
      <c r="C7844" s="3" t="str">
        <f>IFERROR(__xludf.DUMMYFUNCTION("""COMPUTED_VALUE"""),"Moon Maker Protocol")</f>
        <v>Moon Maker Protocol</v>
      </c>
    </row>
    <row r="7845">
      <c r="A7845" s="3" t="str">
        <f>IFERROR(__xludf.DUMMYFUNCTION("""COMPUTED_VALUE"""),"moonminer")</f>
        <v>moonminer</v>
      </c>
      <c r="B7845" s="3" t="str">
        <f>IFERROR(__xludf.DUMMYFUNCTION("""COMPUTED_VALUE"""),"moonminer")</f>
        <v>moonminer</v>
      </c>
      <c r="C7845" s="3" t="str">
        <f>IFERROR(__xludf.DUMMYFUNCTION("""COMPUTED_VALUE"""),"MoonMiner")</f>
        <v>MoonMiner</v>
      </c>
    </row>
    <row r="7846">
      <c r="A7846" s="3" t="str">
        <f>IFERROR(__xludf.DUMMYFUNCTION("""COMPUTED_VALUE"""),"moon-nation-game")</f>
        <v>moon-nation-game</v>
      </c>
      <c r="B7846" s="3" t="str">
        <f>IFERROR(__xludf.DUMMYFUNCTION("""COMPUTED_VALUE"""),"mng")</f>
        <v>mng</v>
      </c>
      <c r="C7846" s="3" t="str">
        <f>IFERROR(__xludf.DUMMYFUNCTION("""COMPUTED_VALUE"""),"Moon Nation Game")</f>
        <v>Moon Nation Game</v>
      </c>
    </row>
    <row r="7847">
      <c r="A7847" s="3" t="str">
        <f>IFERROR(__xludf.DUMMYFUNCTION("""COMPUTED_VALUE"""),"moonpaw")</f>
        <v>moonpaw</v>
      </c>
      <c r="B7847" s="3" t="str">
        <f>IFERROR(__xludf.DUMMYFUNCTION("""COMPUTED_VALUE"""),"moonpaw")</f>
        <v>moonpaw</v>
      </c>
      <c r="C7847" s="3" t="str">
        <f>IFERROR(__xludf.DUMMYFUNCTION("""COMPUTED_VALUE"""),"MoonPaw")</f>
        <v>MoonPaw</v>
      </c>
    </row>
    <row r="7848">
      <c r="A7848" s="3" t="str">
        <f>IFERROR(__xludf.DUMMYFUNCTION("""COMPUTED_VALUE"""),"moonpoly")</f>
        <v>moonpoly</v>
      </c>
      <c r="B7848" s="3" t="str">
        <f>IFERROR(__xludf.DUMMYFUNCTION("""COMPUTED_VALUE"""),"cmp")</f>
        <v>cmp</v>
      </c>
      <c r="C7848" s="3" t="str">
        <f>IFERROR(__xludf.DUMMYFUNCTION("""COMPUTED_VALUE"""),"Moonpoly")</f>
        <v>Moonpoly</v>
      </c>
    </row>
    <row r="7849">
      <c r="A7849" s="3" t="str">
        <f>IFERROR(__xludf.DUMMYFUNCTION("""COMPUTED_VALUE"""),"moonpot")</f>
        <v>moonpot</v>
      </c>
      <c r="B7849" s="3" t="str">
        <f>IFERROR(__xludf.DUMMYFUNCTION("""COMPUTED_VALUE"""),"pots")</f>
        <v>pots</v>
      </c>
      <c r="C7849" s="3" t="str">
        <f>IFERROR(__xludf.DUMMYFUNCTION("""COMPUTED_VALUE"""),"Moonpot")</f>
        <v>Moonpot</v>
      </c>
    </row>
    <row r="7850">
      <c r="A7850" s="3" t="str">
        <f>IFERROR(__xludf.DUMMYFUNCTION("""COMPUTED_VALUE"""),"moon-rabbit")</f>
        <v>moon-rabbit</v>
      </c>
      <c r="B7850" s="3" t="str">
        <f>IFERROR(__xludf.DUMMYFUNCTION("""COMPUTED_VALUE"""),"aaa")</f>
        <v>aaa</v>
      </c>
      <c r="C7850" s="3" t="str">
        <f>IFERROR(__xludf.DUMMYFUNCTION("""COMPUTED_VALUE"""),"Moon Rabbit")</f>
        <v>Moon Rabbit</v>
      </c>
    </row>
    <row r="7851">
      <c r="A7851" s="3" t="str">
        <f>IFERROR(__xludf.DUMMYFUNCTION("""COMPUTED_VALUE"""),"moonretriever")</f>
        <v>moonretriever</v>
      </c>
      <c r="B7851" s="3" t="str">
        <f>IFERROR(__xludf.DUMMYFUNCTION("""COMPUTED_VALUE"""),"fetch")</f>
        <v>fetch</v>
      </c>
      <c r="C7851" s="3" t="str">
        <f>IFERROR(__xludf.DUMMYFUNCTION("""COMPUTED_VALUE"""),"MoonRetriever")</f>
        <v>MoonRetriever</v>
      </c>
    </row>
    <row r="7852">
      <c r="A7852" s="3" t="str">
        <f>IFERROR(__xludf.DUMMYFUNCTION("""COMPUTED_VALUE"""),"moonrise")</f>
        <v>moonrise</v>
      </c>
      <c r="B7852" s="3" t="str">
        <f>IFERROR(__xludf.DUMMYFUNCTION("""COMPUTED_VALUE"""),"moonrise")</f>
        <v>moonrise</v>
      </c>
      <c r="C7852" s="3" t="str">
        <f>IFERROR(__xludf.DUMMYFUNCTION("""COMPUTED_VALUE"""),"MoonRise")</f>
        <v>MoonRise</v>
      </c>
    </row>
    <row r="7853">
      <c r="A7853" s="3" t="str">
        <f>IFERROR(__xludf.DUMMYFUNCTION("""COMPUTED_VALUE"""),"moonriver")</f>
        <v>moonriver</v>
      </c>
      <c r="B7853" s="3" t="str">
        <f>IFERROR(__xludf.DUMMYFUNCTION("""COMPUTED_VALUE"""),"movr")</f>
        <v>movr</v>
      </c>
      <c r="C7853" s="3" t="str">
        <f>IFERROR(__xludf.DUMMYFUNCTION("""COMPUTED_VALUE"""),"Moonriver")</f>
        <v>Moonriver</v>
      </c>
    </row>
    <row r="7854">
      <c r="A7854" s="3" t="str">
        <f>IFERROR(__xludf.DUMMYFUNCTION("""COMPUTED_VALUE"""),"moon-rocket-coin")</f>
        <v>moon-rocket-coin</v>
      </c>
      <c r="B7854" s="3" t="str">
        <f>IFERROR(__xludf.DUMMYFUNCTION("""COMPUTED_VALUE"""),"mrc")</f>
        <v>mrc</v>
      </c>
      <c r="C7854" s="3" t="str">
        <f>IFERROR(__xludf.DUMMYFUNCTION("""COMPUTED_VALUE"""),"Moon Rocket Coin")</f>
        <v>Moon Rocket Coin</v>
      </c>
    </row>
    <row r="7855">
      <c r="A7855" s="3" t="str">
        <f>IFERROR(__xludf.DUMMYFUNCTION("""COMPUTED_VALUE"""),"moonrock-v2")</f>
        <v>moonrock-v2</v>
      </c>
      <c r="B7855" s="3" t="str">
        <f>IFERROR(__xludf.DUMMYFUNCTION("""COMPUTED_VALUE"""),"rock")</f>
        <v>rock</v>
      </c>
      <c r="C7855" s="3" t="str">
        <f>IFERROR(__xludf.DUMMYFUNCTION("""COMPUTED_VALUE"""),"MoonRock V2")</f>
        <v>MoonRock V2</v>
      </c>
    </row>
    <row r="7856">
      <c r="A7856" s="3" t="str">
        <f>IFERROR(__xludf.DUMMYFUNCTION("""COMPUTED_VALUE"""),"moonscape")</f>
        <v>moonscape</v>
      </c>
      <c r="B7856" s="3" t="str">
        <f>IFERROR(__xludf.DUMMYFUNCTION("""COMPUTED_VALUE"""),"mscp")</f>
        <v>mscp</v>
      </c>
      <c r="C7856" s="3" t="str">
        <f>IFERROR(__xludf.DUMMYFUNCTION("""COMPUTED_VALUE"""),"Moonscape")</f>
        <v>Moonscape</v>
      </c>
    </row>
    <row r="7857">
      <c r="A7857" s="3" t="str">
        <f>IFERROR(__xludf.DUMMYFUNCTION("""COMPUTED_VALUE"""),"moonsdust")</f>
        <v>moonsdust</v>
      </c>
      <c r="B7857" s="3" t="str">
        <f>IFERROR(__xludf.DUMMYFUNCTION("""COMPUTED_VALUE"""),"moond")</f>
        <v>moond</v>
      </c>
      <c r="C7857" s="3" t="str">
        <f>IFERROR(__xludf.DUMMYFUNCTION("""COMPUTED_VALUE"""),"MoonsDust")</f>
        <v>MoonsDust</v>
      </c>
    </row>
    <row r="7858">
      <c r="A7858" s="3" t="str">
        <f>IFERROR(__xludf.DUMMYFUNCTION("""COMPUTED_VALUE"""),"moonshot")</f>
        <v>moonshot</v>
      </c>
      <c r="B7858" s="3" t="str">
        <f>IFERROR(__xludf.DUMMYFUNCTION("""COMPUTED_VALUE"""),"moonshot")</f>
        <v>moonshot</v>
      </c>
      <c r="C7858" s="3" t="str">
        <f>IFERROR(__xludf.DUMMYFUNCTION("""COMPUTED_VALUE"""),"Moonshot [OLD]")</f>
        <v>Moonshot [OLD]</v>
      </c>
    </row>
    <row r="7859">
      <c r="A7859" s="3" t="str">
        <f>IFERROR(__xludf.DUMMYFUNCTION("""COMPUTED_VALUE"""),"moonshot-max")</f>
        <v>moonshot-max</v>
      </c>
      <c r="B7859" s="3" t="str">
        <f>IFERROR(__xludf.DUMMYFUNCTION("""COMPUTED_VALUE"""),"msm")</f>
        <v>msm</v>
      </c>
      <c r="C7859" s="3" t="str">
        <f>IFERROR(__xludf.DUMMYFUNCTION("""COMPUTED_VALUE"""),"MoonShot Max")</f>
        <v>MoonShot Max</v>
      </c>
    </row>
    <row r="7860">
      <c r="A7860" s="3" t="str">
        <f>IFERROR(__xludf.DUMMYFUNCTION("""COMPUTED_VALUE"""),"moonshots-farm")</f>
        <v>moonshots-farm</v>
      </c>
      <c r="B7860" s="3" t="str">
        <f>IFERROR(__xludf.DUMMYFUNCTION("""COMPUTED_VALUE"""),"bones")</f>
        <v>bones</v>
      </c>
      <c r="C7860" s="3" t="str">
        <f>IFERROR(__xludf.DUMMYFUNCTION("""COMPUTED_VALUE"""),"Moonshots Farm")</f>
        <v>Moonshots Farm</v>
      </c>
    </row>
    <row r="7861">
      <c r="A7861" s="3" t="str">
        <f>IFERROR(__xludf.DUMMYFUNCTION("""COMPUTED_VALUE"""),"moonstarevenge-token")</f>
        <v>moonstarevenge-token</v>
      </c>
      <c r="B7861" s="3" t="str">
        <f>IFERROR(__xludf.DUMMYFUNCTION("""COMPUTED_VALUE"""),"mtr")</f>
        <v>mtr</v>
      </c>
      <c r="C7861" s="3" t="str">
        <f>IFERROR(__xludf.DUMMYFUNCTION("""COMPUTED_VALUE"""),"MoonstaRevenge")</f>
        <v>MoonstaRevenge</v>
      </c>
    </row>
    <row r="7862">
      <c r="A7862" s="3" t="str">
        <f>IFERROR(__xludf.DUMMYFUNCTION("""COMPUTED_VALUE"""),"moonstarter")</f>
        <v>moonstarter</v>
      </c>
      <c r="B7862" s="3" t="str">
        <f>IFERROR(__xludf.DUMMYFUNCTION("""COMPUTED_VALUE"""),"mnst")</f>
        <v>mnst</v>
      </c>
      <c r="C7862" s="3" t="str">
        <f>IFERROR(__xludf.DUMMYFUNCTION("""COMPUTED_VALUE"""),"MoonStarter")</f>
        <v>MoonStarter</v>
      </c>
    </row>
    <row r="7863">
      <c r="A7863" s="3" t="str">
        <f>IFERROR(__xludf.DUMMYFUNCTION("""COMPUTED_VALUE"""),"moon-stop")</f>
        <v>moon-stop</v>
      </c>
      <c r="B7863" s="3" t="str">
        <f>IFERROR(__xludf.DUMMYFUNCTION("""COMPUTED_VALUE"""),"mnstp")</f>
        <v>mnstp</v>
      </c>
      <c r="C7863" s="3" t="str">
        <f>IFERROR(__xludf.DUMMYFUNCTION("""COMPUTED_VALUE"""),"Moon Stop")</f>
        <v>Moon Stop</v>
      </c>
    </row>
    <row r="7864">
      <c r="A7864" s="3" t="str">
        <f>IFERROR(__xludf.DUMMYFUNCTION("""COMPUTED_VALUE"""),"moonswap")</f>
        <v>moonswap</v>
      </c>
      <c r="B7864" s="3" t="str">
        <f>IFERROR(__xludf.DUMMYFUNCTION("""COMPUTED_VALUE"""),"moon")</f>
        <v>moon</v>
      </c>
      <c r="C7864" s="3" t="str">
        <f>IFERROR(__xludf.DUMMYFUNCTION("""COMPUTED_VALUE"""),"MoonSwap")</f>
        <v>MoonSwap</v>
      </c>
    </row>
    <row r="7865">
      <c r="A7865" s="3" t="str">
        <f>IFERROR(__xludf.DUMMYFUNCTION("""COMPUTED_VALUE"""),"moon-token")</f>
        <v>moon-token</v>
      </c>
      <c r="B7865" s="3" t="str">
        <f>IFERROR(__xludf.DUMMYFUNCTION("""COMPUTED_VALUE"""),"dodb")</f>
        <v>dodb</v>
      </c>
      <c r="C7865" s="3" t="str">
        <f>IFERROR(__xludf.DUMMYFUNCTION("""COMPUTED_VALUE"""),"DODbase")</f>
        <v>DODbase</v>
      </c>
    </row>
    <row r="7866">
      <c r="A7866" s="3" t="str">
        <f>IFERROR(__xludf.DUMMYFUNCTION("""COMPUTED_VALUE"""),"moontools")</f>
        <v>moontools</v>
      </c>
      <c r="B7866" s="3" t="str">
        <f>IFERROR(__xludf.DUMMYFUNCTION("""COMPUTED_VALUE"""),"moons")</f>
        <v>moons</v>
      </c>
      <c r="C7866" s="3" t="str">
        <f>IFERROR(__xludf.DUMMYFUNCTION("""COMPUTED_VALUE"""),"MoonTools")</f>
        <v>MoonTools</v>
      </c>
    </row>
    <row r="7867">
      <c r="A7867" s="3" t="str">
        <f>IFERROR(__xludf.DUMMYFUNCTION("""COMPUTED_VALUE"""),"moontrust")</f>
        <v>moontrust</v>
      </c>
      <c r="B7867" s="3" t="str">
        <f>IFERROR(__xludf.DUMMYFUNCTION("""COMPUTED_VALUE"""),"mntt")</f>
        <v>mntt</v>
      </c>
      <c r="C7867" s="3" t="str">
        <f>IFERROR(__xludf.DUMMYFUNCTION("""COMPUTED_VALUE"""),"MoonTrust")</f>
        <v>MoonTrust</v>
      </c>
    </row>
    <row r="7868">
      <c r="A7868" s="3" t="str">
        <f>IFERROR(__xludf.DUMMYFUNCTION("""COMPUTED_VALUE"""),"moontrustbsc")</f>
        <v>moontrustbsc</v>
      </c>
      <c r="B7868" s="3" t="str">
        <f>IFERROR(__xludf.DUMMYFUNCTION("""COMPUTED_VALUE"""),"mnttbsc")</f>
        <v>mnttbsc</v>
      </c>
      <c r="C7868" s="3" t="str">
        <f>IFERROR(__xludf.DUMMYFUNCTION("""COMPUTED_VALUE"""),"MoonTrustBSC")</f>
        <v>MoonTrustBSC</v>
      </c>
    </row>
    <row r="7869">
      <c r="A7869" s="3" t="str">
        <f>IFERROR(__xludf.DUMMYFUNCTION("""COMPUTED_VALUE"""),"moonway")</f>
        <v>moonway</v>
      </c>
      <c r="B7869" s="3" t="str">
        <f>IFERROR(__xludf.DUMMYFUNCTION("""COMPUTED_VALUE"""),"mw2")</f>
        <v>mw2</v>
      </c>
      <c r="C7869" s="3" t="str">
        <f>IFERROR(__xludf.DUMMYFUNCTION("""COMPUTED_VALUE"""),"MoonWay")</f>
        <v>MoonWay</v>
      </c>
    </row>
    <row r="7870">
      <c r="A7870" s="3" t="str">
        <f>IFERROR(__xludf.DUMMYFUNCTION("""COMPUTED_VALUE"""),"moonwell")</f>
        <v>moonwell</v>
      </c>
      <c r="B7870" s="3" t="str">
        <f>IFERROR(__xludf.DUMMYFUNCTION("""COMPUTED_VALUE"""),"mfam")</f>
        <v>mfam</v>
      </c>
      <c r="C7870" s="3" t="str">
        <f>IFERROR(__xludf.DUMMYFUNCTION("""COMPUTED_VALUE"""),"Moonwell Apollo")</f>
        <v>Moonwell Apollo</v>
      </c>
    </row>
    <row r="7871">
      <c r="A7871" s="3" t="str">
        <f>IFERROR(__xludf.DUMMYFUNCTION("""COMPUTED_VALUE"""),"moonwell-artemis")</f>
        <v>moonwell-artemis</v>
      </c>
      <c r="B7871" s="3" t="str">
        <f>IFERROR(__xludf.DUMMYFUNCTION("""COMPUTED_VALUE"""),"well")</f>
        <v>well</v>
      </c>
      <c r="C7871" s="3" t="str">
        <f>IFERROR(__xludf.DUMMYFUNCTION("""COMPUTED_VALUE"""),"Moonwell Artemis")</f>
        <v>Moonwell Artemis</v>
      </c>
    </row>
    <row r="7872">
      <c r="A7872" s="3" t="str">
        <f>IFERROR(__xludf.DUMMYFUNCTION("""COMPUTED_VALUE"""),"moonwilly")</f>
        <v>moonwilly</v>
      </c>
      <c r="B7872" s="3" t="str">
        <f>IFERROR(__xludf.DUMMYFUNCTION("""COMPUTED_VALUE"""),"moonwilly")</f>
        <v>moonwilly</v>
      </c>
      <c r="C7872" s="3" t="str">
        <f>IFERROR(__xludf.DUMMYFUNCTION("""COMPUTED_VALUE"""),"MoonWilly")</f>
        <v>MoonWilly</v>
      </c>
    </row>
    <row r="7873">
      <c r="A7873" s="3" t="str">
        <f>IFERROR(__xludf.DUMMYFUNCTION("""COMPUTED_VALUE"""),"moonwolf-io")</f>
        <v>moonwolf-io</v>
      </c>
      <c r="B7873" s="3" t="str">
        <f>IFERROR(__xludf.DUMMYFUNCTION("""COMPUTED_VALUE"""),"wolf")</f>
        <v>wolf</v>
      </c>
      <c r="C7873" s="4" t="str">
        <f>IFERROR(__xludf.DUMMYFUNCTION("""COMPUTED_VALUE"""),"moonwolf.io")</f>
        <v>moonwolf.io</v>
      </c>
    </row>
    <row r="7874">
      <c r="A7874" s="3" t="str">
        <f>IFERROR(__xludf.DUMMYFUNCTION("""COMPUTED_VALUE"""),"mops")</f>
        <v>mops</v>
      </c>
      <c r="B7874" s="3" t="str">
        <f>IFERROR(__xludf.DUMMYFUNCTION("""COMPUTED_VALUE"""),"mops")</f>
        <v>mops</v>
      </c>
      <c r="C7874" s="3" t="str">
        <f>IFERROR(__xludf.DUMMYFUNCTION("""COMPUTED_VALUE"""),"Mops")</f>
        <v>Mops</v>
      </c>
    </row>
    <row r="7875">
      <c r="A7875" s="3" t="str">
        <f>IFERROR(__xludf.DUMMYFUNCTION("""COMPUTED_VALUE"""),"morcilla-war")</f>
        <v>morcilla-war</v>
      </c>
      <c r="B7875" s="3" t="str">
        <f>IFERROR(__xludf.DUMMYFUNCTION("""COMPUTED_VALUE"""),"mor")</f>
        <v>mor</v>
      </c>
      <c r="C7875" s="3" t="str">
        <f>IFERROR(__xludf.DUMMYFUNCTION("""COMPUTED_VALUE"""),"Morcilla War")</f>
        <v>Morcilla War</v>
      </c>
    </row>
    <row r="7876">
      <c r="A7876" s="3" t="str">
        <f>IFERROR(__xludf.DUMMYFUNCTION("""COMPUTED_VALUE"""),"moreal")</f>
        <v>moreal</v>
      </c>
      <c r="B7876" s="3" t="str">
        <f>IFERROR(__xludf.DUMMYFUNCTION("""COMPUTED_VALUE"""),"mor")</f>
        <v>mor</v>
      </c>
      <c r="C7876" s="3" t="str">
        <f>IFERROR(__xludf.DUMMYFUNCTION("""COMPUTED_VALUE"""),"Moreal")</f>
        <v>Moreal</v>
      </c>
    </row>
    <row r="7877">
      <c r="A7877" s="3" t="str">
        <f>IFERROR(__xludf.DUMMYFUNCTION("""COMPUTED_VALUE"""),"moremoney-usd")</f>
        <v>moremoney-usd</v>
      </c>
      <c r="B7877" s="3" t="str">
        <f>IFERROR(__xludf.DUMMYFUNCTION("""COMPUTED_VALUE"""),"money")</f>
        <v>money</v>
      </c>
      <c r="C7877" s="3" t="str">
        <f>IFERROR(__xludf.DUMMYFUNCTION("""COMPUTED_VALUE"""),"Moremoney USD")</f>
        <v>Moremoney USD</v>
      </c>
    </row>
    <row r="7878">
      <c r="A7878" s="3" t="str">
        <f>IFERROR(__xludf.DUMMYFUNCTION("""COMPUTED_VALUE"""),"more-token")</f>
        <v>more-token</v>
      </c>
      <c r="B7878" s="3" t="str">
        <f>IFERROR(__xludf.DUMMYFUNCTION("""COMPUTED_VALUE"""),"more")</f>
        <v>more</v>
      </c>
      <c r="C7878" s="3" t="str">
        <f>IFERROR(__xludf.DUMMYFUNCTION("""COMPUTED_VALUE"""),"Moremoney Finance")</f>
        <v>Moremoney Finance</v>
      </c>
    </row>
    <row r="7879">
      <c r="A7879" s="3" t="str">
        <f>IFERROR(__xludf.DUMMYFUNCTION("""COMPUTED_VALUE"""),"mork")</f>
        <v>mork</v>
      </c>
      <c r="B7879" s="3" t="str">
        <f>IFERROR(__xludf.DUMMYFUNCTION("""COMPUTED_VALUE"""),"mork")</f>
        <v>mork</v>
      </c>
      <c r="C7879" s="3" t="str">
        <f>IFERROR(__xludf.DUMMYFUNCTION("""COMPUTED_VALUE"""),"MORK")</f>
        <v>MORK</v>
      </c>
    </row>
    <row r="7880">
      <c r="A7880" s="3" t="str">
        <f>IFERROR(__xludf.DUMMYFUNCTION("""COMPUTED_VALUE"""),"morpher")</f>
        <v>morpher</v>
      </c>
      <c r="B7880" s="3" t="str">
        <f>IFERROR(__xludf.DUMMYFUNCTION("""COMPUTED_VALUE"""),"mph")</f>
        <v>mph</v>
      </c>
      <c r="C7880" s="3" t="str">
        <f>IFERROR(__xludf.DUMMYFUNCTION("""COMPUTED_VALUE"""),"Morpher")</f>
        <v>Morpher</v>
      </c>
    </row>
    <row r="7881">
      <c r="A7881" s="3" t="str">
        <f>IFERROR(__xludf.DUMMYFUNCTION("""COMPUTED_VALUE"""),"morpheus-labs")</f>
        <v>morpheus-labs</v>
      </c>
      <c r="B7881" s="3" t="str">
        <f>IFERROR(__xludf.DUMMYFUNCTION("""COMPUTED_VALUE"""),"mitx")</f>
        <v>mitx</v>
      </c>
      <c r="C7881" s="3" t="str">
        <f>IFERROR(__xludf.DUMMYFUNCTION("""COMPUTED_VALUE"""),"Morpheus Labs")</f>
        <v>Morpheus Labs</v>
      </c>
    </row>
    <row r="7882">
      <c r="A7882" s="3" t="str">
        <f>IFERROR(__xludf.DUMMYFUNCTION("""COMPUTED_VALUE"""),"morpheus-network")</f>
        <v>morpheus-network</v>
      </c>
      <c r="B7882" s="3" t="str">
        <f>IFERROR(__xludf.DUMMYFUNCTION("""COMPUTED_VALUE"""),"mnw")</f>
        <v>mnw</v>
      </c>
      <c r="C7882" s="3" t="str">
        <f>IFERROR(__xludf.DUMMYFUNCTION("""COMPUTED_VALUE"""),"Morpheus Network")</f>
        <v>Morpheus Network</v>
      </c>
    </row>
    <row r="7883">
      <c r="A7883" s="3" t="str">
        <f>IFERROR(__xludf.DUMMYFUNCTION("""COMPUTED_VALUE"""),"morpheus-token")</f>
        <v>morpheus-token</v>
      </c>
      <c r="B7883" s="3" t="str">
        <f>IFERROR(__xludf.DUMMYFUNCTION("""COMPUTED_VALUE"""),"pills")</f>
        <v>pills</v>
      </c>
      <c r="C7883" s="3" t="str">
        <f>IFERROR(__xludf.DUMMYFUNCTION("""COMPUTED_VALUE"""),"Morpheus Swap")</f>
        <v>Morpheus Swap</v>
      </c>
    </row>
    <row r="7884">
      <c r="A7884" s="3" t="str">
        <f>IFERROR(__xludf.DUMMYFUNCTION("""COMPUTED_VALUE"""),"morphie")</f>
        <v>morphie</v>
      </c>
      <c r="B7884" s="3" t="str">
        <f>IFERROR(__xludf.DUMMYFUNCTION("""COMPUTED_VALUE"""),"mrfi")</f>
        <v>mrfi</v>
      </c>
      <c r="C7884" s="3" t="str">
        <f>IFERROR(__xludf.DUMMYFUNCTION("""COMPUTED_VALUE"""),"Morphie")</f>
        <v>Morphie</v>
      </c>
    </row>
    <row r="7885">
      <c r="A7885" s="3" t="str">
        <f>IFERROR(__xludf.DUMMYFUNCTION("""COMPUTED_VALUE"""),"morphswap")</f>
        <v>morphswap</v>
      </c>
      <c r="B7885" s="3" t="str">
        <f>IFERROR(__xludf.DUMMYFUNCTION("""COMPUTED_VALUE"""),"ms")</f>
        <v>ms</v>
      </c>
      <c r="C7885" s="3" t="str">
        <f>IFERROR(__xludf.DUMMYFUNCTION("""COMPUTED_VALUE"""),"Morphswap")</f>
        <v>Morphswap</v>
      </c>
    </row>
    <row r="7886">
      <c r="A7886" s="3" t="str">
        <f>IFERROR(__xludf.DUMMYFUNCTION("""COMPUTED_VALUE"""),"mor-stablecoin")</f>
        <v>mor-stablecoin</v>
      </c>
      <c r="B7886" s="3" t="str">
        <f>IFERROR(__xludf.DUMMYFUNCTION("""COMPUTED_VALUE"""),"mor")</f>
        <v>mor</v>
      </c>
      <c r="C7886" s="3" t="str">
        <f>IFERROR(__xludf.DUMMYFUNCTION("""COMPUTED_VALUE"""),"Mor Stablecoin")</f>
        <v>Mor Stablecoin</v>
      </c>
    </row>
    <row r="7887">
      <c r="A7887" s="3" t="str">
        <f>IFERROR(__xludf.DUMMYFUNCTION("""COMPUTED_VALUE"""),"mortaldoge")</f>
        <v>mortaldoge</v>
      </c>
      <c r="B7887" s="3" t="str">
        <f>IFERROR(__xludf.DUMMYFUNCTION("""COMPUTED_VALUE"""),"mortaldoge")</f>
        <v>mortaldoge</v>
      </c>
      <c r="C7887" s="3" t="str">
        <f>IFERROR(__xludf.DUMMYFUNCTION("""COMPUTED_VALUE"""),"MortalDoge")</f>
        <v>MortalDoge</v>
      </c>
    </row>
    <row r="7888">
      <c r="A7888" s="3" t="str">
        <f>IFERROR(__xludf.DUMMYFUNCTION("""COMPUTED_VALUE"""),"mortal-wars")</f>
        <v>mortal-wars</v>
      </c>
      <c r="B7888" s="3" t="str">
        <f>IFERROR(__xludf.DUMMYFUNCTION("""COMPUTED_VALUE"""),"mwt")</f>
        <v>mwt</v>
      </c>
      <c r="C7888" s="3" t="str">
        <f>IFERROR(__xludf.DUMMYFUNCTION("""COMPUTED_VALUE"""),"Mortal Wars")</f>
        <v>Mortal Wars</v>
      </c>
    </row>
    <row r="7889">
      <c r="A7889" s="3" t="str">
        <f>IFERROR(__xludf.DUMMYFUNCTION("""COMPUTED_VALUE"""),"moshiheads")</f>
        <v>moshiheads</v>
      </c>
      <c r="B7889" s="3" t="str">
        <f>IFERROR(__xludf.DUMMYFUNCTION("""COMPUTED_VALUE"""),"moshi")</f>
        <v>moshi</v>
      </c>
      <c r="C7889" s="3" t="str">
        <f>IFERROR(__xludf.DUMMYFUNCTION("""COMPUTED_VALUE"""),"Moshiheads")</f>
        <v>Moshiheads</v>
      </c>
    </row>
    <row r="7890">
      <c r="A7890" s="3" t="str">
        <f>IFERROR(__xludf.DUMMYFUNCTION("""COMPUTED_VALUE"""),"moss-carbon-credit")</f>
        <v>moss-carbon-credit</v>
      </c>
      <c r="B7890" s="3" t="str">
        <f>IFERROR(__xludf.DUMMYFUNCTION("""COMPUTED_VALUE"""),"mco2")</f>
        <v>mco2</v>
      </c>
      <c r="C7890" s="3" t="str">
        <f>IFERROR(__xludf.DUMMYFUNCTION("""COMPUTED_VALUE"""),"Moss Carbon Credit")</f>
        <v>Moss Carbon Credit</v>
      </c>
    </row>
    <row r="7891">
      <c r="A7891" s="3" t="str">
        <f>IFERROR(__xludf.DUMMYFUNCTION("""COMPUTED_VALUE"""),"moss-governance")</f>
        <v>moss-governance</v>
      </c>
      <c r="B7891" s="3" t="str">
        <f>IFERROR(__xludf.DUMMYFUNCTION("""COMPUTED_VALUE"""),"moss")</f>
        <v>moss</v>
      </c>
      <c r="C7891" s="3" t="str">
        <f>IFERROR(__xludf.DUMMYFUNCTION("""COMPUTED_VALUE"""),"Moss Governance")</f>
        <v>Moss Governance</v>
      </c>
    </row>
    <row r="7892">
      <c r="A7892" s="3" t="str">
        <f>IFERROR(__xludf.DUMMYFUNCTION("""COMPUTED_VALUE"""),"mossland")</f>
        <v>mossland</v>
      </c>
      <c r="B7892" s="3" t="str">
        <f>IFERROR(__xludf.DUMMYFUNCTION("""COMPUTED_VALUE"""),"moc")</f>
        <v>moc</v>
      </c>
      <c r="C7892" s="3" t="str">
        <f>IFERROR(__xludf.DUMMYFUNCTION("""COMPUTED_VALUE"""),"Mossland")</f>
        <v>Mossland</v>
      </c>
    </row>
    <row r="7893">
      <c r="A7893" s="3" t="str">
        <f>IFERROR(__xludf.DUMMYFUNCTION("""COMPUTED_VALUE"""),"mosterisland")</f>
        <v>mosterisland</v>
      </c>
      <c r="B7893" s="3" t="str">
        <f>IFERROR(__xludf.DUMMYFUNCTION("""COMPUTED_VALUE"""),"mi")</f>
        <v>mi</v>
      </c>
      <c r="C7893" s="3" t="str">
        <f>IFERROR(__xludf.DUMMYFUNCTION("""COMPUTED_VALUE"""),"MosterIsland")</f>
        <v>MosterIsland</v>
      </c>
    </row>
    <row r="7894">
      <c r="A7894" s="3" t="str">
        <f>IFERROR(__xludf.DUMMYFUNCTION("""COMPUTED_VALUE"""),"motacoin")</f>
        <v>motacoin</v>
      </c>
      <c r="B7894" s="3" t="str">
        <f>IFERROR(__xludf.DUMMYFUNCTION("""COMPUTED_VALUE"""),"mota")</f>
        <v>mota</v>
      </c>
      <c r="C7894" s="3" t="str">
        <f>IFERROR(__xludf.DUMMYFUNCTION("""COMPUTED_VALUE"""),"MotaCoin")</f>
        <v>MotaCoin</v>
      </c>
    </row>
    <row r="7895">
      <c r="A7895" s="3" t="str">
        <f>IFERROR(__xludf.DUMMYFUNCTION("""COMPUTED_VALUE"""),"mother-earth")</f>
        <v>mother-earth</v>
      </c>
      <c r="B7895" s="3" t="str">
        <f>IFERROR(__xludf.DUMMYFUNCTION("""COMPUTED_VALUE"""),"mot")</f>
        <v>mot</v>
      </c>
      <c r="C7895" s="3" t="str">
        <f>IFERROR(__xludf.DUMMYFUNCTION("""COMPUTED_VALUE"""),"Mother Earth")</f>
        <v>Mother Earth</v>
      </c>
    </row>
    <row r="7896">
      <c r="A7896" s="3" t="str">
        <f>IFERROR(__xludf.DUMMYFUNCTION("""COMPUTED_VALUE"""),"mother-of-memes")</f>
        <v>mother-of-memes</v>
      </c>
      <c r="B7896" s="3" t="str">
        <f>IFERROR(__xludf.DUMMYFUNCTION("""COMPUTED_VALUE"""),"mom")</f>
        <v>mom</v>
      </c>
      <c r="C7896" s="3" t="str">
        <f>IFERROR(__xludf.DUMMYFUNCTION("""COMPUTED_VALUE"""),"Mother of Memes")</f>
        <v>Mother of Memes</v>
      </c>
    </row>
    <row r="7897">
      <c r="A7897" s="3" t="str">
        <f>IFERROR(__xludf.DUMMYFUNCTION("""COMPUTED_VALUE"""),"motionwreck-games")</f>
        <v>motionwreck-games</v>
      </c>
      <c r="B7897" s="3" t="str">
        <f>IFERROR(__xludf.DUMMYFUNCTION("""COMPUTED_VALUE"""),"mwg")</f>
        <v>mwg</v>
      </c>
      <c r="C7897" s="3" t="str">
        <f>IFERROR(__xludf.DUMMYFUNCTION("""COMPUTED_VALUE"""),"MotionWreck Games")</f>
        <v>MotionWreck Games</v>
      </c>
    </row>
    <row r="7898">
      <c r="A7898" s="3" t="str">
        <f>IFERROR(__xludf.DUMMYFUNCTION("""COMPUTED_VALUE"""),"motiv-protocol")</f>
        <v>motiv-protocol</v>
      </c>
      <c r="B7898" s="3" t="str">
        <f>IFERROR(__xludf.DUMMYFUNCTION("""COMPUTED_VALUE"""),"mov")</f>
        <v>mov</v>
      </c>
      <c r="C7898" s="3" t="str">
        <f>IFERROR(__xludf.DUMMYFUNCTION("""COMPUTED_VALUE"""),"MOTIV Protocol")</f>
        <v>MOTIV Protocol</v>
      </c>
    </row>
    <row r="7899">
      <c r="A7899" s="3" t="str">
        <f>IFERROR(__xludf.DUMMYFUNCTION("""COMPUTED_VALUE"""),"motocoin")</f>
        <v>motocoin</v>
      </c>
      <c r="B7899" s="3" t="str">
        <f>IFERROR(__xludf.DUMMYFUNCTION("""COMPUTED_VALUE"""),"moto")</f>
        <v>moto</v>
      </c>
      <c r="C7899" s="3" t="str">
        <f>IFERROR(__xludf.DUMMYFUNCTION("""COMPUTED_VALUE"""),"Motocoin")</f>
        <v>Motocoin</v>
      </c>
    </row>
    <row r="7900">
      <c r="A7900" s="3" t="str">
        <f>IFERROR(__xludf.DUMMYFUNCTION("""COMPUTED_VALUE"""),"motogp-fan-token")</f>
        <v>motogp-fan-token</v>
      </c>
      <c r="B7900" s="3" t="str">
        <f>IFERROR(__xludf.DUMMYFUNCTION("""COMPUTED_VALUE"""),"mgpt")</f>
        <v>mgpt</v>
      </c>
      <c r="C7900" s="3" t="str">
        <f>IFERROR(__xludf.DUMMYFUNCTION("""COMPUTED_VALUE"""),"MotoGP Fan Token")</f>
        <v>MotoGP Fan Token</v>
      </c>
    </row>
    <row r="7901">
      <c r="A7901" s="3" t="str">
        <f>IFERROR(__xludf.DUMMYFUNCTION("""COMPUTED_VALUE"""),"motoverse")</f>
        <v>motoverse</v>
      </c>
      <c r="B7901" s="3" t="str">
        <f>IFERROR(__xludf.DUMMYFUNCTION("""COMPUTED_VALUE"""),"mile")</f>
        <v>mile</v>
      </c>
      <c r="C7901" s="3" t="str">
        <f>IFERROR(__xludf.DUMMYFUNCTION("""COMPUTED_VALUE"""),"Motoverse")</f>
        <v>Motoverse</v>
      </c>
    </row>
    <row r="7902">
      <c r="A7902" s="3" t="str">
        <f>IFERROR(__xludf.DUMMYFUNCTION("""COMPUTED_VALUE"""),"mound-token")</f>
        <v>mound-token</v>
      </c>
      <c r="B7902" s="3" t="str">
        <f>IFERROR(__xludf.DUMMYFUNCTION("""COMPUTED_VALUE"""),"mnd")</f>
        <v>mnd</v>
      </c>
      <c r="C7902" s="3" t="str">
        <f>IFERROR(__xludf.DUMMYFUNCTION("""COMPUTED_VALUE"""),"Mound")</f>
        <v>Mound</v>
      </c>
    </row>
    <row r="7903">
      <c r="A7903" s="3" t="str">
        <f>IFERROR(__xludf.DUMMYFUNCTION("""COMPUTED_VALUE"""),"mouse-haunt")</f>
        <v>mouse-haunt</v>
      </c>
      <c r="B7903" s="3" t="str">
        <f>IFERROR(__xludf.DUMMYFUNCTION("""COMPUTED_VALUE"""),"mht")</f>
        <v>mht</v>
      </c>
      <c r="C7903" s="3" t="str">
        <f>IFERROR(__xludf.DUMMYFUNCTION("""COMPUTED_VALUE"""),"Mouse Haunt")</f>
        <v>Mouse Haunt</v>
      </c>
    </row>
    <row r="7904">
      <c r="A7904" s="3" t="str">
        <f>IFERROR(__xludf.DUMMYFUNCTION("""COMPUTED_VALUE"""),"movecash")</f>
        <v>movecash</v>
      </c>
      <c r="B7904" s="3" t="str">
        <f>IFERROR(__xludf.DUMMYFUNCTION("""COMPUTED_VALUE"""),"mca")</f>
        <v>mca</v>
      </c>
      <c r="C7904" s="3" t="str">
        <f>IFERROR(__xludf.DUMMYFUNCTION("""COMPUTED_VALUE"""),"MoveCash")</f>
        <v>MoveCash</v>
      </c>
    </row>
    <row r="7905">
      <c r="A7905" s="3" t="str">
        <f>IFERROR(__xludf.DUMMYFUNCTION("""COMPUTED_VALUE"""),"move-network")</f>
        <v>move-network</v>
      </c>
      <c r="B7905" s="3" t="str">
        <f>IFERROR(__xludf.DUMMYFUNCTION("""COMPUTED_VALUE"""),"movd")</f>
        <v>movd</v>
      </c>
      <c r="C7905" s="3" t="str">
        <f>IFERROR(__xludf.DUMMYFUNCTION("""COMPUTED_VALUE"""),"MOVE Network")</f>
        <v>MOVE Network</v>
      </c>
    </row>
    <row r="7906">
      <c r="A7906" s="3" t="str">
        <f>IFERROR(__xludf.DUMMYFUNCTION("""COMPUTED_VALUE"""),"moverich")</f>
        <v>moverich</v>
      </c>
      <c r="B7906" s="3" t="str">
        <f>IFERROR(__xludf.DUMMYFUNCTION("""COMPUTED_VALUE"""),"mvrc")</f>
        <v>mvrc</v>
      </c>
      <c r="C7906" s="3" t="str">
        <f>IFERROR(__xludf.DUMMYFUNCTION("""COMPUTED_VALUE"""),"MoveRich")</f>
        <v>MoveRich</v>
      </c>
    </row>
    <row r="7907">
      <c r="A7907" s="3" t="str">
        <f>IFERROR(__xludf.DUMMYFUNCTION("""COMPUTED_VALUE"""),"movex")</f>
        <v>movex</v>
      </c>
      <c r="B7907" s="3" t="str">
        <f>IFERROR(__xludf.DUMMYFUNCTION("""COMPUTED_VALUE"""),"movx")</f>
        <v>movx</v>
      </c>
      <c r="C7907" s="3" t="str">
        <f>IFERROR(__xludf.DUMMYFUNCTION("""COMPUTED_VALUE"""),"MoveX")</f>
        <v>MoveX</v>
      </c>
    </row>
    <row r="7908">
      <c r="A7908" s="3" t="str">
        <f>IFERROR(__xludf.DUMMYFUNCTION("""COMPUTED_VALUE"""),"movey")</f>
        <v>movey</v>
      </c>
      <c r="B7908" s="3" t="str">
        <f>IFERROR(__xludf.DUMMYFUNCTION("""COMPUTED_VALUE"""),"movey")</f>
        <v>movey</v>
      </c>
      <c r="C7908" s="3" t="str">
        <f>IFERROR(__xludf.DUMMYFUNCTION("""COMPUTED_VALUE"""),"Movey")</f>
        <v>Movey</v>
      </c>
    </row>
    <row r="7909">
      <c r="A7909" s="3" t="str">
        <f>IFERROR(__xludf.DUMMYFUNCTION("""COMPUTED_VALUE"""),"movez")</f>
        <v>movez</v>
      </c>
      <c r="B7909" s="3" t="str">
        <f>IFERROR(__xludf.DUMMYFUNCTION("""COMPUTED_VALUE"""),"movez")</f>
        <v>movez</v>
      </c>
      <c r="C7909" s="3" t="str">
        <f>IFERROR(__xludf.DUMMYFUNCTION("""COMPUTED_VALUE"""),"MoveZ")</f>
        <v>MoveZ</v>
      </c>
    </row>
    <row r="7910">
      <c r="A7910" s="3" t="str">
        <f>IFERROR(__xludf.DUMMYFUNCTION("""COMPUTED_VALUE"""),"moviebloc")</f>
        <v>moviebloc</v>
      </c>
      <c r="B7910" s="3" t="str">
        <f>IFERROR(__xludf.DUMMYFUNCTION("""COMPUTED_VALUE"""),"mbl")</f>
        <v>mbl</v>
      </c>
      <c r="C7910" s="3" t="str">
        <f>IFERROR(__xludf.DUMMYFUNCTION("""COMPUTED_VALUE"""),"MovieBloc")</f>
        <v>MovieBloc</v>
      </c>
    </row>
    <row r="7911">
      <c r="A7911" s="3" t="str">
        <f>IFERROR(__xludf.DUMMYFUNCTION("""COMPUTED_VALUE"""),"movingon-finance")</f>
        <v>movingon-finance</v>
      </c>
      <c r="B7911" s="3" t="str">
        <f>IFERROR(__xludf.DUMMYFUNCTION("""COMPUTED_VALUE"""),"movon")</f>
        <v>movon</v>
      </c>
      <c r="C7911" s="3" t="str">
        <f>IFERROR(__xludf.DUMMYFUNCTION("""COMPUTED_VALUE"""),"MovingOn Finance")</f>
        <v>MovingOn Finance</v>
      </c>
    </row>
    <row r="7912">
      <c r="A7912" s="3" t="str">
        <f>IFERROR(__xludf.DUMMYFUNCTION("""COMPUTED_VALUE"""),"movn")</f>
        <v>movn</v>
      </c>
      <c r="B7912" s="3" t="str">
        <f>IFERROR(__xludf.DUMMYFUNCTION("""COMPUTED_VALUE"""),"mov")</f>
        <v>mov</v>
      </c>
      <c r="C7912" s="3" t="str">
        <f>IFERROR(__xludf.DUMMYFUNCTION("""COMPUTED_VALUE"""),"MOVN")</f>
        <v>MOVN</v>
      </c>
    </row>
    <row r="7913">
      <c r="A7913" s="3" t="str">
        <f>IFERROR(__xludf.DUMMYFUNCTION("""COMPUTED_VALUE"""),"mozik")</f>
        <v>mozik</v>
      </c>
      <c r="B7913" s="3" t="str">
        <f>IFERROR(__xludf.DUMMYFUNCTION("""COMPUTED_VALUE"""),"moz")</f>
        <v>moz</v>
      </c>
      <c r="C7913" s="3" t="str">
        <f>IFERROR(__xludf.DUMMYFUNCTION("""COMPUTED_VALUE"""),"Mozik")</f>
        <v>Mozik</v>
      </c>
    </row>
    <row r="7914">
      <c r="A7914" s="3" t="str">
        <f>IFERROR(__xludf.DUMMYFUNCTION("""COMPUTED_VALUE"""),"mozox")</f>
        <v>mozox</v>
      </c>
      <c r="B7914" s="3" t="str">
        <f>IFERROR(__xludf.DUMMYFUNCTION("""COMPUTED_VALUE"""),"mozox")</f>
        <v>mozox</v>
      </c>
      <c r="C7914" s="3" t="str">
        <f>IFERROR(__xludf.DUMMYFUNCTION("""COMPUTED_VALUE"""),"MozoX")</f>
        <v>MozoX</v>
      </c>
    </row>
    <row r="7915">
      <c r="A7915" s="3" t="str">
        <f>IFERROR(__xludf.DUMMYFUNCTION("""COMPUTED_VALUE"""),"mp3")</f>
        <v>mp3</v>
      </c>
      <c r="B7915" s="3" t="str">
        <f>IFERROR(__xludf.DUMMYFUNCTION("""COMPUTED_VALUE"""),"mp3")</f>
        <v>mp3</v>
      </c>
      <c r="C7915" s="3" t="str">
        <f>IFERROR(__xludf.DUMMYFUNCTION("""COMPUTED_VALUE"""),"MP3")</f>
        <v>MP3</v>
      </c>
    </row>
    <row r="7916">
      <c r="A7916" s="3" t="str">
        <f>IFERROR(__xludf.DUMMYFUNCTION("""COMPUTED_VALUE"""),"mrweb-finance")</f>
        <v>mrweb-finance</v>
      </c>
      <c r="B7916" s="3" t="str">
        <f>IFERROR(__xludf.DUMMYFUNCTION("""COMPUTED_VALUE"""),"ama")</f>
        <v>ama</v>
      </c>
      <c r="C7916" s="3" t="str">
        <f>IFERROR(__xludf.DUMMYFUNCTION("""COMPUTED_VALUE"""),"MrWeb Finance [OLD]")</f>
        <v>MrWeb Finance [OLD]</v>
      </c>
    </row>
    <row r="7917">
      <c r="A7917" s="3" t="str">
        <f>IFERROR(__xludf.DUMMYFUNCTION("""COMPUTED_VALUE"""),"mrweb-finance-2")</f>
        <v>mrweb-finance-2</v>
      </c>
      <c r="B7917" s="3" t="str">
        <f>IFERROR(__xludf.DUMMYFUNCTION("""COMPUTED_VALUE"""),"ama")</f>
        <v>ama</v>
      </c>
      <c r="C7917" s="3" t="str">
        <f>IFERROR(__xludf.DUMMYFUNCTION("""COMPUTED_VALUE"""),"MrWeb Finance")</f>
        <v>MrWeb Finance</v>
      </c>
    </row>
    <row r="7918">
      <c r="A7918" s="3" t="str">
        <f>IFERROR(__xludf.DUMMYFUNCTION("""COMPUTED_VALUE"""),"msgsender")</f>
        <v>msgsender</v>
      </c>
      <c r="B7918" s="3" t="str">
        <f>IFERROR(__xludf.DUMMYFUNCTION("""COMPUTED_VALUE"""),"msg")</f>
        <v>msg</v>
      </c>
      <c r="C7918" s="3" t="str">
        <f>IFERROR(__xludf.DUMMYFUNCTION("""COMPUTED_VALUE"""),"MsgSender")</f>
        <v>MsgSender</v>
      </c>
    </row>
    <row r="7919">
      <c r="A7919" s="3" t="str">
        <f>IFERROR(__xludf.DUMMYFUNCTION("""COMPUTED_VALUE"""),"mshare")</f>
        <v>mshare</v>
      </c>
      <c r="B7919" s="3" t="str">
        <f>IFERROR(__xludf.DUMMYFUNCTION("""COMPUTED_VALUE"""),"mshare")</f>
        <v>mshare</v>
      </c>
      <c r="C7919" s="3" t="str">
        <f>IFERROR(__xludf.DUMMYFUNCTION("""COMPUTED_VALUE"""),"MShare")</f>
        <v>MShare</v>
      </c>
    </row>
    <row r="7920">
      <c r="A7920" s="3" t="str">
        <f>IFERROR(__xludf.DUMMYFUNCTION("""COMPUTED_VALUE"""),"msol")</f>
        <v>msol</v>
      </c>
      <c r="B7920" s="3" t="str">
        <f>IFERROR(__xludf.DUMMYFUNCTION("""COMPUTED_VALUE"""),"msol")</f>
        <v>msol</v>
      </c>
      <c r="C7920" s="3" t="str">
        <f>IFERROR(__xludf.DUMMYFUNCTION("""COMPUTED_VALUE"""),"Marinade staked SOL")</f>
        <v>Marinade staked SOL</v>
      </c>
    </row>
    <row r="7921">
      <c r="A7921" s="3" t="str">
        <f>IFERROR(__xludf.DUMMYFUNCTION("""COMPUTED_VALUE"""),"msquare-global")</f>
        <v>msquare-global</v>
      </c>
      <c r="B7921" s="3" t="str">
        <f>IFERROR(__xludf.DUMMYFUNCTION("""COMPUTED_VALUE"""),"msq")</f>
        <v>msq</v>
      </c>
      <c r="C7921" s="3" t="str">
        <f>IFERROR(__xludf.DUMMYFUNCTION("""COMPUTED_VALUE"""),"MSquare Global")</f>
        <v>MSquare Global</v>
      </c>
    </row>
    <row r="7922">
      <c r="A7922" s="3" t="str">
        <f>IFERROR(__xludf.DUMMYFUNCTION("""COMPUTED_VALUE"""),"mstable-btc")</f>
        <v>mstable-btc</v>
      </c>
      <c r="B7922" s="3" t="str">
        <f>IFERROR(__xludf.DUMMYFUNCTION("""COMPUTED_VALUE"""),"mbtc")</f>
        <v>mbtc</v>
      </c>
      <c r="C7922" s="3" t="str">
        <f>IFERROR(__xludf.DUMMYFUNCTION("""COMPUTED_VALUE"""),"mStable BTC")</f>
        <v>mStable BTC</v>
      </c>
    </row>
    <row r="7923">
      <c r="A7923" s="3" t="str">
        <f>IFERROR(__xludf.DUMMYFUNCTION("""COMPUTED_VALUE"""),"mstation")</f>
        <v>mstation</v>
      </c>
      <c r="B7923" s="3" t="str">
        <f>IFERROR(__xludf.DUMMYFUNCTION("""COMPUTED_VALUE"""),"mst")</f>
        <v>mst</v>
      </c>
      <c r="C7923" s="3" t="str">
        <f>IFERROR(__xludf.DUMMYFUNCTION("""COMPUTED_VALUE"""),"MStation")</f>
        <v>MStation</v>
      </c>
    </row>
    <row r="7924">
      <c r="A7924" s="3" t="str">
        <f>IFERROR(__xludf.DUMMYFUNCTION("""COMPUTED_VALUE"""),"mtg-token")</f>
        <v>mtg-token</v>
      </c>
      <c r="B7924" s="3" t="str">
        <f>IFERROR(__xludf.DUMMYFUNCTION("""COMPUTED_VALUE"""),"mtg")</f>
        <v>mtg</v>
      </c>
      <c r="C7924" s="3" t="str">
        <f>IFERROR(__xludf.DUMMYFUNCTION("""COMPUTED_VALUE"""),"MTG Token")</f>
        <v>MTG Token</v>
      </c>
    </row>
    <row r="7925">
      <c r="A7925" s="3" t="str">
        <f>IFERROR(__xludf.DUMMYFUNCTION("""COMPUTED_VALUE"""),"mtop")</f>
        <v>mtop</v>
      </c>
      <c r="B7925" s="3" t="str">
        <f>IFERROR(__xludf.DUMMYFUNCTION("""COMPUTED_VALUE"""),"mtop")</f>
        <v>mtop</v>
      </c>
      <c r="C7925" s="3" t="str">
        <f>IFERROR(__xludf.DUMMYFUNCTION("""COMPUTED_VALUE"""),"MTOP")</f>
        <v>MTOP</v>
      </c>
    </row>
    <row r="7926">
      <c r="A7926" s="3" t="str">
        <f>IFERROR(__xludf.DUMMYFUNCTION("""COMPUTED_VALUE"""),"mt-pelerin-shares")</f>
        <v>mt-pelerin-shares</v>
      </c>
      <c r="B7926" s="3" t="str">
        <f>IFERROR(__xludf.DUMMYFUNCTION("""COMPUTED_VALUE"""),"mps")</f>
        <v>mps</v>
      </c>
      <c r="C7926" s="3" t="str">
        <f>IFERROR(__xludf.DUMMYFUNCTION("""COMPUTED_VALUE"""),"Mt Pelerin Shares")</f>
        <v>Mt Pelerin Shares</v>
      </c>
    </row>
    <row r="7927">
      <c r="A7927" s="3" t="str">
        <f>IFERROR(__xludf.DUMMYFUNCTION("""COMPUTED_VALUE"""),"mttcoin")</f>
        <v>mttcoin</v>
      </c>
      <c r="B7927" s="3" t="str">
        <f>IFERROR(__xludf.DUMMYFUNCTION("""COMPUTED_VALUE"""),"mttcoin")</f>
        <v>mttcoin</v>
      </c>
      <c r="C7927" s="3" t="str">
        <f>IFERROR(__xludf.DUMMYFUNCTION("""COMPUTED_VALUE"""),"MTTCoin")</f>
        <v>MTTCoin</v>
      </c>
    </row>
    <row r="7928">
      <c r="A7928" s="3" t="str">
        <f>IFERROR(__xludf.DUMMYFUNCTION("""COMPUTED_VALUE"""),"mt-token")</f>
        <v>mt-token</v>
      </c>
      <c r="B7928" s="3" t="str">
        <f>IFERROR(__xludf.DUMMYFUNCTION("""COMPUTED_VALUE"""),"mt")</f>
        <v>mt</v>
      </c>
      <c r="C7928" s="3" t="str">
        <f>IFERROR(__xludf.DUMMYFUNCTION("""COMPUTED_VALUE"""),"MT Token")</f>
        <v>MT Token</v>
      </c>
    </row>
    <row r="7929">
      <c r="A7929" s="3" t="str">
        <f>IFERROR(__xludf.DUMMYFUNCTION("""COMPUTED_VALUE"""),"mtvx")</f>
        <v>mtvx</v>
      </c>
      <c r="B7929" s="3" t="str">
        <f>IFERROR(__xludf.DUMMYFUNCTION("""COMPUTED_VALUE"""),"mtvx")</f>
        <v>mtvx</v>
      </c>
      <c r="C7929" s="3" t="str">
        <f>IFERROR(__xludf.DUMMYFUNCTION("""COMPUTED_VALUE"""),"MTVX")</f>
        <v>MTVX</v>
      </c>
    </row>
    <row r="7930">
      <c r="A7930" s="3" t="str">
        <f>IFERROR(__xludf.DUMMYFUNCTION("""COMPUTED_VALUE"""),"mu-coin")</f>
        <v>mu-coin</v>
      </c>
      <c r="B7930" s="3" t="str">
        <f>IFERROR(__xludf.DUMMYFUNCTION("""COMPUTED_VALUE"""),"mu")</f>
        <v>mu</v>
      </c>
      <c r="C7930" s="3" t="str">
        <f>IFERROR(__xludf.DUMMYFUNCTION("""COMPUTED_VALUE"""),"Mu Coin")</f>
        <v>Mu Coin</v>
      </c>
    </row>
    <row r="7931">
      <c r="A7931" s="3" t="str">
        <f>IFERROR(__xludf.DUMMYFUNCTION("""COMPUTED_VALUE"""),"mu-continent")</f>
        <v>mu-continent</v>
      </c>
      <c r="B7931" s="3" t="str">
        <f>IFERROR(__xludf.DUMMYFUNCTION("""COMPUTED_VALUE"""),"mu")</f>
        <v>mu</v>
      </c>
      <c r="C7931" s="3" t="str">
        <f>IFERROR(__xludf.DUMMYFUNCTION("""COMPUTED_VALUE"""),"Mu Continent")</f>
        <v>Mu Continent</v>
      </c>
    </row>
    <row r="7932">
      <c r="A7932" s="3" t="str">
        <f>IFERROR(__xludf.DUMMYFUNCTION("""COMPUTED_VALUE"""),"mudra-mdr")</f>
        <v>mudra-mdr</v>
      </c>
      <c r="B7932" s="3" t="str">
        <f>IFERROR(__xludf.DUMMYFUNCTION("""COMPUTED_VALUE"""),"mdr")</f>
        <v>mdr</v>
      </c>
      <c r="C7932" s="3" t="str">
        <f>IFERROR(__xludf.DUMMYFUNCTION("""COMPUTED_VALUE"""),"Mudra MDR")</f>
        <v>Mudra MDR</v>
      </c>
    </row>
    <row r="7933">
      <c r="A7933" s="3" t="str">
        <f>IFERROR(__xludf.DUMMYFUNCTION("""COMPUTED_VALUE"""),"muesliswap-milk")</f>
        <v>muesliswap-milk</v>
      </c>
      <c r="B7933" s="3" t="str">
        <f>IFERROR(__xludf.DUMMYFUNCTION("""COMPUTED_VALUE"""),"milk")</f>
        <v>milk</v>
      </c>
      <c r="C7933" s="3" t="str">
        <f>IFERROR(__xludf.DUMMYFUNCTION("""COMPUTED_VALUE"""),"MuesliSwap MILK")</f>
        <v>MuesliSwap MILK</v>
      </c>
    </row>
    <row r="7934">
      <c r="A7934" s="3" t="str">
        <f>IFERROR(__xludf.DUMMYFUNCTION("""COMPUTED_VALUE"""),"muesliswap-yield-token")</f>
        <v>muesliswap-yield-token</v>
      </c>
      <c r="B7934" s="3" t="str">
        <f>IFERROR(__xludf.DUMMYFUNCTION("""COMPUTED_VALUE"""),"myield")</f>
        <v>myield</v>
      </c>
      <c r="C7934" s="3" t="str">
        <f>IFERROR(__xludf.DUMMYFUNCTION("""COMPUTED_VALUE"""),"MuesliSwap Yield")</f>
        <v>MuesliSwap Yield</v>
      </c>
    </row>
    <row r="7935">
      <c r="A7935" s="3" t="str">
        <f>IFERROR(__xludf.DUMMYFUNCTION("""COMPUTED_VALUE"""),"mugen-finance")</f>
        <v>mugen-finance</v>
      </c>
      <c r="B7935" s="3" t="str">
        <f>IFERROR(__xludf.DUMMYFUNCTION("""COMPUTED_VALUE"""),"mgn")</f>
        <v>mgn</v>
      </c>
      <c r="C7935" s="3" t="str">
        <f>IFERROR(__xludf.DUMMYFUNCTION("""COMPUTED_VALUE"""),"Mugen Finance")</f>
        <v>Mugen Finance</v>
      </c>
    </row>
    <row r="7936">
      <c r="A7936" s="3" t="str">
        <f>IFERROR(__xludf.DUMMYFUNCTION("""COMPUTED_VALUE"""),"mu-gold")</f>
        <v>mu-gold</v>
      </c>
      <c r="B7936" s="3" t="str">
        <f>IFERROR(__xludf.DUMMYFUNCTION("""COMPUTED_VALUE"""),"mug")</f>
        <v>mug</v>
      </c>
      <c r="C7936" s="3" t="str">
        <f>IFERROR(__xludf.DUMMYFUNCTION("""COMPUTED_VALUE"""),"Mu Gold")</f>
        <v>Mu Gold</v>
      </c>
    </row>
    <row r="7937">
      <c r="A7937" s="3" t="str">
        <f>IFERROR(__xludf.DUMMYFUNCTION("""COMPUTED_VALUE"""),"multichain")</f>
        <v>multichain</v>
      </c>
      <c r="B7937" s="3" t="str">
        <f>IFERROR(__xludf.DUMMYFUNCTION("""COMPUTED_VALUE"""),"multi")</f>
        <v>multi</v>
      </c>
      <c r="C7937" s="3" t="str">
        <f>IFERROR(__xludf.DUMMYFUNCTION("""COMPUTED_VALUE"""),"Multichain")</f>
        <v>Multichain</v>
      </c>
    </row>
    <row r="7938">
      <c r="A7938" s="3" t="str">
        <f>IFERROR(__xludf.DUMMYFUNCTION("""COMPUTED_VALUE"""),"multi-chain-capital-2")</f>
        <v>multi-chain-capital-2</v>
      </c>
      <c r="B7938" s="3" t="str">
        <f>IFERROR(__xludf.DUMMYFUNCTION("""COMPUTED_VALUE"""),"mcc")</f>
        <v>mcc</v>
      </c>
      <c r="C7938" s="3" t="str">
        <f>IFERROR(__xludf.DUMMYFUNCTION("""COMPUTED_VALUE"""),"Multi-Chain Capital")</f>
        <v>Multi-Chain Capital</v>
      </c>
    </row>
    <row r="7939">
      <c r="A7939" s="3" t="str">
        <f>IFERROR(__xludf.DUMMYFUNCTION("""COMPUTED_VALUE"""),"multi-farm-capital")</f>
        <v>multi-farm-capital</v>
      </c>
      <c r="B7939" s="3" t="str">
        <f>IFERROR(__xludf.DUMMYFUNCTION("""COMPUTED_VALUE"""),"mfc")</f>
        <v>mfc</v>
      </c>
      <c r="C7939" s="3" t="str">
        <f>IFERROR(__xludf.DUMMYFUNCTION("""COMPUTED_VALUE"""),"Multi-Farm Capital")</f>
        <v>Multi-Farm Capital</v>
      </c>
    </row>
    <row r="7940">
      <c r="A7940" s="3" t="str">
        <f>IFERROR(__xludf.DUMMYFUNCTION("""COMPUTED_VALUE"""),"multigame")</f>
        <v>multigame</v>
      </c>
      <c r="B7940" s="3" t="str">
        <f>IFERROR(__xludf.DUMMYFUNCTION("""COMPUTED_VALUE"""),"multi")</f>
        <v>multi</v>
      </c>
      <c r="C7940" s="3" t="str">
        <f>IFERROR(__xludf.DUMMYFUNCTION("""COMPUTED_VALUE"""),"Multigame")</f>
        <v>Multigame</v>
      </c>
    </row>
    <row r="7941">
      <c r="A7941" s="3" t="str">
        <f>IFERROR(__xludf.DUMMYFUNCTION("""COMPUTED_VALUE"""),"multipad")</f>
        <v>multipad</v>
      </c>
      <c r="B7941" s="3" t="str">
        <f>IFERROR(__xludf.DUMMYFUNCTION("""COMPUTED_VALUE"""),"mpad")</f>
        <v>mpad</v>
      </c>
      <c r="C7941" s="3" t="str">
        <f>IFERROR(__xludf.DUMMYFUNCTION("""COMPUTED_VALUE"""),"MultiPad")</f>
        <v>MultiPad</v>
      </c>
    </row>
    <row r="7942">
      <c r="A7942" s="3" t="str">
        <f>IFERROR(__xludf.DUMMYFUNCTION("""COMPUTED_VALUE"""),"multiplanetary-inus")</f>
        <v>multiplanetary-inus</v>
      </c>
      <c r="B7942" s="3" t="str">
        <f>IFERROR(__xludf.DUMMYFUNCTION("""COMPUTED_VALUE"""),"inus")</f>
        <v>inus</v>
      </c>
      <c r="C7942" s="3" t="str">
        <f>IFERROR(__xludf.DUMMYFUNCTION("""COMPUTED_VALUE"""),"MultiPlanetary Inus")</f>
        <v>MultiPlanetary Inus</v>
      </c>
    </row>
    <row r="7943">
      <c r="A7943" s="3" t="str">
        <f>IFERROR(__xludf.DUMMYFUNCTION("""COMPUTED_VALUE"""),"multiplier")</f>
        <v>multiplier</v>
      </c>
      <c r="B7943" s="3" t="str">
        <f>IFERROR(__xludf.DUMMYFUNCTION("""COMPUTED_VALUE"""),"mxx")</f>
        <v>mxx</v>
      </c>
      <c r="C7943" s="3" t="str">
        <f>IFERROR(__xludf.DUMMYFUNCTION("""COMPUTED_VALUE"""),"Multiplier")</f>
        <v>Multiplier</v>
      </c>
    </row>
    <row r="7944">
      <c r="A7944" s="3" t="str">
        <f>IFERROR(__xludf.DUMMYFUNCTION("""COMPUTED_VALUE"""),"multiplier-bsc")</f>
        <v>multiplier-bsc</v>
      </c>
      <c r="B7944" s="3" t="str">
        <f>IFERROR(__xludf.DUMMYFUNCTION("""COMPUTED_VALUE"""),"bmxx")</f>
        <v>bmxx</v>
      </c>
      <c r="C7944" s="3" t="str">
        <f>IFERROR(__xludf.DUMMYFUNCTION("""COMPUTED_VALUE"""),"Multiplier (BSC)")</f>
        <v>Multiplier (BSC)</v>
      </c>
    </row>
    <row r="7945">
      <c r="A7945" s="3" t="str">
        <f>IFERROR(__xludf.DUMMYFUNCTION("""COMPUTED_VALUE"""),"multi-strategies-capital")</f>
        <v>multi-strategies-capital</v>
      </c>
      <c r="B7945" s="3" t="str">
        <f>IFERROR(__xludf.DUMMYFUNCTION("""COMPUTED_VALUE"""),"msc")</f>
        <v>msc</v>
      </c>
      <c r="C7945" s="3" t="str">
        <f>IFERROR(__xludf.DUMMYFUNCTION("""COMPUTED_VALUE"""),"Multi Strategies Capital")</f>
        <v>Multi Strategies Capital</v>
      </c>
    </row>
    <row r="7946">
      <c r="A7946" s="3" t="str">
        <f>IFERROR(__xludf.DUMMYFUNCTION("""COMPUTED_VALUE"""),"multivac")</f>
        <v>multivac</v>
      </c>
      <c r="B7946" s="3" t="str">
        <f>IFERROR(__xludf.DUMMYFUNCTION("""COMPUTED_VALUE"""),"mtv")</f>
        <v>mtv</v>
      </c>
      <c r="C7946" s="3" t="str">
        <f>IFERROR(__xludf.DUMMYFUNCTION("""COMPUTED_VALUE"""),"MultiVAC")</f>
        <v>MultiVAC</v>
      </c>
    </row>
    <row r="7947">
      <c r="A7947" s="3" t="str">
        <f>IFERROR(__xludf.DUMMYFUNCTION("""COMPUTED_VALUE"""),"multiverse")</f>
        <v>multiverse</v>
      </c>
      <c r="B7947" s="3" t="str">
        <f>IFERROR(__xludf.DUMMYFUNCTION("""COMPUTED_VALUE"""),"ai")</f>
        <v>ai</v>
      </c>
      <c r="C7947" s="3" t="str">
        <f>IFERROR(__xludf.DUMMYFUNCTION("""COMPUTED_VALUE"""),"Multiverse")</f>
        <v>Multiverse</v>
      </c>
    </row>
    <row r="7948">
      <c r="A7948" s="3" t="str">
        <f>IFERROR(__xludf.DUMMYFUNCTION("""COMPUTED_VALUE"""),"multiverse-capital")</f>
        <v>multiverse-capital</v>
      </c>
      <c r="B7948" s="3" t="str">
        <f>IFERROR(__xludf.DUMMYFUNCTION("""COMPUTED_VALUE"""),"mvc")</f>
        <v>mvc</v>
      </c>
      <c r="C7948" s="3" t="str">
        <f>IFERROR(__xludf.DUMMYFUNCTION("""COMPUTED_VALUE"""),"Multiverse Capital")</f>
        <v>Multiverse Capital</v>
      </c>
    </row>
    <row r="7949">
      <c r="A7949" s="3" t="str">
        <f>IFERROR(__xludf.DUMMYFUNCTION("""COMPUTED_VALUE"""),"multiversepad")</f>
        <v>multiversepad</v>
      </c>
      <c r="B7949" s="3" t="str">
        <f>IFERROR(__xludf.DUMMYFUNCTION("""COMPUTED_VALUE"""),"mtvp")</f>
        <v>mtvp</v>
      </c>
      <c r="C7949" s="3" t="str">
        <f>IFERROR(__xludf.DUMMYFUNCTION("""COMPUTED_VALUE"""),"MultiversePad")</f>
        <v>MultiversePad</v>
      </c>
    </row>
    <row r="7950">
      <c r="A7950" s="3" t="str">
        <f>IFERROR(__xludf.DUMMYFUNCTION("""COMPUTED_VALUE"""),"muna")</f>
        <v>muna</v>
      </c>
      <c r="B7950" s="3" t="str">
        <f>IFERROR(__xludf.DUMMYFUNCTION("""COMPUTED_VALUE"""),"muna")</f>
        <v>muna</v>
      </c>
      <c r="C7950" s="3" t="str">
        <f>IFERROR(__xludf.DUMMYFUNCTION("""COMPUTED_VALUE"""),"Muna")</f>
        <v>Muna</v>
      </c>
    </row>
    <row r="7951">
      <c r="A7951" s="3" t="str">
        <f>IFERROR(__xludf.DUMMYFUNCTION("""COMPUTED_VALUE"""),"munch-token")</f>
        <v>munch-token</v>
      </c>
      <c r="B7951" s="3" t="str">
        <f>IFERROR(__xludf.DUMMYFUNCTION("""COMPUTED_VALUE"""),"munch")</f>
        <v>munch</v>
      </c>
      <c r="C7951" s="3" t="str">
        <f>IFERROR(__xludf.DUMMYFUNCTION("""COMPUTED_VALUE"""),"Munch")</f>
        <v>Munch</v>
      </c>
    </row>
    <row r="7952">
      <c r="A7952" s="3" t="str">
        <f>IFERROR(__xludf.DUMMYFUNCTION("""COMPUTED_VALUE"""),"mundo-token")</f>
        <v>mundo-token</v>
      </c>
      <c r="B7952" s="3" t="str">
        <f>IFERROR(__xludf.DUMMYFUNCTION("""COMPUTED_VALUE"""),"$mundo")</f>
        <v>$mundo</v>
      </c>
      <c r="C7952" s="3" t="str">
        <f>IFERROR(__xludf.DUMMYFUNCTION("""COMPUTED_VALUE"""),"MUNDO")</f>
        <v>MUNDO</v>
      </c>
    </row>
    <row r="7953">
      <c r="A7953" s="3" t="str">
        <f>IFERROR(__xludf.DUMMYFUNCTION("""COMPUTED_VALUE"""),"muni")</f>
        <v>muni</v>
      </c>
      <c r="B7953" s="3" t="str">
        <f>IFERROR(__xludf.DUMMYFUNCTION("""COMPUTED_VALUE"""),"muni")</f>
        <v>muni</v>
      </c>
      <c r="C7953" s="3" t="str">
        <f>IFERROR(__xludf.DUMMYFUNCTION("""COMPUTED_VALUE"""),"MUNI")</f>
        <v>MUNI</v>
      </c>
    </row>
    <row r="7954">
      <c r="A7954" s="3" t="str">
        <f>IFERROR(__xludf.DUMMYFUNCTION("""COMPUTED_VALUE"""),"murphycat")</f>
        <v>murphycat</v>
      </c>
      <c r="B7954" s="3" t="str">
        <f>IFERROR(__xludf.DUMMYFUNCTION("""COMPUTED_VALUE"""),"murphy")</f>
        <v>murphy</v>
      </c>
      <c r="C7954" s="3" t="str">
        <f>IFERROR(__xludf.DUMMYFUNCTION("""COMPUTED_VALUE"""),"MURPHYCAT")</f>
        <v>MURPHYCAT</v>
      </c>
    </row>
    <row r="7955">
      <c r="A7955" s="3" t="str">
        <f>IFERROR(__xludf.DUMMYFUNCTION("""COMPUTED_VALUE"""),"mus")</f>
        <v>mus</v>
      </c>
      <c r="B7955" s="3" t="str">
        <f>IFERROR(__xludf.DUMMYFUNCTION("""COMPUTED_VALUE"""),"mus")</f>
        <v>mus</v>
      </c>
      <c r="C7955" s="3" t="str">
        <f>IFERROR(__xludf.DUMMYFUNCTION("""COMPUTED_VALUE"""),"Musashi Finance")</f>
        <v>Musashi Finance</v>
      </c>
    </row>
    <row r="7956">
      <c r="A7956" s="3" t="str">
        <f>IFERROR(__xludf.DUMMYFUNCTION("""COMPUTED_VALUE"""),"musclex")</f>
        <v>musclex</v>
      </c>
      <c r="B7956" s="3" t="str">
        <f>IFERROR(__xludf.DUMMYFUNCTION("""COMPUTED_VALUE"""),"m-x")</f>
        <v>m-x</v>
      </c>
      <c r="C7956" s="3" t="str">
        <f>IFERROR(__xludf.DUMMYFUNCTION("""COMPUTED_VALUE"""),"MuscleX")</f>
        <v>MuscleX</v>
      </c>
    </row>
    <row r="7957">
      <c r="A7957" s="3" t="str">
        <f>IFERROR(__xludf.DUMMYFUNCTION("""COMPUTED_VALUE"""),"musd")</f>
        <v>musd</v>
      </c>
      <c r="B7957" s="3" t="str">
        <f>IFERROR(__xludf.DUMMYFUNCTION("""COMPUTED_VALUE"""),"musd")</f>
        <v>musd</v>
      </c>
      <c r="C7957" s="3" t="str">
        <f>IFERROR(__xludf.DUMMYFUNCTION("""COMPUTED_VALUE"""),"mStable USD")</f>
        <v>mStable USD</v>
      </c>
    </row>
    <row r="7958">
      <c r="A7958" s="3" t="str">
        <f>IFERROR(__xludf.DUMMYFUNCTION("""COMPUTED_VALUE"""),"muse-2")</f>
        <v>muse-2</v>
      </c>
      <c r="B7958" s="3" t="str">
        <f>IFERROR(__xludf.DUMMYFUNCTION("""COMPUTED_VALUE"""),"muse")</f>
        <v>muse</v>
      </c>
      <c r="C7958" s="3" t="str">
        <f>IFERROR(__xludf.DUMMYFUNCTION("""COMPUTED_VALUE"""),"Muse DAO")</f>
        <v>Muse DAO</v>
      </c>
    </row>
    <row r="7959">
      <c r="A7959" s="3" t="str">
        <f>IFERROR(__xludf.DUMMYFUNCTION("""COMPUTED_VALUE"""),"muse-ent-nft")</f>
        <v>muse-ent-nft</v>
      </c>
      <c r="B7959" s="3" t="str">
        <f>IFERROR(__xludf.DUMMYFUNCTION("""COMPUTED_VALUE"""),"msct")</f>
        <v>msct</v>
      </c>
      <c r="C7959" s="3" t="str">
        <f>IFERROR(__xludf.DUMMYFUNCTION("""COMPUTED_VALUE"""),"Muse ENT NFT")</f>
        <v>Muse ENT NFT</v>
      </c>
    </row>
    <row r="7960">
      <c r="A7960" s="3" t="str">
        <f>IFERROR(__xludf.DUMMYFUNCTION("""COMPUTED_VALUE"""),"museum-of-crypto-art")</f>
        <v>museum-of-crypto-art</v>
      </c>
      <c r="B7960" s="3" t="str">
        <f>IFERROR(__xludf.DUMMYFUNCTION("""COMPUTED_VALUE"""),"moca")</f>
        <v>moca</v>
      </c>
      <c r="C7960" s="3" t="str">
        <f>IFERROR(__xludf.DUMMYFUNCTION("""COMPUTED_VALUE"""),"Museum of Crypto Art")</f>
        <v>Museum of Crypto Art</v>
      </c>
    </row>
    <row r="7961">
      <c r="A7961" s="3" t="str">
        <f>IFERROR(__xludf.DUMMYFUNCTION("""COMPUTED_VALUE"""),"mushe")</f>
        <v>mushe</v>
      </c>
      <c r="B7961" s="3" t="str">
        <f>IFERROR(__xludf.DUMMYFUNCTION("""COMPUTED_VALUE"""),"xmu")</f>
        <v>xmu</v>
      </c>
      <c r="C7961" s="3" t="str">
        <f>IFERROR(__xludf.DUMMYFUNCTION("""COMPUTED_VALUE"""),"Mushe")</f>
        <v>Mushe</v>
      </c>
    </row>
    <row r="7962">
      <c r="A7962" s="3" t="str">
        <f>IFERROR(__xludf.DUMMYFUNCTION("""COMPUTED_VALUE"""),"musicfi")</f>
        <v>musicfi</v>
      </c>
      <c r="B7962" s="3" t="str">
        <f>IFERROR(__xludf.DUMMYFUNCTION("""COMPUTED_VALUE"""),"mf")</f>
        <v>mf</v>
      </c>
      <c r="C7962" s="3" t="str">
        <f>IFERROR(__xludf.DUMMYFUNCTION("""COMPUTED_VALUE"""),"MusicFi")</f>
        <v>MusicFi</v>
      </c>
    </row>
    <row r="7963">
      <c r="A7963" s="3" t="str">
        <f>IFERROR(__xludf.DUMMYFUNCTION("""COMPUTED_VALUE"""),"music-infinity-token")</f>
        <v>music-infinity-token</v>
      </c>
      <c r="B7963" s="3" t="str">
        <f>IFERROR(__xludf.DUMMYFUNCTION("""COMPUTED_VALUE"""),"mit")</f>
        <v>mit</v>
      </c>
      <c r="C7963" s="3" t="str">
        <f>IFERROR(__xludf.DUMMYFUNCTION("""COMPUTED_VALUE"""),"Music Infinity")</f>
        <v>Music Infinity</v>
      </c>
    </row>
    <row r="7964">
      <c r="A7964" s="3" t="str">
        <f>IFERROR(__xludf.DUMMYFUNCTION("""COMPUTED_VALUE"""),"musk")</f>
        <v>musk</v>
      </c>
      <c r="B7964" s="3" t="str">
        <f>IFERROR(__xludf.DUMMYFUNCTION("""COMPUTED_VALUE"""),"musk")</f>
        <v>musk</v>
      </c>
      <c r="C7964" s="3" t="str">
        <f>IFERROR(__xludf.DUMMYFUNCTION("""COMPUTED_VALUE"""),"Musk")</f>
        <v>Musk</v>
      </c>
    </row>
    <row r="7965">
      <c r="A7965" s="3" t="str">
        <f>IFERROR(__xludf.DUMMYFUNCTION("""COMPUTED_VALUE"""),"musk-doge")</f>
        <v>musk-doge</v>
      </c>
      <c r="B7965" s="3" t="str">
        <f>IFERROR(__xludf.DUMMYFUNCTION("""COMPUTED_VALUE"""),"mkd")</f>
        <v>mkd</v>
      </c>
      <c r="C7965" s="3" t="str">
        <f>IFERROR(__xludf.DUMMYFUNCTION("""COMPUTED_VALUE"""),"Musk Doge")</f>
        <v>Musk Doge</v>
      </c>
    </row>
    <row r="7966">
      <c r="A7966" s="3" t="str">
        <f>IFERROR(__xludf.DUMMYFUNCTION("""COMPUTED_VALUE"""),"musk-gold")</f>
        <v>musk-gold</v>
      </c>
      <c r="B7966" s="3" t="str">
        <f>IFERROR(__xludf.DUMMYFUNCTION("""COMPUTED_VALUE"""),"musk")</f>
        <v>musk</v>
      </c>
      <c r="C7966" s="3" t="str">
        <f>IFERROR(__xludf.DUMMYFUNCTION("""COMPUTED_VALUE"""),"MUSK Gold")</f>
        <v>MUSK Gold</v>
      </c>
    </row>
    <row r="7967">
      <c r="A7967" s="3" t="str">
        <f>IFERROR(__xludf.DUMMYFUNCTION("""COMPUTED_VALUE"""),"musk-melon")</f>
        <v>musk-melon</v>
      </c>
      <c r="B7967" s="3" t="str">
        <f>IFERROR(__xludf.DUMMYFUNCTION("""COMPUTED_VALUE"""),"melon")</f>
        <v>melon</v>
      </c>
      <c r="C7967" s="3" t="str">
        <f>IFERROR(__xludf.DUMMYFUNCTION("""COMPUTED_VALUE"""),"Musk Melon")</f>
        <v>Musk Melon</v>
      </c>
    </row>
    <row r="7968">
      <c r="A7968" s="3" t="str">
        <f>IFERROR(__xludf.DUMMYFUNCTION("""COMPUTED_VALUE"""),"musk-metaverse")</f>
        <v>musk-metaverse</v>
      </c>
      <c r="B7968" s="3" t="str">
        <f>IFERROR(__xludf.DUMMYFUNCTION("""COMPUTED_VALUE"""),"metamusk")</f>
        <v>metamusk</v>
      </c>
      <c r="C7968" s="3" t="str">
        <f>IFERROR(__xludf.DUMMYFUNCTION("""COMPUTED_VALUE"""),"Musk Metaverse")</f>
        <v>Musk Metaverse</v>
      </c>
    </row>
    <row r="7969">
      <c r="A7969" s="3" t="str">
        <f>IFERROR(__xludf.DUMMYFUNCTION("""COMPUTED_VALUE"""),"muso-finance-2")</f>
        <v>muso-finance-2</v>
      </c>
      <c r="B7969" s="3" t="str">
        <f>IFERROR(__xludf.DUMMYFUNCTION("""COMPUTED_VALUE"""),"muso")</f>
        <v>muso</v>
      </c>
      <c r="C7969" s="3" t="str">
        <f>IFERROR(__xludf.DUMMYFUNCTION("""COMPUTED_VALUE"""),"MUSO Finance")</f>
        <v>MUSO Finance</v>
      </c>
    </row>
    <row r="7970">
      <c r="A7970" s="3" t="str">
        <f>IFERROR(__xludf.DUMMYFUNCTION("""COMPUTED_VALUE"""),"must")</f>
        <v>must</v>
      </c>
      <c r="B7970" s="3" t="str">
        <f>IFERROR(__xludf.DUMMYFUNCTION("""COMPUTED_VALUE"""),"must")</f>
        <v>must</v>
      </c>
      <c r="C7970" s="3" t="str">
        <f>IFERROR(__xludf.DUMMYFUNCTION("""COMPUTED_VALUE"""),"Must")</f>
        <v>Must</v>
      </c>
    </row>
    <row r="7971">
      <c r="A7971" s="3" t="str">
        <f>IFERROR(__xludf.DUMMYFUNCTION("""COMPUTED_VALUE"""),"mutant-froggo")</f>
        <v>mutant-froggo</v>
      </c>
      <c r="B7971" s="3" t="str">
        <f>IFERROR(__xludf.DUMMYFUNCTION("""COMPUTED_VALUE"""),"froggo")</f>
        <v>froggo</v>
      </c>
      <c r="C7971" s="3" t="str">
        <f>IFERROR(__xludf.DUMMYFUNCTION("""COMPUTED_VALUE"""),"Mutant Froggo")</f>
        <v>Mutant Froggo</v>
      </c>
    </row>
    <row r="7972">
      <c r="A7972" s="3" t="str">
        <f>IFERROR(__xludf.DUMMYFUNCTION("""COMPUTED_VALUE"""),"mute")</f>
        <v>mute</v>
      </c>
      <c r="B7972" s="3" t="str">
        <f>IFERROR(__xludf.DUMMYFUNCTION("""COMPUTED_VALUE"""),"mute")</f>
        <v>mute</v>
      </c>
      <c r="C7972" s="3" t="str">
        <f>IFERROR(__xludf.DUMMYFUNCTION("""COMPUTED_VALUE"""),"Mute")</f>
        <v>Mute</v>
      </c>
    </row>
    <row r="7973">
      <c r="A7973" s="3" t="str">
        <f>IFERROR(__xludf.DUMMYFUNCTION("""COMPUTED_VALUE"""),"muu-inu")</f>
        <v>muu-inu</v>
      </c>
      <c r="B7973" s="3" t="str">
        <f>IFERROR(__xludf.DUMMYFUNCTION("""COMPUTED_VALUE"""),"$muu")</f>
        <v>$muu</v>
      </c>
      <c r="C7973" s="3" t="str">
        <f>IFERROR(__xludf.DUMMYFUNCTION("""COMPUTED_VALUE"""),"MUU")</f>
        <v>MUU</v>
      </c>
    </row>
    <row r="7974">
      <c r="A7974" s="3" t="str">
        <f>IFERROR(__xludf.DUMMYFUNCTION("""COMPUTED_VALUE"""),"muuu")</f>
        <v>muuu</v>
      </c>
      <c r="B7974" s="3" t="str">
        <f>IFERROR(__xludf.DUMMYFUNCTION("""COMPUTED_VALUE"""),"muuu")</f>
        <v>muuu</v>
      </c>
      <c r="C7974" s="3" t="str">
        <f>IFERROR(__xludf.DUMMYFUNCTION("""COMPUTED_VALUE"""),"Muuu Finance")</f>
        <v>Muuu Finance</v>
      </c>
    </row>
    <row r="7975">
      <c r="A7975" s="3" t="str">
        <f>IFERROR(__xludf.DUMMYFUNCTION("""COMPUTED_VALUE"""),"mvpad")</f>
        <v>mvpad</v>
      </c>
      <c r="B7975" s="3" t="str">
        <f>IFERROR(__xludf.DUMMYFUNCTION("""COMPUTED_VALUE"""),"mvd")</f>
        <v>mvd</v>
      </c>
      <c r="C7975" s="3" t="str">
        <f>IFERROR(__xludf.DUMMYFUNCTION("""COMPUTED_VALUE"""),"MvPad")</f>
        <v>MvPad</v>
      </c>
    </row>
    <row r="7976">
      <c r="A7976" s="3" t="str">
        <f>IFERROR(__xludf.DUMMYFUNCTION("""COMPUTED_VALUE"""),"mvs-multiverse")</f>
        <v>mvs-multiverse</v>
      </c>
      <c r="B7976" s="3" t="str">
        <f>IFERROR(__xludf.DUMMYFUNCTION("""COMPUTED_VALUE"""),"mvs")</f>
        <v>mvs</v>
      </c>
      <c r="C7976" s="3" t="str">
        <f>IFERROR(__xludf.DUMMYFUNCTION("""COMPUTED_VALUE"""),"MVS Multiverse")</f>
        <v>MVS Multiverse</v>
      </c>
    </row>
    <row r="7977">
      <c r="A7977" s="3" t="str">
        <f>IFERROR(__xludf.DUMMYFUNCTION("""COMPUTED_VALUE"""),"mxc")</f>
        <v>mxc</v>
      </c>
      <c r="B7977" s="3" t="str">
        <f>IFERROR(__xludf.DUMMYFUNCTION("""COMPUTED_VALUE"""),"mxc")</f>
        <v>mxc</v>
      </c>
      <c r="C7977" s="3" t="str">
        <f>IFERROR(__xludf.DUMMYFUNCTION("""COMPUTED_VALUE"""),"MXC")</f>
        <v>MXC</v>
      </c>
    </row>
    <row r="7978">
      <c r="A7978" s="3" t="str">
        <f>IFERROR(__xludf.DUMMYFUNCTION("""COMPUTED_VALUE"""),"mxgp-fan-token")</f>
        <v>mxgp-fan-token</v>
      </c>
      <c r="B7978" s="3" t="str">
        <f>IFERROR(__xludf.DUMMYFUNCTION("""COMPUTED_VALUE"""),"mxgp")</f>
        <v>mxgp</v>
      </c>
      <c r="C7978" s="3" t="str">
        <f>IFERROR(__xludf.DUMMYFUNCTION("""COMPUTED_VALUE"""),"MXGP Fan Token")</f>
        <v>MXGP Fan Token</v>
      </c>
    </row>
    <row r="7979">
      <c r="A7979" s="3" t="str">
        <f>IFERROR(__xludf.DUMMYFUNCTION("""COMPUTED_VALUE"""),"mxm")</f>
        <v>mxm</v>
      </c>
      <c r="B7979" s="3" t="str">
        <f>IFERROR(__xludf.DUMMYFUNCTION("""COMPUTED_VALUE"""),"mxm")</f>
        <v>mxm</v>
      </c>
      <c r="C7979" s="3" t="str">
        <f>IFERROR(__xludf.DUMMYFUNCTION("""COMPUTED_VALUE"""),"MXM")</f>
        <v>MXM</v>
      </c>
    </row>
    <row r="7980">
      <c r="A7980" s="3" t="str">
        <f>IFERROR(__xludf.DUMMYFUNCTION("""COMPUTED_VALUE"""),"mx-token")</f>
        <v>mx-token</v>
      </c>
      <c r="B7980" s="3" t="str">
        <f>IFERROR(__xludf.DUMMYFUNCTION("""COMPUTED_VALUE"""),"mx")</f>
        <v>mx</v>
      </c>
      <c r="C7980" s="3" t="str">
        <f>IFERROR(__xludf.DUMMYFUNCTION("""COMPUTED_VALUE"""),"MX")</f>
        <v>MX</v>
      </c>
    </row>
    <row r="7981">
      <c r="A7981" s="3" t="str">
        <f>IFERROR(__xludf.DUMMYFUNCTION("""COMPUTED_VALUE"""),"mx-token-2")</f>
        <v>mx-token-2</v>
      </c>
      <c r="B7981" s="3" t="str">
        <f>IFERROR(__xludf.DUMMYFUNCTION("""COMPUTED_VALUE"""),"mxt")</f>
        <v>mxt</v>
      </c>
      <c r="C7981" s="3" t="str">
        <f>IFERROR(__xludf.DUMMYFUNCTION("""COMPUTED_VALUE"""),"MX TOKEN")</f>
        <v>MX TOKEN</v>
      </c>
    </row>
    <row r="7982">
      <c r="A7982" s="3" t="str">
        <f>IFERROR(__xludf.DUMMYFUNCTION("""COMPUTED_VALUE"""),"mybit-token")</f>
        <v>mybit-token</v>
      </c>
      <c r="B7982" s="3" t="str">
        <f>IFERROR(__xludf.DUMMYFUNCTION("""COMPUTED_VALUE"""),"myb")</f>
        <v>myb</v>
      </c>
      <c r="C7982" s="3" t="str">
        <f>IFERROR(__xludf.DUMMYFUNCTION("""COMPUTED_VALUE"""),"MyBit")</f>
        <v>MyBit</v>
      </c>
    </row>
    <row r="7983">
      <c r="A7983" s="3" t="str">
        <f>IFERROR(__xludf.DUMMYFUNCTION("""COMPUTED_VALUE"""),"mybricks")</f>
        <v>mybricks</v>
      </c>
      <c r="B7983" s="3" t="str">
        <f>IFERROR(__xludf.DUMMYFUNCTION("""COMPUTED_VALUE"""),"bricks")</f>
        <v>bricks</v>
      </c>
      <c r="C7983" s="3" t="str">
        <f>IFERROR(__xludf.DUMMYFUNCTION("""COMPUTED_VALUE"""),"MyBricks")</f>
        <v>MyBricks</v>
      </c>
    </row>
    <row r="7984">
      <c r="A7984" s="3" t="str">
        <f>IFERROR(__xludf.DUMMYFUNCTION("""COMPUTED_VALUE"""),"myce")</f>
        <v>myce</v>
      </c>
      <c r="B7984" s="3" t="str">
        <f>IFERROR(__xludf.DUMMYFUNCTION("""COMPUTED_VALUE"""),"yce")</f>
        <v>yce</v>
      </c>
      <c r="C7984" s="3" t="str">
        <f>IFERROR(__xludf.DUMMYFUNCTION("""COMPUTED_VALUE"""),"MYCE")</f>
        <v>MYCE</v>
      </c>
    </row>
    <row r="7985">
      <c r="A7985" s="3" t="str">
        <f>IFERROR(__xludf.DUMMYFUNCTION("""COMPUTED_VALUE"""),"mycelium")</f>
        <v>mycelium</v>
      </c>
      <c r="B7985" s="3" t="str">
        <f>IFERROR(__xludf.DUMMYFUNCTION("""COMPUTED_VALUE"""),"myc")</f>
        <v>myc</v>
      </c>
      <c r="C7985" s="3" t="str">
        <f>IFERROR(__xludf.DUMMYFUNCTION("""COMPUTED_VALUE"""),"Mycelium")</f>
        <v>Mycelium</v>
      </c>
    </row>
    <row r="7986">
      <c r="A7986" s="3" t="str">
        <f>IFERROR(__xludf.DUMMYFUNCTION("""COMPUTED_VALUE"""),"my-ceremonial-event")</f>
        <v>my-ceremonial-event</v>
      </c>
      <c r="B7986" s="3" t="str">
        <f>IFERROR(__xludf.DUMMYFUNCTION("""COMPUTED_VALUE"""),"myce")</f>
        <v>myce</v>
      </c>
      <c r="C7986" s="3" t="str">
        <f>IFERROR(__xludf.DUMMYFUNCTION("""COMPUTED_VALUE"""),"MY Ceremonial Event")</f>
        <v>MY Ceremonial Event</v>
      </c>
    </row>
    <row r="7987">
      <c r="A7987" s="3" t="str">
        <f>IFERROR(__xludf.DUMMYFUNCTION("""COMPUTED_VALUE"""),"myconstant")</f>
        <v>myconstant</v>
      </c>
      <c r="B7987" s="3" t="str">
        <f>IFERROR(__xludf.DUMMYFUNCTION("""COMPUTED_VALUE"""),"mct")</f>
        <v>mct</v>
      </c>
      <c r="C7987" s="3" t="str">
        <f>IFERROR(__xludf.DUMMYFUNCTION("""COMPUTED_VALUE"""),"MyConstant")</f>
        <v>MyConstant</v>
      </c>
    </row>
    <row r="7988">
      <c r="A7988" s="3" t="str">
        <f>IFERROR(__xludf.DUMMYFUNCTION("""COMPUTED_VALUE"""),"my-defi-legends")</f>
        <v>my-defi-legends</v>
      </c>
      <c r="B7988" s="3" t="str">
        <f>IFERROR(__xludf.DUMMYFUNCTION("""COMPUTED_VALUE"""),"dlegends")</f>
        <v>dlegends</v>
      </c>
      <c r="C7988" s="3" t="str">
        <f>IFERROR(__xludf.DUMMYFUNCTION("""COMPUTED_VALUE"""),"My DeFi Legends")</f>
        <v>My DeFi Legends</v>
      </c>
    </row>
    <row r="7989">
      <c r="A7989" s="3" t="str">
        <f>IFERROR(__xludf.DUMMYFUNCTION("""COMPUTED_VALUE"""),"my-defi-pet")</f>
        <v>my-defi-pet</v>
      </c>
      <c r="B7989" s="3" t="str">
        <f>IFERROR(__xludf.DUMMYFUNCTION("""COMPUTED_VALUE"""),"dpet")</f>
        <v>dpet</v>
      </c>
      <c r="C7989" s="3" t="str">
        <f>IFERROR(__xludf.DUMMYFUNCTION("""COMPUTED_VALUE"""),"My DeFi Pet")</f>
        <v>My DeFi Pet</v>
      </c>
    </row>
    <row r="7990">
      <c r="A7990" s="3" t="str">
        <f>IFERROR(__xludf.DUMMYFUNCTION("""COMPUTED_VALUE"""),"my-farm-token")</f>
        <v>my-farm-token</v>
      </c>
      <c r="B7990" s="3" t="str">
        <f>IFERROR(__xludf.DUMMYFUNCTION("""COMPUTED_VALUE"""),"mft")</f>
        <v>mft</v>
      </c>
      <c r="C7990" s="3" t="str">
        <f>IFERROR(__xludf.DUMMYFUNCTION("""COMPUTED_VALUE"""),"My Farm Token")</f>
        <v>My Farm Token</v>
      </c>
    </row>
    <row r="7991">
      <c r="A7991" s="3" t="str">
        <f>IFERROR(__xludf.DUMMYFUNCTION("""COMPUTED_VALUE"""),"my-identity-coin")</f>
        <v>my-identity-coin</v>
      </c>
      <c r="B7991" s="3" t="str">
        <f>IFERROR(__xludf.DUMMYFUNCTION("""COMPUTED_VALUE"""),"myid")</f>
        <v>myid</v>
      </c>
      <c r="C7991" s="3" t="str">
        <f>IFERROR(__xludf.DUMMYFUNCTION("""COMPUTED_VALUE"""),"My Identity Coin")</f>
        <v>My Identity Coin</v>
      </c>
    </row>
    <row r="7992">
      <c r="A7992" s="3" t="str">
        <f>IFERROR(__xludf.DUMMYFUNCTION("""COMPUTED_VALUE"""),"mykingdom")</f>
        <v>mykingdom</v>
      </c>
      <c r="B7992" s="3" t="str">
        <f>IFERROR(__xludf.DUMMYFUNCTION("""COMPUTED_VALUE"""),"myk")</f>
        <v>myk</v>
      </c>
      <c r="C7992" s="3" t="str">
        <f>IFERROR(__xludf.DUMMYFUNCTION("""COMPUTED_VALUE"""),"MyKingdom")</f>
        <v>MyKingdom</v>
      </c>
    </row>
    <row r="7993">
      <c r="A7993" s="3" t="str">
        <f>IFERROR(__xludf.DUMMYFUNCTION("""COMPUTED_VALUE"""),"my-liquidity-partner")</f>
        <v>my-liquidity-partner</v>
      </c>
      <c r="B7993" s="3" t="str">
        <f>IFERROR(__xludf.DUMMYFUNCTION("""COMPUTED_VALUE"""),"mlp")</f>
        <v>mlp</v>
      </c>
      <c r="C7993" s="3" t="str">
        <f>IFERROR(__xludf.DUMMYFUNCTION("""COMPUTED_VALUE"""),"My Liquidity Partner")</f>
        <v>My Liquidity Partner</v>
      </c>
    </row>
    <row r="7994">
      <c r="A7994" s="3" t="str">
        <f>IFERROR(__xludf.DUMMYFUNCTION("""COMPUTED_VALUE"""),"my-master-war")</f>
        <v>my-master-war</v>
      </c>
      <c r="B7994" s="3" t="str">
        <f>IFERROR(__xludf.DUMMYFUNCTION("""COMPUTED_VALUE"""),"mat")</f>
        <v>mat</v>
      </c>
      <c r="C7994" s="3" t="str">
        <f>IFERROR(__xludf.DUMMYFUNCTION("""COMPUTED_VALUE"""),"My Master War")</f>
        <v>My Master War</v>
      </c>
    </row>
    <row r="7995">
      <c r="A7995" s="3" t="str">
        <f>IFERROR(__xludf.DUMMYFUNCTION("""COMPUTED_VALUE"""),"mymessage")</f>
        <v>mymessage</v>
      </c>
      <c r="B7995" s="3" t="str">
        <f>IFERROR(__xludf.DUMMYFUNCTION("""COMPUTED_VALUE"""),"mesa")</f>
        <v>mesa</v>
      </c>
      <c r="C7995" s="3" t="str">
        <f>IFERROR(__xludf.DUMMYFUNCTION("""COMPUTED_VALUE"""),"myMessage")</f>
        <v>myMessage</v>
      </c>
    </row>
    <row r="7996">
      <c r="A7996" s="3" t="str">
        <f>IFERROR(__xludf.DUMMYFUNCTION("""COMPUTED_VALUE"""),"my-neighbor-alice")</f>
        <v>my-neighbor-alice</v>
      </c>
      <c r="B7996" s="3" t="str">
        <f>IFERROR(__xludf.DUMMYFUNCTION("""COMPUTED_VALUE"""),"alice")</f>
        <v>alice</v>
      </c>
      <c r="C7996" s="3" t="str">
        <f>IFERROR(__xludf.DUMMYFUNCTION("""COMPUTED_VALUE"""),"My Neighbor Alice")</f>
        <v>My Neighbor Alice</v>
      </c>
    </row>
    <row r="7997">
      <c r="A7997" s="3" t="str">
        <f>IFERROR(__xludf.DUMMYFUNCTION("""COMPUTED_VALUE"""),"myobu")</f>
        <v>myobu</v>
      </c>
      <c r="B7997" s="3" t="str">
        <f>IFERROR(__xludf.DUMMYFUNCTION("""COMPUTED_VALUE"""),"myobu")</f>
        <v>myobu</v>
      </c>
      <c r="C7997" s="3" t="str">
        <f>IFERROR(__xludf.DUMMYFUNCTION("""COMPUTED_VALUE"""),"Myōbu")</f>
        <v>Myōbu</v>
      </c>
    </row>
    <row r="7998">
      <c r="A7998" s="3" t="str">
        <f>IFERROR(__xludf.DUMMYFUNCTION("""COMPUTED_VALUE"""),"mypiggiesbank")</f>
        <v>mypiggiesbank</v>
      </c>
      <c r="B7998" s="3" t="str">
        <f>IFERROR(__xludf.DUMMYFUNCTION("""COMPUTED_VALUE"""),"piggie")</f>
        <v>piggie</v>
      </c>
      <c r="C7998" s="3" t="str">
        <f>IFERROR(__xludf.DUMMYFUNCTION("""COMPUTED_VALUE"""),"MyPiggiesBank")</f>
        <v>MyPiggiesBank</v>
      </c>
    </row>
    <row r="7999">
      <c r="A7999" s="3" t="str">
        <f>IFERROR(__xludf.DUMMYFUNCTION("""COMPUTED_VALUE"""),"mypoints-e-commerce")</f>
        <v>mypoints-e-commerce</v>
      </c>
      <c r="B7999" s="3" t="str">
        <f>IFERROR(__xludf.DUMMYFUNCTION("""COMPUTED_VALUE"""),"mypo")</f>
        <v>mypo</v>
      </c>
      <c r="C7999" s="3" t="str">
        <f>IFERROR(__xludf.DUMMYFUNCTION("""COMPUTED_VALUE"""),"MyPoints E-Commerce")</f>
        <v>MyPoints E-Commerce</v>
      </c>
    </row>
    <row r="8000">
      <c r="A8000" s="3" t="str">
        <f>IFERROR(__xludf.DUMMYFUNCTION("""COMPUTED_VALUE"""),"myriadcoin")</f>
        <v>myriadcoin</v>
      </c>
      <c r="B8000" s="3" t="str">
        <f>IFERROR(__xludf.DUMMYFUNCTION("""COMPUTED_VALUE"""),"xmy")</f>
        <v>xmy</v>
      </c>
      <c r="C8000" s="3" t="str">
        <f>IFERROR(__xludf.DUMMYFUNCTION("""COMPUTED_VALUE"""),"Myriad")</f>
        <v>Myriad</v>
      </c>
    </row>
    <row r="8001">
      <c r="A8001" s="3" t="str">
        <f>IFERROR(__xludf.DUMMYFUNCTION("""COMPUTED_VALUE"""),"myriad-social")</f>
        <v>myriad-social</v>
      </c>
      <c r="B8001" s="3" t="str">
        <f>IFERROR(__xludf.DUMMYFUNCTION("""COMPUTED_VALUE"""),"myria")</f>
        <v>myria</v>
      </c>
      <c r="C8001" s="3" t="str">
        <f>IFERROR(__xludf.DUMMYFUNCTION("""COMPUTED_VALUE"""),"Myriad Social")</f>
        <v>Myriad Social</v>
      </c>
    </row>
    <row r="8002">
      <c r="A8002" s="3" t="str">
        <f>IFERROR(__xludf.DUMMYFUNCTION("""COMPUTED_VALUE"""),"mysterium")</f>
        <v>mysterium</v>
      </c>
      <c r="B8002" s="3" t="str">
        <f>IFERROR(__xludf.DUMMYFUNCTION("""COMPUTED_VALUE"""),"myst")</f>
        <v>myst</v>
      </c>
      <c r="C8002" s="3" t="str">
        <f>IFERROR(__xludf.DUMMYFUNCTION("""COMPUTED_VALUE"""),"Mysterium")</f>
        <v>Mysterium</v>
      </c>
    </row>
    <row r="8003">
      <c r="A8003" s="3" t="str">
        <f>IFERROR(__xludf.DUMMYFUNCTION("""COMPUTED_VALUE"""),"mystery")</f>
        <v>mystery</v>
      </c>
      <c r="B8003" s="3" t="str">
        <f>IFERROR(__xludf.DUMMYFUNCTION("""COMPUTED_VALUE"""),"myst")</f>
        <v>myst</v>
      </c>
      <c r="C8003" s="3" t="str">
        <f>IFERROR(__xludf.DUMMYFUNCTION("""COMPUTED_VALUE"""),"MYSTERY")</f>
        <v>MYSTERY</v>
      </c>
    </row>
    <row r="8004">
      <c r="A8004" s="3" t="str">
        <f>IFERROR(__xludf.DUMMYFUNCTION("""COMPUTED_VALUE"""),"mystic-poker")</f>
        <v>mystic-poker</v>
      </c>
      <c r="B8004" s="3" t="str">
        <f>IFERROR(__xludf.DUMMYFUNCTION("""COMPUTED_VALUE"""),"myp")</f>
        <v>myp</v>
      </c>
      <c r="C8004" s="3" t="str">
        <f>IFERROR(__xludf.DUMMYFUNCTION("""COMPUTED_VALUE"""),"Mystic Poker")</f>
        <v>Mystic Poker</v>
      </c>
    </row>
    <row r="8005">
      <c r="A8005" s="3" t="str">
        <f>IFERROR(__xludf.DUMMYFUNCTION("""COMPUTED_VALUE"""),"myteamcoin")</f>
        <v>myteamcoin</v>
      </c>
      <c r="B8005" s="3" t="str">
        <f>IFERROR(__xludf.DUMMYFUNCTION("""COMPUTED_VALUE"""),"myc")</f>
        <v>myc</v>
      </c>
      <c r="C8005" s="3" t="str">
        <f>IFERROR(__xludf.DUMMYFUNCTION("""COMPUTED_VALUE"""),"Myteamcoin")</f>
        <v>Myteamcoin</v>
      </c>
    </row>
    <row r="8006">
      <c r="A8006" s="3" t="str">
        <f>IFERROR(__xludf.DUMMYFUNCTION("""COMPUTED_VALUE"""),"mytheria")</f>
        <v>mytheria</v>
      </c>
      <c r="B8006" s="3" t="str">
        <f>IFERROR(__xludf.DUMMYFUNCTION("""COMPUTED_VALUE"""),"myra")</f>
        <v>myra</v>
      </c>
      <c r="C8006" s="3" t="str">
        <f>IFERROR(__xludf.DUMMYFUNCTION("""COMPUTED_VALUE"""),"Mytheria")</f>
        <v>Mytheria</v>
      </c>
    </row>
    <row r="8007">
      <c r="A8007" s="3" t="str">
        <f>IFERROR(__xludf.DUMMYFUNCTION("""COMPUTED_VALUE"""),"mythos")</f>
        <v>mythos</v>
      </c>
      <c r="B8007" s="3" t="str">
        <f>IFERROR(__xludf.DUMMYFUNCTION("""COMPUTED_VALUE"""),"myth")</f>
        <v>myth</v>
      </c>
      <c r="C8007" s="3" t="str">
        <f>IFERROR(__xludf.DUMMYFUNCTION("""COMPUTED_VALUE"""),"Mythos")</f>
        <v>Mythos</v>
      </c>
    </row>
    <row r="8008">
      <c r="A8008" s="3" t="str">
        <f>IFERROR(__xludf.DUMMYFUNCTION("""COMPUTED_VALUE"""),"myth-token")</f>
        <v>myth-token</v>
      </c>
      <c r="B8008" s="3" t="str">
        <f>IFERROR(__xludf.DUMMYFUNCTION("""COMPUTED_VALUE"""),"myth")</f>
        <v>myth</v>
      </c>
      <c r="C8008" s="3" t="str">
        <f>IFERROR(__xludf.DUMMYFUNCTION("""COMPUTED_VALUE"""),"Myth")</f>
        <v>Myth</v>
      </c>
    </row>
    <row r="8009">
      <c r="A8009" s="3" t="str">
        <f>IFERROR(__xludf.DUMMYFUNCTION("""COMPUTED_VALUE"""),"mytoken")</f>
        <v>mytoken</v>
      </c>
      <c r="B8009" s="3" t="str">
        <f>IFERROR(__xludf.DUMMYFUNCTION("""COMPUTED_VALUE"""),"mt")</f>
        <v>mt</v>
      </c>
      <c r="C8009" s="3" t="str">
        <f>IFERROR(__xludf.DUMMYFUNCTION("""COMPUTED_VALUE"""),"MyToken")</f>
        <v>MyToken</v>
      </c>
    </row>
    <row r="8010">
      <c r="A8010" s="3" t="str">
        <f>IFERROR(__xludf.DUMMYFUNCTION("""COMPUTED_VALUE"""),"mytrade")</f>
        <v>mytrade</v>
      </c>
      <c r="B8010" s="3" t="str">
        <f>IFERROR(__xludf.DUMMYFUNCTION("""COMPUTED_VALUE"""),"myt")</f>
        <v>myt</v>
      </c>
      <c r="C8010" s="3" t="str">
        <f>IFERROR(__xludf.DUMMYFUNCTION("""COMPUTED_VALUE"""),"Mytrade")</f>
        <v>Mytrade</v>
      </c>
    </row>
    <row r="8011">
      <c r="A8011" s="3" t="str">
        <f>IFERROR(__xludf.DUMMYFUNCTION("""COMPUTED_VALUE"""),"mytvchain")</f>
        <v>mytvchain</v>
      </c>
      <c r="B8011" s="3" t="str">
        <f>IFERROR(__xludf.DUMMYFUNCTION("""COMPUTED_VALUE"""),"mytv")</f>
        <v>mytv</v>
      </c>
      <c r="C8011" s="3" t="str">
        <f>IFERROR(__xludf.DUMMYFUNCTION("""COMPUTED_VALUE"""),"MyTVchain")</f>
        <v>MyTVchain</v>
      </c>
    </row>
    <row r="8012">
      <c r="A8012" s="3" t="str">
        <f>IFERROR(__xludf.DUMMYFUNCTION("""COMPUTED_VALUE"""),"my-universe")</f>
        <v>my-universe</v>
      </c>
      <c r="B8012" s="3" t="str">
        <f>IFERROR(__xludf.DUMMYFUNCTION("""COMPUTED_VALUE"""),"myuni")</f>
        <v>myuni</v>
      </c>
      <c r="C8012" s="3" t="str">
        <f>IFERROR(__xludf.DUMMYFUNCTION("""COMPUTED_VALUE"""),"My Universe")</f>
        <v>My Universe</v>
      </c>
    </row>
    <row r="8013">
      <c r="A8013" s="3" t="str">
        <f>IFERROR(__xludf.DUMMYFUNCTION("""COMPUTED_VALUE"""),"n00dle")</f>
        <v>n00dle</v>
      </c>
      <c r="B8013" s="3" t="str">
        <f>IFERROR(__xludf.DUMMYFUNCTION("""COMPUTED_VALUE"""),"n00d")</f>
        <v>n00d</v>
      </c>
      <c r="C8013" s="3" t="str">
        <f>IFERROR(__xludf.DUMMYFUNCTION("""COMPUTED_VALUE"""),"n00dle")</f>
        <v>n00dle</v>
      </c>
    </row>
    <row r="8014">
      <c r="A8014" s="3" t="str">
        <f>IFERROR(__xludf.DUMMYFUNCTION("""COMPUTED_VALUE"""),"nabob")</f>
        <v>nabob</v>
      </c>
      <c r="B8014" s="3" t="str">
        <f>IFERROR(__xludf.DUMMYFUNCTION("""COMPUTED_VALUE"""),"nabob")</f>
        <v>nabob</v>
      </c>
      <c r="C8014" s="3" t="str">
        <f>IFERROR(__xludf.DUMMYFUNCTION("""COMPUTED_VALUE"""),"Nabob")</f>
        <v>Nabob</v>
      </c>
    </row>
    <row r="8015">
      <c r="A8015" s="3" t="str">
        <f>IFERROR(__xludf.DUMMYFUNCTION("""COMPUTED_VALUE"""),"nabox")</f>
        <v>nabox</v>
      </c>
      <c r="B8015" s="3" t="str">
        <f>IFERROR(__xludf.DUMMYFUNCTION("""COMPUTED_VALUE"""),"nabox")</f>
        <v>nabox</v>
      </c>
      <c r="C8015" s="3" t="str">
        <f>IFERROR(__xludf.DUMMYFUNCTION("""COMPUTED_VALUE"""),"Nabox")</f>
        <v>Nabox</v>
      </c>
    </row>
    <row r="8016">
      <c r="A8016" s="3" t="str">
        <f>IFERROR(__xludf.DUMMYFUNCTION("""COMPUTED_VALUE"""),"nacho-finance")</f>
        <v>nacho-finance</v>
      </c>
      <c r="B8016" s="3" t="str">
        <f>IFERROR(__xludf.DUMMYFUNCTION("""COMPUTED_VALUE"""),"nacho")</f>
        <v>nacho</v>
      </c>
      <c r="C8016" s="3" t="str">
        <f>IFERROR(__xludf.DUMMYFUNCTION("""COMPUTED_VALUE"""),"Nacho Finance")</f>
        <v>Nacho Finance</v>
      </c>
    </row>
    <row r="8017">
      <c r="A8017" s="3" t="str">
        <f>IFERROR(__xludf.DUMMYFUNCTION("""COMPUTED_VALUE"""),"nada-protocol-token")</f>
        <v>nada-protocol-token</v>
      </c>
      <c r="B8017" s="3" t="str">
        <f>IFERROR(__xludf.DUMMYFUNCTION("""COMPUTED_VALUE"""),"nada")</f>
        <v>nada</v>
      </c>
      <c r="C8017" s="3" t="str">
        <f>IFERROR(__xludf.DUMMYFUNCTION("""COMPUTED_VALUE"""),"NADA Protocol Token")</f>
        <v>NADA Protocol Token</v>
      </c>
    </row>
    <row r="8018">
      <c r="A8018" s="3" t="str">
        <f>IFERROR(__xludf.DUMMYFUNCTION("""COMPUTED_VALUE"""),"naffiti")</f>
        <v>naffiti</v>
      </c>
      <c r="B8018" s="3" t="str">
        <f>IFERROR(__xludf.DUMMYFUNCTION("""COMPUTED_VALUE"""),"naff")</f>
        <v>naff</v>
      </c>
      <c r="C8018" s="3" t="str">
        <f>IFERROR(__xludf.DUMMYFUNCTION("""COMPUTED_VALUE"""),"Naffiti")</f>
        <v>Naffiti</v>
      </c>
    </row>
    <row r="8019">
      <c r="A8019" s="3" t="str">
        <f>IFERROR(__xludf.DUMMYFUNCTION("""COMPUTED_VALUE"""),"nafter")</f>
        <v>nafter</v>
      </c>
      <c r="B8019" s="3" t="str">
        <f>IFERROR(__xludf.DUMMYFUNCTION("""COMPUTED_VALUE"""),"naft")</f>
        <v>naft</v>
      </c>
      <c r="C8019" s="3" t="str">
        <f>IFERROR(__xludf.DUMMYFUNCTION("""COMPUTED_VALUE"""),"Nafter")</f>
        <v>Nafter</v>
      </c>
    </row>
    <row r="8020">
      <c r="A8020" s="3" t="str">
        <f>IFERROR(__xludf.DUMMYFUNCTION("""COMPUTED_VALUE"""),"nafty")</f>
        <v>nafty</v>
      </c>
      <c r="B8020" s="3" t="str">
        <f>IFERROR(__xludf.DUMMYFUNCTION("""COMPUTED_VALUE"""),"nafty")</f>
        <v>nafty</v>
      </c>
      <c r="C8020" s="3" t="str">
        <f>IFERROR(__xludf.DUMMYFUNCTION("""COMPUTED_VALUE"""),"Nafty")</f>
        <v>Nafty</v>
      </c>
    </row>
    <row r="8021">
      <c r="A8021" s="3" t="str">
        <f>IFERROR(__xludf.DUMMYFUNCTION("""COMPUTED_VALUE"""),"naga")</f>
        <v>naga</v>
      </c>
      <c r="B8021" s="3" t="str">
        <f>IFERROR(__xludf.DUMMYFUNCTION("""COMPUTED_VALUE"""),"ngc")</f>
        <v>ngc</v>
      </c>
      <c r="C8021" s="3" t="str">
        <f>IFERROR(__xludf.DUMMYFUNCTION("""COMPUTED_VALUE"""),"NAGA")</f>
        <v>NAGA</v>
      </c>
    </row>
    <row r="8022">
      <c r="A8022" s="3" t="str">
        <f>IFERROR(__xludf.DUMMYFUNCTION("""COMPUTED_VALUE"""),"naga-kingdom")</f>
        <v>naga-kingdom</v>
      </c>
      <c r="B8022" s="3" t="str">
        <f>IFERROR(__xludf.DUMMYFUNCTION("""COMPUTED_VALUE"""),"naga")</f>
        <v>naga</v>
      </c>
      <c r="C8022" s="3" t="str">
        <f>IFERROR(__xludf.DUMMYFUNCTION("""COMPUTED_VALUE"""),"Naga Kingdom")</f>
        <v>Naga Kingdom</v>
      </c>
    </row>
    <row r="8023">
      <c r="A8023" s="3" t="str">
        <f>IFERROR(__xludf.DUMMYFUNCTION("""COMPUTED_VALUE"""),"nagaswap")</f>
        <v>nagaswap</v>
      </c>
      <c r="B8023" s="3" t="str">
        <f>IFERROR(__xludf.DUMMYFUNCTION("""COMPUTED_VALUE"""),"bnw")</f>
        <v>bnw</v>
      </c>
      <c r="C8023" s="3" t="str">
        <f>IFERROR(__xludf.DUMMYFUNCTION("""COMPUTED_VALUE"""),"NagaSwap")</f>
        <v>NagaSwap</v>
      </c>
    </row>
    <row r="8024">
      <c r="A8024" s="3" t="str">
        <f>IFERROR(__xludf.DUMMYFUNCTION("""COMPUTED_VALUE"""),"nahmii")</f>
        <v>nahmii</v>
      </c>
      <c r="B8024" s="3" t="str">
        <f>IFERROR(__xludf.DUMMYFUNCTION("""COMPUTED_VALUE"""),"nii")</f>
        <v>nii</v>
      </c>
      <c r="C8024" s="3" t="str">
        <f>IFERROR(__xludf.DUMMYFUNCTION("""COMPUTED_VALUE"""),"Nahmii")</f>
        <v>Nahmii</v>
      </c>
    </row>
    <row r="8025">
      <c r="A8025" s="3" t="str">
        <f>IFERROR(__xludf.DUMMYFUNCTION("""COMPUTED_VALUE"""),"naka-bodhi-token")</f>
        <v>naka-bodhi-token</v>
      </c>
      <c r="B8025" s="3" t="str">
        <f>IFERROR(__xludf.DUMMYFUNCTION("""COMPUTED_VALUE"""),"nbot")</f>
        <v>nbot</v>
      </c>
      <c r="C8025" s="3" t="str">
        <f>IFERROR(__xludf.DUMMYFUNCTION("""COMPUTED_VALUE"""),"Naka Bodhi")</f>
        <v>Naka Bodhi</v>
      </c>
    </row>
    <row r="8026">
      <c r="A8026" s="3" t="str">
        <f>IFERROR(__xludf.DUMMYFUNCTION("""COMPUTED_VALUE"""),"nakamoto-games")</f>
        <v>nakamoto-games</v>
      </c>
      <c r="B8026" s="3" t="str">
        <f>IFERROR(__xludf.DUMMYFUNCTION("""COMPUTED_VALUE"""),"naka")</f>
        <v>naka</v>
      </c>
      <c r="C8026" s="3" t="str">
        <f>IFERROR(__xludf.DUMMYFUNCTION("""COMPUTED_VALUE"""),"Nakamoto Games")</f>
        <v>Nakamoto Games</v>
      </c>
    </row>
    <row r="8027">
      <c r="A8027" s="3" t="str">
        <f>IFERROR(__xludf.DUMMYFUNCTION("""COMPUTED_VALUE"""),"name-changing-token")</f>
        <v>name-changing-token</v>
      </c>
      <c r="B8027" s="3" t="str">
        <f>IFERROR(__xludf.DUMMYFUNCTION("""COMPUTED_VALUE"""),"nct")</f>
        <v>nct</v>
      </c>
      <c r="C8027" s="3" t="str">
        <f>IFERROR(__xludf.DUMMYFUNCTION("""COMPUTED_VALUE"""),"Name Change")</f>
        <v>Name Change</v>
      </c>
    </row>
    <row r="8028">
      <c r="A8028" s="3" t="str">
        <f>IFERROR(__xludf.DUMMYFUNCTION("""COMPUTED_VALUE"""),"namecoin")</f>
        <v>namecoin</v>
      </c>
      <c r="B8028" s="3" t="str">
        <f>IFERROR(__xludf.DUMMYFUNCTION("""COMPUTED_VALUE"""),"nmc")</f>
        <v>nmc</v>
      </c>
      <c r="C8028" s="3" t="str">
        <f>IFERROR(__xludf.DUMMYFUNCTION("""COMPUTED_VALUE"""),"Namecoin")</f>
        <v>Namecoin</v>
      </c>
    </row>
    <row r="8029">
      <c r="A8029" s="3" t="str">
        <f>IFERROR(__xludf.DUMMYFUNCTION("""COMPUTED_VALUE"""),"nami-corporation-token")</f>
        <v>nami-corporation-token</v>
      </c>
      <c r="B8029" s="3" t="str">
        <f>IFERROR(__xludf.DUMMYFUNCTION("""COMPUTED_VALUE"""),"nami")</f>
        <v>nami</v>
      </c>
      <c r="C8029" s="3" t="str">
        <f>IFERROR(__xludf.DUMMYFUNCTION("""COMPUTED_VALUE"""),"Nami Corporation")</f>
        <v>Nami Corporation</v>
      </c>
    </row>
    <row r="8030">
      <c r="A8030" s="3" t="str">
        <f>IFERROR(__xludf.DUMMYFUNCTION("""COMPUTED_VALUE"""),"nami-inu")</f>
        <v>nami-inu</v>
      </c>
      <c r="B8030" s="3" t="str">
        <f>IFERROR(__xludf.DUMMYFUNCTION("""COMPUTED_VALUE"""),"nami")</f>
        <v>nami</v>
      </c>
      <c r="C8030" s="3" t="str">
        <f>IFERROR(__xludf.DUMMYFUNCTION("""COMPUTED_VALUE"""),"Nami Inu")</f>
        <v>Nami Inu</v>
      </c>
    </row>
    <row r="8031">
      <c r="A8031" s="3" t="str">
        <f>IFERROR(__xludf.DUMMYFUNCTION("""COMPUTED_VALUE"""),"nano")</f>
        <v>nano</v>
      </c>
      <c r="B8031" s="3" t="str">
        <f>IFERROR(__xludf.DUMMYFUNCTION("""COMPUTED_VALUE"""),"xno")</f>
        <v>xno</v>
      </c>
      <c r="C8031" s="3" t="str">
        <f>IFERROR(__xludf.DUMMYFUNCTION("""COMPUTED_VALUE"""),"Nano")</f>
        <v>Nano</v>
      </c>
    </row>
    <row r="8032">
      <c r="A8032" s="3" t="str">
        <f>IFERROR(__xludf.DUMMYFUNCTION("""COMPUTED_VALUE"""),"nano-bitcoin-token")</f>
        <v>nano-bitcoin-token</v>
      </c>
      <c r="B8032" s="3" t="str">
        <f>IFERROR(__xludf.DUMMYFUNCTION("""COMPUTED_VALUE"""),"nbtc")</f>
        <v>nbtc</v>
      </c>
      <c r="C8032" s="3" t="str">
        <f>IFERROR(__xludf.DUMMYFUNCTION("""COMPUTED_VALUE"""),"Nano Bitcoin")</f>
        <v>Nano Bitcoin</v>
      </c>
    </row>
    <row r="8033">
      <c r="A8033" s="3" t="str">
        <f>IFERROR(__xludf.DUMMYFUNCTION("""COMPUTED_VALUE"""),"nanobyte")</f>
        <v>nanobyte</v>
      </c>
      <c r="B8033" s="3" t="str">
        <f>IFERROR(__xludf.DUMMYFUNCTION("""COMPUTED_VALUE"""),"nbt")</f>
        <v>nbt</v>
      </c>
      <c r="C8033" s="3" t="str">
        <f>IFERROR(__xludf.DUMMYFUNCTION("""COMPUTED_VALUE"""),"NanoByte")</f>
        <v>NanoByte</v>
      </c>
    </row>
    <row r="8034">
      <c r="A8034" s="3" t="str">
        <f>IFERROR(__xludf.DUMMYFUNCTION("""COMPUTED_VALUE"""),"nano-dogecoin")</f>
        <v>nano-dogecoin</v>
      </c>
      <c r="B8034" s="3" t="str">
        <f>IFERROR(__xludf.DUMMYFUNCTION("""COMPUTED_VALUE"""),"indc")</f>
        <v>indc</v>
      </c>
      <c r="C8034" s="3" t="str">
        <f>IFERROR(__xludf.DUMMYFUNCTION("""COMPUTED_VALUE"""),"Nano Dogecoin")</f>
        <v>Nano Dogecoin</v>
      </c>
    </row>
    <row r="8035">
      <c r="A8035" s="3" t="str">
        <f>IFERROR(__xludf.DUMMYFUNCTION("""COMPUTED_VALUE"""),"nanometer-bitcoin")</f>
        <v>nanometer-bitcoin</v>
      </c>
      <c r="B8035" s="3" t="str">
        <f>IFERROR(__xludf.DUMMYFUNCTION("""COMPUTED_VALUE"""),"nmbtc")</f>
        <v>nmbtc</v>
      </c>
      <c r="C8035" s="3" t="str">
        <f>IFERROR(__xludf.DUMMYFUNCTION("""COMPUTED_VALUE"""),"NanoMeter Bitcoin")</f>
        <v>NanoMeter Bitcoin</v>
      </c>
    </row>
    <row r="8036">
      <c r="A8036" s="3" t="str">
        <f>IFERROR(__xludf.DUMMYFUNCTION("""COMPUTED_VALUE"""),"naos-finance")</f>
        <v>naos-finance</v>
      </c>
      <c r="B8036" s="3" t="str">
        <f>IFERROR(__xludf.DUMMYFUNCTION("""COMPUTED_VALUE"""),"naos")</f>
        <v>naos</v>
      </c>
      <c r="C8036" s="3" t="str">
        <f>IFERROR(__xludf.DUMMYFUNCTION("""COMPUTED_VALUE"""),"NAOS Finance")</f>
        <v>NAOS Finance</v>
      </c>
    </row>
    <row r="8037">
      <c r="A8037" s="3" t="str">
        <f>IFERROR(__xludf.DUMMYFUNCTION("""COMPUTED_VALUE"""),"napoleon-x")</f>
        <v>napoleon-x</v>
      </c>
      <c r="B8037" s="3" t="str">
        <f>IFERROR(__xludf.DUMMYFUNCTION("""COMPUTED_VALUE"""),"npx")</f>
        <v>npx</v>
      </c>
      <c r="C8037" s="3" t="str">
        <f>IFERROR(__xludf.DUMMYFUNCTION("""COMPUTED_VALUE"""),"Napoleon X")</f>
        <v>Napoleon X</v>
      </c>
    </row>
    <row r="8038">
      <c r="A8038" s="3" t="str">
        <f>IFERROR(__xludf.DUMMYFUNCTION("""COMPUTED_VALUE"""),"napoli-fan-token")</f>
        <v>napoli-fan-token</v>
      </c>
      <c r="B8038" s="3" t="str">
        <f>IFERROR(__xludf.DUMMYFUNCTION("""COMPUTED_VALUE"""),"nap")</f>
        <v>nap</v>
      </c>
      <c r="C8038" s="3" t="str">
        <f>IFERROR(__xludf.DUMMYFUNCTION("""COMPUTED_VALUE"""),"Napoli Fan Token")</f>
        <v>Napoli Fan Token</v>
      </c>
    </row>
    <row r="8039">
      <c r="A8039" s="3" t="str">
        <f>IFERROR(__xludf.DUMMYFUNCTION("""COMPUTED_VALUE"""),"narfex")</f>
        <v>narfex</v>
      </c>
      <c r="B8039" s="3" t="str">
        <f>IFERROR(__xludf.DUMMYFUNCTION("""COMPUTED_VALUE"""),"nrfx")</f>
        <v>nrfx</v>
      </c>
      <c r="C8039" s="3" t="str">
        <f>IFERROR(__xludf.DUMMYFUNCTION("""COMPUTED_VALUE"""),"Narfex")</f>
        <v>Narfex</v>
      </c>
    </row>
    <row r="8040">
      <c r="A8040" s="3" t="str">
        <f>IFERROR(__xludf.DUMMYFUNCTION("""COMPUTED_VALUE"""),"naruto-inu")</f>
        <v>naruto-inu</v>
      </c>
      <c r="B8040" s="3" t="str">
        <f>IFERROR(__xludf.DUMMYFUNCTION("""COMPUTED_VALUE"""),"naruto")</f>
        <v>naruto</v>
      </c>
      <c r="C8040" s="3" t="str">
        <f>IFERROR(__xludf.DUMMYFUNCTION("""COMPUTED_VALUE"""),"Naruto Inu")</f>
        <v>Naruto Inu</v>
      </c>
    </row>
    <row r="8041">
      <c r="A8041" s="3" t="str">
        <f>IFERROR(__xludf.DUMMYFUNCTION("""COMPUTED_VALUE"""),"narwhal")</f>
        <v>narwhal</v>
      </c>
      <c r="B8041" s="3" t="str">
        <f>IFERROR(__xludf.DUMMYFUNCTION("""COMPUTED_VALUE"""),"nrwl")</f>
        <v>nrwl</v>
      </c>
      <c r="C8041" s="3" t="str">
        <f>IFERROR(__xludf.DUMMYFUNCTION("""COMPUTED_VALUE"""),"Narwhal")</f>
        <v>Narwhal</v>
      </c>
    </row>
    <row r="8042">
      <c r="A8042" s="3" t="str">
        <f>IFERROR(__xludf.DUMMYFUNCTION("""COMPUTED_VALUE"""),"nasa-doge")</f>
        <v>nasa-doge</v>
      </c>
      <c r="B8042" s="3" t="str">
        <f>IFERROR(__xludf.DUMMYFUNCTION("""COMPUTED_VALUE"""),"nasadoge")</f>
        <v>nasadoge</v>
      </c>
      <c r="C8042" s="3" t="str">
        <f>IFERROR(__xludf.DUMMYFUNCTION("""COMPUTED_VALUE"""),"Nasa Doge")</f>
        <v>Nasa Doge</v>
      </c>
    </row>
    <row r="8043">
      <c r="A8043" s="3" t="str">
        <f>IFERROR(__xludf.DUMMYFUNCTION("""COMPUTED_VALUE"""),"nasdacoin")</f>
        <v>nasdacoin</v>
      </c>
      <c r="B8043" s="3" t="str">
        <f>IFERROR(__xludf.DUMMYFUNCTION("""COMPUTED_VALUE"""),"nsd")</f>
        <v>nsd</v>
      </c>
      <c r="C8043" s="3" t="str">
        <f>IFERROR(__xludf.DUMMYFUNCTION("""COMPUTED_VALUE"""),"Nasdacoin")</f>
        <v>Nasdacoin</v>
      </c>
    </row>
    <row r="8044">
      <c r="A8044" s="3" t="str">
        <f>IFERROR(__xludf.DUMMYFUNCTION("""COMPUTED_VALUE"""),"nasdex-token")</f>
        <v>nasdex-token</v>
      </c>
      <c r="B8044" s="3" t="str">
        <f>IFERROR(__xludf.DUMMYFUNCTION("""COMPUTED_VALUE"""),"nsdx")</f>
        <v>nsdx</v>
      </c>
      <c r="C8044" s="3" t="str">
        <f>IFERROR(__xludf.DUMMYFUNCTION("""COMPUTED_VALUE"""),"NASDEX")</f>
        <v>NASDEX</v>
      </c>
    </row>
    <row r="8045">
      <c r="A8045" s="3" t="str">
        <f>IFERROR(__xludf.DUMMYFUNCTION("""COMPUTED_VALUE"""),"natas-token")</f>
        <v>natas-token</v>
      </c>
      <c r="B8045" s="3" t="str">
        <f>IFERROR(__xludf.DUMMYFUNCTION("""COMPUTED_VALUE"""),"natas")</f>
        <v>natas</v>
      </c>
      <c r="C8045" s="3" t="str">
        <f>IFERROR(__xludf.DUMMYFUNCTION("""COMPUTED_VALUE"""),"NaTaS Token")</f>
        <v>NaTaS Token</v>
      </c>
    </row>
    <row r="8046">
      <c r="A8046" s="3" t="str">
        <f>IFERROR(__xludf.DUMMYFUNCTION("""COMPUTED_VALUE"""),"natiol")</f>
        <v>natiol</v>
      </c>
      <c r="B8046" s="3" t="str">
        <f>IFERROR(__xludf.DUMMYFUNCTION("""COMPUTED_VALUE"""),"nai")</f>
        <v>nai</v>
      </c>
      <c r="C8046" s="3" t="str">
        <f>IFERROR(__xludf.DUMMYFUNCTION("""COMPUTED_VALUE"""),"Natiol")</f>
        <v>Natiol</v>
      </c>
    </row>
    <row r="8047">
      <c r="A8047" s="3" t="str">
        <f>IFERROR(__xludf.DUMMYFUNCTION("""COMPUTED_VALUE"""),"nation3")</f>
        <v>nation3</v>
      </c>
      <c r="B8047" s="3" t="str">
        <f>IFERROR(__xludf.DUMMYFUNCTION("""COMPUTED_VALUE"""),"nation")</f>
        <v>nation</v>
      </c>
      <c r="C8047" s="3" t="str">
        <f>IFERROR(__xludf.DUMMYFUNCTION("""COMPUTED_VALUE"""),"Nation3")</f>
        <v>Nation3</v>
      </c>
    </row>
    <row r="8048">
      <c r="A8048" s="3" t="str">
        <f>IFERROR(__xludf.DUMMYFUNCTION("""COMPUTED_VALUE"""),"native-utility-token")</f>
        <v>native-utility-token</v>
      </c>
      <c r="B8048" s="3" t="str">
        <f>IFERROR(__xludf.DUMMYFUNCTION("""COMPUTED_VALUE"""),"nut")</f>
        <v>nut</v>
      </c>
      <c r="C8048" s="3" t="str">
        <f>IFERROR(__xludf.DUMMYFUNCTION("""COMPUTED_VALUE"""),"Native Utility")</f>
        <v>Native Utility</v>
      </c>
    </row>
    <row r="8049">
      <c r="A8049" s="3" t="str">
        <f>IFERROR(__xludf.DUMMYFUNCTION("""COMPUTED_VALUE"""),"natural-farm-union-protocol")</f>
        <v>natural-farm-union-protocol</v>
      </c>
      <c r="B8049" s="3" t="str">
        <f>IFERROR(__xludf.DUMMYFUNCTION("""COMPUTED_VALUE"""),"nfup")</f>
        <v>nfup</v>
      </c>
      <c r="C8049" s="3" t="str">
        <f>IFERROR(__xludf.DUMMYFUNCTION("""COMPUTED_VALUE"""),"Natural Farm Union Protocol")</f>
        <v>Natural Farm Union Protocol</v>
      </c>
    </row>
    <row r="8050">
      <c r="A8050" s="3" t="str">
        <f>IFERROR(__xludf.DUMMYFUNCTION("""COMPUTED_VALUE"""),"nature-based-offset")</f>
        <v>nature-based-offset</v>
      </c>
      <c r="B8050" s="3" t="str">
        <f>IFERROR(__xludf.DUMMYFUNCTION("""COMPUTED_VALUE"""),"nbo")</f>
        <v>nbo</v>
      </c>
      <c r="C8050" s="3" t="str">
        <f>IFERROR(__xludf.DUMMYFUNCTION("""COMPUTED_VALUE"""),"Nature Based Offset")</f>
        <v>Nature Based Offset</v>
      </c>
    </row>
    <row r="8051">
      <c r="A8051" s="3" t="str">
        <f>IFERROR(__xludf.DUMMYFUNCTION("""COMPUTED_VALUE"""),"natus-vincere-fan-token")</f>
        <v>natus-vincere-fan-token</v>
      </c>
      <c r="B8051" s="3" t="str">
        <f>IFERROR(__xludf.DUMMYFUNCTION("""COMPUTED_VALUE"""),"navi")</f>
        <v>navi</v>
      </c>
      <c r="C8051" s="3" t="str">
        <f>IFERROR(__xludf.DUMMYFUNCTION("""COMPUTED_VALUE"""),"Natus Vincere Fan Token")</f>
        <v>Natus Vincere Fan Token</v>
      </c>
    </row>
    <row r="8052">
      <c r="A8052" s="3" t="str">
        <f>IFERROR(__xludf.DUMMYFUNCTION("""COMPUTED_VALUE"""),"nav-coin")</f>
        <v>nav-coin</v>
      </c>
      <c r="B8052" s="3" t="str">
        <f>IFERROR(__xludf.DUMMYFUNCTION("""COMPUTED_VALUE"""),"nav")</f>
        <v>nav</v>
      </c>
      <c r="C8052" s="3" t="str">
        <f>IFERROR(__xludf.DUMMYFUNCTION("""COMPUTED_VALUE"""),"Navcoin")</f>
        <v>Navcoin</v>
      </c>
    </row>
    <row r="8053">
      <c r="A8053" s="3" t="str">
        <f>IFERROR(__xludf.DUMMYFUNCTION("""COMPUTED_VALUE"""),"navibration")</f>
        <v>navibration</v>
      </c>
      <c r="B8053" s="3" t="str">
        <f>IFERROR(__xludf.DUMMYFUNCTION("""COMPUTED_VALUE"""),"navi")</f>
        <v>navi</v>
      </c>
      <c r="C8053" s="3" t="str">
        <f>IFERROR(__xludf.DUMMYFUNCTION("""COMPUTED_VALUE"""),"Navibration")</f>
        <v>Navibration</v>
      </c>
    </row>
    <row r="8054">
      <c r="A8054" s="3" t="str">
        <f>IFERROR(__xludf.DUMMYFUNCTION("""COMPUTED_VALUE"""),"navigator")</f>
        <v>navigator</v>
      </c>
      <c r="B8054" s="3" t="str">
        <f>IFERROR(__xludf.DUMMYFUNCTION("""COMPUTED_VALUE"""),"nttc")</f>
        <v>nttc</v>
      </c>
      <c r="C8054" s="3" t="str">
        <f>IFERROR(__xludf.DUMMYFUNCTION("""COMPUTED_VALUE"""),"Navigator DAO")</f>
        <v>Navigator DAO</v>
      </c>
    </row>
    <row r="8055">
      <c r="A8055" s="3" t="str">
        <f>IFERROR(__xludf.DUMMYFUNCTION("""COMPUTED_VALUE"""),"naxar")</f>
        <v>naxar</v>
      </c>
      <c r="B8055" s="3" t="str">
        <f>IFERROR(__xludf.DUMMYFUNCTION("""COMPUTED_VALUE"""),"naxar")</f>
        <v>naxar</v>
      </c>
      <c r="C8055" s="3" t="str">
        <f>IFERROR(__xludf.DUMMYFUNCTION("""COMPUTED_VALUE"""),"Naxar")</f>
        <v>Naxar</v>
      </c>
    </row>
    <row r="8056">
      <c r="A8056" s="3" t="str">
        <f>IFERROR(__xludf.DUMMYFUNCTION("""COMPUTED_VALUE"""),"nayuta-coin")</f>
        <v>nayuta-coin</v>
      </c>
      <c r="B8056" s="3" t="str">
        <f>IFERROR(__xludf.DUMMYFUNCTION("""COMPUTED_VALUE"""),"nc")</f>
        <v>nc</v>
      </c>
      <c r="C8056" s="3" t="str">
        <f>IFERROR(__xludf.DUMMYFUNCTION("""COMPUTED_VALUE"""),"Nayuta Coin")</f>
        <v>Nayuta Coin</v>
      </c>
    </row>
    <row r="8057">
      <c r="A8057" s="3" t="str">
        <f>IFERROR(__xludf.DUMMYFUNCTION("""COMPUTED_VALUE"""),"nblh")</f>
        <v>nblh</v>
      </c>
      <c r="B8057" s="3" t="str">
        <f>IFERROR(__xludf.DUMMYFUNCTION("""COMPUTED_VALUE"""),"nblh")</f>
        <v>nblh</v>
      </c>
      <c r="C8057" s="3" t="str">
        <f>IFERROR(__xludf.DUMMYFUNCTION("""COMPUTED_VALUE"""),"NBLH")</f>
        <v>NBLH</v>
      </c>
    </row>
    <row r="8058">
      <c r="A8058" s="3" t="str">
        <f>IFERROR(__xludf.DUMMYFUNCTION("""COMPUTED_VALUE"""),"nbox")</f>
        <v>nbox</v>
      </c>
      <c r="B8058" s="3" t="str">
        <f>IFERROR(__xludf.DUMMYFUNCTION("""COMPUTED_VALUE"""),"nbox")</f>
        <v>nbox</v>
      </c>
      <c r="C8058" s="3" t="str">
        <f>IFERROR(__xludf.DUMMYFUNCTION("""COMPUTED_VALUE"""),"NBOX")</f>
        <v>NBOX</v>
      </c>
    </row>
    <row r="8059">
      <c r="A8059" s="3" t="str">
        <f>IFERROR(__xludf.DUMMYFUNCTION("""COMPUTED_VALUE"""),"ndau")</f>
        <v>ndau</v>
      </c>
      <c r="B8059" s="3" t="str">
        <f>IFERROR(__xludf.DUMMYFUNCTION("""COMPUTED_VALUE"""),"ndau")</f>
        <v>ndau</v>
      </c>
      <c r="C8059" s="3" t="str">
        <f>IFERROR(__xludf.DUMMYFUNCTION("""COMPUTED_VALUE"""),"Ndau")</f>
        <v>Ndau</v>
      </c>
    </row>
    <row r="8060">
      <c r="A8060" s="3" t="str">
        <f>IFERROR(__xludf.DUMMYFUNCTION("""COMPUTED_VALUE"""),"ndb")</f>
        <v>ndb</v>
      </c>
      <c r="B8060" s="3" t="str">
        <f>IFERROR(__xludf.DUMMYFUNCTION("""COMPUTED_VALUE"""),"ndb")</f>
        <v>ndb</v>
      </c>
      <c r="C8060" s="3" t="str">
        <f>IFERROR(__xludf.DUMMYFUNCTION("""COMPUTED_VALUE"""),"NDB")</f>
        <v>NDB</v>
      </c>
    </row>
    <row r="8061">
      <c r="A8061" s="3" t="str">
        <f>IFERROR(__xludf.DUMMYFUNCTION("""COMPUTED_VALUE"""),"ndex")</f>
        <v>ndex</v>
      </c>
      <c r="B8061" s="3" t="str">
        <f>IFERROR(__xludf.DUMMYFUNCTION("""COMPUTED_VALUE"""),"ndx")</f>
        <v>ndx</v>
      </c>
      <c r="C8061" s="3" t="str">
        <f>IFERROR(__xludf.DUMMYFUNCTION("""COMPUTED_VALUE"""),"nDEX")</f>
        <v>nDEX</v>
      </c>
    </row>
    <row r="8062">
      <c r="A8062" s="3" t="str">
        <f>IFERROR(__xludf.DUMMYFUNCTION("""COMPUTED_VALUE"""),"near")</f>
        <v>near</v>
      </c>
      <c r="B8062" s="3" t="str">
        <f>IFERROR(__xludf.DUMMYFUNCTION("""COMPUTED_VALUE"""),"near")</f>
        <v>near</v>
      </c>
      <c r="C8062" s="3" t="str">
        <f>IFERROR(__xludf.DUMMYFUNCTION("""COMPUTED_VALUE"""),"NEAR Protocol")</f>
        <v>NEAR Protocol</v>
      </c>
    </row>
    <row r="8063">
      <c r="A8063" s="3" t="str">
        <f>IFERROR(__xludf.DUMMYFUNCTION("""COMPUTED_VALUE"""),"nearpad")</f>
        <v>nearpad</v>
      </c>
      <c r="B8063" s="3" t="str">
        <f>IFERROR(__xludf.DUMMYFUNCTION("""COMPUTED_VALUE"""),"pad")</f>
        <v>pad</v>
      </c>
      <c r="C8063" s="3" t="str">
        <f>IFERROR(__xludf.DUMMYFUNCTION("""COMPUTED_VALUE"""),"NearPad")</f>
        <v>NearPad</v>
      </c>
    </row>
    <row r="8064">
      <c r="A8064" s="3" t="str">
        <f>IFERROR(__xludf.DUMMYFUNCTION("""COMPUTED_VALUE"""),"neblio")</f>
        <v>neblio</v>
      </c>
      <c r="B8064" s="3" t="str">
        <f>IFERROR(__xludf.DUMMYFUNCTION("""COMPUTED_VALUE"""),"nebl")</f>
        <v>nebl</v>
      </c>
      <c r="C8064" s="3" t="str">
        <f>IFERROR(__xludf.DUMMYFUNCTION("""COMPUTED_VALUE"""),"Neblio")</f>
        <v>Neblio</v>
      </c>
    </row>
    <row r="8065">
      <c r="A8065" s="3" t="str">
        <f>IFERROR(__xludf.DUMMYFUNCTION("""COMPUTED_VALUE"""),"nebulas")</f>
        <v>nebulas</v>
      </c>
      <c r="B8065" s="3" t="str">
        <f>IFERROR(__xludf.DUMMYFUNCTION("""COMPUTED_VALUE"""),"nas")</f>
        <v>nas</v>
      </c>
      <c r="C8065" s="3" t="str">
        <f>IFERROR(__xludf.DUMMYFUNCTION("""COMPUTED_VALUE"""),"Nebulas")</f>
        <v>Nebulas</v>
      </c>
    </row>
    <row r="8066">
      <c r="A8066" s="3" t="str">
        <f>IFERROR(__xludf.DUMMYFUNCTION("""COMPUTED_VALUE"""),"nebulatoken")</f>
        <v>nebulatoken</v>
      </c>
      <c r="B8066" s="3" t="str">
        <f>IFERROR(__xludf.DUMMYFUNCTION("""COMPUTED_VALUE"""),"nebula")</f>
        <v>nebula</v>
      </c>
      <c r="C8066" s="3" t="str">
        <f>IFERROR(__xludf.DUMMYFUNCTION("""COMPUTED_VALUE"""),"NebulaToken")</f>
        <v>NebulaToken</v>
      </c>
    </row>
    <row r="8067">
      <c r="A8067" s="3" t="str">
        <f>IFERROR(__xludf.DUMMYFUNCTION("""COMPUTED_VALUE"""),"neco-fun")</f>
        <v>neco-fun</v>
      </c>
      <c r="B8067" s="3" t="str">
        <f>IFERROR(__xludf.DUMMYFUNCTION("""COMPUTED_VALUE"""),"neco")</f>
        <v>neco</v>
      </c>
      <c r="C8067" s="3" t="str">
        <f>IFERROR(__xludf.DUMMYFUNCTION("""COMPUTED_VALUE"""),"Neco Fun")</f>
        <v>Neco Fun</v>
      </c>
    </row>
    <row r="8068">
      <c r="A8068" s="3" t="str">
        <f>IFERROR(__xludf.DUMMYFUNCTION("""COMPUTED_VALUE"""),"neeo")</f>
        <v>neeo</v>
      </c>
      <c r="B8068" s="3" t="str">
        <f>IFERROR(__xludf.DUMMYFUNCTION("""COMPUTED_VALUE"""),"neeo")</f>
        <v>neeo</v>
      </c>
      <c r="C8068" s="3" t="str">
        <f>IFERROR(__xludf.DUMMYFUNCTION("""COMPUTED_VALUE"""),"NEEO")</f>
        <v>NEEO</v>
      </c>
    </row>
    <row r="8069">
      <c r="A8069" s="3" t="str">
        <f>IFERROR(__xludf.DUMMYFUNCTION("""COMPUTED_VALUE"""),"neetcoin")</f>
        <v>neetcoin</v>
      </c>
      <c r="B8069" s="3" t="str">
        <f>IFERROR(__xludf.DUMMYFUNCTION("""COMPUTED_VALUE"""),"neet")</f>
        <v>neet</v>
      </c>
      <c r="C8069" s="3" t="str">
        <f>IFERROR(__xludf.DUMMYFUNCTION("""COMPUTED_VALUE"""),"Neetcoin")</f>
        <v>Neetcoin</v>
      </c>
    </row>
    <row r="8070">
      <c r="A8070" s="3" t="str">
        <f>IFERROR(__xludf.DUMMYFUNCTION("""COMPUTED_VALUE"""),"nef-rune-rune-game")</f>
        <v>nef-rune-rune-game</v>
      </c>
      <c r="B8070" s="3" t="str">
        <f>IFERROR(__xludf.DUMMYFUNCTION("""COMPUTED_VALUE"""),"nef")</f>
        <v>nef</v>
      </c>
      <c r="C8070" s="3" t="str">
        <f>IFERROR(__xludf.DUMMYFUNCTION("""COMPUTED_VALUE"""),"NEF Rune (Rune.Game)")</f>
        <v>NEF Rune (Rune.Game)</v>
      </c>
    </row>
    <row r="8071">
      <c r="A8071" s="3" t="str">
        <f>IFERROR(__xludf.DUMMYFUNCTION("""COMPUTED_VALUE"""),"neftipedia")</f>
        <v>neftipedia</v>
      </c>
      <c r="B8071" s="3" t="str">
        <f>IFERROR(__xludf.DUMMYFUNCTION("""COMPUTED_VALUE"""),"nft")</f>
        <v>nft</v>
      </c>
      <c r="C8071" s="3" t="str">
        <f>IFERROR(__xludf.DUMMYFUNCTION("""COMPUTED_VALUE"""),"NEFTiPEDiA")</f>
        <v>NEFTiPEDiA</v>
      </c>
    </row>
    <row r="8072">
      <c r="A8072" s="3" t="str">
        <f>IFERROR(__xludf.DUMMYFUNCTION("""COMPUTED_VALUE"""),"neighbourhoods")</f>
        <v>neighbourhoods</v>
      </c>
      <c r="B8072" s="3" t="str">
        <f>IFERROR(__xludf.DUMMYFUNCTION("""COMPUTED_VALUE"""),"nht")</f>
        <v>nht</v>
      </c>
      <c r="C8072" s="3" t="str">
        <f>IFERROR(__xludf.DUMMYFUNCTION("""COMPUTED_VALUE"""),"Neighbourhoods")</f>
        <v>Neighbourhoods</v>
      </c>
    </row>
    <row r="8073">
      <c r="A8073" s="3" t="str">
        <f>IFERROR(__xludf.DUMMYFUNCTION("""COMPUTED_VALUE"""),"nekocoin")</f>
        <v>nekocoin</v>
      </c>
      <c r="B8073" s="3" t="str">
        <f>IFERROR(__xludf.DUMMYFUNCTION("""COMPUTED_VALUE"""),"nekos")</f>
        <v>nekos</v>
      </c>
      <c r="C8073" s="3" t="str">
        <f>IFERROR(__xludf.DUMMYFUNCTION("""COMPUTED_VALUE"""),"Nekocoin")</f>
        <v>Nekocoin</v>
      </c>
    </row>
    <row r="8074">
      <c r="A8074" s="3" t="str">
        <f>IFERROR(__xludf.DUMMYFUNCTION("""COMPUTED_VALUE"""),"neko-network")</f>
        <v>neko-network</v>
      </c>
      <c r="B8074" s="3" t="str">
        <f>IFERROR(__xludf.DUMMYFUNCTION("""COMPUTED_VALUE"""),"neko")</f>
        <v>neko</v>
      </c>
      <c r="C8074" s="3" t="str">
        <f>IFERROR(__xludf.DUMMYFUNCTION("""COMPUTED_VALUE"""),"Neko Network")</f>
        <v>Neko Network</v>
      </c>
    </row>
    <row r="8075">
      <c r="A8075" s="3" t="str">
        <f>IFERROR(__xludf.DUMMYFUNCTION("""COMPUTED_VALUE"""),"nel-hydrogen")</f>
        <v>nel-hydrogen</v>
      </c>
      <c r="B8075" s="3" t="str">
        <f>IFERROR(__xludf.DUMMYFUNCTION("""COMPUTED_VALUE"""),"nel")</f>
        <v>nel</v>
      </c>
      <c r="C8075" s="3" t="str">
        <f>IFERROR(__xludf.DUMMYFUNCTION("""COMPUTED_VALUE"""),"Nel Hydrogen")</f>
        <v>Nel Hydrogen</v>
      </c>
    </row>
    <row r="8076">
      <c r="A8076" s="3" t="str">
        <f>IFERROR(__xludf.DUMMYFUNCTION("""COMPUTED_VALUE"""),"nelo-metaverse")</f>
        <v>nelo-metaverse</v>
      </c>
      <c r="B8076" s="3" t="str">
        <f>IFERROR(__xludf.DUMMYFUNCTION("""COMPUTED_VALUE"""),"nelo")</f>
        <v>nelo</v>
      </c>
      <c r="C8076" s="3" t="str">
        <f>IFERROR(__xludf.DUMMYFUNCTION("""COMPUTED_VALUE"""),"NELO Metaverse")</f>
        <v>NELO Metaverse</v>
      </c>
    </row>
    <row r="8077">
      <c r="A8077" s="3" t="str">
        <f>IFERROR(__xludf.DUMMYFUNCTION("""COMPUTED_VALUE"""),"nelore-coin")</f>
        <v>nelore-coin</v>
      </c>
      <c r="B8077" s="3" t="str">
        <f>IFERROR(__xludf.DUMMYFUNCTION("""COMPUTED_VALUE"""),"nlc")</f>
        <v>nlc</v>
      </c>
      <c r="C8077" s="3" t="str">
        <f>IFERROR(__xludf.DUMMYFUNCTION("""COMPUTED_VALUE"""),"Nelore Coin")</f>
        <v>Nelore Coin</v>
      </c>
    </row>
    <row r="8078">
      <c r="A8078" s="3" t="str">
        <f>IFERROR(__xludf.DUMMYFUNCTION("""COMPUTED_VALUE"""),"neloverse")</f>
        <v>neloverse</v>
      </c>
      <c r="B8078" s="3" t="str">
        <f>IFERROR(__xludf.DUMMYFUNCTION("""COMPUTED_VALUE"""),"nve")</f>
        <v>nve</v>
      </c>
      <c r="C8078" s="3" t="str">
        <f>IFERROR(__xludf.DUMMYFUNCTION("""COMPUTED_VALUE"""),"Neloverse")</f>
        <v>Neloverse</v>
      </c>
    </row>
    <row r="8079">
      <c r="A8079" s="3" t="str">
        <f>IFERROR(__xludf.DUMMYFUNCTION("""COMPUTED_VALUE"""),"nem")</f>
        <v>nem</v>
      </c>
      <c r="B8079" s="3" t="str">
        <f>IFERROR(__xludf.DUMMYFUNCTION("""COMPUTED_VALUE"""),"xem")</f>
        <v>xem</v>
      </c>
      <c r="C8079" s="3" t="str">
        <f>IFERROR(__xludf.DUMMYFUNCTION("""COMPUTED_VALUE"""),"NEM")</f>
        <v>NEM</v>
      </c>
    </row>
    <row r="8080">
      <c r="A8080" s="3" t="str">
        <f>IFERROR(__xludf.DUMMYFUNCTION("""COMPUTED_VALUE"""),"nemesis")</f>
        <v>nemesis</v>
      </c>
      <c r="B8080" s="3" t="str">
        <f>IFERROR(__xludf.DUMMYFUNCTION("""COMPUTED_VALUE"""),"nms")</f>
        <v>nms</v>
      </c>
      <c r="C8080" s="3" t="str">
        <f>IFERROR(__xludf.DUMMYFUNCTION("""COMPUTED_VALUE"""),"Nemesis")</f>
        <v>Nemesis</v>
      </c>
    </row>
    <row r="8081">
      <c r="A8081" s="3" t="str">
        <f>IFERROR(__xludf.DUMMYFUNCTION("""COMPUTED_VALUE"""),"nemesis-dao")</f>
        <v>nemesis-dao</v>
      </c>
      <c r="B8081" s="3" t="str">
        <f>IFERROR(__xludf.DUMMYFUNCTION("""COMPUTED_VALUE"""),"nms")</f>
        <v>nms</v>
      </c>
      <c r="C8081" s="3" t="str">
        <f>IFERROR(__xludf.DUMMYFUNCTION("""COMPUTED_VALUE"""),"Nemesis DAO")</f>
        <v>Nemesis DAO</v>
      </c>
    </row>
    <row r="8082">
      <c r="A8082" s="3" t="str">
        <f>IFERROR(__xludf.DUMMYFUNCTION("""COMPUTED_VALUE"""),"nemesis-wealth-projects-bsc")</f>
        <v>nemesis-wealth-projects-bsc</v>
      </c>
      <c r="B8082" s="3" t="str">
        <f>IFERROR(__xludf.DUMMYFUNCTION("""COMPUTED_VALUE"""),"nms")</f>
        <v>nms</v>
      </c>
      <c r="C8082" s="3" t="str">
        <f>IFERROR(__xludf.DUMMYFUNCTION("""COMPUTED_VALUE"""),"Nemesis Wealth Projects BSC")</f>
        <v>Nemesis Wealth Projects BSC</v>
      </c>
    </row>
    <row r="8083">
      <c r="A8083" s="3" t="str">
        <f>IFERROR(__xludf.DUMMYFUNCTION("""COMPUTED_VALUE"""),"nemo")</f>
        <v>nemo</v>
      </c>
      <c r="B8083" s="3" t="str">
        <f>IFERROR(__xludf.DUMMYFUNCTION("""COMPUTED_VALUE"""),"nemo")</f>
        <v>nemo</v>
      </c>
      <c r="C8083" s="3" t="str">
        <f>IFERROR(__xludf.DUMMYFUNCTION("""COMPUTED_VALUE"""),"NEMO")</f>
        <v>NEMO</v>
      </c>
    </row>
    <row r="8084">
      <c r="A8084" s="3" t="str">
        <f>IFERROR(__xludf.DUMMYFUNCTION("""COMPUTED_VALUE"""),"neo")</f>
        <v>neo</v>
      </c>
      <c r="B8084" s="3" t="str">
        <f>IFERROR(__xludf.DUMMYFUNCTION("""COMPUTED_VALUE"""),"neo")</f>
        <v>neo</v>
      </c>
      <c r="C8084" s="3" t="str">
        <f>IFERROR(__xludf.DUMMYFUNCTION("""COMPUTED_VALUE"""),"NEO")</f>
        <v>NEO</v>
      </c>
    </row>
    <row r="8085">
      <c r="A8085" s="3" t="str">
        <f>IFERROR(__xludf.DUMMYFUNCTION("""COMPUTED_VALUE"""),"neofi")</f>
        <v>neofi</v>
      </c>
      <c r="B8085" s="3" t="str">
        <f>IFERROR(__xludf.DUMMYFUNCTION("""COMPUTED_VALUE"""),"neofi")</f>
        <v>neofi</v>
      </c>
      <c r="C8085" s="3" t="str">
        <f>IFERROR(__xludf.DUMMYFUNCTION("""COMPUTED_VALUE"""),"NeoFi")</f>
        <v>NeoFi</v>
      </c>
    </row>
    <row r="8086">
      <c r="A8086" s="3" t="str">
        <f>IFERROR(__xludf.DUMMYFUNCTION("""COMPUTED_VALUE"""),"neon-exchange")</f>
        <v>neon-exchange</v>
      </c>
      <c r="B8086" s="3" t="str">
        <f>IFERROR(__xludf.DUMMYFUNCTION("""COMPUTED_VALUE"""),"nex")</f>
        <v>nex</v>
      </c>
      <c r="C8086" s="3" t="str">
        <f>IFERROR(__xludf.DUMMYFUNCTION("""COMPUTED_VALUE"""),"Nash")</f>
        <v>Nash</v>
      </c>
    </row>
    <row r="8087">
      <c r="A8087" s="3" t="str">
        <f>IFERROR(__xludf.DUMMYFUNCTION("""COMPUTED_VALUE"""),"neonomad-finance")</f>
        <v>neonomad-finance</v>
      </c>
      <c r="B8087" s="3" t="str">
        <f>IFERROR(__xludf.DUMMYFUNCTION("""COMPUTED_VALUE"""),"nni")</f>
        <v>nni</v>
      </c>
      <c r="C8087" s="3" t="str">
        <f>IFERROR(__xludf.DUMMYFUNCTION("""COMPUTED_VALUE"""),"Neonomad Finance")</f>
        <v>Neonomad Finance</v>
      </c>
    </row>
    <row r="8088">
      <c r="A8088" s="3" t="str">
        <f>IFERROR(__xludf.DUMMYFUNCTION("""COMPUTED_VALUE"""),"neopin")</f>
        <v>neopin</v>
      </c>
      <c r="B8088" s="3" t="str">
        <f>IFERROR(__xludf.DUMMYFUNCTION("""COMPUTED_VALUE"""),"npt")</f>
        <v>npt</v>
      </c>
      <c r="C8088" s="3" t="str">
        <f>IFERROR(__xludf.DUMMYFUNCTION("""COMPUTED_VALUE"""),"Neopin")</f>
        <v>Neopin</v>
      </c>
    </row>
    <row r="8089">
      <c r="A8089" s="3" t="str">
        <f>IFERROR(__xludf.DUMMYFUNCTION("""COMPUTED_VALUE"""),"neorbit")</f>
        <v>neorbit</v>
      </c>
      <c r="B8089" s="3" t="str">
        <f>IFERROR(__xludf.DUMMYFUNCTION("""COMPUTED_VALUE"""),"nrb")</f>
        <v>nrb</v>
      </c>
      <c r="C8089" s="3" t="str">
        <f>IFERROR(__xludf.DUMMYFUNCTION("""COMPUTED_VALUE"""),"Neorbit")</f>
        <v>Neorbit</v>
      </c>
    </row>
    <row r="8090">
      <c r="A8090" s="3" t="str">
        <f>IFERROR(__xludf.DUMMYFUNCTION("""COMPUTED_VALUE"""),"neos-credits")</f>
        <v>neos-credits</v>
      </c>
      <c r="B8090" s="3" t="str">
        <f>IFERROR(__xludf.DUMMYFUNCTION("""COMPUTED_VALUE"""),"ncr")</f>
        <v>ncr</v>
      </c>
      <c r="C8090" s="3" t="str">
        <f>IFERROR(__xludf.DUMMYFUNCTION("""COMPUTED_VALUE"""),"Neos Credits")</f>
        <v>Neos Credits</v>
      </c>
    </row>
    <row r="8091">
      <c r="A8091" s="3" t="str">
        <f>IFERROR(__xludf.DUMMYFUNCTION("""COMPUTED_VALUE"""),"neoworld-cash")</f>
        <v>neoworld-cash</v>
      </c>
      <c r="B8091" s="3" t="str">
        <f>IFERROR(__xludf.DUMMYFUNCTION("""COMPUTED_VALUE"""),"nash")</f>
        <v>nash</v>
      </c>
      <c r="C8091" s="3" t="str">
        <f>IFERROR(__xludf.DUMMYFUNCTION("""COMPUTED_VALUE"""),"NeoWorld Cash")</f>
        <v>NeoWorld Cash</v>
      </c>
    </row>
    <row r="8092">
      <c r="A8092" s="3" t="str">
        <f>IFERROR(__xludf.DUMMYFUNCTION("""COMPUTED_VALUE"""),"neoxa")</f>
        <v>neoxa</v>
      </c>
      <c r="B8092" s="3" t="str">
        <f>IFERROR(__xludf.DUMMYFUNCTION("""COMPUTED_VALUE"""),"neox")</f>
        <v>neox</v>
      </c>
      <c r="C8092" s="3" t="str">
        <f>IFERROR(__xludf.DUMMYFUNCTION("""COMPUTED_VALUE"""),"Neoxa")</f>
        <v>Neoxa</v>
      </c>
    </row>
    <row r="8093">
      <c r="A8093" s="3" t="str">
        <f>IFERROR(__xludf.DUMMYFUNCTION("""COMPUTED_VALUE"""),"nerdy-inu")</f>
        <v>nerdy-inu</v>
      </c>
      <c r="B8093" s="3" t="str">
        <f>IFERROR(__xludf.DUMMYFUNCTION("""COMPUTED_VALUE"""),"nerdy")</f>
        <v>nerdy</v>
      </c>
      <c r="C8093" s="3" t="str">
        <f>IFERROR(__xludf.DUMMYFUNCTION("""COMPUTED_VALUE"""),"Nerdy Inu")</f>
        <v>Nerdy Inu</v>
      </c>
    </row>
    <row r="8094">
      <c r="A8094" s="3" t="str">
        <f>IFERROR(__xludf.DUMMYFUNCTION("""COMPUTED_VALUE"""),"nerian-network")</f>
        <v>nerian-network</v>
      </c>
      <c r="B8094" s="3" t="str">
        <f>IFERROR(__xludf.DUMMYFUNCTION("""COMPUTED_VALUE"""),"nerian")</f>
        <v>nerian</v>
      </c>
      <c r="C8094" s="3" t="str">
        <f>IFERROR(__xludf.DUMMYFUNCTION("""COMPUTED_VALUE"""),"Nerian Network")</f>
        <v>Nerian Network</v>
      </c>
    </row>
    <row r="8095">
      <c r="A8095" s="3" t="str">
        <f>IFERROR(__xludf.DUMMYFUNCTION("""COMPUTED_VALUE"""),"nerva")</f>
        <v>nerva</v>
      </c>
      <c r="B8095" s="3" t="str">
        <f>IFERROR(__xludf.DUMMYFUNCTION("""COMPUTED_VALUE"""),"xnv")</f>
        <v>xnv</v>
      </c>
      <c r="C8095" s="3" t="str">
        <f>IFERROR(__xludf.DUMMYFUNCTION("""COMPUTED_VALUE"""),"Nerva")</f>
        <v>Nerva</v>
      </c>
    </row>
    <row r="8096">
      <c r="A8096" s="3" t="str">
        <f>IFERROR(__xludf.DUMMYFUNCTION("""COMPUTED_VALUE"""),"nerve-finance")</f>
        <v>nerve-finance</v>
      </c>
      <c r="B8096" s="3" t="str">
        <f>IFERROR(__xludf.DUMMYFUNCTION("""COMPUTED_VALUE"""),"nrv")</f>
        <v>nrv</v>
      </c>
      <c r="C8096" s="3" t="str">
        <f>IFERROR(__xludf.DUMMYFUNCTION("""COMPUTED_VALUE"""),"Nerve Finance")</f>
        <v>Nerve Finance</v>
      </c>
    </row>
    <row r="8097">
      <c r="A8097" s="3" t="str">
        <f>IFERROR(__xludf.DUMMYFUNCTION("""COMPUTED_VALUE"""),"nerveflux")</f>
        <v>nerveflux</v>
      </c>
      <c r="B8097" s="3" t="str">
        <f>IFERROR(__xludf.DUMMYFUNCTION("""COMPUTED_VALUE"""),"nerve")</f>
        <v>nerve</v>
      </c>
      <c r="C8097" s="3" t="str">
        <f>IFERROR(__xludf.DUMMYFUNCTION("""COMPUTED_VALUE"""),"NerveFlux")</f>
        <v>NerveFlux</v>
      </c>
    </row>
    <row r="8098">
      <c r="A8098" s="3" t="str">
        <f>IFERROR(__xludf.DUMMYFUNCTION("""COMPUTED_VALUE"""),"nervenetwork")</f>
        <v>nervenetwork</v>
      </c>
      <c r="B8098" s="3" t="str">
        <f>IFERROR(__xludf.DUMMYFUNCTION("""COMPUTED_VALUE"""),"nvt")</f>
        <v>nvt</v>
      </c>
      <c r="C8098" s="3" t="str">
        <f>IFERROR(__xludf.DUMMYFUNCTION("""COMPUTED_VALUE"""),"NerveNetwork")</f>
        <v>NerveNetwork</v>
      </c>
    </row>
    <row r="8099">
      <c r="A8099" s="3" t="str">
        <f>IFERROR(__xludf.DUMMYFUNCTION("""COMPUTED_VALUE"""),"nervos-network")</f>
        <v>nervos-network</v>
      </c>
      <c r="B8099" s="3" t="str">
        <f>IFERROR(__xludf.DUMMYFUNCTION("""COMPUTED_VALUE"""),"ckb")</f>
        <v>ckb</v>
      </c>
      <c r="C8099" s="3" t="str">
        <f>IFERROR(__xludf.DUMMYFUNCTION("""COMPUTED_VALUE"""),"Nervos Network")</f>
        <v>Nervos Network</v>
      </c>
    </row>
    <row r="8100">
      <c r="A8100" s="3" t="str">
        <f>IFERROR(__xludf.DUMMYFUNCTION("""COMPUTED_VALUE"""),"nest")</f>
        <v>nest</v>
      </c>
      <c r="B8100" s="3" t="str">
        <f>IFERROR(__xludf.DUMMYFUNCTION("""COMPUTED_VALUE"""),"nest")</f>
        <v>nest</v>
      </c>
      <c r="C8100" s="3" t="str">
        <f>IFERROR(__xludf.DUMMYFUNCTION("""COMPUTED_VALUE"""),"Nest Protocol")</f>
        <v>Nest Protocol</v>
      </c>
    </row>
    <row r="8101">
      <c r="A8101" s="3" t="str">
        <f>IFERROR(__xludf.DUMMYFUNCTION("""COMPUTED_VALUE"""),"nest-arcade")</f>
        <v>nest-arcade</v>
      </c>
      <c r="B8101" s="3" t="str">
        <f>IFERROR(__xludf.DUMMYFUNCTION("""COMPUTED_VALUE"""),"nesta")</f>
        <v>nesta</v>
      </c>
      <c r="C8101" s="3" t="str">
        <f>IFERROR(__xludf.DUMMYFUNCTION("""COMPUTED_VALUE"""),"Nest Arcade")</f>
        <v>Nest Arcade</v>
      </c>
    </row>
    <row r="8102">
      <c r="A8102" s="3" t="str">
        <f>IFERROR(__xludf.DUMMYFUNCTION("""COMPUTED_VALUE"""),"nest-egg")</f>
        <v>nest-egg</v>
      </c>
      <c r="B8102" s="3" t="str">
        <f>IFERROR(__xludf.DUMMYFUNCTION("""COMPUTED_VALUE"""),"negg")</f>
        <v>negg</v>
      </c>
      <c r="C8102" s="3" t="str">
        <f>IFERROR(__xludf.DUMMYFUNCTION("""COMPUTED_VALUE"""),"Nest Egg")</f>
        <v>Nest Egg</v>
      </c>
    </row>
    <row r="8103">
      <c r="A8103" s="3" t="str">
        <f>IFERROR(__xludf.DUMMYFUNCTION("""COMPUTED_VALUE"""),"nestegg-coin")</f>
        <v>nestegg-coin</v>
      </c>
      <c r="B8103" s="3" t="str">
        <f>IFERROR(__xludf.DUMMYFUNCTION("""COMPUTED_VALUE"""),"egg")</f>
        <v>egg</v>
      </c>
      <c r="C8103" s="3" t="str">
        <f>IFERROR(__xludf.DUMMYFUNCTION("""COMPUTED_VALUE"""),"NestEgg Coin")</f>
        <v>NestEgg Coin</v>
      </c>
    </row>
    <row r="8104">
      <c r="A8104" s="3" t="str">
        <f>IFERROR(__xludf.DUMMYFUNCTION("""COMPUTED_VALUE"""),"nesten")</f>
        <v>nesten</v>
      </c>
      <c r="B8104" s="3" t="str">
        <f>IFERROR(__xludf.DUMMYFUNCTION("""COMPUTED_VALUE"""),"nit")</f>
        <v>nit</v>
      </c>
      <c r="C8104" s="3" t="str">
        <f>IFERROR(__xludf.DUMMYFUNCTION("""COMPUTED_VALUE"""),"Nesten")</f>
        <v>Nesten</v>
      </c>
    </row>
    <row r="8105">
      <c r="A8105" s="3" t="str">
        <f>IFERROR(__xludf.DUMMYFUNCTION("""COMPUTED_VALUE"""),"nestree")</f>
        <v>nestree</v>
      </c>
      <c r="B8105" s="3" t="str">
        <f>IFERROR(__xludf.DUMMYFUNCTION("""COMPUTED_VALUE"""),"egg")</f>
        <v>egg</v>
      </c>
      <c r="C8105" s="3" t="str">
        <f>IFERROR(__xludf.DUMMYFUNCTION("""COMPUTED_VALUE"""),"Nestree")</f>
        <v>Nestree</v>
      </c>
    </row>
    <row r="8106">
      <c r="A8106" s="3" t="str">
        <f>IFERROR(__xludf.DUMMYFUNCTION("""COMPUTED_VALUE"""),"neta")</f>
        <v>neta</v>
      </c>
      <c r="B8106" s="3" t="str">
        <f>IFERROR(__xludf.DUMMYFUNCTION("""COMPUTED_VALUE"""),"neta")</f>
        <v>neta</v>
      </c>
      <c r="C8106" s="3" t="str">
        <f>IFERROR(__xludf.DUMMYFUNCTION("""COMPUTED_VALUE"""),"NETA")</f>
        <v>NETA</v>
      </c>
    </row>
    <row r="8107">
      <c r="A8107" s="3" t="str">
        <f>IFERROR(__xludf.DUMMYFUNCTION("""COMPUTED_VALUE"""),"netbox-coin")</f>
        <v>netbox-coin</v>
      </c>
      <c r="B8107" s="3" t="str">
        <f>IFERROR(__xludf.DUMMYFUNCTION("""COMPUTED_VALUE"""),"nbx")</f>
        <v>nbx</v>
      </c>
      <c r="C8107" s="3" t="str">
        <f>IFERROR(__xludf.DUMMYFUNCTION("""COMPUTED_VALUE"""),"Netbox Coin")</f>
        <v>Netbox Coin</v>
      </c>
    </row>
    <row r="8108">
      <c r="A8108" s="3" t="str">
        <f>IFERROR(__xludf.DUMMYFUNCTION("""COMPUTED_VALUE"""),"netcoin")</f>
        <v>netcoin</v>
      </c>
      <c r="B8108" s="3" t="str">
        <f>IFERROR(__xludf.DUMMYFUNCTION("""COMPUTED_VALUE"""),"net")</f>
        <v>net</v>
      </c>
      <c r="C8108" s="3" t="str">
        <f>IFERROR(__xludf.DUMMYFUNCTION("""COMPUTED_VALUE"""),"Netcoin")</f>
        <v>Netcoin</v>
      </c>
    </row>
    <row r="8109">
      <c r="A8109" s="3" t="str">
        <f>IFERROR(__xludf.DUMMYFUNCTION("""COMPUTED_VALUE"""),"netcoincapital")</f>
        <v>netcoincapital</v>
      </c>
      <c r="B8109" s="3" t="str">
        <f>IFERROR(__xludf.DUMMYFUNCTION("""COMPUTED_VALUE"""),"ncc")</f>
        <v>ncc</v>
      </c>
      <c r="C8109" s="3" t="str">
        <f>IFERROR(__xludf.DUMMYFUNCTION("""COMPUTED_VALUE"""),"Netcoincapital")</f>
        <v>Netcoincapital</v>
      </c>
    </row>
    <row r="8110">
      <c r="A8110" s="3" t="str">
        <f>IFERROR(__xludf.DUMMYFUNCTION("""COMPUTED_VALUE"""),"netflix-tokenized-stock-defichain")</f>
        <v>netflix-tokenized-stock-defichain</v>
      </c>
      <c r="B8110" s="3" t="str">
        <f>IFERROR(__xludf.DUMMYFUNCTION("""COMPUTED_VALUE"""),"dnflx")</f>
        <v>dnflx</v>
      </c>
      <c r="C8110" s="3" t="str">
        <f>IFERROR(__xludf.DUMMYFUNCTION("""COMPUTED_VALUE"""),"Netflix Tokenized Stock Defichain")</f>
        <v>Netflix Tokenized Stock Defichain</v>
      </c>
    </row>
    <row r="8111">
      <c r="A8111" s="3" t="str">
        <f>IFERROR(__xludf.DUMMYFUNCTION("""COMPUTED_VALUE"""),"nether")</f>
        <v>nether</v>
      </c>
      <c r="B8111" s="3" t="str">
        <f>IFERROR(__xludf.DUMMYFUNCTION("""COMPUTED_VALUE"""),"ntr")</f>
        <v>ntr</v>
      </c>
      <c r="C8111" s="3" t="str">
        <f>IFERROR(__xludf.DUMMYFUNCTION("""COMPUTED_VALUE"""),"Nether")</f>
        <v>Nether</v>
      </c>
    </row>
    <row r="8112">
      <c r="A8112" s="3" t="str">
        <f>IFERROR(__xludf.DUMMYFUNCTION("""COMPUTED_VALUE"""),"netkoin")</f>
        <v>netkoin</v>
      </c>
      <c r="B8112" s="3" t="str">
        <f>IFERROR(__xludf.DUMMYFUNCTION("""COMPUTED_VALUE"""),"ntk")</f>
        <v>ntk</v>
      </c>
      <c r="C8112" s="3" t="str">
        <f>IFERROR(__xludf.DUMMYFUNCTION("""COMPUTED_VALUE"""),"Netkoin")</f>
        <v>Netkoin</v>
      </c>
    </row>
    <row r="8113">
      <c r="A8113" s="3" t="str">
        <f>IFERROR(__xludf.DUMMYFUNCTION("""COMPUTED_VALUE"""),"netm")</f>
        <v>netm</v>
      </c>
      <c r="B8113" s="3" t="str">
        <f>IFERROR(__xludf.DUMMYFUNCTION("""COMPUTED_VALUE"""),"ntm")</f>
        <v>ntm</v>
      </c>
      <c r="C8113" s="3" t="str">
        <f>IFERROR(__xludf.DUMMYFUNCTION("""COMPUTED_VALUE"""),"Netm")</f>
        <v>Netm</v>
      </c>
    </row>
    <row r="8114">
      <c r="A8114" s="3" t="str">
        <f>IFERROR(__xludf.DUMMYFUNCTION("""COMPUTED_VALUE"""),"neton")</f>
        <v>neton</v>
      </c>
      <c r="B8114" s="3" t="str">
        <f>IFERROR(__xludf.DUMMYFUNCTION("""COMPUTED_VALUE"""),"nto")</f>
        <v>nto</v>
      </c>
      <c r="C8114" s="3" t="str">
        <f>IFERROR(__xludf.DUMMYFUNCTION("""COMPUTED_VALUE"""),"Neton")</f>
        <v>Neton</v>
      </c>
    </row>
    <row r="8115">
      <c r="A8115" s="3" t="str">
        <f>IFERROR(__xludf.DUMMYFUNCTION("""COMPUTED_VALUE"""),"netswap")</f>
        <v>netswap</v>
      </c>
      <c r="B8115" s="3" t="str">
        <f>IFERROR(__xludf.DUMMYFUNCTION("""COMPUTED_VALUE"""),"nett")</f>
        <v>nett</v>
      </c>
      <c r="C8115" s="3" t="str">
        <f>IFERROR(__xludf.DUMMYFUNCTION("""COMPUTED_VALUE"""),"Netswap")</f>
        <v>Netswap</v>
      </c>
    </row>
    <row r="8116">
      <c r="A8116" s="3" t="str">
        <f>IFERROR(__xludf.DUMMYFUNCTION("""COMPUTED_VALUE"""),"netvrk")</f>
        <v>netvrk</v>
      </c>
      <c r="B8116" s="3" t="str">
        <f>IFERROR(__xludf.DUMMYFUNCTION("""COMPUTED_VALUE"""),"ntvrk")</f>
        <v>ntvrk</v>
      </c>
      <c r="C8116" s="3" t="str">
        <f>IFERROR(__xludf.DUMMYFUNCTION("""COMPUTED_VALUE"""),"Netvrk")</f>
        <v>Netvrk</v>
      </c>
    </row>
    <row r="8117">
      <c r="A8117" s="3" t="str">
        <f>IFERROR(__xludf.DUMMYFUNCTION("""COMPUTED_VALUE"""),"netzero")</f>
        <v>netzero</v>
      </c>
      <c r="B8117" s="3" t="str">
        <f>IFERROR(__xludf.DUMMYFUNCTION("""COMPUTED_VALUE"""),"nzero")</f>
        <v>nzero</v>
      </c>
      <c r="C8117" s="3" t="str">
        <f>IFERROR(__xludf.DUMMYFUNCTION("""COMPUTED_VALUE"""),"NETZERO")</f>
        <v>NETZERO</v>
      </c>
    </row>
    <row r="8118">
      <c r="A8118" s="3" t="str">
        <f>IFERROR(__xludf.DUMMYFUNCTION("""COMPUTED_VALUE"""),"neumark")</f>
        <v>neumark</v>
      </c>
      <c r="B8118" s="3" t="str">
        <f>IFERROR(__xludf.DUMMYFUNCTION("""COMPUTED_VALUE"""),"neu")</f>
        <v>neu</v>
      </c>
      <c r="C8118" s="3" t="str">
        <f>IFERROR(__xludf.DUMMYFUNCTION("""COMPUTED_VALUE"""),"Neumark")</f>
        <v>Neumark</v>
      </c>
    </row>
    <row r="8119">
      <c r="A8119" s="3" t="str">
        <f>IFERROR(__xludf.DUMMYFUNCTION("""COMPUTED_VALUE"""),"neuralink")</f>
        <v>neuralink</v>
      </c>
      <c r="B8119" s="3" t="str">
        <f>IFERROR(__xludf.DUMMYFUNCTION("""COMPUTED_VALUE"""),"neuralink")</f>
        <v>neuralink</v>
      </c>
      <c r="C8119" s="3" t="str">
        <f>IFERROR(__xludf.DUMMYFUNCTION("""COMPUTED_VALUE"""),"Neuralink")</f>
        <v>Neuralink</v>
      </c>
    </row>
    <row r="8120">
      <c r="A8120" s="3" t="str">
        <f>IFERROR(__xludf.DUMMYFUNCTION("""COMPUTED_VALUE"""),"neural-protocol")</f>
        <v>neural-protocol</v>
      </c>
      <c r="B8120" s="3" t="str">
        <f>IFERROR(__xludf.DUMMYFUNCTION("""COMPUTED_VALUE"""),"nrp")</f>
        <v>nrp</v>
      </c>
      <c r="C8120" s="3" t="str">
        <f>IFERROR(__xludf.DUMMYFUNCTION("""COMPUTED_VALUE"""),"Neural Protocol")</f>
        <v>Neural Protocol</v>
      </c>
    </row>
    <row r="8121">
      <c r="A8121" s="3" t="str">
        <f>IFERROR(__xludf.DUMMYFUNCTION("""COMPUTED_VALUE"""),"neurochain")</f>
        <v>neurochain</v>
      </c>
      <c r="B8121" s="3" t="str">
        <f>IFERROR(__xludf.DUMMYFUNCTION("""COMPUTED_VALUE"""),"ncc")</f>
        <v>ncc</v>
      </c>
      <c r="C8121" s="3" t="str">
        <f>IFERROR(__xludf.DUMMYFUNCTION("""COMPUTED_VALUE"""),"NeuroChain")</f>
        <v>NeuroChain</v>
      </c>
    </row>
    <row r="8122">
      <c r="A8122" s="3" t="str">
        <f>IFERROR(__xludf.DUMMYFUNCTION("""COMPUTED_VALUE"""),"neuron-chain")</f>
        <v>neuron-chain</v>
      </c>
      <c r="B8122" s="3" t="str">
        <f>IFERROR(__xludf.DUMMYFUNCTION("""COMPUTED_VALUE"""),"neuron")</f>
        <v>neuron</v>
      </c>
      <c r="C8122" s="3" t="str">
        <f>IFERROR(__xludf.DUMMYFUNCTION("""COMPUTED_VALUE"""),"Neuron Chain")</f>
        <v>Neuron Chain</v>
      </c>
    </row>
    <row r="8123">
      <c r="A8123" s="3" t="str">
        <f>IFERROR(__xludf.DUMMYFUNCTION("""COMPUTED_VALUE"""),"neurotoken")</f>
        <v>neurotoken</v>
      </c>
      <c r="B8123" s="3" t="str">
        <f>IFERROR(__xludf.DUMMYFUNCTION("""COMPUTED_VALUE"""),"ntk")</f>
        <v>ntk</v>
      </c>
      <c r="C8123" s="3" t="str">
        <f>IFERROR(__xludf.DUMMYFUNCTION("""COMPUTED_VALUE"""),"Neuro NTK")</f>
        <v>Neuro NTK</v>
      </c>
    </row>
    <row r="8124">
      <c r="A8124" s="3" t="str">
        <f>IFERROR(__xludf.DUMMYFUNCTION("""COMPUTED_VALUE"""),"neutrino")</f>
        <v>neutrino</v>
      </c>
      <c r="B8124" s="3" t="str">
        <f>IFERROR(__xludf.DUMMYFUNCTION("""COMPUTED_VALUE"""),"usdn")</f>
        <v>usdn</v>
      </c>
      <c r="C8124" s="3" t="str">
        <f>IFERROR(__xludf.DUMMYFUNCTION("""COMPUTED_VALUE"""),"Neutrino USD")</f>
        <v>Neutrino USD</v>
      </c>
    </row>
    <row r="8125">
      <c r="A8125" s="3" t="str">
        <f>IFERROR(__xludf.DUMMYFUNCTION("""COMPUTED_VALUE"""),"neutrino-system-base-token")</f>
        <v>neutrino-system-base-token</v>
      </c>
      <c r="B8125" s="3" t="str">
        <f>IFERROR(__xludf.DUMMYFUNCTION("""COMPUTED_VALUE"""),"nsbt")</f>
        <v>nsbt</v>
      </c>
      <c r="C8125" s="3" t="str">
        <f>IFERROR(__xludf.DUMMYFUNCTION("""COMPUTED_VALUE"""),"Neutrino System Base")</f>
        <v>Neutrino System Base</v>
      </c>
    </row>
    <row r="8126">
      <c r="A8126" s="3" t="str">
        <f>IFERROR(__xludf.DUMMYFUNCTION("""COMPUTED_VALUE"""),"neutron")</f>
        <v>neutron</v>
      </c>
      <c r="B8126" s="3" t="str">
        <f>IFERROR(__xludf.DUMMYFUNCTION("""COMPUTED_VALUE"""),"ntrn")</f>
        <v>ntrn</v>
      </c>
      <c r="C8126" s="3" t="str">
        <f>IFERROR(__xludf.DUMMYFUNCTION("""COMPUTED_VALUE"""),"Neutron")</f>
        <v>Neutron</v>
      </c>
    </row>
    <row r="8127">
      <c r="A8127" s="3" t="str">
        <f>IFERROR(__xludf.DUMMYFUNCTION("""COMPUTED_VALUE"""),"neutron-1")</f>
        <v>neutron-1</v>
      </c>
      <c r="B8127" s="3" t="str">
        <f>IFERROR(__xludf.DUMMYFUNCTION("""COMPUTED_VALUE"""),"ntrn")</f>
        <v>ntrn</v>
      </c>
      <c r="C8127" s="3" t="str">
        <f>IFERROR(__xludf.DUMMYFUNCTION("""COMPUTED_VALUE"""),"Neutron Coin")</f>
        <v>Neutron Coin</v>
      </c>
    </row>
    <row r="8128">
      <c r="A8128" s="3" t="str">
        <f>IFERROR(__xludf.DUMMYFUNCTION("""COMPUTED_VALUE"""),"neuy")</f>
        <v>neuy</v>
      </c>
      <c r="B8128" s="3" t="str">
        <f>IFERROR(__xludf.DUMMYFUNCTION("""COMPUTED_VALUE"""),"neuy")</f>
        <v>neuy</v>
      </c>
      <c r="C8128" s="3" t="str">
        <f>IFERROR(__xludf.DUMMYFUNCTION("""COMPUTED_VALUE"""),"NEUY")</f>
        <v>NEUY</v>
      </c>
    </row>
    <row r="8129">
      <c r="A8129" s="3" t="str">
        <f>IFERROR(__xludf.DUMMYFUNCTION("""COMPUTED_VALUE"""),"newb-farm")</f>
        <v>newb-farm</v>
      </c>
      <c r="B8129" s="3" t="str">
        <f>IFERROR(__xludf.DUMMYFUNCTION("""COMPUTED_VALUE"""),"newb")</f>
        <v>newb</v>
      </c>
      <c r="C8129" s="3" t="str">
        <f>IFERROR(__xludf.DUMMYFUNCTION("""COMPUTED_VALUE"""),"NewB.Farm")</f>
        <v>NewB.Farm</v>
      </c>
    </row>
    <row r="8130">
      <c r="A8130" s="3" t="str">
        <f>IFERROR(__xludf.DUMMYFUNCTION("""COMPUTED_VALUE"""),"new-bitshares")</f>
        <v>new-bitshares</v>
      </c>
      <c r="B8130" s="3" t="str">
        <f>IFERROR(__xludf.DUMMYFUNCTION("""COMPUTED_VALUE"""),"nbs")</f>
        <v>nbs</v>
      </c>
      <c r="C8130" s="3" t="str">
        <f>IFERROR(__xludf.DUMMYFUNCTION("""COMPUTED_VALUE"""),"New BitShares")</f>
        <v>New BitShares</v>
      </c>
    </row>
    <row r="8131">
      <c r="A8131" s="3" t="str">
        <f>IFERROR(__xludf.DUMMYFUNCTION("""COMPUTED_VALUE"""),"newdex-token")</f>
        <v>newdex-token</v>
      </c>
      <c r="B8131" s="3" t="str">
        <f>IFERROR(__xludf.DUMMYFUNCTION("""COMPUTED_VALUE"""),"dex")</f>
        <v>dex</v>
      </c>
      <c r="C8131" s="3" t="str">
        <f>IFERROR(__xludf.DUMMYFUNCTION("""COMPUTED_VALUE"""),"Newdex")</f>
        <v>Newdex</v>
      </c>
    </row>
    <row r="8132">
      <c r="A8132" s="3" t="str">
        <f>IFERROR(__xludf.DUMMYFUNCTION("""COMPUTED_VALUE"""),"new-earth-order-money")</f>
        <v>new-earth-order-money</v>
      </c>
      <c r="B8132" s="3" t="str">
        <f>IFERROR(__xludf.DUMMYFUNCTION("""COMPUTED_VALUE"""),"neom")</f>
        <v>neom</v>
      </c>
      <c r="C8132" s="3" t="str">
        <f>IFERROR(__xludf.DUMMYFUNCTION("""COMPUTED_VALUE"""),"New Earth Order Money")</f>
        <v>New Earth Order Money</v>
      </c>
    </row>
    <row r="8133">
      <c r="A8133" s="3" t="str">
        <f>IFERROR(__xludf.DUMMYFUNCTION("""COMPUTED_VALUE"""),"new-frontier-presents")</f>
        <v>new-frontier-presents</v>
      </c>
      <c r="B8133" s="3" t="str">
        <f>IFERROR(__xludf.DUMMYFUNCTION("""COMPUTED_VALUE"""),"nfp")</f>
        <v>nfp</v>
      </c>
      <c r="C8133" s="3" t="str">
        <f>IFERROR(__xludf.DUMMYFUNCTION("""COMPUTED_VALUE"""),"New Frontier Presents")</f>
        <v>New Frontier Presents</v>
      </c>
    </row>
    <row r="8134">
      <c r="A8134" s="3" t="str">
        <f>IFERROR(__xludf.DUMMYFUNCTION("""COMPUTED_VALUE"""),"newinu")</f>
        <v>newinu</v>
      </c>
      <c r="B8134" s="3" t="str">
        <f>IFERROR(__xludf.DUMMYFUNCTION("""COMPUTED_VALUE"""),"newinu")</f>
        <v>newinu</v>
      </c>
      <c r="C8134" s="3" t="str">
        <f>IFERROR(__xludf.DUMMYFUNCTION("""COMPUTED_VALUE"""),"Newinu")</f>
        <v>Newinu</v>
      </c>
    </row>
    <row r="8135">
      <c r="A8135" s="3" t="str">
        <f>IFERROR(__xludf.DUMMYFUNCTION("""COMPUTED_VALUE"""),"new-landbox")</f>
        <v>new-landbox</v>
      </c>
      <c r="B8135" s="3" t="str">
        <f>IFERROR(__xludf.DUMMYFUNCTION("""COMPUTED_VALUE"""),"land")</f>
        <v>land</v>
      </c>
      <c r="C8135" s="3" t="str">
        <f>IFERROR(__xludf.DUMMYFUNCTION("""COMPUTED_VALUE"""),"LandBox")</f>
        <v>LandBox</v>
      </c>
    </row>
    <row r="8136">
      <c r="A8136" s="3" t="str">
        <f>IFERROR(__xludf.DUMMYFUNCTION("""COMPUTED_VALUE"""),"newo-coin")</f>
        <v>newo-coin</v>
      </c>
      <c r="B8136" s="3" t="str">
        <f>IFERROR(__xludf.DUMMYFUNCTION("""COMPUTED_VALUE"""),"newo")</f>
        <v>newo</v>
      </c>
      <c r="C8136" s="3" t="str">
        <f>IFERROR(__xludf.DUMMYFUNCTION("""COMPUTED_VALUE"""),"NEWO Coin")</f>
        <v>NEWO Coin</v>
      </c>
    </row>
    <row r="8137">
      <c r="A8137" s="3" t="str">
        <f>IFERROR(__xludf.DUMMYFUNCTION("""COMPUTED_VALUE"""),"new-order")</f>
        <v>new-order</v>
      </c>
      <c r="B8137" s="3" t="str">
        <f>IFERROR(__xludf.DUMMYFUNCTION("""COMPUTED_VALUE"""),"newo")</f>
        <v>newo</v>
      </c>
      <c r="C8137" s="3" t="str">
        <f>IFERROR(__xludf.DUMMYFUNCTION("""COMPUTED_VALUE"""),"New Order")</f>
        <v>New Order</v>
      </c>
    </row>
    <row r="8138">
      <c r="A8138" s="3" t="str">
        <f>IFERROR(__xludf.DUMMYFUNCTION("""COMPUTED_VALUE"""),"new-paradigm-assets-solution")</f>
        <v>new-paradigm-assets-solution</v>
      </c>
      <c r="B8138" s="3" t="str">
        <f>IFERROR(__xludf.DUMMYFUNCTION("""COMPUTED_VALUE"""),"npas")</f>
        <v>npas</v>
      </c>
      <c r="C8138" s="3" t="str">
        <f>IFERROR(__xludf.DUMMYFUNCTION("""COMPUTED_VALUE"""),"New Paradigm Assets Solution")</f>
        <v>New Paradigm Assets Solution</v>
      </c>
    </row>
    <row r="8139">
      <c r="A8139" s="3" t="str">
        <f>IFERROR(__xludf.DUMMYFUNCTION("""COMPUTED_VALUE"""),"new-power-coin")</f>
        <v>new-power-coin</v>
      </c>
      <c r="B8139" s="3" t="str">
        <f>IFERROR(__xludf.DUMMYFUNCTION("""COMPUTED_VALUE"""),"npw")</f>
        <v>npw</v>
      </c>
      <c r="C8139" s="3" t="str">
        <f>IFERROR(__xludf.DUMMYFUNCTION("""COMPUTED_VALUE"""),"New Power Coin")</f>
        <v>New Power Coin</v>
      </c>
    </row>
    <row r="8140">
      <c r="A8140" s="3" t="str">
        <f>IFERROR(__xludf.DUMMYFUNCTION("""COMPUTED_VALUE"""),"newscrypto-coin")</f>
        <v>newscrypto-coin</v>
      </c>
      <c r="B8140" s="3" t="str">
        <f>IFERROR(__xludf.DUMMYFUNCTION("""COMPUTED_VALUE"""),"nwc")</f>
        <v>nwc</v>
      </c>
      <c r="C8140" s="3" t="str">
        <f>IFERROR(__xludf.DUMMYFUNCTION("""COMPUTED_VALUE"""),"Newscrypto Coin")</f>
        <v>Newscrypto Coin</v>
      </c>
    </row>
    <row r="8141">
      <c r="A8141" s="3" t="str">
        <f>IFERROR(__xludf.DUMMYFUNCTION("""COMPUTED_VALUE"""),"newsolution")</f>
        <v>newsolution</v>
      </c>
      <c r="B8141" s="3" t="str">
        <f>IFERROR(__xludf.DUMMYFUNCTION("""COMPUTED_VALUE"""),"nst")</f>
        <v>nst</v>
      </c>
      <c r="C8141" s="3" t="str">
        <f>IFERROR(__xludf.DUMMYFUNCTION("""COMPUTED_VALUE"""),"Newsolution")</f>
        <v>Newsolution</v>
      </c>
    </row>
    <row r="8142">
      <c r="A8142" s="3" t="str">
        <f>IFERROR(__xludf.DUMMYFUNCTION("""COMPUTED_VALUE"""),"newsolution-2-0")</f>
        <v>newsolution-2-0</v>
      </c>
      <c r="B8142" s="3" t="str">
        <f>IFERROR(__xludf.DUMMYFUNCTION("""COMPUTED_VALUE"""),"nste")</f>
        <v>nste</v>
      </c>
      <c r="C8142" s="3" t="str">
        <f>IFERROR(__xludf.DUMMYFUNCTION("""COMPUTED_VALUE"""),"NewSolution 2.0")</f>
        <v>NewSolution 2.0</v>
      </c>
    </row>
    <row r="8143">
      <c r="A8143" s="3" t="str">
        <f>IFERROR(__xludf.DUMMYFUNCTION("""COMPUTED_VALUE"""),"newton-project")</f>
        <v>newton-project</v>
      </c>
      <c r="B8143" s="3" t="str">
        <f>IFERROR(__xludf.DUMMYFUNCTION("""COMPUTED_VALUE"""),"new")</f>
        <v>new</v>
      </c>
      <c r="C8143" s="3" t="str">
        <f>IFERROR(__xludf.DUMMYFUNCTION("""COMPUTED_VALUE"""),"Newton Project")</f>
        <v>Newton Project</v>
      </c>
    </row>
    <row r="8144">
      <c r="A8144" s="3" t="str">
        <f>IFERROR(__xludf.DUMMYFUNCTION("""COMPUTED_VALUE"""),"newtowngaming")</f>
        <v>newtowngaming</v>
      </c>
      <c r="B8144" s="3" t="str">
        <f>IFERROR(__xludf.DUMMYFUNCTION("""COMPUTED_VALUE"""),"ntg")</f>
        <v>ntg</v>
      </c>
      <c r="C8144" s="3" t="str">
        <f>IFERROR(__xludf.DUMMYFUNCTION("""COMPUTED_VALUE"""),"NEWTOWNGAMING")</f>
        <v>NEWTOWNGAMING</v>
      </c>
    </row>
    <row r="8145">
      <c r="A8145" s="3" t="str">
        <f>IFERROR(__xludf.DUMMYFUNCTION("""COMPUTED_VALUE"""),"new-world-order")</f>
        <v>new-world-order</v>
      </c>
      <c r="B8145" s="3" t="str">
        <f>IFERROR(__xludf.DUMMYFUNCTION("""COMPUTED_VALUE"""),"state")</f>
        <v>state</v>
      </c>
      <c r="C8145" s="3" t="str">
        <f>IFERROR(__xludf.DUMMYFUNCTION("""COMPUTED_VALUE"""),"New World Order")</f>
        <v>New World Order</v>
      </c>
    </row>
    <row r="8146">
      <c r="A8146" s="3" t="str">
        <f>IFERROR(__xludf.DUMMYFUNCTION("""COMPUTED_VALUE"""),"new-year-resolution")</f>
        <v>new-year-resolution</v>
      </c>
      <c r="B8146" s="3" t="str">
        <f>IFERROR(__xludf.DUMMYFUNCTION("""COMPUTED_VALUE"""),"nyr")</f>
        <v>nyr</v>
      </c>
      <c r="C8146" s="3" t="str">
        <f>IFERROR(__xludf.DUMMYFUNCTION("""COMPUTED_VALUE"""),"New Year Resolution")</f>
        <v>New Year Resolution</v>
      </c>
    </row>
    <row r="8147">
      <c r="A8147" s="3" t="str">
        <f>IFERROR(__xludf.DUMMYFUNCTION("""COMPUTED_VALUE"""),"new-year-token")</f>
        <v>new-year-token</v>
      </c>
      <c r="B8147" s="3" t="str">
        <f>IFERROR(__xludf.DUMMYFUNCTION("""COMPUTED_VALUE"""),"nyt")</f>
        <v>nyt</v>
      </c>
      <c r="C8147" s="3" t="str">
        <f>IFERROR(__xludf.DUMMYFUNCTION("""COMPUTED_VALUE"""),"New Year")</f>
        <v>New Year</v>
      </c>
    </row>
    <row r="8148">
      <c r="A8148" s="3" t="str">
        <f>IFERROR(__xludf.DUMMYFUNCTION("""COMPUTED_VALUE"""),"newyorkcoin")</f>
        <v>newyorkcoin</v>
      </c>
      <c r="B8148" s="3" t="str">
        <f>IFERROR(__xludf.DUMMYFUNCTION("""COMPUTED_VALUE"""),"nyc")</f>
        <v>nyc</v>
      </c>
      <c r="C8148" s="3" t="str">
        <f>IFERROR(__xludf.DUMMYFUNCTION("""COMPUTED_VALUE"""),"NewYorkCoin")</f>
        <v>NewYorkCoin</v>
      </c>
    </row>
    <row r="8149">
      <c r="A8149" s="3" t="str">
        <f>IFERROR(__xludf.DUMMYFUNCTION("""COMPUTED_VALUE"""),"newyork-exchange")</f>
        <v>newyork-exchange</v>
      </c>
      <c r="B8149" s="3" t="str">
        <f>IFERROR(__xludf.DUMMYFUNCTION("""COMPUTED_VALUE"""),"nye")</f>
        <v>nye</v>
      </c>
      <c r="C8149" s="3" t="str">
        <f>IFERROR(__xludf.DUMMYFUNCTION("""COMPUTED_VALUE"""),"NewYork Exchange")</f>
        <v>NewYork Exchange</v>
      </c>
    </row>
    <row r="8150">
      <c r="A8150" s="3" t="str">
        <f>IFERROR(__xludf.DUMMYFUNCTION("""COMPUTED_VALUE"""),"nexa")</f>
        <v>nexa</v>
      </c>
      <c r="B8150" s="3" t="str">
        <f>IFERROR(__xludf.DUMMYFUNCTION("""COMPUTED_VALUE"""),"nxg")</f>
        <v>nxg</v>
      </c>
      <c r="C8150" s="3" t="str">
        <f>IFERROR(__xludf.DUMMYFUNCTION("""COMPUTED_VALUE"""),"Nexa")</f>
        <v>Nexa</v>
      </c>
    </row>
    <row r="8151">
      <c r="A8151" s="3" t="str">
        <f>IFERROR(__xludf.DUMMYFUNCTION("""COMPUTED_VALUE"""),"nexalt")</f>
        <v>nexalt</v>
      </c>
      <c r="B8151" s="3" t="str">
        <f>IFERROR(__xludf.DUMMYFUNCTION("""COMPUTED_VALUE"""),"xlt")</f>
        <v>xlt</v>
      </c>
      <c r="C8151" s="3" t="str">
        <f>IFERROR(__xludf.DUMMYFUNCTION("""COMPUTED_VALUE"""),"Nexalt")</f>
        <v>Nexalt</v>
      </c>
    </row>
    <row r="8152">
      <c r="A8152" s="3" t="str">
        <f>IFERROR(__xludf.DUMMYFUNCTION("""COMPUTED_VALUE"""),"nexdax")</f>
        <v>nexdax</v>
      </c>
      <c r="B8152" s="3" t="str">
        <f>IFERROR(__xludf.DUMMYFUNCTION("""COMPUTED_VALUE"""),"nt")</f>
        <v>nt</v>
      </c>
      <c r="C8152" s="3" t="str">
        <f>IFERROR(__xludf.DUMMYFUNCTION("""COMPUTED_VALUE"""),"NexDAX")</f>
        <v>NexDAX</v>
      </c>
    </row>
    <row r="8153">
      <c r="A8153" s="3" t="str">
        <f>IFERROR(__xludf.DUMMYFUNCTION("""COMPUTED_VALUE"""),"nexo")</f>
        <v>nexo</v>
      </c>
      <c r="B8153" s="3" t="str">
        <f>IFERROR(__xludf.DUMMYFUNCTION("""COMPUTED_VALUE"""),"nexo")</f>
        <v>nexo</v>
      </c>
      <c r="C8153" s="3" t="str">
        <f>IFERROR(__xludf.DUMMYFUNCTION("""COMPUTED_VALUE"""),"NEXO")</f>
        <v>NEXO</v>
      </c>
    </row>
    <row r="8154">
      <c r="A8154" s="3" t="str">
        <f>IFERROR(__xludf.DUMMYFUNCTION("""COMPUTED_VALUE"""),"nextdao")</f>
        <v>nextdao</v>
      </c>
      <c r="B8154" s="3" t="str">
        <f>IFERROR(__xludf.DUMMYFUNCTION("""COMPUTED_VALUE"""),"nax")</f>
        <v>nax</v>
      </c>
      <c r="C8154" s="3" t="str">
        <f>IFERROR(__xludf.DUMMYFUNCTION("""COMPUTED_VALUE"""),"NextDAO")</f>
        <v>NextDAO</v>
      </c>
    </row>
    <row r="8155">
      <c r="A8155" s="3" t="str">
        <f>IFERROR(__xludf.DUMMYFUNCTION("""COMPUTED_VALUE"""),"next-defi-protocol")</f>
        <v>next-defi-protocol</v>
      </c>
      <c r="B8155" s="3" t="str">
        <f>IFERROR(__xludf.DUMMYFUNCTION("""COMPUTED_VALUE"""),"nxdf")</f>
        <v>nxdf</v>
      </c>
      <c r="C8155" s="3" t="str">
        <f>IFERROR(__xludf.DUMMYFUNCTION("""COMPUTED_VALUE"""),"NeXt-DeFi Protocol")</f>
        <v>NeXt-DeFi Protocol</v>
      </c>
    </row>
    <row r="8156">
      <c r="A8156" s="3" t="str">
        <f>IFERROR(__xludf.DUMMYFUNCTION("""COMPUTED_VALUE"""),"next-earth")</f>
        <v>next-earth</v>
      </c>
      <c r="B8156" s="3" t="str">
        <f>IFERROR(__xludf.DUMMYFUNCTION("""COMPUTED_VALUE"""),"nxtt")</f>
        <v>nxtt</v>
      </c>
      <c r="C8156" s="3" t="str">
        <f>IFERROR(__xludf.DUMMYFUNCTION("""COMPUTED_VALUE"""),"Next Earth")</f>
        <v>Next Earth</v>
      </c>
    </row>
    <row r="8157">
      <c r="A8157" s="3" t="str">
        <f>IFERROR(__xludf.DUMMYFUNCTION("""COMPUTED_VALUE"""),"nextech-network")</f>
        <v>nextech-network</v>
      </c>
      <c r="B8157" s="3" t="str">
        <f>IFERROR(__xludf.DUMMYFUNCTION("""COMPUTED_VALUE"""),"nx")</f>
        <v>nx</v>
      </c>
      <c r="C8157" s="3" t="str">
        <f>IFERROR(__xludf.DUMMYFUNCTION("""COMPUTED_VALUE"""),"Nxtech Network")</f>
        <v>Nxtech Network</v>
      </c>
    </row>
    <row r="8158">
      <c r="A8158" s="3" t="str">
        <f>IFERROR(__xludf.DUMMYFUNCTION("""COMPUTED_VALUE"""),"nextexchange")</f>
        <v>nextexchange</v>
      </c>
      <c r="B8158" s="3" t="str">
        <f>IFERROR(__xludf.DUMMYFUNCTION("""COMPUTED_VALUE"""),"next")</f>
        <v>next</v>
      </c>
      <c r="C8158" s="3" t="str">
        <f>IFERROR(__xludf.DUMMYFUNCTION("""COMPUTED_VALUE"""),"NEXT")</f>
        <v>NEXT</v>
      </c>
    </row>
    <row r="8159">
      <c r="A8159" s="3" t="str">
        <f>IFERROR(__xludf.DUMMYFUNCTION("""COMPUTED_VALUE"""),"next-level")</f>
        <v>next-level</v>
      </c>
      <c r="B8159" s="3" t="str">
        <f>IFERROR(__xludf.DUMMYFUNCTION("""COMPUTED_VALUE"""),"nxl")</f>
        <v>nxl</v>
      </c>
      <c r="C8159" s="3" t="str">
        <f>IFERROR(__xludf.DUMMYFUNCTION("""COMPUTED_VALUE"""),"Next Level")</f>
        <v>Next Level</v>
      </c>
    </row>
    <row r="8160">
      <c r="A8160" s="3" t="str">
        <f>IFERROR(__xludf.DUMMYFUNCTION("""COMPUTED_VALUE"""),"next-token")</f>
        <v>next-token</v>
      </c>
      <c r="B8160" s="3" t="str">
        <f>IFERROR(__xludf.DUMMYFUNCTION("""COMPUTED_VALUE"""),"nxt")</f>
        <v>nxt</v>
      </c>
      <c r="C8160" s="3" t="str">
        <f>IFERROR(__xludf.DUMMYFUNCTION("""COMPUTED_VALUE"""),"Next NXT")</f>
        <v>Next NXT</v>
      </c>
    </row>
    <row r="8161">
      <c r="A8161" s="3" t="str">
        <f>IFERROR(__xludf.DUMMYFUNCTION("""COMPUTED_VALUE"""),"nextype-finance")</f>
        <v>nextype-finance</v>
      </c>
      <c r="B8161" s="3" t="str">
        <f>IFERROR(__xludf.DUMMYFUNCTION("""COMPUTED_VALUE"""),"nt")</f>
        <v>nt</v>
      </c>
      <c r="C8161" s="3" t="str">
        <f>IFERROR(__xludf.DUMMYFUNCTION("""COMPUTED_VALUE"""),"NEXTYPE Finance")</f>
        <v>NEXTYPE Finance</v>
      </c>
    </row>
    <row r="8162">
      <c r="A8162" s="3" t="str">
        <f>IFERROR(__xludf.DUMMYFUNCTION("""COMPUTED_VALUE"""),"nexum")</f>
        <v>nexum</v>
      </c>
      <c r="B8162" s="3" t="str">
        <f>IFERROR(__xludf.DUMMYFUNCTION("""COMPUTED_VALUE"""),"nexm")</f>
        <v>nexm</v>
      </c>
      <c r="C8162" s="3" t="str">
        <f>IFERROR(__xludf.DUMMYFUNCTION("""COMPUTED_VALUE"""),"Nexum")</f>
        <v>Nexum</v>
      </c>
    </row>
    <row r="8163">
      <c r="A8163" s="3" t="str">
        <f>IFERROR(__xludf.DUMMYFUNCTION("""COMPUTED_VALUE"""),"nexus")</f>
        <v>nexus</v>
      </c>
      <c r="B8163" s="3" t="str">
        <f>IFERROR(__xludf.DUMMYFUNCTION("""COMPUTED_VALUE"""),"nxs")</f>
        <v>nxs</v>
      </c>
      <c r="C8163" s="3" t="str">
        <f>IFERROR(__xludf.DUMMYFUNCTION("""COMPUTED_VALUE"""),"Nexus")</f>
        <v>Nexus</v>
      </c>
    </row>
    <row r="8164">
      <c r="A8164" s="3" t="str">
        <f>IFERROR(__xludf.DUMMYFUNCTION("""COMPUTED_VALUE"""),"nexus-asa")</f>
        <v>nexus-asa</v>
      </c>
      <c r="B8164" s="3" t="str">
        <f>IFERROR(__xludf.DUMMYFUNCTION("""COMPUTED_VALUE"""),"gp")</f>
        <v>gp</v>
      </c>
      <c r="C8164" s="3" t="str">
        <f>IFERROR(__xludf.DUMMYFUNCTION("""COMPUTED_VALUE"""),"Nexus ASA")</f>
        <v>Nexus ASA</v>
      </c>
    </row>
    <row r="8165">
      <c r="A8165" s="3" t="str">
        <f>IFERROR(__xludf.DUMMYFUNCTION("""COMPUTED_VALUE"""),"nexus-beth-token-share-representation")</f>
        <v>nexus-beth-token-share-representation</v>
      </c>
      <c r="B8165" s="3" t="str">
        <f>IFERROR(__xludf.DUMMYFUNCTION("""COMPUTED_VALUE"""),"neth")</f>
        <v>neth</v>
      </c>
      <c r="C8165" s="3" t="str">
        <f>IFERROR(__xludf.DUMMYFUNCTION("""COMPUTED_VALUE"""),"Nexus bETH token share representation")</f>
        <v>Nexus bETH token share representation</v>
      </c>
    </row>
    <row r="8166">
      <c r="A8166" s="3" t="str">
        <f>IFERROR(__xludf.DUMMYFUNCTION("""COMPUTED_VALUE"""),"nexus-bluna-token-share-representation")</f>
        <v>nexus-bluna-token-share-representation</v>
      </c>
      <c r="B8166" s="3" t="str">
        <f>IFERROR(__xludf.DUMMYFUNCTION("""COMPUTED_VALUE"""),"nluna")</f>
        <v>nluna</v>
      </c>
      <c r="C8166" s="3" t="str">
        <f>IFERROR(__xludf.DUMMYFUNCTION("""COMPUTED_VALUE"""),"Nexus bLuna token share representation")</f>
        <v>Nexus bLuna token share representation</v>
      </c>
    </row>
    <row r="8167">
      <c r="A8167" s="3" t="str">
        <f>IFERROR(__xludf.DUMMYFUNCTION("""COMPUTED_VALUE"""),"nexus-dubai")</f>
        <v>nexus-dubai</v>
      </c>
      <c r="B8167" s="3" t="str">
        <f>IFERROR(__xludf.DUMMYFUNCTION("""COMPUTED_VALUE"""),"nxd")</f>
        <v>nxd</v>
      </c>
      <c r="C8167" s="3" t="str">
        <f>IFERROR(__xludf.DUMMYFUNCTION("""COMPUTED_VALUE"""),"Nexus Dubai")</f>
        <v>Nexus Dubai</v>
      </c>
    </row>
    <row r="8168">
      <c r="A8168" s="3" t="str">
        <f>IFERROR(__xludf.DUMMYFUNCTION("""COMPUTED_VALUE"""),"nexus-governance-token")</f>
        <v>nexus-governance-token</v>
      </c>
      <c r="B8168" s="3" t="str">
        <f>IFERROR(__xludf.DUMMYFUNCTION("""COMPUTED_VALUE"""),"psi")</f>
        <v>psi</v>
      </c>
      <c r="C8168" s="3" t="str">
        <f>IFERROR(__xludf.DUMMYFUNCTION("""COMPUTED_VALUE"""),"Nexus Protocol")</f>
        <v>Nexus Protocol</v>
      </c>
    </row>
    <row r="8169">
      <c r="A8169" s="3" t="str">
        <f>IFERROR(__xludf.DUMMYFUNCTION("""COMPUTED_VALUE"""),"nexus-token")</f>
        <v>nexus-token</v>
      </c>
      <c r="B8169" s="3" t="str">
        <f>IFERROR(__xludf.DUMMYFUNCTION("""COMPUTED_VALUE"""),"nexus")</f>
        <v>nexus</v>
      </c>
      <c r="C8169" s="3" t="str">
        <f>IFERROR(__xludf.DUMMYFUNCTION("""COMPUTED_VALUE"""),"Nexus Crypto Services")</f>
        <v>Nexus Crypto Services</v>
      </c>
    </row>
    <row r="8170">
      <c r="A8170" s="3" t="str">
        <f>IFERROR(__xludf.DUMMYFUNCTION("""COMPUTED_VALUE"""),"nezuko-inu")</f>
        <v>nezuko-inu</v>
      </c>
      <c r="B8170" s="3" t="str">
        <f>IFERROR(__xludf.DUMMYFUNCTION("""COMPUTED_VALUE"""),"nezuko")</f>
        <v>nezuko</v>
      </c>
      <c r="C8170" s="3" t="str">
        <f>IFERROR(__xludf.DUMMYFUNCTION("""COMPUTED_VALUE"""),"Nezuko Inu")</f>
        <v>Nezuko Inu</v>
      </c>
    </row>
    <row r="8171">
      <c r="A8171" s="3" t="str">
        <f>IFERROR(__xludf.DUMMYFUNCTION("""COMPUTED_VALUE"""),"nfans")</f>
        <v>nfans</v>
      </c>
      <c r="B8171" s="3" t="str">
        <f>IFERROR(__xludf.DUMMYFUNCTION("""COMPUTED_VALUE"""),"nfs")</f>
        <v>nfs</v>
      </c>
      <c r="C8171" s="3" t="str">
        <f>IFERROR(__xludf.DUMMYFUNCTION("""COMPUTED_VALUE"""),"Nfans")</f>
        <v>Nfans</v>
      </c>
    </row>
    <row r="8172">
      <c r="A8172" s="3" t="str">
        <f>IFERROR(__xludf.DUMMYFUNCTION("""COMPUTED_VALUE"""),"nfcore")</f>
        <v>nfcore</v>
      </c>
      <c r="B8172" s="3" t="str">
        <f>IFERROR(__xludf.DUMMYFUNCTION("""COMPUTED_VALUE"""),"nfcr")</f>
        <v>nfcr</v>
      </c>
      <c r="C8172" s="3" t="str">
        <f>IFERROR(__xludf.DUMMYFUNCTION("""COMPUTED_VALUE"""),"NFCore")</f>
        <v>NFCore</v>
      </c>
    </row>
    <row r="8173">
      <c r="A8173" s="3" t="str">
        <f>IFERROR(__xludf.DUMMYFUNCTION("""COMPUTED_VALUE"""),"nfraction")</f>
        <v>nfraction</v>
      </c>
      <c r="B8173" s="3" t="str">
        <f>IFERROR(__xludf.DUMMYFUNCTION("""COMPUTED_VALUE"""),"nfta")</f>
        <v>nfta</v>
      </c>
      <c r="C8173" s="3" t="str">
        <f>IFERROR(__xludf.DUMMYFUNCTION("""COMPUTED_VALUE"""),"NFracTion")</f>
        <v>NFracTion</v>
      </c>
    </row>
    <row r="8174">
      <c r="A8174" s="3" t="str">
        <f>IFERROR(__xludf.DUMMYFUNCTION("""COMPUTED_VALUE"""),"nft11")</f>
        <v>nft11</v>
      </c>
      <c r="B8174" s="3" t="str">
        <f>IFERROR(__xludf.DUMMYFUNCTION("""COMPUTED_VALUE"""),"nft11")</f>
        <v>nft11</v>
      </c>
      <c r="C8174" s="3" t="str">
        <f>IFERROR(__xludf.DUMMYFUNCTION("""COMPUTED_VALUE"""),"NFT11")</f>
        <v>NFT11</v>
      </c>
    </row>
    <row r="8175">
      <c r="A8175" s="3" t="str">
        <f>IFERROR(__xludf.DUMMYFUNCTION("""COMPUTED_VALUE"""),"nft2stake")</f>
        <v>nft2stake</v>
      </c>
      <c r="B8175" s="3" t="str">
        <f>IFERROR(__xludf.DUMMYFUNCTION("""COMPUTED_VALUE"""),"nft2$")</f>
        <v>nft2$</v>
      </c>
      <c r="C8175" s="3" t="str">
        <f>IFERROR(__xludf.DUMMYFUNCTION("""COMPUTED_VALUE"""),"NFT2STAKE")</f>
        <v>NFT2STAKE</v>
      </c>
    </row>
    <row r="8176">
      <c r="A8176" s="3" t="str">
        <f>IFERROR(__xludf.DUMMYFUNCTION("""COMPUTED_VALUE"""),"nft-alley")</f>
        <v>nft-alley</v>
      </c>
      <c r="B8176" s="3" t="str">
        <f>IFERROR(__xludf.DUMMYFUNCTION("""COMPUTED_VALUE"""),"alley")</f>
        <v>alley</v>
      </c>
      <c r="C8176" s="3" t="str">
        <f>IFERROR(__xludf.DUMMYFUNCTION("""COMPUTED_VALUE"""),"NFT Alley")</f>
        <v>NFT Alley</v>
      </c>
    </row>
    <row r="8177">
      <c r="A8177" s="3" t="str">
        <f>IFERROR(__xludf.DUMMYFUNCTION("""COMPUTED_VALUE"""),"nft-art-finance")</f>
        <v>nft-art-finance</v>
      </c>
      <c r="B8177" s="3" t="str">
        <f>IFERROR(__xludf.DUMMYFUNCTION("""COMPUTED_VALUE"""),"nftart")</f>
        <v>nftart</v>
      </c>
      <c r="C8177" s="3" t="str">
        <f>IFERROR(__xludf.DUMMYFUNCTION("""COMPUTED_VALUE"""),"NFT Art Finance")</f>
        <v>NFT Art Finance</v>
      </c>
    </row>
    <row r="8178">
      <c r="A8178" s="3" t="str">
        <f>IFERROR(__xludf.DUMMYFUNCTION("""COMPUTED_VALUE"""),"nftascii")</f>
        <v>nftascii</v>
      </c>
      <c r="B8178" s="3" t="str">
        <f>IFERROR(__xludf.DUMMYFUNCTION("""COMPUTED_VALUE"""),"nftascii")</f>
        <v>nftascii</v>
      </c>
      <c r="C8178" s="3" t="str">
        <f>IFERROR(__xludf.DUMMYFUNCTION("""COMPUTED_VALUE"""),"NFTASCII")</f>
        <v>NFTASCII</v>
      </c>
    </row>
    <row r="8179">
      <c r="A8179" s="3" t="str">
        <f>IFERROR(__xludf.DUMMYFUNCTION("""COMPUTED_VALUE"""),"nftb")</f>
        <v>nftb</v>
      </c>
      <c r="B8179" s="3" t="str">
        <f>IFERROR(__xludf.DUMMYFUNCTION("""COMPUTED_VALUE"""),"nftb")</f>
        <v>nftb</v>
      </c>
      <c r="C8179" s="3" t="str">
        <f>IFERROR(__xludf.DUMMYFUNCTION("""COMPUTED_VALUE"""),"NFTb")</f>
        <v>NFTb</v>
      </c>
    </row>
    <row r="8180">
      <c r="A8180" s="3" t="str">
        <f>IFERROR(__xludf.DUMMYFUNCTION("""COMPUTED_VALUE"""),"nftblackmarket")</f>
        <v>nftblackmarket</v>
      </c>
      <c r="B8180" s="3" t="str">
        <f>IFERROR(__xludf.DUMMYFUNCTION("""COMPUTED_VALUE"""),"nbm")</f>
        <v>nbm</v>
      </c>
      <c r="C8180" s="3" t="str">
        <f>IFERROR(__xludf.DUMMYFUNCTION("""COMPUTED_VALUE"""),"NFTBlackmarket")</f>
        <v>NFTBlackmarket</v>
      </c>
    </row>
    <row r="8181">
      <c r="A8181" s="3" t="str">
        <f>IFERROR(__xludf.DUMMYFUNCTION("""COMPUTED_VALUE"""),"nftbomb")</f>
        <v>nftbomb</v>
      </c>
      <c r="B8181" s="3" t="str">
        <f>IFERROR(__xludf.DUMMYFUNCTION("""COMPUTED_VALUE"""),"nbp")</f>
        <v>nbp</v>
      </c>
      <c r="C8181" s="3" t="str">
        <f>IFERROR(__xludf.DUMMYFUNCTION("""COMPUTED_VALUE"""),"NFTBomb")</f>
        <v>NFTBomb</v>
      </c>
    </row>
    <row r="8182">
      <c r="A8182" s="3" t="str">
        <f>IFERROR(__xludf.DUMMYFUNCTION("""COMPUTED_VALUE"""),"nftbooks")</f>
        <v>nftbooks</v>
      </c>
      <c r="B8182" s="3" t="str">
        <f>IFERROR(__xludf.DUMMYFUNCTION("""COMPUTED_VALUE"""),"nftbs")</f>
        <v>nftbs</v>
      </c>
      <c r="C8182" s="3" t="str">
        <f>IFERROR(__xludf.DUMMYFUNCTION("""COMPUTED_VALUE"""),"NFTBooks")</f>
        <v>NFTBooks</v>
      </c>
    </row>
    <row r="8183">
      <c r="A8183" s="3" t="str">
        <f>IFERROR(__xludf.DUMMYFUNCTION("""COMPUTED_VALUE"""),"nft-champions")</f>
        <v>nft-champions</v>
      </c>
      <c r="B8183" s="3" t="str">
        <f>IFERROR(__xludf.DUMMYFUNCTION("""COMPUTED_VALUE"""),"champ")</f>
        <v>champ</v>
      </c>
      <c r="C8183" s="3" t="str">
        <f>IFERROR(__xludf.DUMMYFUNCTION("""COMPUTED_VALUE"""),"NFT Champions")</f>
        <v>NFT Champions</v>
      </c>
    </row>
    <row r="8184">
      <c r="A8184" s="3" t="str">
        <f>IFERROR(__xludf.DUMMYFUNCTION("""COMPUTED_VALUE"""),"nftcircle")</f>
        <v>nftcircle</v>
      </c>
      <c r="B8184" s="3" t="str">
        <f>IFERROR(__xludf.DUMMYFUNCTION("""COMPUTED_VALUE"""),"nftc")</f>
        <v>nftc</v>
      </c>
      <c r="C8184" s="3" t="str">
        <f>IFERROR(__xludf.DUMMYFUNCTION("""COMPUTED_VALUE"""),"NFTCircle")</f>
        <v>NFTCircle</v>
      </c>
    </row>
    <row r="8185">
      <c r="A8185" s="3" t="str">
        <f>IFERROR(__xludf.DUMMYFUNCTION("""COMPUTED_VALUE"""),"nft-crosschain")</f>
        <v>nft-crosschain</v>
      </c>
      <c r="B8185" s="3" t="str">
        <f>IFERROR(__xludf.DUMMYFUNCTION("""COMPUTED_VALUE"""),"crc")</f>
        <v>crc</v>
      </c>
      <c r="C8185" s="3" t="str">
        <f>IFERROR(__xludf.DUMMYFUNCTION("""COMPUTED_VALUE"""),"NFT Crosschain")</f>
        <v>NFT Crosschain</v>
      </c>
    </row>
    <row r="8186">
      <c r="A8186" s="3" t="str">
        <f>IFERROR(__xludf.DUMMYFUNCTION("""COMPUTED_VALUE"""),"nftdao")</f>
        <v>nftdao</v>
      </c>
      <c r="B8186" s="3" t="str">
        <f>IFERROR(__xludf.DUMMYFUNCTION("""COMPUTED_VALUE"""),"nao")</f>
        <v>nao</v>
      </c>
      <c r="C8186" s="3" t="str">
        <f>IFERROR(__xludf.DUMMYFUNCTION("""COMPUTED_VALUE"""),"NFTDAO")</f>
        <v>NFTDAO</v>
      </c>
    </row>
    <row r="8187">
      <c r="A8187" s="3" t="str">
        <f>IFERROR(__xludf.DUMMYFUNCTION("""COMPUTED_VALUE"""),"nfteyez")</f>
        <v>nfteyez</v>
      </c>
      <c r="B8187" s="3" t="str">
        <f>IFERROR(__xludf.DUMMYFUNCTION("""COMPUTED_VALUE"""),"eye")</f>
        <v>eye</v>
      </c>
      <c r="C8187" s="3" t="str">
        <f>IFERROR(__xludf.DUMMYFUNCTION("""COMPUTED_VALUE"""),"NftEyez")</f>
        <v>NftEyez</v>
      </c>
    </row>
    <row r="8188">
      <c r="A8188" s="3" t="str">
        <f>IFERROR(__xludf.DUMMYFUNCTION("""COMPUTED_VALUE"""),"nftfundart")</f>
        <v>nftfundart</v>
      </c>
      <c r="B8188" s="3" t="str">
        <f>IFERROR(__xludf.DUMMYFUNCTION("""COMPUTED_VALUE"""),"nfa")</f>
        <v>nfa</v>
      </c>
      <c r="C8188" s="3" t="str">
        <f>IFERROR(__xludf.DUMMYFUNCTION("""COMPUTED_VALUE"""),"NFTFundArt")</f>
        <v>NFTFundArt</v>
      </c>
    </row>
    <row r="8189">
      <c r="A8189" s="3" t="str">
        <f>IFERROR(__xludf.DUMMYFUNCTION("""COMPUTED_VALUE"""),"nftfy")</f>
        <v>nftfy</v>
      </c>
      <c r="B8189" s="3" t="str">
        <f>IFERROR(__xludf.DUMMYFUNCTION("""COMPUTED_VALUE"""),"nftfy")</f>
        <v>nftfy</v>
      </c>
      <c r="C8189" s="3" t="str">
        <f>IFERROR(__xludf.DUMMYFUNCTION("""COMPUTED_VALUE"""),"Nftfy")</f>
        <v>Nftfy</v>
      </c>
    </row>
    <row r="8190">
      <c r="A8190" s="3" t="str">
        <f>IFERROR(__xludf.DUMMYFUNCTION("""COMPUTED_VALUE"""),"nftgamingstars")</f>
        <v>nftgamingstars</v>
      </c>
      <c r="B8190" s="3" t="str">
        <f>IFERROR(__xludf.DUMMYFUNCTION("""COMPUTED_VALUE"""),"gs1")</f>
        <v>gs1</v>
      </c>
      <c r="C8190" s="3" t="str">
        <f>IFERROR(__xludf.DUMMYFUNCTION("""COMPUTED_VALUE"""),"NFTGamingStars")</f>
        <v>NFTGamingStars</v>
      </c>
    </row>
    <row r="8191">
      <c r="A8191" s="3" t="str">
        <f>IFERROR(__xludf.DUMMYFUNCTION("""COMPUTED_VALUE"""),"nft-global-platform")</f>
        <v>nft-global-platform</v>
      </c>
      <c r="B8191" s="3" t="str">
        <f>IFERROR(__xludf.DUMMYFUNCTION("""COMPUTED_VALUE"""),"nftg")</f>
        <v>nftg</v>
      </c>
      <c r="C8191" s="3" t="str">
        <f>IFERROR(__xludf.DUMMYFUNCTION("""COMPUTED_VALUE"""),"NFT Global Platform")</f>
        <v>NFT Global Platform</v>
      </c>
    </row>
    <row r="8192">
      <c r="A8192" s="3" t="str">
        <f>IFERROR(__xludf.DUMMYFUNCTION("""COMPUTED_VALUE"""),"nftify")</f>
        <v>nftify</v>
      </c>
      <c r="B8192" s="3" t="str">
        <f>IFERROR(__xludf.DUMMYFUNCTION("""COMPUTED_VALUE"""),"n1")</f>
        <v>n1</v>
      </c>
      <c r="C8192" s="3" t="str">
        <f>IFERROR(__xludf.DUMMYFUNCTION("""COMPUTED_VALUE"""),"NFTify")</f>
        <v>NFTify</v>
      </c>
    </row>
    <row r="8193">
      <c r="A8193" s="3" t="str">
        <f>IFERROR(__xludf.DUMMYFUNCTION("""COMPUTED_VALUE"""),"nftime")</f>
        <v>nftime</v>
      </c>
      <c r="B8193" s="3" t="str">
        <f>IFERROR(__xludf.DUMMYFUNCTION("""COMPUTED_VALUE"""),"nftm")</f>
        <v>nftm</v>
      </c>
      <c r="C8193" s="3" t="str">
        <f>IFERROR(__xludf.DUMMYFUNCTION("""COMPUTED_VALUE"""),"Nftime")</f>
        <v>Nftime</v>
      </c>
    </row>
    <row r="8194">
      <c r="A8194" s="3" t="str">
        <f>IFERROR(__xludf.DUMMYFUNCTION("""COMPUTED_VALUE"""),"nftinder")</f>
        <v>nftinder</v>
      </c>
      <c r="B8194" s="3" t="str">
        <f>IFERROR(__xludf.DUMMYFUNCTION("""COMPUTED_VALUE"""),"nftndr")</f>
        <v>nftndr</v>
      </c>
      <c r="C8194" s="3" t="str">
        <f>IFERROR(__xludf.DUMMYFUNCTION("""COMPUTED_VALUE"""),"NFTinder")</f>
        <v>NFTinder</v>
      </c>
    </row>
    <row r="8195">
      <c r="A8195" s="3" t="str">
        <f>IFERROR(__xludf.DUMMYFUNCTION("""COMPUTED_VALUE"""),"nft-index")</f>
        <v>nft-index</v>
      </c>
      <c r="B8195" s="3" t="str">
        <f>IFERROR(__xludf.DUMMYFUNCTION("""COMPUTED_VALUE"""),"nfti")</f>
        <v>nfti</v>
      </c>
      <c r="C8195" s="3" t="str">
        <f>IFERROR(__xludf.DUMMYFUNCTION("""COMPUTED_VALUE"""),"NFT Index")</f>
        <v>NFT Index</v>
      </c>
    </row>
    <row r="8196">
      <c r="A8196" s="3" t="str">
        <f>IFERROR(__xludf.DUMMYFUNCTION("""COMPUTED_VALUE"""),"nftlaunch")</f>
        <v>nftlaunch</v>
      </c>
      <c r="B8196" s="3" t="str">
        <f>IFERROR(__xludf.DUMMYFUNCTION("""COMPUTED_VALUE"""),"nftl")</f>
        <v>nftl</v>
      </c>
      <c r="C8196" s="3" t="str">
        <f>IFERROR(__xludf.DUMMYFUNCTION("""COMPUTED_VALUE"""),"NFTLaunch")</f>
        <v>NFTLaunch</v>
      </c>
    </row>
    <row r="8197">
      <c r="A8197" s="3" t="str">
        <f>IFERROR(__xludf.DUMMYFUNCTION("""COMPUTED_VALUE"""),"nftlootbox")</f>
        <v>nftlootbox</v>
      </c>
      <c r="B8197" s="3" t="str">
        <f>IFERROR(__xludf.DUMMYFUNCTION("""COMPUTED_VALUE"""),"loot")</f>
        <v>loot</v>
      </c>
      <c r="C8197" s="4" t="str">
        <f>IFERROR(__xludf.DUMMYFUNCTION("""COMPUTED_VALUE"""),"LootBox.io")</f>
        <v>LootBox.io</v>
      </c>
    </row>
    <row r="8198">
      <c r="A8198" s="3" t="str">
        <f>IFERROR(__xludf.DUMMYFUNCTION("""COMPUTED_VALUE"""),"nftmake")</f>
        <v>nftmake</v>
      </c>
      <c r="B8198" s="3" t="str">
        <f>IFERROR(__xludf.DUMMYFUNCTION("""COMPUTED_VALUE"""),"make")</f>
        <v>make</v>
      </c>
      <c r="C8198" s="3" t="str">
        <f>IFERROR(__xludf.DUMMYFUNCTION("""COMPUTED_VALUE"""),"NFTMAKE")</f>
        <v>NFTMAKE</v>
      </c>
    </row>
    <row r="8199">
      <c r="A8199" s="3" t="str">
        <f>IFERROR(__xludf.DUMMYFUNCTION("""COMPUTED_VALUE"""),"nft-maker")</f>
        <v>nft-maker</v>
      </c>
      <c r="B8199" s="3" t="str">
        <f>IFERROR(__xludf.DUMMYFUNCTION("""COMPUTED_VALUE"""),"$nmkr")</f>
        <v>$nmkr</v>
      </c>
      <c r="C8199" s="3" t="str">
        <f>IFERROR(__xludf.DUMMYFUNCTION("""COMPUTED_VALUE"""),"NMKR")</f>
        <v>NMKR</v>
      </c>
    </row>
    <row r="8200">
      <c r="A8200" s="3" t="str">
        <f>IFERROR(__xludf.DUMMYFUNCTION("""COMPUTED_VALUE"""),"nftmall")</f>
        <v>nftmall</v>
      </c>
      <c r="B8200" s="3" t="str">
        <f>IFERROR(__xludf.DUMMYFUNCTION("""COMPUTED_VALUE"""),"gem")</f>
        <v>gem</v>
      </c>
      <c r="C8200" s="3" t="str">
        <f>IFERROR(__xludf.DUMMYFUNCTION("""COMPUTED_VALUE"""),"NFTmall")</f>
        <v>NFTmall</v>
      </c>
    </row>
    <row r="8201">
      <c r="A8201" s="3" t="str">
        <f>IFERROR(__xludf.DUMMYFUNCTION("""COMPUTED_VALUE"""),"nft-marble")</f>
        <v>nft-marble</v>
      </c>
      <c r="B8201" s="3" t="str">
        <f>IFERROR(__xludf.DUMMYFUNCTION("""COMPUTED_VALUE"""),"dozen")</f>
        <v>dozen</v>
      </c>
      <c r="C8201" s="3" t="str">
        <f>IFERROR(__xludf.DUMMYFUNCTION("""COMPUTED_VALUE"""),"NFT Marble")</f>
        <v>NFT Marble</v>
      </c>
    </row>
    <row r="8202">
      <c r="A8202" s="3" t="str">
        <f>IFERROR(__xludf.DUMMYFUNCTION("""COMPUTED_VALUE"""),"nftmart-token")</f>
        <v>nftmart-token</v>
      </c>
      <c r="B8202" s="3" t="str">
        <f>IFERROR(__xludf.DUMMYFUNCTION("""COMPUTED_VALUE"""),"nmt")</f>
        <v>nmt</v>
      </c>
      <c r="C8202" s="3" t="str">
        <f>IFERROR(__xludf.DUMMYFUNCTION("""COMPUTED_VALUE"""),"NFTMart")</f>
        <v>NFTMart</v>
      </c>
    </row>
    <row r="8203">
      <c r="A8203" s="3" t="str">
        <f>IFERROR(__xludf.DUMMYFUNCTION("""COMPUTED_VALUE"""),"nft-maze")</f>
        <v>nft-maze</v>
      </c>
      <c r="B8203" s="3" t="str">
        <f>IFERROR(__xludf.DUMMYFUNCTION("""COMPUTED_VALUE"""),"maze")</f>
        <v>maze</v>
      </c>
      <c r="C8203" s="3" t="str">
        <f>IFERROR(__xludf.DUMMYFUNCTION("""COMPUTED_VALUE"""),"NFT MAZE")</f>
        <v>NFT MAZE</v>
      </c>
    </row>
    <row r="8204">
      <c r="A8204" s="3" t="str">
        <f>IFERROR(__xludf.DUMMYFUNCTION("""COMPUTED_VALUE"""),"nftmusic")</f>
        <v>nftmusic</v>
      </c>
      <c r="B8204" s="3" t="str">
        <f>IFERROR(__xludf.DUMMYFUNCTION("""COMPUTED_VALUE"""),"music")</f>
        <v>music</v>
      </c>
      <c r="C8204" s="4" t="str">
        <f>IFERROR(__xludf.DUMMYFUNCTION("""COMPUTED_VALUE"""),"NFTMusic.ai")</f>
        <v>NFTMusic.ai</v>
      </c>
    </row>
    <row r="8205">
      <c r="A8205" s="3" t="str">
        <f>IFERROR(__xludf.DUMMYFUNCTION("""COMPUTED_VALUE"""),"nftnetwork")</f>
        <v>nftnetwork</v>
      </c>
      <c r="B8205" s="3" t="str">
        <f>IFERROR(__xludf.DUMMYFUNCTION("""COMPUTED_VALUE"""),"nftn")</f>
        <v>nftn</v>
      </c>
      <c r="C8205" s="3" t="str">
        <f>IFERROR(__xludf.DUMMYFUNCTION("""COMPUTED_VALUE"""),"NFTNetwork")</f>
        <v>NFTNetwork</v>
      </c>
    </row>
    <row r="8206">
      <c r="A8206" s="3" t="str">
        <f>IFERROR(__xludf.DUMMYFUNCTION("""COMPUTED_VALUE"""),"nftpad")</f>
        <v>nftpad</v>
      </c>
      <c r="B8206" s="3" t="str">
        <f>IFERROR(__xludf.DUMMYFUNCTION("""COMPUTED_VALUE"""),"nftpad")</f>
        <v>nftpad</v>
      </c>
      <c r="C8206" s="3" t="str">
        <f>IFERROR(__xludf.DUMMYFUNCTION("""COMPUTED_VALUE"""),"NFTPad")</f>
        <v>NFTPad</v>
      </c>
    </row>
    <row r="8207">
      <c r="A8207" s="3" t="str">
        <f>IFERROR(__xludf.DUMMYFUNCTION("""COMPUTED_VALUE"""),"nft-platform-index")</f>
        <v>nft-platform-index</v>
      </c>
      <c r="B8207" s="3" t="str">
        <f>IFERROR(__xludf.DUMMYFUNCTION("""COMPUTED_VALUE"""),"nftp")</f>
        <v>nftp</v>
      </c>
      <c r="C8207" s="3" t="str">
        <f>IFERROR(__xludf.DUMMYFUNCTION("""COMPUTED_VALUE"""),"NFT Platform Index")</f>
        <v>NFT Platform Index</v>
      </c>
    </row>
    <row r="8208">
      <c r="A8208" s="3" t="str">
        <f>IFERROR(__xludf.DUMMYFUNCTION("""COMPUTED_VALUE"""),"nft-protocol")</f>
        <v>nft-protocol</v>
      </c>
      <c r="B8208" s="3" t="str">
        <f>IFERROR(__xludf.DUMMYFUNCTION("""COMPUTED_VALUE"""),"nft")</f>
        <v>nft</v>
      </c>
      <c r="C8208" s="3" t="str">
        <f>IFERROR(__xludf.DUMMYFUNCTION("""COMPUTED_VALUE"""),"NFT Protocol")</f>
        <v>NFT Protocol</v>
      </c>
    </row>
    <row r="8209">
      <c r="A8209" s="3" t="str">
        <f>IFERROR(__xludf.DUMMYFUNCTION("""COMPUTED_VALUE"""),"nftpunk-finance")</f>
        <v>nftpunk-finance</v>
      </c>
      <c r="B8209" s="3" t="str">
        <f>IFERROR(__xludf.DUMMYFUNCTION("""COMPUTED_VALUE"""),"nftpunk")</f>
        <v>nftpunk</v>
      </c>
      <c r="C8209" s="3" t="str">
        <f>IFERROR(__xludf.DUMMYFUNCTION("""COMPUTED_VALUE"""),"NFTPunk.Finance")</f>
        <v>NFTPunk.Finance</v>
      </c>
    </row>
    <row r="8210">
      <c r="A8210" s="3" t="str">
        <f>IFERROR(__xludf.DUMMYFUNCTION("""COMPUTED_VALUE"""),"nftrade")</f>
        <v>nftrade</v>
      </c>
      <c r="B8210" s="3" t="str">
        <f>IFERROR(__xludf.DUMMYFUNCTION("""COMPUTED_VALUE"""),"nftd")</f>
        <v>nftd</v>
      </c>
      <c r="C8210" s="3" t="str">
        <f>IFERROR(__xludf.DUMMYFUNCTION("""COMPUTED_VALUE"""),"NFTrade")</f>
        <v>NFTrade</v>
      </c>
    </row>
    <row r="8211">
      <c r="A8211" s="3" t="str">
        <f>IFERROR(__xludf.DUMMYFUNCTION("""COMPUTED_VALUE"""),"nft-royal-token")</f>
        <v>nft-royal-token</v>
      </c>
      <c r="B8211" s="3" t="str">
        <f>IFERROR(__xludf.DUMMYFUNCTION("""COMPUTED_VALUE"""),"nrt")</f>
        <v>nrt</v>
      </c>
      <c r="C8211" s="3" t="str">
        <f>IFERROR(__xludf.DUMMYFUNCTION("""COMPUTED_VALUE"""),"NFT Royal")</f>
        <v>NFT Royal</v>
      </c>
    </row>
    <row r="8212">
      <c r="A8212" s="3" t="str">
        <f>IFERROR(__xludf.DUMMYFUNCTION("""COMPUTED_VALUE"""),"nft-soccer-games")</f>
        <v>nft-soccer-games</v>
      </c>
      <c r="B8212" s="3" t="str">
        <f>IFERROR(__xludf.DUMMYFUNCTION("""COMPUTED_VALUE"""),"nfsg")</f>
        <v>nfsg</v>
      </c>
      <c r="C8212" s="3" t="str">
        <f>IFERROR(__xludf.DUMMYFUNCTION("""COMPUTED_VALUE"""),"NFT Soccer Games")</f>
        <v>NFT Soccer Games</v>
      </c>
    </row>
    <row r="8213">
      <c r="A8213" s="3" t="str">
        <f>IFERROR(__xludf.DUMMYFUNCTION("""COMPUTED_VALUE"""),"nft-stars")</f>
        <v>nft-stars</v>
      </c>
      <c r="B8213" s="3" t="str">
        <f>IFERROR(__xludf.DUMMYFUNCTION("""COMPUTED_VALUE"""),"nfts")</f>
        <v>nfts</v>
      </c>
      <c r="C8213" s="3" t="str">
        <f>IFERROR(__xludf.DUMMYFUNCTION("""COMPUTED_VALUE"""),"NFT Stars")</f>
        <v>NFT Stars</v>
      </c>
    </row>
    <row r="8214">
      <c r="A8214" s="3" t="str">
        <f>IFERROR(__xludf.DUMMYFUNCTION("""COMPUTED_VALUE"""),"nft-starter")</f>
        <v>nft-starter</v>
      </c>
      <c r="B8214" s="3" t="str">
        <f>IFERROR(__xludf.DUMMYFUNCTION("""COMPUTED_VALUE"""),"nst")</f>
        <v>nst</v>
      </c>
      <c r="C8214" s="3" t="str">
        <f>IFERROR(__xludf.DUMMYFUNCTION("""COMPUTED_VALUE"""),"NFT Starter")</f>
        <v>NFT Starter</v>
      </c>
    </row>
    <row r="8215">
      <c r="A8215" s="3" t="str">
        <f>IFERROR(__xludf.DUMMYFUNCTION("""COMPUTED_VALUE"""),"nftstyle")</f>
        <v>nftstyle</v>
      </c>
      <c r="B8215" s="3" t="str">
        <f>IFERROR(__xludf.DUMMYFUNCTION("""COMPUTED_VALUE"""),"nftstyle")</f>
        <v>nftstyle</v>
      </c>
      <c r="C8215" s="3" t="str">
        <f>IFERROR(__xludf.DUMMYFUNCTION("""COMPUTED_VALUE"""),"NFTStyle")</f>
        <v>NFTStyle</v>
      </c>
    </row>
    <row r="8216">
      <c r="A8216" s="3" t="str">
        <f>IFERROR(__xludf.DUMMYFUNCTION("""COMPUTED_VALUE"""),"nft-tech")</f>
        <v>nft-tech</v>
      </c>
      <c r="B8216" s="3" t="str">
        <f>IFERROR(__xludf.DUMMYFUNCTION("""COMPUTED_VALUE"""),"nftt")</f>
        <v>nftt</v>
      </c>
      <c r="C8216" s="3" t="str">
        <f>IFERROR(__xludf.DUMMYFUNCTION("""COMPUTED_VALUE"""),"NFT Tech")</f>
        <v>NFT Tech</v>
      </c>
    </row>
    <row r="8217">
      <c r="A8217" s="3" t="str">
        <f>IFERROR(__xludf.DUMMYFUNCTION("""COMPUTED_VALUE"""),"nft-tone")</f>
        <v>nft-tone</v>
      </c>
      <c r="B8217" s="3" t="str">
        <f>IFERROR(__xludf.DUMMYFUNCTION("""COMPUTED_VALUE"""),"tone")</f>
        <v>tone</v>
      </c>
      <c r="C8217" s="3" t="str">
        <f>IFERROR(__xludf.DUMMYFUNCTION("""COMPUTED_VALUE"""),"NFT Tone")</f>
        <v>NFT Tone</v>
      </c>
    </row>
    <row r="8218">
      <c r="A8218" s="3" t="str">
        <f>IFERROR(__xludf.DUMMYFUNCTION("""COMPUTED_VALUE"""),"nft-track-protocol")</f>
        <v>nft-track-protocol</v>
      </c>
      <c r="B8218" s="3" t="str">
        <f>IFERROR(__xludf.DUMMYFUNCTION("""COMPUTED_VALUE"""),"ntp")</f>
        <v>ntp</v>
      </c>
      <c r="C8218" s="3" t="str">
        <f>IFERROR(__xludf.DUMMYFUNCTION("""COMPUTED_VALUE"""),"NFT Track Protocol")</f>
        <v>NFT Track Protocol</v>
      </c>
    </row>
    <row r="8219">
      <c r="A8219" s="3" t="str">
        <f>IFERROR(__xludf.DUMMYFUNCTION("""COMPUTED_VALUE"""),"nftwiki")</f>
        <v>nftwiki</v>
      </c>
      <c r="B8219" s="3" t="str">
        <f>IFERROR(__xludf.DUMMYFUNCTION("""COMPUTED_VALUE"""),"nftk")</f>
        <v>nftk</v>
      </c>
      <c r="C8219" s="3" t="str">
        <f>IFERROR(__xludf.DUMMYFUNCTION("""COMPUTED_VALUE"""),"NFTWiki")</f>
        <v>NFTWiki</v>
      </c>
    </row>
    <row r="8220">
      <c r="A8220" s="3" t="str">
        <f>IFERROR(__xludf.DUMMYFUNCTION("""COMPUTED_VALUE"""),"nft-worlds")</f>
        <v>nft-worlds</v>
      </c>
      <c r="B8220" s="3" t="str">
        <f>IFERROR(__xludf.DUMMYFUNCTION("""COMPUTED_VALUE"""),"wrld")</f>
        <v>wrld</v>
      </c>
      <c r="C8220" s="3" t="str">
        <f>IFERROR(__xludf.DUMMYFUNCTION("""COMPUTED_VALUE"""),"NFT Worlds")</f>
        <v>NFT Worlds</v>
      </c>
    </row>
    <row r="8221">
      <c r="A8221" s="3" t="str">
        <f>IFERROR(__xludf.DUMMYFUNCTION("""COMPUTED_VALUE"""),"nftx")</f>
        <v>nftx</v>
      </c>
      <c r="B8221" s="3" t="str">
        <f>IFERROR(__xludf.DUMMYFUNCTION("""COMPUTED_VALUE"""),"nftx")</f>
        <v>nftx</v>
      </c>
      <c r="C8221" s="3" t="str">
        <f>IFERROR(__xludf.DUMMYFUNCTION("""COMPUTED_VALUE"""),"NFTX")</f>
        <v>NFTX</v>
      </c>
    </row>
    <row r="8222">
      <c r="A8222" s="3" t="str">
        <f>IFERROR(__xludf.DUMMYFUNCTION("""COMPUTED_VALUE"""),"nfty-token")</f>
        <v>nfty-token</v>
      </c>
      <c r="B8222" s="3" t="str">
        <f>IFERROR(__xludf.DUMMYFUNCTION("""COMPUTED_VALUE"""),"nfty")</f>
        <v>nfty</v>
      </c>
      <c r="C8222" s="3" t="str">
        <f>IFERROR(__xludf.DUMMYFUNCTION("""COMPUTED_VALUE"""),"NFTY Labs")</f>
        <v>NFTY Labs</v>
      </c>
    </row>
    <row r="8223">
      <c r="A8223" s="3" t="str">
        <f>IFERROR(__xludf.DUMMYFUNCTION("""COMPUTED_VALUE"""),"nfx-coin")</f>
        <v>nfx-coin</v>
      </c>
      <c r="B8223" s="3" t="str">
        <f>IFERROR(__xludf.DUMMYFUNCTION("""COMPUTED_VALUE"""),"nfxc")</f>
        <v>nfxc</v>
      </c>
      <c r="C8223" s="3" t="str">
        <f>IFERROR(__xludf.DUMMYFUNCTION("""COMPUTED_VALUE"""),"NFX Coin")</f>
        <v>NFX Coin</v>
      </c>
    </row>
    <row r="8224">
      <c r="A8224" s="3" t="str">
        <f>IFERROR(__xludf.DUMMYFUNCTION("""COMPUTED_VALUE"""),"ngin")</f>
        <v>ngin</v>
      </c>
      <c r="B8224" s="3" t="str">
        <f>IFERROR(__xludf.DUMMYFUNCTION("""COMPUTED_VALUE"""),"ng")</f>
        <v>ng</v>
      </c>
      <c r="C8224" s="3" t="str">
        <f>IFERROR(__xludf.DUMMYFUNCTION("""COMPUTED_VALUE"""),"Ngin")</f>
        <v>Ngin</v>
      </c>
    </row>
    <row r="8225">
      <c r="A8225" s="3" t="str">
        <f>IFERROR(__xludf.DUMMYFUNCTION("""COMPUTED_VALUE"""),"nicheman")</f>
        <v>nicheman</v>
      </c>
      <c r="B8225" s="3" t="str">
        <f>IFERROR(__xludf.DUMMYFUNCTION("""COMPUTED_VALUE"""),"nicheman")</f>
        <v>nicheman</v>
      </c>
      <c r="C8225" s="3" t="str">
        <f>IFERROR(__xludf.DUMMYFUNCTION("""COMPUTED_VALUE"""),"Nicheman")</f>
        <v>Nicheman</v>
      </c>
    </row>
    <row r="8226">
      <c r="A8226" s="3" t="str">
        <f>IFERROR(__xludf.DUMMYFUNCTION("""COMPUTED_VALUE"""),"nichonft")</f>
        <v>nichonft</v>
      </c>
      <c r="B8226" s="3" t="str">
        <f>IFERROR(__xludf.DUMMYFUNCTION("""COMPUTED_VALUE"""),"nicho")</f>
        <v>nicho</v>
      </c>
      <c r="C8226" s="3" t="str">
        <f>IFERROR(__xludf.DUMMYFUNCTION("""COMPUTED_VALUE"""),"Nichonft")</f>
        <v>Nichonft</v>
      </c>
    </row>
    <row r="8227">
      <c r="A8227" s="3" t="str">
        <f>IFERROR(__xludf.DUMMYFUNCTION("""COMPUTED_VALUE"""),"niftify")</f>
        <v>niftify</v>
      </c>
      <c r="B8227" s="3" t="str">
        <f>IFERROR(__xludf.DUMMYFUNCTION("""COMPUTED_VALUE"""),"nift")</f>
        <v>nift</v>
      </c>
      <c r="C8227" s="3" t="str">
        <f>IFERROR(__xludf.DUMMYFUNCTION("""COMPUTED_VALUE"""),"Niftify")</f>
        <v>Niftify</v>
      </c>
    </row>
    <row r="8228">
      <c r="A8228" s="3" t="str">
        <f>IFERROR(__xludf.DUMMYFUNCTION("""COMPUTED_VALUE"""),"niftsy")</f>
        <v>niftsy</v>
      </c>
      <c r="B8228" s="3" t="str">
        <f>IFERROR(__xludf.DUMMYFUNCTION("""COMPUTED_VALUE"""),"niftsy")</f>
        <v>niftsy</v>
      </c>
      <c r="C8228" s="3" t="str">
        <f>IFERROR(__xludf.DUMMYFUNCTION("""COMPUTED_VALUE"""),"Envelop (Niftsy)")</f>
        <v>Envelop (Niftsy)</v>
      </c>
    </row>
    <row r="8229">
      <c r="A8229" s="3" t="str">
        <f>IFERROR(__xludf.DUMMYFUNCTION("""COMPUTED_VALUE"""),"nifty-league")</f>
        <v>nifty-league</v>
      </c>
      <c r="B8229" s="3" t="str">
        <f>IFERROR(__xludf.DUMMYFUNCTION("""COMPUTED_VALUE"""),"nftl")</f>
        <v>nftl</v>
      </c>
      <c r="C8229" s="3" t="str">
        <f>IFERROR(__xludf.DUMMYFUNCTION("""COMPUTED_VALUE"""),"Nifty League")</f>
        <v>Nifty League</v>
      </c>
    </row>
    <row r="8230">
      <c r="A8230" s="3" t="str">
        <f>IFERROR(__xludf.DUMMYFUNCTION("""COMPUTED_VALUE"""),"niftypays")</f>
        <v>niftypays</v>
      </c>
      <c r="B8230" s="3" t="str">
        <f>IFERROR(__xludf.DUMMYFUNCTION("""COMPUTED_VALUE"""),"nifty")</f>
        <v>nifty</v>
      </c>
      <c r="C8230" s="3" t="str">
        <f>IFERROR(__xludf.DUMMYFUNCTION("""COMPUTED_VALUE"""),"NiftyPays")</f>
        <v>NiftyPays</v>
      </c>
    </row>
    <row r="8231">
      <c r="A8231" s="3" t="str">
        <f>IFERROR(__xludf.DUMMYFUNCTION("""COMPUTED_VALUE"""),"nifty-token")</f>
        <v>nifty-token</v>
      </c>
      <c r="B8231" s="3" t="str">
        <f>IFERROR(__xludf.DUMMYFUNCTION("""COMPUTED_VALUE"""),"nfty")</f>
        <v>nfty</v>
      </c>
      <c r="C8231" s="3" t="str">
        <f>IFERROR(__xludf.DUMMYFUNCTION("""COMPUTED_VALUE"""),"NFTY DeFi Protocol")</f>
        <v>NFTY DeFi Protocol</v>
      </c>
    </row>
    <row r="8232">
      <c r="A8232" s="3" t="str">
        <f>IFERROR(__xludf.DUMMYFUNCTION("""COMPUTED_VALUE"""),"night-life-crypto")</f>
        <v>night-life-crypto</v>
      </c>
      <c r="B8232" s="3" t="str">
        <f>IFERROR(__xludf.DUMMYFUNCTION("""COMPUTED_VALUE"""),"nlife")</f>
        <v>nlife</v>
      </c>
      <c r="C8232" s="3" t="str">
        <f>IFERROR(__xludf.DUMMYFUNCTION("""COMPUTED_VALUE"""),"Night Life Crypto")</f>
        <v>Night Life Crypto</v>
      </c>
    </row>
    <row r="8233">
      <c r="A8233" s="3" t="str">
        <f>IFERROR(__xludf.DUMMYFUNCTION("""COMPUTED_VALUE"""),"niifi")</f>
        <v>niifi</v>
      </c>
      <c r="B8233" s="3" t="str">
        <f>IFERROR(__xludf.DUMMYFUNCTION("""COMPUTED_VALUE"""),"niifi")</f>
        <v>niifi</v>
      </c>
      <c r="C8233" s="3" t="str">
        <f>IFERROR(__xludf.DUMMYFUNCTION("""COMPUTED_VALUE"""),"NiiFi")</f>
        <v>NiiFi</v>
      </c>
    </row>
    <row r="8234">
      <c r="A8234" s="3" t="str">
        <f>IFERROR(__xludf.DUMMYFUNCTION("""COMPUTED_VALUE"""),"nil-coin")</f>
        <v>nil-coin</v>
      </c>
      <c r="B8234" s="3" t="str">
        <f>IFERROR(__xludf.DUMMYFUNCTION("""COMPUTED_VALUE"""),"nil")</f>
        <v>nil</v>
      </c>
      <c r="C8234" s="3" t="str">
        <f>IFERROR(__xludf.DUMMYFUNCTION("""COMPUTED_VALUE"""),"NIL")</f>
        <v>NIL</v>
      </c>
    </row>
    <row r="8235">
      <c r="A8235" s="3" t="str">
        <f>IFERROR(__xludf.DUMMYFUNCTION("""COMPUTED_VALUE"""),"nil-dao")</f>
        <v>nil-dao</v>
      </c>
      <c r="B8235" s="3" t="str">
        <f>IFERROR(__xludf.DUMMYFUNCTION("""COMPUTED_VALUE"""),"nil")</f>
        <v>nil</v>
      </c>
      <c r="C8235" s="3" t="str">
        <f>IFERROR(__xludf.DUMMYFUNCTION("""COMPUTED_VALUE"""),"Nil DAO")</f>
        <v>Nil DAO</v>
      </c>
    </row>
    <row r="8236">
      <c r="A8236" s="3" t="str">
        <f>IFERROR(__xludf.DUMMYFUNCTION("""COMPUTED_VALUE"""),"nimbus")</f>
        <v>nimbus</v>
      </c>
      <c r="B8236" s="3" t="str">
        <f>IFERROR(__xludf.DUMMYFUNCTION("""COMPUTED_VALUE"""),"nbu")</f>
        <v>nbu</v>
      </c>
      <c r="C8236" s="3" t="str">
        <f>IFERROR(__xludf.DUMMYFUNCTION("""COMPUTED_VALUE"""),"Nimbus")</f>
        <v>Nimbus</v>
      </c>
    </row>
    <row r="8237">
      <c r="A8237" s="3" t="str">
        <f>IFERROR(__xludf.DUMMYFUNCTION("""COMPUTED_VALUE"""),"nimbus-governance-token")</f>
        <v>nimbus-governance-token</v>
      </c>
      <c r="B8237" s="3" t="str">
        <f>IFERROR(__xludf.DUMMYFUNCTION("""COMPUTED_VALUE"""),"gnbu")</f>
        <v>gnbu</v>
      </c>
      <c r="C8237" s="3" t="str">
        <f>IFERROR(__xludf.DUMMYFUNCTION("""COMPUTED_VALUE"""),"Nimbus Governance")</f>
        <v>Nimbus Governance</v>
      </c>
    </row>
    <row r="8238">
      <c r="A8238" s="3" t="str">
        <f>IFERROR(__xludf.DUMMYFUNCTION("""COMPUTED_VALUE"""),"nimiq-2")</f>
        <v>nimiq-2</v>
      </c>
      <c r="B8238" s="3" t="str">
        <f>IFERROR(__xludf.DUMMYFUNCTION("""COMPUTED_VALUE"""),"nim")</f>
        <v>nim</v>
      </c>
      <c r="C8238" s="3" t="str">
        <f>IFERROR(__xludf.DUMMYFUNCTION("""COMPUTED_VALUE"""),"Nimiq")</f>
        <v>Nimiq</v>
      </c>
    </row>
    <row r="8239">
      <c r="A8239" s="3" t="str">
        <f>IFERROR(__xludf.DUMMYFUNCTION("""COMPUTED_VALUE"""),"ninenoble")</f>
        <v>ninenoble</v>
      </c>
      <c r="B8239" s="3" t="str">
        <f>IFERROR(__xludf.DUMMYFUNCTION("""COMPUTED_VALUE"""),"nnn")</f>
        <v>nnn</v>
      </c>
      <c r="C8239" s="3" t="str">
        <f>IFERROR(__xludf.DUMMYFUNCTION("""COMPUTED_VALUE"""),"Ninenoble")</f>
        <v>Ninenoble</v>
      </c>
    </row>
    <row r="8240">
      <c r="A8240" s="3" t="str">
        <f>IFERROR(__xludf.DUMMYFUNCTION("""COMPUTED_VALUE"""),"ninja-fantasy-token")</f>
        <v>ninja-fantasy-token</v>
      </c>
      <c r="B8240" s="3" t="str">
        <f>IFERROR(__xludf.DUMMYFUNCTION("""COMPUTED_VALUE"""),"nfs")</f>
        <v>nfs</v>
      </c>
      <c r="C8240" s="3" t="str">
        <f>IFERROR(__xludf.DUMMYFUNCTION("""COMPUTED_VALUE"""),"Ninja Fantasy")</f>
        <v>Ninja Fantasy</v>
      </c>
    </row>
    <row r="8241">
      <c r="A8241" s="3" t="str">
        <f>IFERROR(__xludf.DUMMYFUNCTION("""COMPUTED_VALUE"""),"ninja-panda-inu")</f>
        <v>ninja-panda-inu</v>
      </c>
      <c r="B8241" s="3" t="str">
        <f>IFERROR(__xludf.DUMMYFUNCTION("""COMPUTED_VALUE"""),"npi")</f>
        <v>npi</v>
      </c>
      <c r="C8241" s="3" t="str">
        <f>IFERROR(__xludf.DUMMYFUNCTION("""COMPUTED_VALUE"""),"Ninja Panda Inu")</f>
        <v>Ninja Panda Inu</v>
      </c>
    </row>
    <row r="8242">
      <c r="A8242" s="3" t="str">
        <f>IFERROR(__xludf.DUMMYFUNCTION("""COMPUTED_VALUE"""),"ninja-protocol")</f>
        <v>ninja-protocol</v>
      </c>
      <c r="B8242" s="3" t="str">
        <f>IFERROR(__xludf.DUMMYFUNCTION("""COMPUTED_VALUE"""),"ninja")</f>
        <v>ninja</v>
      </c>
      <c r="C8242" s="3" t="str">
        <f>IFERROR(__xludf.DUMMYFUNCTION("""COMPUTED_VALUE"""),"Ninja Protocol")</f>
        <v>Ninja Protocol</v>
      </c>
    </row>
    <row r="8243">
      <c r="A8243" s="3" t="str">
        <f>IFERROR(__xludf.DUMMYFUNCTION("""COMPUTED_VALUE"""),"ninja-squad")</f>
        <v>ninja-squad</v>
      </c>
      <c r="B8243" s="3" t="str">
        <f>IFERROR(__xludf.DUMMYFUNCTION("""COMPUTED_VALUE"""),"nst")</f>
        <v>nst</v>
      </c>
      <c r="C8243" s="3" t="str">
        <f>IFERROR(__xludf.DUMMYFUNCTION("""COMPUTED_VALUE"""),"Ninja Squad")</f>
        <v>Ninja Squad</v>
      </c>
    </row>
    <row r="8244">
      <c r="A8244" s="3" t="str">
        <f>IFERROR(__xludf.DUMMYFUNCTION("""COMPUTED_VALUE"""),"ninky")</f>
        <v>ninky</v>
      </c>
      <c r="B8244" s="3" t="str">
        <f>IFERROR(__xludf.DUMMYFUNCTION("""COMPUTED_VALUE"""),"ninky")</f>
        <v>ninky</v>
      </c>
      <c r="C8244" s="3" t="str">
        <f>IFERROR(__xludf.DUMMYFUNCTION("""COMPUTED_VALUE"""),"Idle Ninja Online")</f>
        <v>Idle Ninja Online</v>
      </c>
    </row>
    <row r="8245">
      <c r="A8245" s="3" t="str">
        <f>IFERROR(__xludf.DUMMYFUNCTION("""COMPUTED_VALUE"""),"ninneko")</f>
        <v>ninneko</v>
      </c>
      <c r="B8245" s="3" t="str">
        <f>IFERROR(__xludf.DUMMYFUNCTION("""COMPUTED_VALUE"""),"nino")</f>
        <v>nino</v>
      </c>
      <c r="C8245" s="3" t="str">
        <f>IFERROR(__xludf.DUMMYFUNCTION("""COMPUTED_VALUE"""),"Ninneko")</f>
        <v>Ninneko</v>
      </c>
    </row>
    <row r="8246">
      <c r="A8246" s="3" t="str">
        <f>IFERROR(__xludf.DUMMYFUNCTION("""COMPUTED_VALUE"""),"nintia-estate")</f>
        <v>nintia-estate</v>
      </c>
      <c r="B8246" s="3" t="str">
        <f>IFERROR(__xludf.DUMMYFUNCTION("""COMPUTED_VALUE"""),"ninti")</f>
        <v>ninti</v>
      </c>
      <c r="C8246" s="3" t="str">
        <f>IFERROR(__xludf.DUMMYFUNCTION("""COMPUTED_VALUE"""),"Nintia Estate")</f>
        <v>Nintia Estate</v>
      </c>
    </row>
    <row r="8247">
      <c r="A8247" s="3" t="str">
        <f>IFERROR(__xludf.DUMMYFUNCTION("""COMPUTED_VALUE"""),"niob")</f>
        <v>niob</v>
      </c>
      <c r="B8247" s="3" t="str">
        <f>IFERROR(__xludf.DUMMYFUNCTION("""COMPUTED_VALUE"""),"niob")</f>
        <v>niob</v>
      </c>
      <c r="C8247" s="3" t="str">
        <f>IFERROR(__xludf.DUMMYFUNCTION("""COMPUTED_VALUE"""),"NIOB")</f>
        <v>NIOB</v>
      </c>
    </row>
    <row r="8248">
      <c r="A8248" s="3" t="str">
        <f>IFERROR(__xludf.DUMMYFUNCTION("""COMPUTED_VALUE"""),"niobio-cash")</f>
        <v>niobio-cash</v>
      </c>
      <c r="B8248" s="3" t="str">
        <f>IFERROR(__xludf.DUMMYFUNCTION("""COMPUTED_VALUE"""),"nbr")</f>
        <v>nbr</v>
      </c>
      <c r="C8248" s="3" t="str">
        <f>IFERROR(__xludf.DUMMYFUNCTION("""COMPUTED_VALUE"""),"Niobio")</f>
        <v>Niobio</v>
      </c>
    </row>
    <row r="8249">
      <c r="A8249" s="3" t="str">
        <f>IFERROR(__xludf.DUMMYFUNCTION("""COMPUTED_VALUE"""),"niobium-coin")</f>
        <v>niobium-coin</v>
      </c>
      <c r="B8249" s="3" t="str">
        <f>IFERROR(__xludf.DUMMYFUNCTION("""COMPUTED_VALUE"""),"nbc")</f>
        <v>nbc</v>
      </c>
      <c r="C8249" s="3" t="str">
        <f>IFERROR(__xludf.DUMMYFUNCTION("""COMPUTED_VALUE"""),"Niobium Coin")</f>
        <v>Niobium Coin</v>
      </c>
    </row>
    <row r="8250">
      <c r="A8250" s="3" t="str">
        <f>IFERROR(__xludf.DUMMYFUNCTION("""COMPUTED_VALUE"""),"nippon-lagoon")</f>
        <v>nippon-lagoon</v>
      </c>
      <c r="B8250" s="3" t="str">
        <f>IFERROR(__xludf.DUMMYFUNCTION("""COMPUTED_VALUE"""),"nlc")</f>
        <v>nlc</v>
      </c>
      <c r="C8250" s="3" t="str">
        <f>IFERROR(__xludf.DUMMYFUNCTION("""COMPUTED_VALUE"""),"Nippon Lagoon")</f>
        <v>Nippon Lagoon</v>
      </c>
    </row>
    <row r="8251">
      <c r="A8251" s="3" t="str">
        <f>IFERROR(__xludf.DUMMYFUNCTION("""COMPUTED_VALUE"""),"niros")</f>
        <v>niros</v>
      </c>
      <c r="B8251" s="3" t="str">
        <f>IFERROR(__xludf.DUMMYFUNCTION("""COMPUTED_VALUE"""),"niros")</f>
        <v>niros</v>
      </c>
      <c r="C8251" s="3" t="str">
        <f>IFERROR(__xludf.DUMMYFUNCTION("""COMPUTED_VALUE"""),"Niros")</f>
        <v>Niros</v>
      </c>
    </row>
    <row r="8252">
      <c r="A8252" s="3" t="str">
        <f>IFERROR(__xludf.DUMMYFUNCTION("""COMPUTED_VALUE"""),"nirvana-ana")</f>
        <v>nirvana-ana</v>
      </c>
      <c r="B8252" s="3" t="str">
        <f>IFERROR(__xludf.DUMMYFUNCTION("""COMPUTED_VALUE"""),"ana")</f>
        <v>ana</v>
      </c>
      <c r="C8252" s="3" t="str">
        <f>IFERROR(__xludf.DUMMYFUNCTION("""COMPUTED_VALUE"""),"Nirvana ANA")</f>
        <v>Nirvana ANA</v>
      </c>
    </row>
    <row r="8253">
      <c r="A8253" s="3" t="str">
        <f>IFERROR(__xludf.DUMMYFUNCTION("""COMPUTED_VALUE"""),"nirvana-chain")</f>
        <v>nirvana-chain</v>
      </c>
      <c r="B8253" s="3" t="str">
        <f>IFERROR(__xludf.DUMMYFUNCTION("""COMPUTED_VALUE"""),"nac")</f>
        <v>nac</v>
      </c>
      <c r="C8253" s="3" t="str">
        <f>IFERROR(__xludf.DUMMYFUNCTION("""COMPUTED_VALUE"""),"Nirvana Chain")</f>
        <v>Nirvana Chain</v>
      </c>
    </row>
    <row r="8254">
      <c r="A8254" s="3" t="str">
        <f>IFERROR(__xludf.DUMMYFUNCTION("""COMPUTED_VALUE"""),"nirvana-nirv")</f>
        <v>nirvana-nirv</v>
      </c>
      <c r="B8254" s="3" t="str">
        <f>IFERROR(__xludf.DUMMYFUNCTION("""COMPUTED_VALUE"""),"nirv")</f>
        <v>nirv</v>
      </c>
      <c r="C8254" s="3" t="str">
        <f>IFERROR(__xludf.DUMMYFUNCTION("""COMPUTED_VALUE"""),"Nirvana NIRV")</f>
        <v>Nirvana NIRV</v>
      </c>
    </row>
    <row r="8255">
      <c r="A8255" s="3" t="str">
        <f>IFERROR(__xludf.DUMMYFUNCTION("""COMPUTED_VALUE"""),"nirvana-prana")</f>
        <v>nirvana-prana</v>
      </c>
      <c r="B8255" s="3" t="str">
        <f>IFERROR(__xludf.DUMMYFUNCTION("""COMPUTED_VALUE"""),"prana")</f>
        <v>prana</v>
      </c>
      <c r="C8255" s="3" t="str">
        <f>IFERROR(__xludf.DUMMYFUNCTION("""COMPUTED_VALUE"""),"Nirvana prANA")</f>
        <v>Nirvana prANA</v>
      </c>
    </row>
    <row r="8256">
      <c r="A8256" s="3" t="str">
        <f>IFERROR(__xludf.DUMMYFUNCTION("""COMPUTED_VALUE"""),"nitrodoge")</f>
        <v>nitrodoge</v>
      </c>
      <c r="B8256" s="3" t="str">
        <f>IFERROR(__xludf.DUMMYFUNCTION("""COMPUTED_VALUE"""),"nitrodoge")</f>
        <v>nitrodoge</v>
      </c>
      <c r="C8256" s="3" t="str">
        <f>IFERROR(__xludf.DUMMYFUNCTION("""COMPUTED_VALUE"""),"nitroDOGE")</f>
        <v>nitroDOGE</v>
      </c>
    </row>
    <row r="8257">
      <c r="A8257" s="3" t="str">
        <f>IFERROR(__xludf.DUMMYFUNCTION("""COMPUTED_VALUE"""),"nitroex")</f>
        <v>nitroex</v>
      </c>
      <c r="B8257" s="3" t="str">
        <f>IFERROR(__xludf.DUMMYFUNCTION("""COMPUTED_VALUE"""),"ntx")</f>
        <v>ntx</v>
      </c>
      <c r="C8257" s="3" t="str">
        <f>IFERROR(__xludf.DUMMYFUNCTION("""COMPUTED_VALUE"""),"NitroEX")</f>
        <v>NitroEX</v>
      </c>
    </row>
    <row r="8258">
      <c r="A8258" s="3" t="str">
        <f>IFERROR(__xludf.DUMMYFUNCTION("""COMPUTED_VALUE"""),"nitrofloki")</f>
        <v>nitrofloki</v>
      </c>
      <c r="B8258" s="3" t="str">
        <f>IFERROR(__xludf.DUMMYFUNCTION("""COMPUTED_VALUE"""),"nifloki")</f>
        <v>nifloki</v>
      </c>
      <c r="C8258" s="3" t="str">
        <f>IFERROR(__xludf.DUMMYFUNCTION("""COMPUTED_VALUE"""),"NitroFloki")</f>
        <v>NitroFloki</v>
      </c>
    </row>
    <row r="8259">
      <c r="A8259" s="3" t="str">
        <f>IFERROR(__xludf.DUMMYFUNCTION("""COMPUTED_VALUE"""),"nitro-league")</f>
        <v>nitro-league</v>
      </c>
      <c r="B8259" s="3" t="str">
        <f>IFERROR(__xludf.DUMMYFUNCTION("""COMPUTED_VALUE"""),"nitro")</f>
        <v>nitro</v>
      </c>
      <c r="C8259" s="3" t="str">
        <f>IFERROR(__xludf.DUMMYFUNCTION("""COMPUTED_VALUE"""),"Nitro League")</f>
        <v>Nitro League</v>
      </c>
    </row>
    <row r="8260">
      <c r="A8260" s="3" t="str">
        <f>IFERROR(__xludf.DUMMYFUNCTION("""COMPUTED_VALUE"""),"nitroshiba")</f>
        <v>nitroshiba</v>
      </c>
      <c r="B8260" s="3" t="str">
        <f>IFERROR(__xludf.DUMMYFUNCTION("""COMPUTED_VALUE"""),"nishib")</f>
        <v>nishib</v>
      </c>
      <c r="C8260" s="3" t="str">
        <f>IFERROR(__xludf.DUMMYFUNCTION("""COMPUTED_VALUE"""),"NitroShiba")</f>
        <v>NitroShiba</v>
      </c>
    </row>
    <row r="8261">
      <c r="A8261" s="3" t="str">
        <f>IFERROR(__xludf.DUMMYFUNCTION("""COMPUTED_VALUE"""),"nix-bridge-token")</f>
        <v>nix-bridge-token</v>
      </c>
      <c r="B8261" s="3" t="str">
        <f>IFERROR(__xludf.DUMMYFUNCTION("""COMPUTED_VALUE"""),"voice")</f>
        <v>voice</v>
      </c>
      <c r="C8261" s="3" t="str">
        <f>IFERROR(__xludf.DUMMYFUNCTION("""COMPUTED_VALUE"""),"Voice")</f>
        <v>Voice</v>
      </c>
    </row>
    <row r="8262">
      <c r="A8262" s="3" t="str">
        <f>IFERROR(__xludf.DUMMYFUNCTION("""COMPUTED_VALUE"""),"nkcl-classic")</f>
        <v>nkcl-classic</v>
      </c>
      <c r="B8262" s="3" t="str">
        <f>IFERROR(__xludf.DUMMYFUNCTION("""COMPUTED_VALUE"""),"nkclc")</f>
        <v>nkclc</v>
      </c>
      <c r="C8262" s="3" t="str">
        <f>IFERROR(__xludf.DUMMYFUNCTION("""COMPUTED_VALUE"""),"NKCL Classic")</f>
        <v>NKCL Classic</v>
      </c>
    </row>
    <row r="8263">
      <c r="A8263" s="3" t="str">
        <f>IFERROR(__xludf.DUMMYFUNCTION("""COMPUTED_VALUE"""),"nkn")</f>
        <v>nkn</v>
      </c>
      <c r="B8263" s="3" t="str">
        <f>IFERROR(__xludf.DUMMYFUNCTION("""COMPUTED_VALUE"""),"nkn")</f>
        <v>nkn</v>
      </c>
      <c r="C8263" s="3" t="str">
        <f>IFERROR(__xludf.DUMMYFUNCTION("""COMPUTED_VALUE"""),"NKN")</f>
        <v>NKN</v>
      </c>
    </row>
    <row r="8264">
      <c r="A8264" s="3" t="str">
        <f>IFERROR(__xludf.DUMMYFUNCTION("""COMPUTED_VALUE"""),"nnsdao-protocol")</f>
        <v>nnsdao-protocol</v>
      </c>
      <c r="B8264" s="3" t="str">
        <f>IFERROR(__xludf.DUMMYFUNCTION("""COMPUTED_VALUE"""),"ndp")</f>
        <v>ndp</v>
      </c>
      <c r="C8264" s="3" t="str">
        <f>IFERROR(__xludf.DUMMYFUNCTION("""COMPUTED_VALUE"""),"NnsDAO Protocol")</f>
        <v>NnsDAO Protocol</v>
      </c>
    </row>
    <row r="8265">
      <c r="A8265" s="3" t="str">
        <f>IFERROR(__xludf.DUMMYFUNCTION("""COMPUTED_VALUE"""),"noah")</f>
        <v>noah</v>
      </c>
      <c r="B8265" s="3" t="str">
        <f>IFERROR(__xludf.DUMMYFUNCTION("""COMPUTED_VALUE"""),"noah")</f>
        <v>noah</v>
      </c>
      <c r="C8265" s="3" t="str">
        <f>IFERROR(__xludf.DUMMYFUNCTION("""COMPUTED_VALUE"""),"Noah")</f>
        <v>Noah</v>
      </c>
    </row>
    <row r="8266">
      <c r="A8266" s="3" t="str">
        <f>IFERROR(__xludf.DUMMYFUNCTION("""COMPUTED_VALUE"""),"noah-coin")</f>
        <v>noah-coin</v>
      </c>
      <c r="B8266" s="3" t="str">
        <f>IFERROR(__xludf.DUMMYFUNCTION("""COMPUTED_VALUE"""),"noahp")</f>
        <v>noahp</v>
      </c>
      <c r="C8266" s="3" t="str">
        <f>IFERROR(__xludf.DUMMYFUNCTION("""COMPUTED_VALUE"""),"Noah Decentralized State Coin")</f>
        <v>Noah Decentralized State Coin</v>
      </c>
    </row>
    <row r="8267">
      <c r="A8267" s="3" t="str">
        <f>IFERROR(__xludf.DUMMYFUNCTION("""COMPUTED_VALUE"""),"noah-s-ark-coin")</f>
        <v>noah-s-ark-coin</v>
      </c>
      <c r="B8267" s="3" t="str">
        <f>IFERROR(__xludf.DUMMYFUNCTION("""COMPUTED_VALUE"""),"nac")</f>
        <v>nac</v>
      </c>
      <c r="C8267" s="3" t="str">
        <f>IFERROR(__xludf.DUMMYFUNCTION("""COMPUTED_VALUE"""),"Noah's Ark Coin")</f>
        <v>Noah's Ark Coin</v>
      </c>
    </row>
    <row r="8268">
      <c r="A8268" s="3" t="str">
        <f>IFERROR(__xludf.DUMMYFUNCTION("""COMPUTED_VALUE"""),"noa-play")</f>
        <v>noa-play</v>
      </c>
      <c r="B8268" s="3" t="str">
        <f>IFERROR(__xludf.DUMMYFUNCTION("""COMPUTED_VALUE"""),"noa")</f>
        <v>noa</v>
      </c>
      <c r="C8268" s="3" t="str">
        <f>IFERROR(__xludf.DUMMYFUNCTION("""COMPUTED_VALUE"""),"NOA PLAY")</f>
        <v>NOA PLAY</v>
      </c>
    </row>
    <row r="8269">
      <c r="A8269" s="3" t="str">
        <f>IFERROR(__xludf.DUMMYFUNCTION("""COMPUTED_VALUE"""),"nobelium")</f>
        <v>nobelium</v>
      </c>
      <c r="B8269" s="3" t="str">
        <f>IFERROR(__xludf.DUMMYFUNCTION("""COMPUTED_VALUE"""),"nobel")</f>
        <v>nobel</v>
      </c>
      <c r="C8269" s="3" t="str">
        <f>IFERROR(__xludf.DUMMYFUNCTION("""COMPUTED_VALUE"""),"Nobelium")</f>
        <v>Nobelium</v>
      </c>
    </row>
    <row r="8270">
      <c r="A8270" s="3" t="str">
        <f>IFERROR(__xludf.DUMMYFUNCTION("""COMPUTED_VALUE"""),"nobility")</f>
        <v>nobility</v>
      </c>
      <c r="B8270" s="3" t="str">
        <f>IFERROR(__xludf.DUMMYFUNCTION("""COMPUTED_VALUE"""),"nbl")</f>
        <v>nbl</v>
      </c>
      <c r="C8270" s="3" t="str">
        <f>IFERROR(__xludf.DUMMYFUNCTION("""COMPUTED_VALUE"""),"Nobility")</f>
        <v>Nobility</v>
      </c>
    </row>
    <row r="8271">
      <c r="A8271" s="3" t="str">
        <f>IFERROR(__xludf.DUMMYFUNCTION("""COMPUTED_VALUE"""),"noblecoin")</f>
        <v>noblecoin</v>
      </c>
      <c r="B8271" s="3" t="str">
        <f>IFERROR(__xludf.DUMMYFUNCTION("""COMPUTED_VALUE"""),"nobl")</f>
        <v>nobl</v>
      </c>
      <c r="C8271" s="3" t="str">
        <f>IFERROR(__xludf.DUMMYFUNCTION("""COMPUTED_VALUE"""),"NobleCoin")</f>
        <v>NobleCoin</v>
      </c>
    </row>
    <row r="8272">
      <c r="A8272" s="3" t="str">
        <f>IFERROR(__xludf.DUMMYFUNCTION("""COMPUTED_VALUE"""),"noblesscoin")</f>
        <v>noblesscoin</v>
      </c>
      <c r="B8272" s="3" t="str">
        <f>IFERROR(__xludf.DUMMYFUNCTION("""COMPUTED_VALUE"""),"nbls")</f>
        <v>nbls</v>
      </c>
      <c r="C8272" s="3" t="str">
        <f>IFERROR(__xludf.DUMMYFUNCTION("""COMPUTED_VALUE"""),"Noblesscoin")</f>
        <v>Noblesscoin</v>
      </c>
    </row>
    <row r="8273">
      <c r="A8273" s="3" t="str">
        <f>IFERROR(__xludf.DUMMYFUNCTION("""COMPUTED_VALUE"""),"nobo-finance")</f>
        <v>nobo-finance</v>
      </c>
      <c r="B8273" s="3" t="str">
        <f>IFERROR(__xludf.DUMMYFUNCTION("""COMPUTED_VALUE"""),"nobf")</f>
        <v>nobf</v>
      </c>
      <c r="C8273" s="3" t="str">
        <f>IFERROR(__xludf.DUMMYFUNCTION("""COMPUTED_VALUE"""),"Nobo Finance")</f>
        <v>Nobo Finance</v>
      </c>
    </row>
    <row r="8274">
      <c r="A8274" s="3" t="str">
        <f>IFERROR(__xludf.DUMMYFUNCTION("""COMPUTED_VALUE"""),"no-bull")</f>
        <v>no-bull</v>
      </c>
      <c r="B8274" s="3" t="str">
        <f>IFERROR(__xludf.DUMMYFUNCTION("""COMPUTED_VALUE"""),"nb")</f>
        <v>nb</v>
      </c>
      <c r="C8274" s="3" t="str">
        <f>IFERROR(__xludf.DUMMYFUNCTION("""COMPUTED_VALUE"""),"No Bull")</f>
        <v>No Bull</v>
      </c>
    </row>
    <row r="8275">
      <c r="A8275" s="3" t="str">
        <f>IFERROR(__xludf.DUMMYFUNCTION("""COMPUTED_VALUE"""),"nobunaga")</f>
        <v>nobunaga</v>
      </c>
      <c r="B8275" s="3" t="str">
        <f>IFERROR(__xludf.DUMMYFUNCTION("""COMPUTED_VALUE"""),"nbng")</f>
        <v>nbng</v>
      </c>
      <c r="C8275" s="3" t="str">
        <f>IFERROR(__xludf.DUMMYFUNCTION("""COMPUTED_VALUE"""),"Nobunaga")</f>
        <v>Nobunaga</v>
      </c>
    </row>
    <row r="8276">
      <c r="A8276" s="3" t="str">
        <f>IFERROR(__xludf.DUMMYFUNCTION("""COMPUTED_VALUE"""),"nocapcoin")</f>
        <v>nocapcoin</v>
      </c>
      <c r="B8276" s="3" t="str">
        <f>IFERROR(__xludf.DUMMYFUNCTION("""COMPUTED_VALUE"""),"ncc")</f>
        <v>ncc</v>
      </c>
      <c r="C8276" s="3" t="str">
        <f>IFERROR(__xludf.DUMMYFUNCTION("""COMPUTED_VALUE"""),"NoCapCoin")</f>
        <v>NoCapCoin</v>
      </c>
    </row>
    <row r="8277">
      <c r="A8277" s="3" t="str">
        <f>IFERROR(__xludf.DUMMYFUNCTION("""COMPUTED_VALUE"""),"nodebunch")</f>
        <v>nodebunch</v>
      </c>
      <c r="B8277" s="3" t="str">
        <f>IFERROR(__xludf.DUMMYFUNCTION("""COMPUTED_VALUE"""),"noch")</f>
        <v>noch</v>
      </c>
      <c r="C8277" s="3" t="str">
        <f>IFERROR(__xludf.DUMMYFUNCTION("""COMPUTED_VALUE"""),"NodeBunch")</f>
        <v>NodeBunch</v>
      </c>
    </row>
    <row r="8278">
      <c r="A8278" s="3" t="str">
        <f>IFERROR(__xludf.DUMMYFUNCTION("""COMPUTED_VALUE"""),"nodeify")</f>
        <v>nodeify</v>
      </c>
      <c r="B8278" s="3" t="str">
        <f>IFERROR(__xludf.DUMMYFUNCTION("""COMPUTED_VALUE"""),"ndfi")</f>
        <v>ndfi</v>
      </c>
      <c r="C8278" s="3" t="str">
        <f>IFERROR(__xludf.DUMMYFUNCTION("""COMPUTED_VALUE"""),"Nodeify")</f>
        <v>Nodeify</v>
      </c>
    </row>
    <row r="8279">
      <c r="A8279" s="3" t="str">
        <f>IFERROR(__xludf.DUMMYFUNCTION("""COMPUTED_VALUE"""),"noderunners")</f>
        <v>noderunners</v>
      </c>
      <c r="B8279" s="3" t="str">
        <f>IFERROR(__xludf.DUMMYFUNCTION("""COMPUTED_VALUE"""),"ndr")</f>
        <v>ndr</v>
      </c>
      <c r="C8279" s="3" t="str">
        <f>IFERROR(__xludf.DUMMYFUNCTION("""COMPUTED_VALUE"""),"Node Runners")</f>
        <v>Node Runners</v>
      </c>
    </row>
    <row r="8280">
      <c r="A8280" s="3" t="str">
        <f>IFERROR(__xludf.DUMMYFUNCTION("""COMPUTED_VALUE"""),"nodeseeds")</f>
        <v>nodeseeds</v>
      </c>
      <c r="B8280" s="3" t="str">
        <f>IFERROR(__xludf.DUMMYFUNCTION("""COMPUTED_VALUE"""),"nds")</f>
        <v>nds</v>
      </c>
      <c r="C8280" s="3" t="str">
        <f>IFERROR(__xludf.DUMMYFUNCTION("""COMPUTED_VALUE"""),"Nodeseeds")</f>
        <v>Nodeseeds</v>
      </c>
    </row>
    <row r="8281">
      <c r="A8281" s="3" t="str">
        <f>IFERROR(__xludf.DUMMYFUNCTION("""COMPUTED_VALUE"""),"nodestats")</f>
        <v>nodestats</v>
      </c>
      <c r="B8281" s="3" t="str">
        <f>IFERROR(__xludf.DUMMYFUNCTION("""COMPUTED_VALUE"""),"ns")</f>
        <v>ns</v>
      </c>
      <c r="C8281" s="3" t="str">
        <f>IFERROR(__xludf.DUMMYFUNCTION("""COMPUTED_VALUE"""),"Nodestats")</f>
        <v>Nodestats</v>
      </c>
    </row>
    <row r="8282">
      <c r="A8282" s="3" t="str">
        <f>IFERROR(__xludf.DUMMYFUNCTION("""COMPUTED_VALUE"""),"nodetrade")</f>
        <v>nodetrade</v>
      </c>
      <c r="B8282" s="3" t="str">
        <f>IFERROR(__xludf.DUMMYFUNCTION("""COMPUTED_VALUE"""),"mnx")</f>
        <v>mnx</v>
      </c>
      <c r="C8282" s="3" t="str">
        <f>IFERROR(__xludf.DUMMYFUNCTION("""COMPUTED_VALUE"""),"Nodetrade")</f>
        <v>Nodetrade</v>
      </c>
    </row>
    <row r="8283">
      <c r="A8283" s="3" t="str">
        <f>IFERROR(__xludf.DUMMYFUNCTION("""COMPUTED_VALUE"""),"nodle-network")</f>
        <v>nodle-network</v>
      </c>
      <c r="B8283" s="3" t="str">
        <f>IFERROR(__xludf.DUMMYFUNCTION("""COMPUTED_VALUE"""),"nodl")</f>
        <v>nodl</v>
      </c>
      <c r="C8283" s="3" t="str">
        <f>IFERROR(__xludf.DUMMYFUNCTION("""COMPUTED_VALUE"""),"Nodle Network")</f>
        <v>Nodle Network</v>
      </c>
    </row>
    <row r="8284">
      <c r="A8284" s="3" t="str">
        <f>IFERROR(__xludf.DUMMYFUNCTION("""COMPUTED_VALUE"""),"nody")</f>
        <v>nody</v>
      </c>
      <c r="B8284" s="3" t="str">
        <f>IFERROR(__xludf.DUMMYFUNCTION("""COMPUTED_VALUE"""),"nody")</f>
        <v>nody</v>
      </c>
      <c r="C8284" s="3" t="str">
        <f>IFERROR(__xludf.DUMMYFUNCTION("""COMPUTED_VALUE"""),"Nody")</f>
        <v>Nody</v>
      </c>
    </row>
    <row r="8285">
      <c r="A8285" s="3" t="str">
        <f>IFERROR(__xludf.DUMMYFUNCTION("""COMPUTED_VALUE"""),"noe-crypto-bank")</f>
        <v>noe-crypto-bank</v>
      </c>
      <c r="B8285" s="3" t="str">
        <f>IFERROR(__xludf.DUMMYFUNCTION("""COMPUTED_VALUE"""),"noe")</f>
        <v>noe</v>
      </c>
      <c r="C8285" s="3" t="str">
        <f>IFERROR(__xludf.DUMMYFUNCTION("""COMPUTED_VALUE"""),"NOE GLOBAL")</f>
        <v>NOE GLOBAL</v>
      </c>
    </row>
    <row r="8286">
      <c r="A8286" s="3" t="str">
        <f>IFERROR(__xludf.DUMMYFUNCTION("""COMPUTED_VALUE"""),"nogoaltoken")</f>
        <v>nogoaltoken</v>
      </c>
      <c r="B8286" s="3" t="str">
        <f>IFERROR(__xludf.DUMMYFUNCTION("""COMPUTED_VALUE"""),"ino")</f>
        <v>ino</v>
      </c>
      <c r="C8286" s="3" t="str">
        <f>IFERROR(__xludf.DUMMYFUNCTION("""COMPUTED_VALUE"""),"NoGoal")</f>
        <v>NoGoal</v>
      </c>
    </row>
    <row r="8287">
      <c r="A8287" s="3" t="str">
        <f>IFERROR(__xludf.DUMMYFUNCTION("""COMPUTED_VALUE"""),"noia-network")</f>
        <v>noia-network</v>
      </c>
      <c r="B8287" s="3" t="str">
        <f>IFERROR(__xludf.DUMMYFUNCTION("""COMPUTED_VALUE"""),"noia")</f>
        <v>noia</v>
      </c>
      <c r="C8287" s="3" t="str">
        <f>IFERROR(__xludf.DUMMYFUNCTION("""COMPUTED_VALUE"""),"Syntropy")</f>
        <v>Syntropy</v>
      </c>
    </row>
    <row r="8288">
      <c r="A8288" s="3" t="str">
        <f>IFERROR(__xludf.DUMMYFUNCTION("""COMPUTED_VALUE"""),"noir-phygital")</f>
        <v>noir-phygital</v>
      </c>
      <c r="B8288" s="3" t="str">
        <f>IFERROR(__xludf.DUMMYFUNCTION("""COMPUTED_VALUE"""),"noir")</f>
        <v>noir</v>
      </c>
      <c r="C8288" s="3" t="str">
        <f>IFERROR(__xludf.DUMMYFUNCTION("""COMPUTED_VALUE"""),"Noir Phygital")</f>
        <v>Noir Phygital</v>
      </c>
    </row>
    <row r="8289">
      <c r="A8289" s="3" t="str">
        <f>IFERROR(__xludf.DUMMYFUNCTION("""COMPUTED_VALUE"""),"noku")</f>
        <v>noku</v>
      </c>
      <c r="B8289" s="3" t="str">
        <f>IFERROR(__xludf.DUMMYFUNCTION("""COMPUTED_VALUE"""),"noku")</f>
        <v>noku</v>
      </c>
      <c r="C8289" s="3" t="str">
        <f>IFERROR(__xludf.DUMMYFUNCTION("""COMPUTED_VALUE"""),"Noku")</f>
        <v>Noku</v>
      </c>
    </row>
    <row r="8290">
      <c r="A8290" s="3" t="str">
        <f>IFERROR(__xludf.DUMMYFUNCTION("""COMPUTED_VALUE"""),"nole-npc")</f>
        <v>nole-npc</v>
      </c>
      <c r="B8290" s="3" t="str">
        <f>IFERROR(__xludf.DUMMYFUNCTION("""COMPUTED_VALUE"""),"npc")</f>
        <v>npc</v>
      </c>
      <c r="C8290" s="3" t="str">
        <f>IFERROR(__xludf.DUMMYFUNCTION("""COMPUTED_VALUE"""),"NPC DAO")</f>
        <v>NPC DAO</v>
      </c>
    </row>
    <row r="8291">
      <c r="A8291" s="3" t="str">
        <f>IFERROR(__xludf.DUMMYFUNCTION("""COMPUTED_VALUE"""),"no-limit-ape")</f>
        <v>no-limit-ape</v>
      </c>
      <c r="B8291" s="3" t="str">
        <f>IFERROR(__xludf.DUMMYFUNCTION("""COMPUTED_VALUE"""),"nla")</f>
        <v>nla</v>
      </c>
      <c r="C8291" s="3" t="str">
        <f>IFERROR(__xludf.DUMMYFUNCTION("""COMPUTED_VALUE"""),"No Limit Ape")</f>
        <v>No Limit Ape</v>
      </c>
    </row>
    <row r="8292">
      <c r="A8292" s="3" t="str">
        <f>IFERROR(__xludf.DUMMYFUNCTION("""COMPUTED_VALUE"""),"nolimitcoin")</f>
        <v>nolimitcoin</v>
      </c>
      <c r="B8292" s="3" t="str">
        <f>IFERROR(__xludf.DUMMYFUNCTION("""COMPUTED_VALUE"""),"nlc")</f>
        <v>nlc</v>
      </c>
      <c r="C8292" s="3" t="str">
        <f>IFERROR(__xludf.DUMMYFUNCTION("""COMPUTED_VALUE"""),"NoLimitCoin")</f>
        <v>NoLimitCoin</v>
      </c>
    </row>
    <row r="8293">
      <c r="A8293" s="3" t="str">
        <f>IFERROR(__xludf.DUMMYFUNCTION("""COMPUTED_VALUE"""),"nomad-exiles")</f>
        <v>nomad-exiles</v>
      </c>
      <c r="B8293" s="3" t="str">
        <f>IFERROR(__xludf.DUMMYFUNCTION("""COMPUTED_VALUE"""),"pride")</f>
        <v>pride</v>
      </c>
      <c r="C8293" s="3" t="str">
        <f>IFERROR(__xludf.DUMMYFUNCTION("""COMPUTED_VALUE"""),"Nomad Exiles")</f>
        <v>Nomad Exiles</v>
      </c>
    </row>
    <row r="8294">
      <c r="A8294" s="3" t="str">
        <f>IFERROR(__xludf.DUMMYFUNCTION("""COMPUTED_VALUE"""),"nomadland")</f>
        <v>nomadland</v>
      </c>
      <c r="B8294" s="3" t="str">
        <f>IFERROR(__xludf.DUMMYFUNCTION("""COMPUTED_VALUE"""),"nomad")</f>
        <v>nomad</v>
      </c>
      <c r="C8294" s="3" t="str">
        <f>IFERROR(__xludf.DUMMYFUNCTION("""COMPUTED_VALUE"""),"NOMADLAND")</f>
        <v>NOMADLAND</v>
      </c>
    </row>
    <row r="8295">
      <c r="A8295" s="3" t="str">
        <f>IFERROR(__xludf.DUMMYFUNCTION("""COMPUTED_VALUE"""),"nominex")</f>
        <v>nominex</v>
      </c>
      <c r="B8295" s="3" t="str">
        <f>IFERROR(__xludf.DUMMYFUNCTION("""COMPUTED_VALUE"""),"nmx")</f>
        <v>nmx</v>
      </c>
      <c r="C8295" s="3" t="str">
        <f>IFERROR(__xludf.DUMMYFUNCTION("""COMPUTED_VALUE"""),"Nominex")</f>
        <v>Nominex</v>
      </c>
    </row>
    <row r="8296">
      <c r="A8296" s="3" t="str">
        <f>IFERROR(__xludf.DUMMYFUNCTION("""COMPUTED_VALUE"""),"nomy")</f>
        <v>nomy</v>
      </c>
      <c r="B8296" s="3" t="str">
        <f>IFERROR(__xludf.DUMMYFUNCTION("""COMPUTED_VALUE"""),"nomy")</f>
        <v>nomy</v>
      </c>
      <c r="C8296" s="3" t="str">
        <f>IFERROR(__xludf.DUMMYFUNCTION("""COMPUTED_VALUE"""),"NOMY")</f>
        <v>NOMY</v>
      </c>
    </row>
    <row r="8297">
      <c r="A8297" s="3" t="str">
        <f>IFERROR(__xludf.DUMMYFUNCTION("""COMPUTED_VALUE"""),"non-fungible-history")</f>
        <v>non-fungible-history</v>
      </c>
      <c r="B8297" s="3" t="str">
        <f>IFERROR(__xludf.DUMMYFUNCTION("""COMPUTED_VALUE"""),"nfh2")</f>
        <v>nfh2</v>
      </c>
      <c r="C8297" s="3" t="str">
        <f>IFERROR(__xludf.DUMMYFUNCTION("""COMPUTED_VALUE"""),"Non-Fungible History")</f>
        <v>Non-Fungible History</v>
      </c>
    </row>
    <row r="8298">
      <c r="A8298" s="3" t="str">
        <f>IFERROR(__xludf.DUMMYFUNCTION("""COMPUTED_VALUE"""),"non-fungible-media-token")</f>
        <v>non-fungible-media-token</v>
      </c>
      <c r="B8298" s="3" t="str">
        <f>IFERROR(__xludf.DUMMYFUNCTION("""COMPUTED_VALUE"""),"nfmt")</f>
        <v>nfmt</v>
      </c>
      <c r="C8298" s="3" t="str">
        <f>IFERROR(__xludf.DUMMYFUNCTION("""COMPUTED_VALUE"""),"Non Fungible Media Token")</f>
        <v>Non Fungible Media Token</v>
      </c>
    </row>
    <row r="8299">
      <c r="A8299" s="3" t="str">
        <f>IFERROR(__xludf.DUMMYFUNCTION("""COMPUTED_VALUE"""),"non-fungible-toke")</f>
        <v>non-fungible-toke</v>
      </c>
      <c r="B8299" s="3" t="str">
        <f>IFERROR(__xludf.DUMMYFUNCTION("""COMPUTED_VALUE"""),"toke")</f>
        <v>toke</v>
      </c>
      <c r="C8299" s="3" t="str">
        <f>IFERROR(__xludf.DUMMYFUNCTION("""COMPUTED_VALUE"""),"Non-Fungible TOKE")</f>
        <v>Non-Fungible TOKE</v>
      </c>
    </row>
    <row r="8300">
      <c r="A8300" s="3" t="str">
        <f>IFERROR(__xludf.DUMMYFUNCTION("""COMPUTED_VALUE"""),"non-fungible-yearn")</f>
        <v>non-fungible-yearn</v>
      </c>
      <c r="B8300" s="3" t="str">
        <f>IFERROR(__xludf.DUMMYFUNCTION("""COMPUTED_VALUE"""),"nfy")</f>
        <v>nfy</v>
      </c>
      <c r="C8300" s="3" t="str">
        <f>IFERROR(__xludf.DUMMYFUNCTION("""COMPUTED_VALUE"""),"Non-Fungible Yearn")</f>
        <v>Non-Fungible Yearn</v>
      </c>
    </row>
    <row r="8301">
      <c r="A8301" s="3" t="str">
        <f>IFERROR(__xludf.DUMMYFUNCTION("""COMPUTED_VALUE"""),"no-one")</f>
        <v>no-one</v>
      </c>
      <c r="B8301" s="3" t="str">
        <f>IFERROR(__xludf.DUMMYFUNCTION("""COMPUTED_VALUE"""),"noone")</f>
        <v>noone</v>
      </c>
      <c r="C8301" s="3" t="str">
        <f>IFERROR(__xludf.DUMMYFUNCTION("""COMPUTED_VALUE"""),"No One")</f>
        <v>No One</v>
      </c>
    </row>
    <row r="8302">
      <c r="A8302" s="3" t="str">
        <f>IFERROR(__xludf.DUMMYFUNCTION("""COMPUTED_VALUE"""),"nora-token")</f>
        <v>nora-token</v>
      </c>
      <c r="B8302" s="3" t="str">
        <f>IFERROR(__xludf.DUMMYFUNCTION("""COMPUTED_VALUE"""),"nra")</f>
        <v>nra</v>
      </c>
      <c r="C8302" s="3" t="str">
        <f>IFERROR(__xludf.DUMMYFUNCTION("""COMPUTED_VALUE"""),"Nora")</f>
        <v>Nora</v>
      </c>
    </row>
    <row r="8303">
      <c r="A8303" s="3" t="str">
        <f>IFERROR(__xludf.DUMMYFUNCTION("""COMPUTED_VALUE"""),"nord-finance")</f>
        <v>nord-finance</v>
      </c>
      <c r="B8303" s="3" t="str">
        <f>IFERROR(__xludf.DUMMYFUNCTION("""COMPUTED_VALUE"""),"nord")</f>
        <v>nord</v>
      </c>
      <c r="C8303" s="3" t="str">
        <f>IFERROR(__xludf.DUMMYFUNCTION("""COMPUTED_VALUE"""),"Nord Finance")</f>
        <v>Nord Finance</v>
      </c>
    </row>
    <row r="8304">
      <c r="A8304" s="3" t="str">
        <f>IFERROR(__xludf.DUMMYFUNCTION("""COMPUTED_VALUE"""),"nosana")</f>
        <v>nosana</v>
      </c>
      <c r="B8304" s="3" t="str">
        <f>IFERROR(__xludf.DUMMYFUNCTION("""COMPUTED_VALUE"""),"nos")</f>
        <v>nos</v>
      </c>
      <c r="C8304" s="3" t="str">
        <f>IFERROR(__xludf.DUMMYFUNCTION("""COMPUTED_VALUE"""),"Nosana")</f>
        <v>Nosana</v>
      </c>
    </row>
    <row r="8305">
      <c r="A8305" s="3" t="str">
        <f>IFERROR(__xludf.DUMMYFUNCTION("""COMPUTED_VALUE"""),"noshit")</f>
        <v>noshit</v>
      </c>
      <c r="B8305" s="3" t="str">
        <f>IFERROR(__xludf.DUMMYFUNCTION("""COMPUTED_VALUE"""),"nsh")</f>
        <v>nsh</v>
      </c>
      <c r="C8305" s="3" t="str">
        <f>IFERROR(__xludf.DUMMYFUNCTION("""COMPUTED_VALUE"""),"NoShit")</f>
        <v>NoShit</v>
      </c>
    </row>
    <row r="8306">
      <c r="A8306" s="3" t="str">
        <f>IFERROR(__xludf.DUMMYFUNCTION("""COMPUTED_VALUE"""),"nosnitches")</f>
        <v>nosnitches</v>
      </c>
      <c r="B8306" s="3" t="str">
        <f>IFERROR(__xludf.DUMMYFUNCTION("""COMPUTED_VALUE"""),"nosnitch")</f>
        <v>nosnitch</v>
      </c>
      <c r="C8306" s="3" t="str">
        <f>IFERROR(__xludf.DUMMYFUNCTION("""COMPUTED_VALUE"""),"Nosnitches")</f>
        <v>Nosnitches</v>
      </c>
    </row>
    <row r="8307">
      <c r="A8307" s="3" t="str">
        <f>IFERROR(__xludf.DUMMYFUNCTION("""COMPUTED_VALUE"""),"nosturis")</f>
        <v>nosturis</v>
      </c>
      <c r="B8307" s="3" t="str">
        <f>IFERROR(__xludf.DUMMYFUNCTION("""COMPUTED_VALUE"""),"ntrs")</f>
        <v>ntrs</v>
      </c>
      <c r="C8307" s="3" t="str">
        <f>IFERROR(__xludf.DUMMYFUNCTION("""COMPUTED_VALUE"""),"Nosturis")</f>
        <v>Nosturis</v>
      </c>
    </row>
    <row r="8308">
      <c r="A8308" s="3" t="str">
        <f>IFERROR(__xludf.DUMMYFUNCTION("""COMPUTED_VALUE"""),"nota")</f>
        <v>nota</v>
      </c>
      <c r="B8308" s="3" t="str">
        <f>IFERROR(__xludf.DUMMYFUNCTION("""COMPUTED_VALUE"""),"usnota")</f>
        <v>usnota</v>
      </c>
      <c r="C8308" s="3" t="str">
        <f>IFERROR(__xludf.DUMMYFUNCTION("""COMPUTED_VALUE"""),"NOTA")</f>
        <v>NOTA</v>
      </c>
    </row>
    <row r="8309">
      <c r="A8309" s="3" t="str">
        <f>IFERROR(__xludf.DUMMYFUNCTION("""COMPUTED_VALUE"""),"notable")</f>
        <v>notable</v>
      </c>
      <c r="B8309" s="3" t="str">
        <f>IFERROR(__xludf.DUMMYFUNCTION("""COMPUTED_VALUE"""),"nbl")</f>
        <v>nbl</v>
      </c>
      <c r="C8309" s="3" t="str">
        <f>IFERROR(__xludf.DUMMYFUNCTION("""COMPUTED_VALUE"""),"Notable")</f>
        <v>Notable</v>
      </c>
    </row>
    <row r="8310">
      <c r="A8310" s="3" t="str">
        <f>IFERROR(__xludf.DUMMYFUNCTION("""COMPUTED_VALUE"""),"not-another-shit-altcoin")</f>
        <v>not-another-shit-altcoin</v>
      </c>
      <c r="B8310" s="3" t="str">
        <f>IFERROR(__xludf.DUMMYFUNCTION("""COMPUTED_VALUE"""),"nasa")</f>
        <v>nasa</v>
      </c>
      <c r="C8310" s="3" t="str">
        <f>IFERROR(__xludf.DUMMYFUNCTION("""COMPUTED_VALUE"""),"Not Another Shit Altcoin")</f>
        <v>Not Another Shit Altcoin</v>
      </c>
    </row>
    <row r="8311">
      <c r="A8311" s="3" t="str">
        <f>IFERROR(__xludf.DUMMYFUNCTION("""COMPUTED_VALUE"""),"note")</f>
        <v>note</v>
      </c>
      <c r="B8311" s="3" t="str">
        <f>IFERROR(__xludf.DUMMYFUNCTION("""COMPUTED_VALUE"""),"note")</f>
        <v>note</v>
      </c>
      <c r="C8311" s="3" t="str">
        <f>IFERROR(__xludf.DUMMYFUNCTION("""COMPUTED_VALUE"""),"Note")</f>
        <v>Note</v>
      </c>
    </row>
    <row r="8312">
      <c r="A8312" s="3" t="str">
        <f>IFERROR(__xludf.DUMMYFUNCTION("""COMPUTED_VALUE"""),"nothing")</f>
        <v>nothing</v>
      </c>
      <c r="B8312" s="3" t="str">
        <f>IFERROR(__xludf.DUMMYFUNCTION("""COMPUTED_VALUE"""),"nada")</f>
        <v>nada</v>
      </c>
      <c r="C8312" s="3" t="str">
        <f>IFERROR(__xludf.DUMMYFUNCTION("""COMPUTED_VALUE"""),"Nothing")</f>
        <v>Nothing</v>
      </c>
    </row>
    <row r="8313">
      <c r="A8313" s="3" t="str">
        <f>IFERROR(__xludf.DUMMYFUNCTION("""COMPUTED_VALUE"""),"notional-finance")</f>
        <v>notional-finance</v>
      </c>
      <c r="B8313" s="3" t="str">
        <f>IFERROR(__xludf.DUMMYFUNCTION("""COMPUTED_VALUE"""),"note")</f>
        <v>note</v>
      </c>
      <c r="C8313" s="3" t="str">
        <f>IFERROR(__xludf.DUMMYFUNCTION("""COMPUTED_VALUE"""),"Notional Finance")</f>
        <v>Notional Finance</v>
      </c>
    </row>
    <row r="8314">
      <c r="A8314" s="3" t="str">
        <f>IFERROR(__xludf.DUMMYFUNCTION("""COMPUTED_VALUE"""),"notsafemoon")</f>
        <v>notsafemoon</v>
      </c>
      <c r="B8314" s="3" t="str">
        <f>IFERROR(__xludf.DUMMYFUNCTION("""COMPUTED_VALUE"""),"notsafemoon")</f>
        <v>notsafemoon</v>
      </c>
      <c r="C8314" s="3" t="str">
        <f>IFERROR(__xludf.DUMMYFUNCTION("""COMPUTED_VALUE"""),"NotSafeMoon")</f>
        <v>NotSafeMoon</v>
      </c>
    </row>
    <row r="8315">
      <c r="A8315" s="3" t="str">
        <f>IFERROR(__xludf.DUMMYFUNCTION("""COMPUTED_VALUE"""),"nova")</f>
        <v>nova</v>
      </c>
      <c r="B8315" s="3" t="str">
        <f>IFERROR(__xludf.DUMMYFUNCTION("""COMPUTED_VALUE"""),"nova")</f>
        <v>nova</v>
      </c>
      <c r="C8315" s="3" t="str">
        <f>IFERROR(__xludf.DUMMYFUNCTION("""COMPUTED_VALUE"""),"NOVA")</f>
        <v>NOVA</v>
      </c>
    </row>
    <row r="8316">
      <c r="A8316" s="3" t="str">
        <f>IFERROR(__xludf.DUMMYFUNCTION("""COMPUTED_VALUE"""),"novacoin")</f>
        <v>novacoin</v>
      </c>
      <c r="B8316" s="3" t="str">
        <f>IFERROR(__xludf.DUMMYFUNCTION("""COMPUTED_VALUE"""),"nvc")</f>
        <v>nvc</v>
      </c>
      <c r="C8316" s="3" t="str">
        <f>IFERROR(__xludf.DUMMYFUNCTION("""COMPUTED_VALUE"""),"Novacoin")</f>
        <v>Novacoin</v>
      </c>
    </row>
    <row r="8317">
      <c r="A8317" s="3" t="str">
        <f>IFERROR(__xludf.DUMMYFUNCTION("""COMPUTED_VALUE"""),"nova-finance")</f>
        <v>nova-finance</v>
      </c>
      <c r="B8317" s="3" t="str">
        <f>IFERROR(__xludf.DUMMYFUNCTION("""COMPUTED_VALUE"""),"nova")</f>
        <v>nova</v>
      </c>
      <c r="C8317" s="3" t="str">
        <f>IFERROR(__xludf.DUMMYFUNCTION("""COMPUTED_VALUE"""),"Nova Finance")</f>
        <v>Nova Finance</v>
      </c>
    </row>
    <row r="8318">
      <c r="A8318" s="3" t="str">
        <f>IFERROR(__xludf.DUMMYFUNCTION("""COMPUTED_VALUE"""),"nova-miningverse")</f>
        <v>nova-miningverse</v>
      </c>
      <c r="B8318" s="3" t="str">
        <f>IFERROR(__xludf.DUMMYFUNCTION("""COMPUTED_VALUE"""),"nmv")</f>
        <v>nmv</v>
      </c>
      <c r="C8318" s="3" t="str">
        <f>IFERROR(__xludf.DUMMYFUNCTION("""COMPUTED_VALUE"""),"Nova Miningverse")</f>
        <v>Nova Miningverse</v>
      </c>
    </row>
    <row r="8319">
      <c r="A8319" s="3" t="str">
        <f>IFERROR(__xludf.DUMMYFUNCTION("""COMPUTED_VALUE"""),"nova-network")</f>
        <v>nova-network</v>
      </c>
      <c r="B8319" s="3" t="str">
        <f>IFERROR(__xludf.DUMMYFUNCTION("""COMPUTED_VALUE"""),"nbk")</f>
        <v>nbk</v>
      </c>
      <c r="C8319" s="3" t="str">
        <f>IFERROR(__xludf.DUMMYFUNCTION("""COMPUTED_VALUE"""),"Nova Token")</f>
        <v>Nova Token</v>
      </c>
    </row>
    <row r="8320">
      <c r="A8320" s="3" t="str">
        <f>IFERROR(__xludf.DUMMYFUNCTION("""COMPUTED_VALUE"""),"novara-calcio-fan-token")</f>
        <v>novara-calcio-fan-token</v>
      </c>
      <c r="B8320" s="3" t="str">
        <f>IFERROR(__xludf.DUMMYFUNCTION("""COMPUTED_VALUE"""),"nov")</f>
        <v>nov</v>
      </c>
      <c r="C8320" s="3" t="str">
        <f>IFERROR(__xludf.DUMMYFUNCTION("""COMPUTED_VALUE"""),"Novara Calcio Fan Token")</f>
        <v>Novara Calcio Fan Token</v>
      </c>
    </row>
    <row r="8321">
      <c r="A8321" s="3" t="str">
        <f>IFERROR(__xludf.DUMMYFUNCTION("""COMPUTED_VALUE"""),"novaxcrystal")</f>
        <v>novaxcrystal</v>
      </c>
      <c r="B8321" s="3" t="str">
        <f>IFERROR(__xludf.DUMMYFUNCTION("""COMPUTED_VALUE"""),"xcrs")</f>
        <v>xcrs</v>
      </c>
      <c r="C8321" s="3" t="str">
        <f>IFERROR(__xludf.DUMMYFUNCTION("""COMPUTED_VALUE"""),"NovaXCrystal")</f>
        <v>NovaXCrystal</v>
      </c>
    </row>
    <row r="8322">
      <c r="A8322" s="3" t="str">
        <f>IFERROR(__xludf.DUMMYFUNCTION("""COMPUTED_VALUE"""),"novaxmetal")</f>
        <v>novaxmetal</v>
      </c>
      <c r="B8322" s="3" t="str">
        <f>IFERROR(__xludf.DUMMYFUNCTION("""COMPUTED_VALUE"""),"xmtl")</f>
        <v>xmtl</v>
      </c>
      <c r="C8322" s="3" t="str">
        <f>IFERROR(__xludf.DUMMYFUNCTION("""COMPUTED_VALUE"""),"NovaXMetal")</f>
        <v>NovaXMetal</v>
      </c>
    </row>
    <row r="8323">
      <c r="A8323" s="3" t="str">
        <f>IFERROR(__xludf.DUMMYFUNCTION("""COMPUTED_VALUE"""),"novaxsolar")</f>
        <v>novaxsolar</v>
      </c>
      <c r="B8323" s="3" t="str">
        <f>IFERROR(__xludf.DUMMYFUNCTION("""COMPUTED_VALUE"""),"xslr")</f>
        <v>xslr</v>
      </c>
      <c r="C8323" s="3" t="str">
        <f>IFERROR(__xludf.DUMMYFUNCTION("""COMPUTED_VALUE"""),"NovaXSolar")</f>
        <v>NovaXSolar</v>
      </c>
    </row>
    <row r="8324">
      <c r="A8324" s="3" t="str">
        <f>IFERROR(__xludf.DUMMYFUNCTION("""COMPUTED_VALUE"""),"novem-gold")</f>
        <v>novem-gold</v>
      </c>
      <c r="B8324" s="3" t="str">
        <f>IFERROR(__xludf.DUMMYFUNCTION("""COMPUTED_VALUE"""),"nnn")</f>
        <v>nnn</v>
      </c>
      <c r="C8324" s="3" t="str">
        <f>IFERROR(__xludf.DUMMYFUNCTION("""COMPUTED_VALUE"""),"Novem Gold")</f>
        <v>Novem Gold</v>
      </c>
    </row>
    <row r="8325">
      <c r="A8325" s="3" t="str">
        <f>IFERROR(__xludf.DUMMYFUNCTION("""COMPUTED_VALUE"""),"novem-pro")</f>
        <v>novem-pro</v>
      </c>
      <c r="B8325" s="3" t="str">
        <f>IFERROR(__xludf.DUMMYFUNCTION("""COMPUTED_VALUE"""),"nvm")</f>
        <v>nvm</v>
      </c>
      <c r="C8325" s="3" t="str">
        <f>IFERROR(__xludf.DUMMYFUNCTION("""COMPUTED_VALUE"""),"Novem Pro")</f>
        <v>Novem Pro</v>
      </c>
    </row>
    <row r="8326">
      <c r="A8326" s="3" t="str">
        <f>IFERROR(__xludf.DUMMYFUNCTION("""COMPUTED_VALUE"""),"nowar")</f>
        <v>nowar</v>
      </c>
      <c r="B8326" s="3" t="str">
        <f>IFERROR(__xludf.DUMMYFUNCTION("""COMPUTED_VALUE"""),"nowar")</f>
        <v>nowar</v>
      </c>
      <c r="C8326" s="3" t="str">
        <f>IFERROR(__xludf.DUMMYFUNCTION("""COMPUTED_VALUE"""),"Nowar")</f>
        <v>Nowar</v>
      </c>
    </row>
    <row r="8327">
      <c r="A8327" s="3" t="str">
        <f>IFERROR(__xludf.DUMMYFUNCTION("""COMPUTED_VALUE"""),"nowarshiba")</f>
        <v>nowarshiba</v>
      </c>
      <c r="B8327" s="3" t="str">
        <f>IFERROR(__xludf.DUMMYFUNCTION("""COMPUTED_VALUE"""),"nshiba")</f>
        <v>nshiba</v>
      </c>
      <c r="C8327" s="3" t="str">
        <f>IFERROR(__xludf.DUMMYFUNCTION("""COMPUTED_VALUE"""),"Nowarshiba")</f>
        <v>Nowarshiba</v>
      </c>
    </row>
    <row r="8328">
      <c r="A8328" s="3" t="str">
        <f>IFERROR(__xludf.DUMMYFUNCTION("""COMPUTED_VALUE"""),"nowlage-coin")</f>
        <v>nowlage-coin</v>
      </c>
      <c r="B8328" s="3" t="str">
        <f>IFERROR(__xludf.DUMMYFUNCTION("""COMPUTED_VALUE"""),"nac")</f>
        <v>nac</v>
      </c>
      <c r="C8328" s="3" t="str">
        <f>IFERROR(__xludf.DUMMYFUNCTION("""COMPUTED_VALUE"""),"Nowlage Coin")</f>
        <v>Nowlage Coin</v>
      </c>
    </row>
    <row r="8329">
      <c r="A8329" s="3" t="str">
        <f>IFERROR(__xludf.DUMMYFUNCTION("""COMPUTED_VALUE"""),"npccoin")</f>
        <v>npccoin</v>
      </c>
      <c r="B8329" s="3" t="str">
        <f>IFERROR(__xludf.DUMMYFUNCTION("""COMPUTED_VALUE"""),"npc")</f>
        <v>npc</v>
      </c>
      <c r="C8329" s="3" t="str">
        <f>IFERROR(__xludf.DUMMYFUNCTION("""COMPUTED_VALUE"""),"NPCcoin")</f>
        <v>NPCcoin</v>
      </c>
    </row>
    <row r="8330">
      <c r="A8330" s="3" t="str">
        <f>IFERROR(__xludf.DUMMYFUNCTION("""COMPUTED_VALUE"""),"npc-coin")</f>
        <v>npc-coin</v>
      </c>
      <c r="B8330" s="3" t="str">
        <f>IFERROR(__xludf.DUMMYFUNCTION("""COMPUTED_VALUE"""),"npc")</f>
        <v>npc</v>
      </c>
      <c r="C8330" s="3" t="str">
        <f>IFERROR(__xludf.DUMMYFUNCTION("""COMPUTED_VALUE"""),"NPC Coin")</f>
        <v>NPC Coin</v>
      </c>
    </row>
    <row r="8331">
      <c r="A8331" s="3" t="str">
        <f>IFERROR(__xludf.DUMMYFUNCTION("""COMPUTED_VALUE"""),"npick-block")</f>
        <v>npick-block</v>
      </c>
      <c r="B8331" s="3" t="str">
        <f>IFERROR(__xludf.DUMMYFUNCTION("""COMPUTED_VALUE"""),"npick")</f>
        <v>npick</v>
      </c>
      <c r="C8331" s="3" t="str">
        <f>IFERROR(__xludf.DUMMYFUNCTION("""COMPUTED_VALUE"""),"NPick Block")</f>
        <v>NPick Block</v>
      </c>
    </row>
    <row r="8332">
      <c r="A8332" s="3" t="str">
        <f>IFERROR(__xludf.DUMMYFUNCTION("""COMPUTED_VALUE"""),"nrgy-defi")</f>
        <v>nrgy-defi</v>
      </c>
      <c r="B8332" s="3" t="str">
        <f>IFERROR(__xludf.DUMMYFUNCTION("""COMPUTED_VALUE"""),"nrgy")</f>
        <v>nrgy</v>
      </c>
      <c r="C8332" s="3" t="str">
        <f>IFERROR(__xludf.DUMMYFUNCTION("""COMPUTED_VALUE"""),"NRGY Defi")</f>
        <v>NRGY Defi</v>
      </c>
    </row>
    <row r="8333">
      <c r="A8333" s="3" t="str">
        <f>IFERROR(__xludf.DUMMYFUNCTION("""COMPUTED_VALUE"""),"nshare")</f>
        <v>nshare</v>
      </c>
      <c r="B8333" s="3" t="str">
        <f>IFERROR(__xludf.DUMMYFUNCTION("""COMPUTED_VALUE"""),"nshare")</f>
        <v>nshare</v>
      </c>
      <c r="C8333" s="3" t="str">
        <f>IFERROR(__xludf.DUMMYFUNCTION("""COMPUTED_VALUE"""),"NSHARE")</f>
        <v>NSHARE</v>
      </c>
    </row>
    <row r="8334">
      <c r="A8334" s="3" t="str">
        <f>IFERROR(__xludf.DUMMYFUNCTION("""COMPUTED_VALUE"""),"nsights")</f>
        <v>nsights</v>
      </c>
      <c r="B8334" s="3" t="str">
        <f>IFERROR(__xludf.DUMMYFUNCTION("""COMPUTED_VALUE"""),"nsi")</f>
        <v>nsi</v>
      </c>
      <c r="C8334" s="3" t="str">
        <f>IFERROR(__xludf.DUMMYFUNCTION("""COMPUTED_VALUE"""),"nSights")</f>
        <v>nSights</v>
      </c>
    </row>
    <row r="8335">
      <c r="A8335" s="3" t="str">
        <f>IFERROR(__xludf.DUMMYFUNCTION("""COMPUTED_VALUE"""),"nskswap")</f>
        <v>nskswap</v>
      </c>
      <c r="B8335" s="3" t="str">
        <f>IFERROR(__xludf.DUMMYFUNCTION("""COMPUTED_VALUE"""),"nsk")</f>
        <v>nsk</v>
      </c>
      <c r="C8335" s="3" t="str">
        <f>IFERROR(__xludf.DUMMYFUNCTION("""COMPUTED_VALUE"""),"NSKSwap")</f>
        <v>NSKSwap</v>
      </c>
    </row>
    <row r="8336">
      <c r="A8336" s="3" t="str">
        <f>IFERROR(__xludf.DUMMYFUNCTION("""COMPUTED_VALUE"""),"nss-coin")</f>
        <v>nss-coin</v>
      </c>
      <c r="B8336" s="3" t="str">
        <f>IFERROR(__xludf.DUMMYFUNCTION("""COMPUTED_VALUE"""),"nss")</f>
        <v>nss</v>
      </c>
      <c r="C8336" s="3" t="str">
        <f>IFERROR(__xludf.DUMMYFUNCTION("""COMPUTED_VALUE"""),"NSS Coin")</f>
        <v>NSS Coin</v>
      </c>
    </row>
    <row r="8337">
      <c r="A8337" s="3" t="str">
        <f>IFERROR(__xludf.DUMMYFUNCTION("""COMPUTED_VALUE"""),"nsur-coin")</f>
        <v>nsur-coin</v>
      </c>
      <c r="B8337" s="3" t="str">
        <f>IFERROR(__xludf.DUMMYFUNCTION("""COMPUTED_VALUE"""),"nsur")</f>
        <v>nsur</v>
      </c>
      <c r="C8337" s="3" t="str">
        <f>IFERROR(__xludf.DUMMYFUNCTION("""COMPUTED_VALUE"""),"NSUR Coin")</f>
        <v>NSUR Coin</v>
      </c>
    </row>
    <row r="8338">
      <c r="A8338" s="3" t="str">
        <f>IFERROR(__xludf.DUMMYFUNCTION("""COMPUTED_VALUE"""),"nsure-network")</f>
        <v>nsure-network</v>
      </c>
      <c r="B8338" s="3" t="str">
        <f>IFERROR(__xludf.DUMMYFUNCTION("""COMPUTED_VALUE"""),"nsure")</f>
        <v>nsure</v>
      </c>
      <c r="C8338" s="3" t="str">
        <f>IFERROR(__xludf.DUMMYFUNCTION("""COMPUTED_VALUE"""),"Nsure Network")</f>
        <v>Nsure Network</v>
      </c>
    </row>
    <row r="8339">
      <c r="A8339" s="3" t="str">
        <f>IFERROR(__xludf.DUMMYFUNCTION("""COMPUTED_VALUE"""),"nthchain")</f>
        <v>nthchain</v>
      </c>
      <c r="B8339" s="3" t="str">
        <f>IFERROR(__xludf.DUMMYFUNCTION("""COMPUTED_VALUE"""),"nth")</f>
        <v>nth</v>
      </c>
      <c r="C8339" s="3" t="str">
        <f>IFERROR(__xludf.DUMMYFUNCTION("""COMPUTED_VALUE"""),"NTHCHAIN")</f>
        <v>NTHCHAIN</v>
      </c>
    </row>
    <row r="8340">
      <c r="A8340" s="3" t="str">
        <f>IFERROR(__xludf.DUMMYFUNCTION("""COMPUTED_VALUE"""),"nucleus-vision")</f>
        <v>nucleus-vision</v>
      </c>
      <c r="B8340" s="3" t="str">
        <f>IFERROR(__xludf.DUMMYFUNCTION("""COMPUTED_VALUE"""),"ncash")</f>
        <v>ncash</v>
      </c>
      <c r="C8340" s="3" t="str">
        <f>IFERROR(__xludf.DUMMYFUNCTION("""COMPUTED_VALUE"""),"Nucleus Vision")</f>
        <v>Nucleus Vision</v>
      </c>
    </row>
    <row r="8341">
      <c r="A8341" s="3" t="str">
        <f>IFERROR(__xludf.DUMMYFUNCTION("""COMPUTED_VALUE"""),"nuco-cloud")</f>
        <v>nuco-cloud</v>
      </c>
      <c r="B8341" s="3" t="str">
        <f>IFERROR(__xludf.DUMMYFUNCTION("""COMPUTED_VALUE"""),"ncdt")</f>
        <v>ncdt</v>
      </c>
      <c r="C8341" s="3" t="str">
        <f>IFERROR(__xludf.DUMMYFUNCTION("""COMPUTED_VALUE"""),"Nuco.Cloud")</f>
        <v>Nuco.Cloud</v>
      </c>
    </row>
    <row r="8342">
      <c r="A8342" s="3" t="str">
        <f>IFERROR(__xludf.DUMMYFUNCTION("""COMPUTED_VALUE"""),"nucoin")</f>
        <v>nucoin</v>
      </c>
      <c r="B8342" s="3" t="str">
        <f>IFERROR(__xludf.DUMMYFUNCTION("""COMPUTED_VALUE"""),"nuc")</f>
        <v>nuc</v>
      </c>
      <c r="C8342" s="3" t="str">
        <f>IFERROR(__xludf.DUMMYFUNCTION("""COMPUTED_VALUE"""),"NuCoin")</f>
        <v>NuCoin</v>
      </c>
    </row>
    <row r="8343">
      <c r="A8343" s="3" t="str">
        <f>IFERROR(__xludf.DUMMYFUNCTION("""COMPUTED_VALUE"""),"nucypher")</f>
        <v>nucypher</v>
      </c>
      <c r="B8343" s="3" t="str">
        <f>IFERROR(__xludf.DUMMYFUNCTION("""COMPUTED_VALUE"""),"nu")</f>
        <v>nu</v>
      </c>
      <c r="C8343" s="3" t="str">
        <f>IFERROR(__xludf.DUMMYFUNCTION("""COMPUTED_VALUE"""),"NuCypher")</f>
        <v>NuCypher</v>
      </c>
    </row>
    <row r="8344">
      <c r="A8344" s="3" t="str">
        <f>IFERROR(__xludf.DUMMYFUNCTION("""COMPUTED_VALUE"""),"nudes")</f>
        <v>nudes</v>
      </c>
      <c r="B8344" s="3" t="str">
        <f>IFERROR(__xludf.DUMMYFUNCTION("""COMPUTED_VALUE"""),"nudes")</f>
        <v>nudes</v>
      </c>
      <c r="C8344" s="3" t="str">
        <f>IFERROR(__xludf.DUMMYFUNCTION("""COMPUTED_VALUE"""),"NUDES")</f>
        <v>NUDES</v>
      </c>
    </row>
    <row r="8345">
      <c r="A8345" s="3" t="str">
        <f>IFERROR(__xludf.DUMMYFUNCTION("""COMPUTED_VALUE"""),"nukplan")</f>
        <v>nukplan</v>
      </c>
      <c r="B8345" s="3" t="str">
        <f>IFERROR(__xludf.DUMMYFUNCTION("""COMPUTED_VALUE"""),"nkpl")</f>
        <v>nkpl</v>
      </c>
      <c r="C8345" s="3" t="str">
        <f>IFERROR(__xludf.DUMMYFUNCTION("""COMPUTED_VALUE"""),"Nukplan")</f>
        <v>Nukplan</v>
      </c>
    </row>
    <row r="8346">
      <c r="A8346" s="3" t="str">
        <f>IFERROR(__xludf.DUMMYFUNCTION("""COMPUTED_VALUE"""),"nuls")</f>
        <v>nuls</v>
      </c>
      <c r="B8346" s="3" t="str">
        <f>IFERROR(__xludf.DUMMYFUNCTION("""COMPUTED_VALUE"""),"nuls")</f>
        <v>nuls</v>
      </c>
      <c r="C8346" s="3" t="str">
        <f>IFERROR(__xludf.DUMMYFUNCTION("""COMPUTED_VALUE"""),"Nuls")</f>
        <v>Nuls</v>
      </c>
    </row>
    <row r="8347">
      <c r="A8347" s="3" t="str">
        <f>IFERROR(__xludf.DUMMYFUNCTION("""COMPUTED_VALUE"""),"num-ars")</f>
        <v>num-ars</v>
      </c>
      <c r="B8347" s="3" t="str">
        <f>IFERROR(__xludf.DUMMYFUNCTION("""COMPUTED_VALUE"""),"nuars")</f>
        <v>nuars</v>
      </c>
      <c r="C8347" s="3" t="str">
        <f>IFERROR(__xludf.DUMMYFUNCTION("""COMPUTED_VALUE"""),"Num ARS")</f>
        <v>Num ARS</v>
      </c>
    </row>
    <row r="8348">
      <c r="A8348" s="3" t="str">
        <f>IFERROR(__xludf.DUMMYFUNCTION("""COMPUTED_VALUE"""),"number-1-token")</f>
        <v>number-1-token</v>
      </c>
      <c r="B8348" s="3" t="str">
        <f>IFERROR(__xludf.DUMMYFUNCTION("""COMPUTED_VALUE"""),"nr1")</f>
        <v>nr1</v>
      </c>
      <c r="C8348" s="3" t="str">
        <f>IFERROR(__xludf.DUMMYFUNCTION("""COMPUTED_VALUE"""),"Number 1")</f>
        <v>Number 1</v>
      </c>
    </row>
    <row r="8349">
      <c r="A8349" s="3" t="str">
        <f>IFERROR(__xludf.DUMMYFUNCTION("""COMPUTED_VALUE"""),"numbers-protocol")</f>
        <v>numbers-protocol</v>
      </c>
      <c r="B8349" s="3" t="str">
        <f>IFERROR(__xludf.DUMMYFUNCTION("""COMPUTED_VALUE"""),"num")</f>
        <v>num</v>
      </c>
      <c r="C8349" s="3" t="str">
        <f>IFERROR(__xludf.DUMMYFUNCTION("""COMPUTED_VALUE"""),"NUM Token")</f>
        <v>NUM Token</v>
      </c>
    </row>
    <row r="8350">
      <c r="A8350" s="3" t="str">
        <f>IFERROR(__xludf.DUMMYFUNCTION("""COMPUTED_VALUE"""),"numeraire")</f>
        <v>numeraire</v>
      </c>
      <c r="B8350" s="3" t="str">
        <f>IFERROR(__xludf.DUMMYFUNCTION("""COMPUTED_VALUE"""),"nmr")</f>
        <v>nmr</v>
      </c>
      <c r="C8350" s="3" t="str">
        <f>IFERROR(__xludf.DUMMYFUNCTION("""COMPUTED_VALUE"""),"Numeraire")</f>
        <v>Numeraire</v>
      </c>
    </row>
    <row r="8351">
      <c r="A8351" s="3" t="str">
        <f>IFERROR(__xludf.DUMMYFUNCTION("""COMPUTED_VALUE"""),"numisme")</f>
        <v>numisme</v>
      </c>
      <c r="B8351" s="3" t="str">
        <f>IFERROR(__xludf.DUMMYFUNCTION("""COMPUTED_VALUE"""),"nume")</f>
        <v>nume</v>
      </c>
      <c r="C8351" s="3" t="str">
        <f>IFERROR(__xludf.DUMMYFUNCTION("""COMPUTED_VALUE"""),"NumisMe")</f>
        <v>NumisMe</v>
      </c>
    </row>
    <row r="8352">
      <c r="A8352" s="3" t="str">
        <f>IFERROR(__xludf.DUMMYFUNCTION("""COMPUTED_VALUE"""),"numitor")</f>
        <v>numitor</v>
      </c>
      <c r="B8352" s="3" t="str">
        <f>IFERROR(__xludf.DUMMYFUNCTION("""COMPUTED_VALUE"""),"numi")</f>
        <v>numi</v>
      </c>
      <c r="C8352" s="3" t="str">
        <f>IFERROR(__xludf.DUMMYFUNCTION("""COMPUTED_VALUE"""),"Numitor")</f>
        <v>Numitor</v>
      </c>
    </row>
    <row r="8353">
      <c r="A8353" s="3" t="str">
        <f>IFERROR(__xludf.DUMMYFUNCTION("""COMPUTED_VALUE"""),"nuna")</f>
        <v>nuna</v>
      </c>
      <c r="B8353" s="3" t="str">
        <f>IFERROR(__xludf.DUMMYFUNCTION("""COMPUTED_VALUE"""),"nuna")</f>
        <v>nuna</v>
      </c>
      <c r="C8353" s="3" t="str">
        <f>IFERROR(__xludf.DUMMYFUNCTION("""COMPUTED_VALUE"""),"Nuna")</f>
        <v>Nuna</v>
      </c>
    </row>
    <row r="8354">
      <c r="A8354" s="3" t="str">
        <f>IFERROR(__xludf.DUMMYFUNCTION("""COMPUTED_VALUE"""),"nunet")</f>
        <v>nunet</v>
      </c>
      <c r="B8354" s="3" t="str">
        <f>IFERROR(__xludf.DUMMYFUNCTION("""COMPUTED_VALUE"""),"ntx")</f>
        <v>ntx</v>
      </c>
      <c r="C8354" s="3" t="str">
        <f>IFERROR(__xludf.DUMMYFUNCTION("""COMPUTED_VALUE"""),"NuNet")</f>
        <v>NuNet</v>
      </c>
    </row>
    <row r="8355">
      <c r="A8355" s="3" t="str">
        <f>IFERROR(__xludf.DUMMYFUNCTION("""COMPUTED_VALUE"""),"nunu-spirits")</f>
        <v>nunu-spirits</v>
      </c>
      <c r="B8355" s="3" t="str">
        <f>IFERROR(__xludf.DUMMYFUNCTION("""COMPUTED_VALUE"""),"nnt")</f>
        <v>nnt</v>
      </c>
      <c r="C8355" s="3" t="str">
        <f>IFERROR(__xludf.DUMMYFUNCTION("""COMPUTED_VALUE"""),"Nunu Spirits")</f>
        <v>Nunu Spirits</v>
      </c>
    </row>
    <row r="8356">
      <c r="A8356" s="3" t="str">
        <f>IFERROR(__xludf.DUMMYFUNCTION("""COMPUTED_VALUE"""),"nurifootball")</f>
        <v>nurifootball</v>
      </c>
      <c r="B8356" s="3" t="str">
        <f>IFERROR(__xludf.DUMMYFUNCTION("""COMPUTED_VALUE"""),"nrfb")</f>
        <v>nrfb</v>
      </c>
      <c r="C8356" s="3" t="str">
        <f>IFERROR(__xludf.DUMMYFUNCTION("""COMPUTED_VALUE"""),"NuriFootBall")</f>
        <v>NuriFootBall</v>
      </c>
    </row>
    <row r="8357">
      <c r="A8357" s="3" t="str">
        <f>IFERROR(__xludf.DUMMYFUNCTION("""COMPUTED_VALUE"""),"nusa-finance")</f>
        <v>nusa-finance</v>
      </c>
      <c r="B8357" s="3" t="str">
        <f>IFERROR(__xludf.DUMMYFUNCTION("""COMPUTED_VALUE"""),"nusa")</f>
        <v>nusa</v>
      </c>
      <c r="C8357" s="3" t="str">
        <f>IFERROR(__xludf.DUMMYFUNCTION("""COMPUTED_VALUE"""),"NUSA")</f>
        <v>NUSA</v>
      </c>
    </row>
    <row r="8358">
      <c r="A8358" s="3" t="str">
        <f>IFERROR(__xludf.DUMMYFUNCTION("""COMPUTED_VALUE"""),"nusd")</f>
        <v>nusd</v>
      </c>
      <c r="B8358" s="3" t="str">
        <f>IFERROR(__xludf.DUMMYFUNCTION("""COMPUTED_VALUE"""),"susd")</f>
        <v>susd</v>
      </c>
      <c r="C8358" s="3" t="str">
        <f>IFERROR(__xludf.DUMMYFUNCTION("""COMPUTED_VALUE"""),"sUSD")</f>
        <v>sUSD</v>
      </c>
    </row>
    <row r="8359">
      <c r="A8359" s="3" t="str">
        <f>IFERROR(__xludf.DUMMYFUNCTION("""COMPUTED_VALUE"""),"nusd-hotbit")</f>
        <v>nusd-hotbit</v>
      </c>
      <c r="B8359" s="3" t="str">
        <f>IFERROR(__xludf.DUMMYFUNCTION("""COMPUTED_VALUE"""),"nusd")</f>
        <v>nusd</v>
      </c>
      <c r="C8359" s="3" t="str">
        <f>IFERROR(__xludf.DUMMYFUNCTION("""COMPUTED_VALUE"""),"nUSD (HotBit)")</f>
        <v>nUSD (HotBit)</v>
      </c>
    </row>
    <row r="8360">
      <c r="A8360" s="3" t="str">
        <f>IFERROR(__xludf.DUMMYFUNCTION("""COMPUTED_VALUE"""),"nutgain")</f>
        <v>nutgain</v>
      </c>
      <c r="B8360" s="3" t="str">
        <f>IFERROR(__xludf.DUMMYFUNCTION("""COMPUTED_VALUE"""),"nutgv2")</f>
        <v>nutgv2</v>
      </c>
      <c r="C8360" s="3" t="str">
        <f>IFERROR(__xludf.DUMMYFUNCTION("""COMPUTED_VALUE"""),"NUTGAIN")</f>
        <v>NUTGAIN</v>
      </c>
    </row>
    <row r="8361">
      <c r="A8361" s="3" t="str">
        <f>IFERROR(__xludf.DUMMYFUNCTION("""COMPUTED_VALUE"""),"nutsdao")</f>
        <v>nutsdao</v>
      </c>
      <c r="B8361" s="3" t="str">
        <f>IFERROR(__xludf.DUMMYFUNCTION("""COMPUTED_VALUE"""),"nuts")</f>
        <v>nuts</v>
      </c>
      <c r="C8361" s="3" t="str">
        <f>IFERROR(__xludf.DUMMYFUNCTION("""COMPUTED_VALUE"""),"NutsDAO")</f>
        <v>NutsDAO</v>
      </c>
    </row>
    <row r="8362">
      <c r="A8362" s="3" t="str">
        <f>IFERROR(__xludf.DUMMYFUNCTION("""COMPUTED_VALUE"""),"nuvo-cash")</f>
        <v>nuvo-cash</v>
      </c>
      <c r="B8362" s="3" t="str">
        <f>IFERROR(__xludf.DUMMYFUNCTION("""COMPUTED_VALUE"""),"nuvo")</f>
        <v>nuvo</v>
      </c>
      <c r="C8362" s="3" t="str">
        <f>IFERROR(__xludf.DUMMYFUNCTION("""COMPUTED_VALUE"""),"Nuvo Cash")</f>
        <v>Nuvo Cash</v>
      </c>
    </row>
    <row r="8363">
      <c r="A8363" s="3" t="str">
        <f>IFERROR(__xludf.DUMMYFUNCTION("""COMPUTED_VALUE"""),"nvidia-tokenized-stock-defichain")</f>
        <v>nvidia-tokenized-stock-defichain</v>
      </c>
      <c r="B8363" s="3" t="str">
        <f>IFERROR(__xludf.DUMMYFUNCTION("""COMPUTED_VALUE"""),"dnvda")</f>
        <v>dnvda</v>
      </c>
      <c r="C8363" s="3" t="str">
        <f>IFERROR(__xludf.DUMMYFUNCTION("""COMPUTED_VALUE"""),"Nvidia Tokenized Stock Defichain")</f>
        <v>Nvidia Tokenized Stock Defichain</v>
      </c>
    </row>
    <row r="8364">
      <c r="A8364" s="3" t="str">
        <f>IFERROR(__xludf.DUMMYFUNCTION("""COMPUTED_VALUE"""),"nvirworld")</f>
        <v>nvirworld</v>
      </c>
      <c r="B8364" s="3" t="str">
        <f>IFERROR(__xludf.DUMMYFUNCTION("""COMPUTED_VALUE"""),"nvir")</f>
        <v>nvir</v>
      </c>
      <c r="C8364" s="3" t="str">
        <f>IFERROR(__xludf.DUMMYFUNCTION("""COMPUTED_VALUE"""),"NvirWorld")</f>
        <v>NvirWorld</v>
      </c>
    </row>
    <row r="8365">
      <c r="A8365" s="3" t="str">
        <f>IFERROR(__xludf.DUMMYFUNCTION("""COMPUTED_VALUE"""),"nvl-project")</f>
        <v>nvl-project</v>
      </c>
      <c r="B8365" s="3" t="str">
        <f>IFERROR(__xludf.DUMMYFUNCTION("""COMPUTED_VALUE"""),"nvl")</f>
        <v>nvl</v>
      </c>
      <c r="C8365" s="3" t="str">
        <f>IFERROR(__xludf.DUMMYFUNCTION("""COMPUTED_VALUE"""),"NVL Project")</f>
        <v>NVL Project</v>
      </c>
    </row>
    <row r="8366">
      <c r="A8366" s="3" t="str">
        <f>IFERROR(__xludf.DUMMYFUNCTION("""COMPUTED_VALUE"""),"nxd-next")</f>
        <v>nxd-next</v>
      </c>
      <c r="B8366" s="3" t="str">
        <f>IFERROR(__xludf.DUMMYFUNCTION("""COMPUTED_VALUE"""),"nxdt")</f>
        <v>nxdt</v>
      </c>
      <c r="C8366" s="3" t="str">
        <f>IFERROR(__xludf.DUMMYFUNCTION("""COMPUTED_VALUE"""),"NXD Next")</f>
        <v>NXD Next</v>
      </c>
    </row>
    <row r="8367">
      <c r="A8367" s="3" t="str">
        <f>IFERROR(__xludf.DUMMYFUNCTION("""COMPUTED_VALUE"""),"nxm")</f>
        <v>nxm</v>
      </c>
      <c r="B8367" s="3" t="str">
        <f>IFERROR(__xludf.DUMMYFUNCTION("""COMPUTED_VALUE"""),"nxm")</f>
        <v>nxm</v>
      </c>
      <c r="C8367" s="3" t="str">
        <f>IFERROR(__xludf.DUMMYFUNCTION("""COMPUTED_VALUE"""),"Nexus Mutual")</f>
        <v>Nexus Mutual</v>
      </c>
    </row>
    <row r="8368">
      <c r="A8368" s="3" t="str">
        <f>IFERROR(__xludf.DUMMYFUNCTION("""COMPUTED_VALUE"""),"nxt")</f>
        <v>nxt</v>
      </c>
      <c r="B8368" s="3" t="str">
        <f>IFERROR(__xludf.DUMMYFUNCTION("""COMPUTED_VALUE"""),"nxt")</f>
        <v>nxt</v>
      </c>
      <c r="C8368" s="3" t="str">
        <f>IFERROR(__xludf.DUMMYFUNCTION("""COMPUTED_VALUE"""),"NXT")</f>
        <v>NXT</v>
      </c>
    </row>
    <row r="8369">
      <c r="A8369" s="3" t="str">
        <f>IFERROR(__xludf.DUMMYFUNCTION("""COMPUTED_VALUE"""),"nxusd")</f>
        <v>nxusd</v>
      </c>
      <c r="B8369" s="3" t="str">
        <f>IFERROR(__xludf.DUMMYFUNCTION("""COMPUTED_VALUE"""),"nxusd")</f>
        <v>nxusd</v>
      </c>
      <c r="C8369" s="3" t="str">
        <f>IFERROR(__xludf.DUMMYFUNCTION("""COMPUTED_VALUE"""),"NXUSD")</f>
        <v>NXUSD</v>
      </c>
    </row>
    <row r="8370">
      <c r="A8370" s="3" t="str">
        <f>IFERROR(__xludf.DUMMYFUNCTION("""COMPUTED_VALUE"""),"nyan-cat")</f>
        <v>nyan-cat</v>
      </c>
      <c r="B8370" s="3" t="str">
        <f>IFERROR(__xludf.DUMMYFUNCTION("""COMPUTED_VALUE"""),"ncat")</f>
        <v>ncat</v>
      </c>
      <c r="C8370" s="3" t="str">
        <f>IFERROR(__xludf.DUMMYFUNCTION("""COMPUTED_VALUE"""),"NCAT")</f>
        <v>NCAT</v>
      </c>
    </row>
    <row r="8371">
      <c r="A8371" s="3" t="str">
        <f>IFERROR(__xludf.DUMMYFUNCTION("""COMPUTED_VALUE"""),"nyancoin")</f>
        <v>nyancoin</v>
      </c>
      <c r="B8371" s="3" t="str">
        <f>IFERROR(__xludf.DUMMYFUNCTION("""COMPUTED_VALUE"""),"nyan")</f>
        <v>nyan</v>
      </c>
      <c r="C8371" s="3" t="str">
        <f>IFERROR(__xludf.DUMMYFUNCTION("""COMPUTED_VALUE"""),"Nyancoin")</f>
        <v>Nyancoin</v>
      </c>
    </row>
    <row r="8372">
      <c r="A8372" s="3" t="str">
        <f>IFERROR(__xludf.DUMMYFUNCTION("""COMPUTED_VALUE"""),"nyan-v2")</f>
        <v>nyan-v2</v>
      </c>
      <c r="B8372" s="3" t="str">
        <f>IFERROR(__xludf.DUMMYFUNCTION("""COMPUTED_VALUE"""),"nyan-2")</f>
        <v>nyan-2</v>
      </c>
      <c r="C8372" s="3" t="str">
        <f>IFERROR(__xludf.DUMMYFUNCTION("""COMPUTED_VALUE"""),"Nyan V2")</f>
        <v>Nyan V2</v>
      </c>
    </row>
    <row r="8373">
      <c r="A8373" s="3" t="str">
        <f>IFERROR(__xludf.DUMMYFUNCTION("""COMPUTED_VALUE"""),"nycccoin")</f>
        <v>nycccoin</v>
      </c>
      <c r="B8373" s="3" t="str">
        <f>IFERROR(__xludf.DUMMYFUNCTION("""COMPUTED_VALUE"""),"nyc")</f>
        <v>nyc</v>
      </c>
      <c r="C8373" s="3" t="str">
        <f>IFERROR(__xludf.DUMMYFUNCTION("""COMPUTED_VALUE"""),"NewYorkCityCoin")</f>
        <v>NewYorkCityCoin</v>
      </c>
    </row>
    <row r="8374">
      <c r="A8374" s="3" t="str">
        <f>IFERROR(__xludf.DUMMYFUNCTION("""COMPUTED_VALUE"""),"nym")</f>
        <v>nym</v>
      </c>
      <c r="B8374" s="3" t="str">
        <f>IFERROR(__xludf.DUMMYFUNCTION("""COMPUTED_VALUE"""),"nym")</f>
        <v>nym</v>
      </c>
      <c r="C8374" s="3" t="str">
        <f>IFERROR(__xludf.DUMMYFUNCTION("""COMPUTED_VALUE"""),"Nym")</f>
        <v>Nym</v>
      </c>
    </row>
    <row r="8375">
      <c r="A8375" s="3" t="str">
        <f>IFERROR(__xludf.DUMMYFUNCTION("""COMPUTED_VALUE"""),"nyx-token")</f>
        <v>nyx-token</v>
      </c>
      <c r="B8375" s="3" t="str">
        <f>IFERROR(__xludf.DUMMYFUNCTION("""COMPUTED_VALUE"""),"nyxt")</f>
        <v>nyxt</v>
      </c>
      <c r="C8375" s="3" t="str">
        <f>IFERROR(__xludf.DUMMYFUNCTION("""COMPUTED_VALUE"""),"Nyx")</f>
        <v>Nyx</v>
      </c>
    </row>
    <row r="8376">
      <c r="A8376" s="3" t="str">
        <f>IFERROR(__xludf.DUMMYFUNCTION("""COMPUTED_VALUE"""),"nyzo")</f>
        <v>nyzo</v>
      </c>
      <c r="B8376" s="3" t="str">
        <f>IFERROR(__xludf.DUMMYFUNCTION("""COMPUTED_VALUE"""),"nyzo")</f>
        <v>nyzo</v>
      </c>
      <c r="C8376" s="3" t="str">
        <f>IFERROR(__xludf.DUMMYFUNCTION("""COMPUTED_VALUE"""),"Nyzo")</f>
        <v>Nyzo</v>
      </c>
    </row>
    <row r="8377">
      <c r="A8377" s="3" t="str">
        <f>IFERROR(__xludf.DUMMYFUNCTION("""COMPUTED_VALUE"""),"nzd-stablecoin")</f>
        <v>nzd-stablecoin</v>
      </c>
      <c r="B8377" s="3" t="str">
        <f>IFERROR(__xludf.DUMMYFUNCTION("""COMPUTED_VALUE"""),"nzds")</f>
        <v>nzds</v>
      </c>
      <c r="C8377" s="3" t="str">
        <f>IFERROR(__xludf.DUMMYFUNCTION("""COMPUTED_VALUE"""),"NZD Stablecoin")</f>
        <v>NZD Stablecoin</v>
      </c>
    </row>
    <row r="8378">
      <c r="A8378" s="3" t="str">
        <f>IFERROR(__xludf.DUMMYFUNCTION("""COMPUTED_VALUE"""),"o3-swap")</f>
        <v>o3-swap</v>
      </c>
      <c r="B8378" s="3" t="str">
        <f>IFERROR(__xludf.DUMMYFUNCTION("""COMPUTED_VALUE"""),"o3")</f>
        <v>o3</v>
      </c>
      <c r="C8378" s="3" t="str">
        <f>IFERROR(__xludf.DUMMYFUNCTION("""COMPUTED_VALUE"""),"O3 Swap")</f>
        <v>O3 Swap</v>
      </c>
    </row>
    <row r="8379">
      <c r="A8379" s="3" t="str">
        <f>IFERROR(__xludf.DUMMYFUNCTION("""COMPUTED_VALUE"""),"o5o")</f>
        <v>o5o</v>
      </c>
      <c r="B8379" s="3" t="str">
        <f>IFERROR(__xludf.DUMMYFUNCTION("""COMPUTED_VALUE"""),"o5o")</f>
        <v>o5o</v>
      </c>
      <c r="C8379" s="3" t="str">
        <f>IFERROR(__xludf.DUMMYFUNCTION("""COMPUTED_VALUE"""),"O5O")</f>
        <v>O5O</v>
      </c>
    </row>
    <row r="8380">
      <c r="A8380" s="3" t="str">
        <f>IFERROR(__xludf.DUMMYFUNCTION("""COMPUTED_VALUE"""),"oasis-2")</f>
        <v>oasis-2</v>
      </c>
      <c r="B8380" s="3" t="str">
        <f>IFERROR(__xludf.DUMMYFUNCTION("""COMPUTED_VALUE"""),"xos")</f>
        <v>xos</v>
      </c>
      <c r="C8380" s="3" t="str">
        <f>IFERROR(__xludf.DUMMYFUNCTION("""COMPUTED_VALUE"""),"OASIS")</f>
        <v>OASIS</v>
      </c>
    </row>
    <row r="8381">
      <c r="A8381" s="3" t="str">
        <f>IFERROR(__xludf.DUMMYFUNCTION("""COMPUTED_VALUE"""),"oasis-city")</f>
        <v>oasis-city</v>
      </c>
      <c r="B8381" s="3" t="str">
        <f>IFERROR(__xludf.DUMMYFUNCTION("""COMPUTED_VALUE"""),"osc")</f>
        <v>osc</v>
      </c>
      <c r="C8381" s="3" t="str">
        <f>IFERROR(__xludf.DUMMYFUNCTION("""COMPUTED_VALUE"""),"Oasis City")</f>
        <v>Oasis City</v>
      </c>
    </row>
    <row r="8382">
      <c r="A8382" s="3" t="str">
        <f>IFERROR(__xludf.DUMMYFUNCTION("""COMPUTED_VALUE"""),"oasis-network")</f>
        <v>oasis-network</v>
      </c>
      <c r="B8382" s="3" t="str">
        <f>IFERROR(__xludf.DUMMYFUNCTION("""COMPUTED_VALUE"""),"rose")</f>
        <v>rose</v>
      </c>
      <c r="C8382" s="3" t="str">
        <f>IFERROR(__xludf.DUMMYFUNCTION("""COMPUTED_VALUE"""),"Oasis Network")</f>
        <v>Oasis Network</v>
      </c>
    </row>
    <row r="8383">
      <c r="A8383" s="3" t="str">
        <f>IFERROR(__xludf.DUMMYFUNCTION("""COMPUTED_VALUE"""),"oasys")</f>
        <v>oasys</v>
      </c>
      <c r="B8383" s="3" t="str">
        <f>IFERROR(__xludf.DUMMYFUNCTION("""COMPUTED_VALUE"""),"oas")</f>
        <v>oas</v>
      </c>
      <c r="C8383" s="3" t="str">
        <f>IFERROR(__xludf.DUMMYFUNCTION("""COMPUTED_VALUE"""),"Oasys")</f>
        <v>Oasys</v>
      </c>
    </row>
    <row r="8384">
      <c r="A8384" s="3" t="str">
        <f>IFERROR(__xludf.DUMMYFUNCTION("""COMPUTED_VALUE"""),"oath")</f>
        <v>oath</v>
      </c>
      <c r="B8384" s="3" t="str">
        <f>IFERROR(__xludf.DUMMYFUNCTION("""COMPUTED_VALUE"""),"oath")</f>
        <v>oath</v>
      </c>
      <c r="C8384" s="3" t="str">
        <f>IFERROR(__xludf.DUMMYFUNCTION("""COMPUTED_VALUE"""),"Oath")</f>
        <v>Oath</v>
      </c>
    </row>
    <row r="8385">
      <c r="A8385" s="3" t="str">
        <f>IFERROR(__xludf.DUMMYFUNCTION("""COMPUTED_VALUE"""),"obol")</f>
        <v>obol</v>
      </c>
      <c r="B8385" s="3" t="str">
        <f>IFERROR(__xludf.DUMMYFUNCTION("""COMPUTED_VALUE"""),"obol")</f>
        <v>obol</v>
      </c>
      <c r="C8385" s="3" t="str">
        <f>IFERROR(__xludf.DUMMYFUNCTION("""COMPUTED_VALUE"""),"Obol")</f>
        <v>Obol</v>
      </c>
    </row>
    <row r="8386">
      <c r="A8386" s="3" t="str">
        <f>IFERROR(__xludf.DUMMYFUNCTION("""COMPUTED_VALUE"""),"obortech")</f>
        <v>obortech</v>
      </c>
      <c r="B8386" s="3" t="str">
        <f>IFERROR(__xludf.DUMMYFUNCTION("""COMPUTED_VALUE"""),"obot")</f>
        <v>obot</v>
      </c>
      <c r="C8386" s="3" t="str">
        <f>IFERROR(__xludf.DUMMYFUNCTION("""COMPUTED_VALUE"""),"Obortech")</f>
        <v>Obortech</v>
      </c>
    </row>
    <row r="8387">
      <c r="A8387" s="3" t="str">
        <f>IFERROR(__xludf.DUMMYFUNCTION("""COMPUTED_VALUE"""),"obrok")</f>
        <v>obrok</v>
      </c>
      <c r="B8387" s="3" t="str">
        <f>IFERROR(__xludf.DUMMYFUNCTION("""COMPUTED_VALUE"""),"obrok")</f>
        <v>obrok</v>
      </c>
      <c r="C8387" s="3" t="str">
        <f>IFERROR(__xludf.DUMMYFUNCTION("""COMPUTED_VALUE"""),"OBRok")</f>
        <v>OBRok</v>
      </c>
    </row>
    <row r="8388">
      <c r="A8388" s="3" t="str">
        <f>IFERROR(__xludf.DUMMYFUNCTION("""COMPUTED_VALUE"""),"observer-coin")</f>
        <v>observer-coin</v>
      </c>
      <c r="B8388" s="3" t="str">
        <f>IFERROR(__xludf.DUMMYFUNCTION("""COMPUTED_VALUE"""),"obsr")</f>
        <v>obsr</v>
      </c>
      <c r="C8388" s="3" t="str">
        <f>IFERROR(__xludf.DUMMYFUNCTION("""COMPUTED_VALUE"""),"OBSERVER Coin")</f>
        <v>OBSERVER Coin</v>
      </c>
    </row>
    <row r="8389">
      <c r="A8389" s="3" t="str">
        <f>IFERROR(__xludf.DUMMYFUNCTION("""COMPUTED_VALUE"""),"obsidium")</f>
        <v>obsidium</v>
      </c>
      <c r="B8389" s="3" t="str">
        <f>IFERROR(__xludf.DUMMYFUNCTION("""COMPUTED_VALUE"""),"obs")</f>
        <v>obs</v>
      </c>
      <c r="C8389" s="3" t="str">
        <f>IFERROR(__xludf.DUMMYFUNCTION("""COMPUTED_VALUE"""),"Obsidium")</f>
        <v>Obsidium</v>
      </c>
    </row>
    <row r="8390">
      <c r="A8390" s="3" t="str">
        <f>IFERROR(__xludf.DUMMYFUNCTION("""COMPUTED_VALUE"""),"obtoken")</f>
        <v>obtoken</v>
      </c>
      <c r="B8390" s="3" t="str">
        <f>IFERROR(__xludf.DUMMYFUNCTION("""COMPUTED_VALUE"""),"obt")</f>
        <v>obt</v>
      </c>
      <c r="C8390" s="3" t="str">
        <f>IFERROR(__xludf.DUMMYFUNCTION("""COMPUTED_VALUE"""),"OB")</f>
        <v>OB</v>
      </c>
    </row>
    <row r="8391">
      <c r="A8391" s="3" t="str">
        <f>IFERROR(__xludf.DUMMYFUNCTION("""COMPUTED_VALUE"""),"ocavu-network")</f>
        <v>ocavu-network</v>
      </c>
      <c r="B8391" s="3" t="str">
        <f>IFERROR(__xludf.DUMMYFUNCTION("""COMPUTED_VALUE"""),"ocavu")</f>
        <v>ocavu</v>
      </c>
      <c r="C8391" s="3" t="str">
        <f>IFERROR(__xludf.DUMMYFUNCTION("""COMPUTED_VALUE"""),"Ocavu Network")</f>
        <v>Ocavu Network</v>
      </c>
    </row>
    <row r="8392">
      <c r="A8392" s="3" t="str">
        <f>IFERROR(__xludf.DUMMYFUNCTION("""COMPUTED_VALUE"""),"occamfi")</f>
        <v>occamfi</v>
      </c>
      <c r="B8392" s="3" t="str">
        <f>IFERROR(__xludf.DUMMYFUNCTION("""COMPUTED_VALUE"""),"occ")</f>
        <v>occ</v>
      </c>
      <c r="C8392" s="3" t="str">
        <f>IFERROR(__xludf.DUMMYFUNCTION("""COMPUTED_VALUE"""),"OccamFi")</f>
        <v>OccamFi</v>
      </c>
    </row>
    <row r="8393">
      <c r="A8393" s="3" t="str">
        <f>IFERROR(__xludf.DUMMYFUNCTION("""COMPUTED_VALUE"""),"occamx")</f>
        <v>occamx</v>
      </c>
      <c r="B8393" s="3" t="str">
        <f>IFERROR(__xludf.DUMMYFUNCTION("""COMPUTED_VALUE"""),"ocx")</f>
        <v>ocx</v>
      </c>
      <c r="C8393" s="3" t="str">
        <f>IFERROR(__xludf.DUMMYFUNCTION("""COMPUTED_VALUE"""),"OccamX")</f>
        <v>OccamX</v>
      </c>
    </row>
    <row r="8394">
      <c r="A8394" s="3" t="str">
        <f>IFERROR(__xludf.DUMMYFUNCTION("""COMPUTED_VALUE"""),"oceanex")</f>
        <v>oceanex</v>
      </c>
      <c r="B8394" s="3" t="str">
        <f>IFERROR(__xludf.DUMMYFUNCTION("""COMPUTED_VALUE"""),"oce")</f>
        <v>oce</v>
      </c>
      <c r="C8394" s="3" t="str">
        <f>IFERROR(__xludf.DUMMYFUNCTION("""COMPUTED_VALUE"""),"OceanEX")</f>
        <v>OceanEX</v>
      </c>
    </row>
    <row r="8395">
      <c r="A8395" s="3" t="str">
        <f>IFERROR(__xludf.DUMMYFUNCTION("""COMPUTED_VALUE"""),"oceanland")</f>
        <v>oceanland</v>
      </c>
      <c r="B8395" s="3" t="str">
        <f>IFERROR(__xludf.DUMMYFUNCTION("""COMPUTED_VALUE"""),"oland")</f>
        <v>oland</v>
      </c>
      <c r="C8395" s="3" t="str">
        <f>IFERROR(__xludf.DUMMYFUNCTION("""COMPUTED_VALUE"""),"OceanLand")</f>
        <v>OceanLand</v>
      </c>
    </row>
    <row r="8396">
      <c r="A8396" s="3" t="str">
        <f>IFERROR(__xludf.DUMMYFUNCTION("""COMPUTED_VALUE"""),"ocean-protocol")</f>
        <v>ocean-protocol</v>
      </c>
      <c r="B8396" s="3" t="str">
        <f>IFERROR(__xludf.DUMMYFUNCTION("""COMPUTED_VALUE"""),"ocean")</f>
        <v>ocean</v>
      </c>
      <c r="C8396" s="3" t="str">
        <f>IFERROR(__xludf.DUMMYFUNCTION("""COMPUTED_VALUE"""),"Ocean Protocol")</f>
        <v>Ocean Protocol</v>
      </c>
    </row>
    <row r="8397">
      <c r="A8397" s="3" t="str">
        <f>IFERROR(__xludf.DUMMYFUNCTION("""COMPUTED_VALUE"""),"oceans-finance-v2")</f>
        <v>oceans-finance-v2</v>
      </c>
      <c r="B8397" s="3" t="str">
        <f>IFERROR(__xludf.DUMMYFUNCTION("""COMPUTED_VALUE"""),"oceansv2")</f>
        <v>oceansv2</v>
      </c>
      <c r="C8397" s="3" t="str">
        <f>IFERROR(__xludf.DUMMYFUNCTION("""COMPUTED_VALUE"""),"Oceans Finance")</f>
        <v>Oceans Finance</v>
      </c>
    </row>
    <row r="8398">
      <c r="A8398" s="3" t="str">
        <f>IFERROR(__xludf.DUMMYFUNCTION("""COMPUTED_VALUE"""),"oceans-miner")</f>
        <v>oceans-miner</v>
      </c>
      <c r="B8398" s="3" t="str">
        <f>IFERROR(__xludf.DUMMYFUNCTION("""COMPUTED_VALUE"""),"moceans")</f>
        <v>moceans</v>
      </c>
      <c r="C8398" s="3" t="str">
        <f>IFERROR(__xludf.DUMMYFUNCTION("""COMPUTED_VALUE"""),"Oceans Miner")</f>
        <v>Oceans Miner</v>
      </c>
    </row>
    <row r="8399">
      <c r="A8399" s="3" t="str">
        <f>IFERROR(__xludf.DUMMYFUNCTION("""COMPUTED_VALUE"""),"oceans-swap")</f>
        <v>oceans-swap</v>
      </c>
      <c r="B8399" s="3" t="str">
        <f>IFERROR(__xludf.DUMMYFUNCTION("""COMPUTED_VALUE"""),"odex")</f>
        <v>odex</v>
      </c>
      <c r="C8399" s="3" t="str">
        <f>IFERROR(__xludf.DUMMYFUNCTION("""COMPUTED_VALUE"""),"Oceans Swap")</f>
        <v>Oceans Swap</v>
      </c>
    </row>
    <row r="8400">
      <c r="A8400" s="3" t="str">
        <f>IFERROR(__xludf.DUMMYFUNCTION("""COMPUTED_VALUE"""),"oceidon-blox")</f>
        <v>oceidon-blox</v>
      </c>
      <c r="B8400" s="3" t="str">
        <f>IFERROR(__xludf.DUMMYFUNCTION("""COMPUTED_VALUE"""),"oblox")</f>
        <v>oblox</v>
      </c>
      <c r="C8400" s="3" t="str">
        <f>IFERROR(__xludf.DUMMYFUNCTION("""COMPUTED_VALUE"""),"Oceidon Blox")</f>
        <v>Oceidon Blox</v>
      </c>
    </row>
    <row r="8401">
      <c r="A8401" s="3" t="str">
        <f>IFERROR(__xludf.DUMMYFUNCTION("""COMPUTED_VALUE"""),"ociswap")</f>
        <v>ociswap</v>
      </c>
      <c r="B8401" s="3" t="str">
        <f>IFERROR(__xludf.DUMMYFUNCTION("""COMPUTED_VALUE"""),"oci")</f>
        <v>oci</v>
      </c>
      <c r="C8401" s="3" t="str">
        <f>IFERROR(__xludf.DUMMYFUNCTION("""COMPUTED_VALUE"""),"Ociswap")</f>
        <v>Ociswap</v>
      </c>
    </row>
    <row r="8402">
      <c r="A8402" s="3" t="str">
        <f>IFERROR(__xludf.DUMMYFUNCTION("""COMPUTED_VALUE"""),"oc-protocol")</f>
        <v>oc-protocol</v>
      </c>
      <c r="B8402" s="3" t="str">
        <f>IFERROR(__xludf.DUMMYFUNCTION("""COMPUTED_VALUE"""),"ocp")</f>
        <v>ocp</v>
      </c>
      <c r="C8402" s="3" t="str">
        <f>IFERROR(__xludf.DUMMYFUNCTION("""COMPUTED_VALUE"""),"OC Protocol")</f>
        <v>OC Protocol</v>
      </c>
    </row>
    <row r="8403">
      <c r="A8403" s="3" t="str">
        <f>IFERROR(__xludf.DUMMYFUNCTION("""COMPUTED_VALUE"""),"octafarm")</f>
        <v>octafarm</v>
      </c>
      <c r="B8403" s="3" t="str">
        <f>IFERROR(__xludf.DUMMYFUNCTION("""COMPUTED_VALUE"""),"octf")</f>
        <v>octf</v>
      </c>
      <c r="C8403" s="3" t="str">
        <f>IFERROR(__xludf.DUMMYFUNCTION("""COMPUTED_VALUE"""),"Octafarm")</f>
        <v>Octafarm</v>
      </c>
    </row>
    <row r="8404">
      <c r="A8404" s="3" t="str">
        <f>IFERROR(__xludf.DUMMYFUNCTION("""COMPUTED_VALUE"""),"octane-protocol-token")</f>
        <v>octane-protocol-token</v>
      </c>
      <c r="B8404" s="3" t="str">
        <f>IFERROR(__xludf.DUMMYFUNCTION("""COMPUTED_VALUE"""),"octane")</f>
        <v>octane</v>
      </c>
      <c r="C8404" s="3" t="str">
        <f>IFERROR(__xludf.DUMMYFUNCTION("""COMPUTED_VALUE"""),"Octane Protocol")</f>
        <v>Octane Protocol</v>
      </c>
    </row>
    <row r="8405">
      <c r="A8405" s="3" t="str">
        <f>IFERROR(__xludf.DUMMYFUNCTION("""COMPUTED_VALUE"""),"octaplex-network")</f>
        <v>octaplex-network</v>
      </c>
      <c r="B8405" s="3" t="str">
        <f>IFERROR(__xludf.DUMMYFUNCTION("""COMPUTED_VALUE"""),"plx")</f>
        <v>plx</v>
      </c>
      <c r="C8405" s="3" t="str">
        <f>IFERROR(__xludf.DUMMYFUNCTION("""COMPUTED_VALUE"""),"Octaplex Network")</f>
        <v>Octaplex Network</v>
      </c>
    </row>
    <row r="8406">
      <c r="A8406" s="3" t="str">
        <f>IFERROR(__xludf.DUMMYFUNCTION("""COMPUTED_VALUE"""),"oction")</f>
        <v>oction</v>
      </c>
      <c r="B8406" s="3" t="str">
        <f>IFERROR(__xludf.DUMMYFUNCTION("""COMPUTED_VALUE"""),"octi")</f>
        <v>octi</v>
      </c>
      <c r="C8406" s="3" t="str">
        <f>IFERROR(__xludf.DUMMYFUNCTION("""COMPUTED_VALUE"""),"Oction")</f>
        <v>Oction</v>
      </c>
    </row>
    <row r="8407">
      <c r="A8407" s="3" t="str">
        <f>IFERROR(__xludf.DUMMYFUNCTION("""COMPUTED_VALUE"""),"octocoin")</f>
        <v>octocoin</v>
      </c>
      <c r="B8407" s="3" t="str">
        <f>IFERROR(__xludf.DUMMYFUNCTION("""COMPUTED_VALUE"""),"888")</f>
        <v>888</v>
      </c>
      <c r="C8407" s="3" t="str">
        <f>IFERROR(__xludf.DUMMYFUNCTION("""COMPUTED_VALUE"""),"Octocoin")</f>
        <v>Octocoin</v>
      </c>
    </row>
    <row r="8408">
      <c r="A8408" s="3" t="str">
        <f>IFERROR(__xludf.DUMMYFUNCTION("""COMPUTED_VALUE"""),"octofi")</f>
        <v>octofi</v>
      </c>
      <c r="B8408" s="3" t="str">
        <f>IFERROR(__xludf.DUMMYFUNCTION("""COMPUTED_VALUE"""),"octo")</f>
        <v>octo</v>
      </c>
      <c r="C8408" s="3" t="str">
        <f>IFERROR(__xludf.DUMMYFUNCTION("""COMPUTED_VALUE"""),"OctoFi")</f>
        <v>OctoFi</v>
      </c>
    </row>
    <row r="8409">
      <c r="A8409" s="3" t="str">
        <f>IFERROR(__xludf.DUMMYFUNCTION("""COMPUTED_VALUE"""),"octogamex")</f>
        <v>octogamex</v>
      </c>
      <c r="B8409" s="3" t="str">
        <f>IFERROR(__xludf.DUMMYFUNCTION("""COMPUTED_VALUE"""),"ogt")</f>
        <v>ogt</v>
      </c>
      <c r="C8409" s="3" t="str">
        <f>IFERROR(__xludf.DUMMYFUNCTION("""COMPUTED_VALUE"""),"OctoGamex")</f>
        <v>OctoGamex</v>
      </c>
    </row>
    <row r="8410">
      <c r="A8410" s="3" t="str">
        <f>IFERROR(__xludf.DUMMYFUNCTION("""COMPUTED_VALUE"""),"octopus-network")</f>
        <v>octopus-network</v>
      </c>
      <c r="B8410" s="3" t="str">
        <f>IFERROR(__xludf.DUMMYFUNCTION("""COMPUTED_VALUE"""),"oct")</f>
        <v>oct</v>
      </c>
      <c r="C8410" s="3" t="str">
        <f>IFERROR(__xludf.DUMMYFUNCTION("""COMPUTED_VALUE"""),"Octopus Network")</f>
        <v>Octopus Network</v>
      </c>
    </row>
    <row r="8411">
      <c r="A8411" s="3" t="str">
        <f>IFERROR(__xludf.DUMMYFUNCTION("""COMPUTED_VALUE"""),"octopus-protocol")</f>
        <v>octopus-protocol</v>
      </c>
      <c r="B8411" s="3" t="str">
        <f>IFERROR(__xludf.DUMMYFUNCTION("""COMPUTED_VALUE"""),"ops")</f>
        <v>ops</v>
      </c>
      <c r="C8411" s="3" t="str">
        <f>IFERROR(__xludf.DUMMYFUNCTION("""COMPUTED_VALUE"""),"Octopus Protocol")</f>
        <v>Octopus Protocol</v>
      </c>
    </row>
    <row r="8412">
      <c r="A8412" s="3" t="str">
        <f>IFERROR(__xludf.DUMMYFUNCTION("""COMPUTED_VALUE"""),"octorand")</f>
        <v>octorand</v>
      </c>
      <c r="B8412" s="3" t="str">
        <f>IFERROR(__xludf.DUMMYFUNCTION("""COMPUTED_VALUE"""),"octo")</f>
        <v>octo</v>
      </c>
      <c r="C8412" s="3" t="str">
        <f>IFERROR(__xludf.DUMMYFUNCTION("""COMPUTED_VALUE"""),"Octorand")</f>
        <v>Octorand</v>
      </c>
    </row>
    <row r="8413">
      <c r="A8413" s="3" t="str">
        <f>IFERROR(__xludf.DUMMYFUNCTION("""COMPUTED_VALUE"""),"octus-bridge")</f>
        <v>octus-bridge</v>
      </c>
      <c r="B8413" s="3" t="str">
        <f>IFERROR(__xludf.DUMMYFUNCTION("""COMPUTED_VALUE"""),"bridge")</f>
        <v>bridge</v>
      </c>
      <c r="C8413" s="3" t="str">
        <f>IFERROR(__xludf.DUMMYFUNCTION("""COMPUTED_VALUE"""),"Octus Bridge")</f>
        <v>Octus Bridge</v>
      </c>
    </row>
    <row r="8414">
      <c r="A8414" s="3" t="str">
        <f>IFERROR(__xludf.DUMMYFUNCTION("""COMPUTED_VALUE"""),"octus-social-media-market")</f>
        <v>octus-social-media-market</v>
      </c>
      <c r="B8414" s="3" t="str">
        <f>IFERROR(__xludf.DUMMYFUNCTION("""COMPUTED_VALUE"""),"octsmm")</f>
        <v>octsmm</v>
      </c>
      <c r="C8414" s="3" t="str">
        <f>IFERROR(__xludf.DUMMYFUNCTION("""COMPUTED_VALUE"""),"Octus Social Media Market")</f>
        <v>Octus Social Media Market</v>
      </c>
    </row>
    <row r="8415">
      <c r="A8415" s="3" t="str">
        <f>IFERROR(__xludf.DUMMYFUNCTION("""COMPUTED_VALUE"""),"oculus-vision")</f>
        <v>oculus-vision</v>
      </c>
      <c r="B8415" s="3" t="str">
        <f>IFERROR(__xludf.DUMMYFUNCTION("""COMPUTED_VALUE"""),"ocv")</f>
        <v>ocv</v>
      </c>
      <c r="C8415" s="3" t="str">
        <f>IFERROR(__xludf.DUMMYFUNCTION("""COMPUTED_VALUE"""),"Oculus Vision")</f>
        <v>Oculus Vision</v>
      </c>
    </row>
    <row r="8416">
      <c r="A8416" s="3" t="str">
        <f>IFERROR(__xludf.DUMMYFUNCTION("""COMPUTED_VALUE"""),"oddz")</f>
        <v>oddz</v>
      </c>
      <c r="B8416" s="3" t="str">
        <f>IFERROR(__xludf.DUMMYFUNCTION("""COMPUTED_VALUE"""),"oddz")</f>
        <v>oddz</v>
      </c>
      <c r="C8416" s="3" t="str">
        <f>IFERROR(__xludf.DUMMYFUNCTION("""COMPUTED_VALUE"""),"Oddz")</f>
        <v>Oddz</v>
      </c>
    </row>
    <row r="8417">
      <c r="A8417" s="3" t="str">
        <f>IFERROR(__xludf.DUMMYFUNCTION("""COMPUTED_VALUE"""),"odem")</f>
        <v>odem</v>
      </c>
      <c r="B8417" s="3" t="str">
        <f>IFERROR(__xludf.DUMMYFUNCTION("""COMPUTED_VALUE"""),"ode")</f>
        <v>ode</v>
      </c>
      <c r="C8417" s="3" t="str">
        <f>IFERROR(__xludf.DUMMYFUNCTION("""COMPUTED_VALUE"""),"ODEM")</f>
        <v>ODEM</v>
      </c>
    </row>
    <row r="8418">
      <c r="A8418" s="3" t="str">
        <f>IFERROR(__xludf.DUMMYFUNCTION("""COMPUTED_VALUE"""),"odin-protocol")</f>
        <v>odin-protocol</v>
      </c>
      <c r="B8418" s="3" t="str">
        <f>IFERROR(__xludf.DUMMYFUNCTION("""COMPUTED_VALUE"""),"odin")</f>
        <v>odin</v>
      </c>
      <c r="C8418" s="3" t="str">
        <f>IFERROR(__xludf.DUMMYFUNCTION("""COMPUTED_VALUE"""),"Odin Protocol")</f>
        <v>Odin Protocol</v>
      </c>
    </row>
    <row r="8419">
      <c r="A8419" s="3" t="str">
        <f>IFERROR(__xludf.DUMMYFUNCTION("""COMPUTED_VALUE"""),"odop")</f>
        <v>odop</v>
      </c>
      <c r="B8419" s="3" t="str">
        <f>IFERROR(__xludf.DUMMYFUNCTION("""COMPUTED_VALUE"""),"odop")</f>
        <v>odop</v>
      </c>
      <c r="C8419" s="3" t="str">
        <f>IFERROR(__xludf.DUMMYFUNCTION("""COMPUTED_VALUE"""),"oDOP")</f>
        <v>oDOP</v>
      </c>
    </row>
    <row r="8420">
      <c r="A8420" s="3" t="str">
        <f>IFERROR(__xludf.DUMMYFUNCTION("""COMPUTED_VALUE"""),"oduwa-coin")</f>
        <v>oduwa-coin</v>
      </c>
      <c r="B8420" s="3" t="str">
        <f>IFERROR(__xludf.DUMMYFUNCTION("""COMPUTED_VALUE"""),"owc")</f>
        <v>owc</v>
      </c>
      <c r="C8420" s="3" t="str">
        <f>IFERROR(__xludf.DUMMYFUNCTION("""COMPUTED_VALUE"""),"Oduwa Coin")</f>
        <v>Oduwa Coin</v>
      </c>
    </row>
    <row r="8421">
      <c r="A8421" s="3" t="str">
        <f>IFERROR(__xludf.DUMMYFUNCTION("""COMPUTED_VALUE"""),"odyssey")</f>
        <v>odyssey</v>
      </c>
      <c r="B8421" s="3" t="str">
        <f>IFERROR(__xludf.DUMMYFUNCTION("""COMPUTED_VALUE"""),"ocn")</f>
        <v>ocn</v>
      </c>
      <c r="C8421" s="3" t="str">
        <f>IFERROR(__xludf.DUMMYFUNCTION("""COMPUTED_VALUE"""),"Odyssey")</f>
        <v>Odyssey</v>
      </c>
    </row>
    <row r="8422">
      <c r="A8422" s="3" t="str">
        <f>IFERROR(__xludf.DUMMYFUNCTION("""COMPUTED_VALUE"""),"oec-bch")</f>
        <v>oec-bch</v>
      </c>
      <c r="B8422" s="3" t="str">
        <f>IFERROR(__xludf.DUMMYFUNCTION("""COMPUTED_VALUE"""),"bchk")</f>
        <v>bchk</v>
      </c>
      <c r="C8422" s="3" t="str">
        <f>IFERROR(__xludf.DUMMYFUNCTION("""COMPUTED_VALUE"""),"OEC BCH")</f>
        <v>OEC BCH</v>
      </c>
    </row>
    <row r="8423">
      <c r="A8423" s="3" t="str">
        <f>IFERROR(__xludf.DUMMYFUNCTION("""COMPUTED_VALUE"""),"oec-binance-coin")</f>
        <v>oec-binance-coin</v>
      </c>
      <c r="B8423" s="3" t="str">
        <f>IFERROR(__xludf.DUMMYFUNCTION("""COMPUTED_VALUE"""),"bnb")</f>
        <v>bnb</v>
      </c>
      <c r="C8423" s="3" t="str">
        <f>IFERROR(__xludf.DUMMYFUNCTION("""COMPUTED_VALUE"""),"OEC Binance Coin")</f>
        <v>OEC Binance Coin</v>
      </c>
    </row>
    <row r="8424">
      <c r="A8424" s="3" t="str">
        <f>IFERROR(__xludf.DUMMYFUNCTION("""COMPUTED_VALUE"""),"oec-btc")</f>
        <v>oec-btc</v>
      </c>
      <c r="B8424" s="3" t="str">
        <f>IFERROR(__xludf.DUMMYFUNCTION("""COMPUTED_VALUE"""),"btck")</f>
        <v>btck</v>
      </c>
      <c r="C8424" s="3" t="str">
        <f>IFERROR(__xludf.DUMMYFUNCTION("""COMPUTED_VALUE"""),"OEC BTC")</f>
        <v>OEC BTC</v>
      </c>
    </row>
    <row r="8425">
      <c r="A8425" s="3" t="str">
        <f>IFERROR(__xludf.DUMMYFUNCTION("""COMPUTED_VALUE"""),"oec-chainlink")</f>
        <v>oec-chainlink</v>
      </c>
      <c r="B8425" s="3" t="str">
        <f>IFERROR(__xludf.DUMMYFUNCTION("""COMPUTED_VALUE"""),"linkk")</f>
        <v>linkk</v>
      </c>
      <c r="C8425" s="3" t="str">
        <f>IFERROR(__xludf.DUMMYFUNCTION("""COMPUTED_VALUE"""),"OEC Chainlink")</f>
        <v>OEC Chainlink</v>
      </c>
    </row>
    <row r="8426">
      <c r="A8426" s="3" t="str">
        <f>IFERROR(__xludf.DUMMYFUNCTION("""COMPUTED_VALUE"""),"oec-dai")</f>
        <v>oec-dai</v>
      </c>
      <c r="B8426" s="3" t="str">
        <f>IFERROR(__xludf.DUMMYFUNCTION("""COMPUTED_VALUE"""),"daik")</f>
        <v>daik</v>
      </c>
      <c r="C8426" s="3" t="str">
        <f>IFERROR(__xludf.DUMMYFUNCTION("""COMPUTED_VALUE"""),"OEC DAI")</f>
        <v>OEC DAI</v>
      </c>
    </row>
    <row r="8427">
      <c r="A8427" s="3" t="str">
        <f>IFERROR(__xludf.DUMMYFUNCTION("""COMPUTED_VALUE"""),"oec-dot")</f>
        <v>oec-dot</v>
      </c>
      <c r="B8427" s="3" t="str">
        <f>IFERROR(__xludf.DUMMYFUNCTION("""COMPUTED_VALUE"""),"dotk")</f>
        <v>dotk</v>
      </c>
      <c r="C8427" s="3" t="str">
        <f>IFERROR(__xludf.DUMMYFUNCTION("""COMPUTED_VALUE"""),"OEC DOT")</f>
        <v>OEC DOT</v>
      </c>
    </row>
    <row r="8428">
      <c r="A8428" s="3" t="str">
        <f>IFERROR(__xludf.DUMMYFUNCTION("""COMPUTED_VALUE"""),"oec-etc")</f>
        <v>oec-etc</v>
      </c>
      <c r="B8428" s="3" t="str">
        <f>IFERROR(__xludf.DUMMYFUNCTION("""COMPUTED_VALUE"""),"etck")</f>
        <v>etck</v>
      </c>
      <c r="C8428" s="3" t="str">
        <f>IFERROR(__xludf.DUMMYFUNCTION("""COMPUTED_VALUE"""),"OEC ETC")</f>
        <v>OEC ETC</v>
      </c>
    </row>
    <row r="8429">
      <c r="A8429" s="3" t="str">
        <f>IFERROR(__xludf.DUMMYFUNCTION("""COMPUTED_VALUE"""),"oec-eth")</f>
        <v>oec-eth</v>
      </c>
      <c r="B8429" s="3" t="str">
        <f>IFERROR(__xludf.DUMMYFUNCTION("""COMPUTED_VALUE"""),"ethk")</f>
        <v>ethk</v>
      </c>
      <c r="C8429" s="3" t="str">
        <f>IFERROR(__xludf.DUMMYFUNCTION("""COMPUTED_VALUE"""),"OEC ETH")</f>
        <v>OEC ETH</v>
      </c>
    </row>
    <row r="8430">
      <c r="A8430" s="3" t="str">
        <f>IFERROR(__xludf.DUMMYFUNCTION("""COMPUTED_VALUE"""),"oec-fil")</f>
        <v>oec-fil</v>
      </c>
      <c r="B8430" s="3" t="str">
        <f>IFERROR(__xludf.DUMMYFUNCTION("""COMPUTED_VALUE"""),"filk")</f>
        <v>filk</v>
      </c>
      <c r="C8430" s="3" t="str">
        <f>IFERROR(__xludf.DUMMYFUNCTION("""COMPUTED_VALUE"""),"OEC FIL")</f>
        <v>OEC FIL</v>
      </c>
    </row>
    <row r="8431">
      <c r="A8431" s="3" t="str">
        <f>IFERROR(__xludf.DUMMYFUNCTION("""COMPUTED_VALUE"""),"oec-ltc")</f>
        <v>oec-ltc</v>
      </c>
      <c r="B8431" s="3" t="str">
        <f>IFERROR(__xludf.DUMMYFUNCTION("""COMPUTED_VALUE"""),"ltck")</f>
        <v>ltck</v>
      </c>
      <c r="C8431" s="3" t="str">
        <f>IFERROR(__xludf.DUMMYFUNCTION("""COMPUTED_VALUE"""),"OEC LTC")</f>
        <v>OEC LTC</v>
      </c>
    </row>
    <row r="8432">
      <c r="A8432" s="3" t="str">
        <f>IFERROR(__xludf.DUMMYFUNCTION("""COMPUTED_VALUE"""),"oec-shib")</f>
        <v>oec-shib</v>
      </c>
      <c r="B8432" s="3" t="str">
        <f>IFERROR(__xludf.DUMMYFUNCTION("""COMPUTED_VALUE"""),"shibk")</f>
        <v>shibk</v>
      </c>
      <c r="C8432" s="3" t="str">
        <f>IFERROR(__xludf.DUMMYFUNCTION("""COMPUTED_VALUE"""),"OEC SHIB")</f>
        <v>OEC SHIB</v>
      </c>
    </row>
    <row r="8433">
      <c r="A8433" s="3" t="str">
        <f>IFERROR(__xludf.DUMMYFUNCTION("""COMPUTED_VALUE"""),"oec-token")</f>
        <v>oec-token</v>
      </c>
      <c r="B8433" s="3" t="str">
        <f>IFERROR(__xludf.DUMMYFUNCTION("""COMPUTED_VALUE"""),"okt")</f>
        <v>okt</v>
      </c>
      <c r="C8433" s="3" t="str">
        <f>IFERROR(__xludf.DUMMYFUNCTION("""COMPUTED_VALUE"""),"OKC")</f>
        <v>OKC</v>
      </c>
    </row>
    <row r="8434">
      <c r="A8434" s="3" t="str">
        <f>IFERROR(__xludf.DUMMYFUNCTION("""COMPUTED_VALUE"""),"oec-tron")</f>
        <v>oec-tron</v>
      </c>
      <c r="B8434" s="3" t="str">
        <f>IFERROR(__xludf.DUMMYFUNCTION("""COMPUTED_VALUE"""),"trxk")</f>
        <v>trxk</v>
      </c>
      <c r="C8434" s="3" t="str">
        <f>IFERROR(__xludf.DUMMYFUNCTION("""COMPUTED_VALUE"""),"OEC Tron")</f>
        <v>OEC Tron</v>
      </c>
    </row>
    <row r="8435">
      <c r="A8435" s="3" t="str">
        <f>IFERROR(__xludf.DUMMYFUNCTION("""COMPUTED_VALUE"""),"oec-uni")</f>
        <v>oec-uni</v>
      </c>
      <c r="B8435" s="3" t="str">
        <f>IFERROR(__xludf.DUMMYFUNCTION("""COMPUTED_VALUE"""),"unik")</f>
        <v>unik</v>
      </c>
      <c r="C8435" s="3" t="str">
        <f>IFERROR(__xludf.DUMMYFUNCTION("""COMPUTED_VALUE"""),"OEC UNI")</f>
        <v>OEC UNI</v>
      </c>
    </row>
    <row r="8436">
      <c r="A8436" s="3" t="str">
        <f>IFERROR(__xludf.DUMMYFUNCTION("""COMPUTED_VALUE"""),"official-crypto-cowboy-token")</f>
        <v>official-crypto-cowboy-token</v>
      </c>
      <c r="B8436" s="3" t="str">
        <f>IFERROR(__xludf.DUMMYFUNCTION("""COMPUTED_VALUE"""),"occt")</f>
        <v>occt</v>
      </c>
      <c r="C8436" s="3" t="str">
        <f>IFERROR(__xludf.DUMMYFUNCTION("""COMPUTED_VALUE"""),"Official Crypto Cowboy")</f>
        <v>Official Crypto Cowboy</v>
      </c>
    </row>
    <row r="8437">
      <c r="A8437" s="3" t="str">
        <f>IFERROR(__xludf.DUMMYFUNCTION("""COMPUTED_VALUE"""),"offline")</f>
        <v>offline</v>
      </c>
      <c r="B8437" s="3" t="str">
        <f>IFERROR(__xludf.DUMMYFUNCTION("""COMPUTED_VALUE"""),"off")</f>
        <v>off</v>
      </c>
      <c r="C8437" s="3" t="str">
        <f>IFERROR(__xludf.DUMMYFUNCTION("""COMPUTED_VALUE"""),"Offline")</f>
        <v>Offline</v>
      </c>
    </row>
    <row r="8438">
      <c r="A8438" s="3" t="str">
        <f>IFERROR(__xludf.DUMMYFUNCTION("""COMPUTED_VALUE"""),"offshift")</f>
        <v>offshift</v>
      </c>
      <c r="B8438" s="3" t="str">
        <f>IFERROR(__xludf.DUMMYFUNCTION("""COMPUTED_VALUE"""),"xft")</f>
        <v>xft</v>
      </c>
      <c r="C8438" s="3" t="str">
        <f>IFERROR(__xludf.DUMMYFUNCTION("""COMPUTED_VALUE"""),"Offshift")</f>
        <v>Offshift</v>
      </c>
    </row>
    <row r="8439">
      <c r="A8439" s="3" t="str">
        <f>IFERROR(__xludf.DUMMYFUNCTION("""COMPUTED_VALUE"""),"ofi-cash")</f>
        <v>ofi-cash</v>
      </c>
      <c r="B8439" s="3" t="str">
        <f>IFERROR(__xludf.DUMMYFUNCTION("""COMPUTED_VALUE"""),"ofi")</f>
        <v>ofi</v>
      </c>
      <c r="C8439" s="3" t="str">
        <f>IFERROR(__xludf.DUMMYFUNCTION("""COMPUTED_VALUE"""),"OFI.cash")</f>
        <v>OFI.cash</v>
      </c>
    </row>
    <row r="8440">
      <c r="A8440" s="3" t="str">
        <f>IFERROR(__xludf.DUMMYFUNCTION("""COMPUTED_VALUE"""),"og-fan-token")</f>
        <v>og-fan-token</v>
      </c>
      <c r="B8440" s="3" t="str">
        <f>IFERROR(__xludf.DUMMYFUNCTION("""COMPUTED_VALUE"""),"og")</f>
        <v>og</v>
      </c>
      <c r="C8440" s="3" t="str">
        <f>IFERROR(__xludf.DUMMYFUNCTION("""COMPUTED_VALUE"""),"OG Fan Token")</f>
        <v>OG Fan Token</v>
      </c>
    </row>
    <row r="8441">
      <c r="A8441" s="3" t="str">
        <f>IFERROR(__xludf.DUMMYFUNCTION("""COMPUTED_VALUE"""),"oh-finance")</f>
        <v>oh-finance</v>
      </c>
      <c r="B8441" s="3" t="str">
        <f>IFERROR(__xludf.DUMMYFUNCTION("""COMPUTED_VALUE"""),"oh")</f>
        <v>oh</v>
      </c>
      <c r="C8441" s="3" t="str">
        <f>IFERROR(__xludf.DUMMYFUNCTION("""COMPUTED_VALUE"""),"Oh! Finance")</f>
        <v>Oh! Finance</v>
      </c>
    </row>
    <row r="8442">
      <c r="A8442" s="3" t="str">
        <f>IFERROR(__xludf.DUMMYFUNCTION("""COMPUTED_VALUE"""),"ohm-coin")</f>
        <v>ohm-coin</v>
      </c>
      <c r="B8442" s="3" t="str">
        <f>IFERROR(__xludf.DUMMYFUNCTION("""COMPUTED_VALUE"""),"ohmc")</f>
        <v>ohmc</v>
      </c>
      <c r="C8442" s="3" t="str">
        <f>IFERROR(__xludf.DUMMYFUNCTION("""COMPUTED_VALUE"""),"Ohmcoin")</f>
        <v>Ohmcoin</v>
      </c>
    </row>
    <row r="8443">
      <c r="A8443" s="3" t="str">
        <f>IFERROR(__xludf.DUMMYFUNCTION("""COMPUTED_VALUE"""),"ohmd")</f>
        <v>ohmd</v>
      </c>
      <c r="B8443" s="3" t="str">
        <f>IFERROR(__xludf.DUMMYFUNCTION("""COMPUTED_VALUE"""),"$wsohmd")</f>
        <v>$wsohmd</v>
      </c>
      <c r="C8443" s="3" t="str">
        <f>IFERROR(__xludf.DUMMYFUNCTION("""COMPUTED_VALUE"""),"OHMD")</f>
        <v>OHMD</v>
      </c>
    </row>
    <row r="8444">
      <c r="A8444" s="3" t="str">
        <f>IFERROR(__xludf.DUMMYFUNCTION("""COMPUTED_VALUE"""),"oho-blockchain")</f>
        <v>oho-blockchain</v>
      </c>
      <c r="B8444" s="3" t="str">
        <f>IFERROR(__xludf.DUMMYFUNCTION("""COMPUTED_VALUE"""),"oho")</f>
        <v>oho</v>
      </c>
      <c r="C8444" s="3" t="str">
        <f>IFERROR(__xludf.DUMMYFUNCTION("""COMPUTED_VALUE"""),"OHO Blockchain")</f>
        <v>OHO Blockchain</v>
      </c>
    </row>
    <row r="8445">
      <c r="A8445" s="3" t="str">
        <f>IFERROR(__xludf.DUMMYFUNCTION("""COMPUTED_VALUE"""),"oikos")</f>
        <v>oikos</v>
      </c>
      <c r="B8445" s="3" t="str">
        <f>IFERROR(__xludf.DUMMYFUNCTION("""COMPUTED_VALUE"""),"oks")</f>
        <v>oks</v>
      </c>
      <c r="C8445" s="3" t="str">
        <f>IFERROR(__xludf.DUMMYFUNCTION("""COMPUTED_VALUE"""),"Oikos")</f>
        <v>Oikos</v>
      </c>
    </row>
    <row r="8446">
      <c r="A8446" s="3" t="str">
        <f>IFERROR(__xludf.DUMMYFUNCTION("""COMPUTED_VALUE"""),"oilage")</f>
        <v>oilage</v>
      </c>
      <c r="B8446" s="3" t="str">
        <f>IFERROR(__xludf.DUMMYFUNCTION("""COMPUTED_VALUE"""),"oil")</f>
        <v>oil</v>
      </c>
      <c r="C8446" s="3" t="str">
        <f>IFERROR(__xludf.DUMMYFUNCTION("""COMPUTED_VALUE"""),"OILage")</f>
        <v>OILage</v>
      </c>
    </row>
    <row r="8447">
      <c r="A8447" s="3" t="str">
        <f>IFERROR(__xludf.DUMMYFUNCTION("""COMPUTED_VALUE"""),"oiler")</f>
        <v>oiler</v>
      </c>
      <c r="B8447" s="3" t="str">
        <f>IFERROR(__xludf.DUMMYFUNCTION("""COMPUTED_VALUE"""),"oil")</f>
        <v>oil</v>
      </c>
      <c r="C8447" s="3" t="str">
        <f>IFERROR(__xludf.DUMMYFUNCTION("""COMPUTED_VALUE"""),"Oiler")</f>
        <v>Oiler</v>
      </c>
    </row>
    <row r="8448">
      <c r="A8448" s="3" t="str">
        <f>IFERROR(__xludf.DUMMYFUNCTION("""COMPUTED_VALUE"""),"oin-finance")</f>
        <v>oin-finance</v>
      </c>
      <c r="B8448" s="3" t="str">
        <f>IFERROR(__xludf.DUMMYFUNCTION("""COMPUTED_VALUE"""),"oin")</f>
        <v>oin</v>
      </c>
      <c r="C8448" s="3" t="str">
        <f>IFERROR(__xludf.DUMMYFUNCTION("""COMPUTED_VALUE"""),"OIN Finance")</f>
        <v>OIN Finance</v>
      </c>
    </row>
    <row r="8449">
      <c r="A8449" s="3" t="str">
        <f>IFERROR(__xludf.DUMMYFUNCTION("""COMPUTED_VALUE"""),"oink-token")</f>
        <v>oink-token</v>
      </c>
      <c r="B8449" s="3" t="str">
        <f>IFERROR(__xludf.DUMMYFUNCTION("""COMPUTED_VALUE"""),"oink")</f>
        <v>oink</v>
      </c>
      <c r="C8449" s="3" t="str">
        <f>IFERROR(__xludf.DUMMYFUNCTION("""COMPUTED_VALUE"""),"Oink")</f>
        <v>Oink</v>
      </c>
    </row>
    <row r="8450">
      <c r="A8450" s="3" t="str">
        <f>IFERROR(__xludf.DUMMYFUNCTION("""COMPUTED_VALUE"""),"oiocoin")</f>
        <v>oiocoin</v>
      </c>
      <c r="B8450" s="3" t="str">
        <f>IFERROR(__xludf.DUMMYFUNCTION("""COMPUTED_VALUE"""),"oioc")</f>
        <v>oioc</v>
      </c>
      <c r="C8450" s="3" t="str">
        <f>IFERROR(__xludf.DUMMYFUNCTION("""COMPUTED_VALUE"""),"OIOCoin")</f>
        <v>OIOCoin</v>
      </c>
    </row>
    <row r="8451">
      <c r="A8451" s="3" t="str">
        <f>IFERROR(__xludf.DUMMYFUNCTION("""COMPUTED_VALUE"""),"oja-coin")</f>
        <v>oja-coin</v>
      </c>
      <c r="B8451" s="3" t="str">
        <f>IFERROR(__xludf.DUMMYFUNCTION("""COMPUTED_VALUE"""),"ojx")</f>
        <v>ojx</v>
      </c>
      <c r="C8451" s="3" t="str">
        <f>IFERROR(__xludf.DUMMYFUNCTION("""COMPUTED_VALUE"""),"OJA Coin")</f>
        <v>OJA Coin</v>
      </c>
    </row>
    <row r="8452">
      <c r="A8452" s="3" t="str">
        <f>IFERROR(__xludf.DUMMYFUNCTION("""COMPUTED_VALUE"""),"ojamu")</f>
        <v>ojamu</v>
      </c>
      <c r="B8452" s="3" t="str">
        <f>IFERROR(__xludf.DUMMYFUNCTION("""COMPUTED_VALUE"""),"oja")</f>
        <v>oja</v>
      </c>
      <c r="C8452" s="3" t="str">
        <f>IFERROR(__xludf.DUMMYFUNCTION("""COMPUTED_VALUE"""),"Ojamu")</f>
        <v>Ojamu</v>
      </c>
    </row>
    <row r="8453">
      <c r="A8453" s="3" t="str">
        <f>IFERROR(__xludf.DUMMYFUNCTION("""COMPUTED_VALUE"""),"oje-token")</f>
        <v>oje-token</v>
      </c>
      <c r="B8453" s="3" t="str">
        <f>IFERROR(__xludf.DUMMYFUNCTION("""COMPUTED_VALUE"""),"oje")</f>
        <v>oje</v>
      </c>
      <c r="C8453" s="3" t="str">
        <f>IFERROR(__xludf.DUMMYFUNCTION("""COMPUTED_VALUE"""),"Oje")</f>
        <v>Oje</v>
      </c>
    </row>
    <row r="8454">
      <c r="A8454" s="3" t="str">
        <f>IFERROR(__xludf.DUMMYFUNCTION("""COMPUTED_VALUE"""),"okaleido")</f>
        <v>okaleido</v>
      </c>
      <c r="B8454" s="3" t="str">
        <f>IFERROR(__xludf.DUMMYFUNCTION("""COMPUTED_VALUE"""),"oka")</f>
        <v>oka</v>
      </c>
      <c r="C8454" s="3" t="str">
        <f>IFERROR(__xludf.DUMMYFUNCTION("""COMPUTED_VALUE"""),"Okaleido")</f>
        <v>Okaleido</v>
      </c>
    </row>
    <row r="8455">
      <c r="A8455" s="3" t="str">
        <f>IFERROR(__xludf.DUMMYFUNCTION("""COMPUTED_VALUE"""),"okay-bears-floor-index")</f>
        <v>okay-bears-floor-index</v>
      </c>
      <c r="B8455" s="3" t="str">
        <f>IFERROR(__xludf.DUMMYFUNCTION("""COMPUTED_VALUE"""),"okayb")</f>
        <v>okayb</v>
      </c>
      <c r="C8455" s="3" t="str">
        <f>IFERROR(__xludf.DUMMYFUNCTION("""COMPUTED_VALUE"""),"Okay Bears Floor Index")</f>
        <v>Okay Bears Floor Index</v>
      </c>
    </row>
    <row r="8456">
      <c r="A8456" s="3" t="str">
        <f>IFERROR(__xludf.DUMMYFUNCTION("""COMPUTED_VALUE"""),"okb")</f>
        <v>okb</v>
      </c>
      <c r="B8456" s="3" t="str">
        <f>IFERROR(__xludf.DUMMYFUNCTION("""COMPUTED_VALUE"""),"okb")</f>
        <v>okb</v>
      </c>
      <c r="C8456" s="3" t="str">
        <f>IFERROR(__xludf.DUMMYFUNCTION("""COMPUTED_VALUE"""),"OKB")</f>
        <v>OKB</v>
      </c>
    </row>
    <row r="8457">
      <c r="A8457" s="3" t="str">
        <f>IFERROR(__xludf.DUMMYFUNCTION("""COMPUTED_VALUE"""),"okcash")</f>
        <v>okcash</v>
      </c>
      <c r="B8457" s="3" t="str">
        <f>IFERROR(__xludf.DUMMYFUNCTION("""COMPUTED_VALUE"""),"ok")</f>
        <v>ok</v>
      </c>
      <c r="C8457" s="3" t="str">
        <f>IFERROR(__xludf.DUMMYFUNCTION("""COMPUTED_VALUE"""),"Okcash")</f>
        <v>Okcash</v>
      </c>
    </row>
    <row r="8458">
      <c r="A8458" s="3" t="str">
        <f>IFERROR(__xludf.DUMMYFUNCTION("""COMPUTED_VALUE"""),"okdex")</f>
        <v>okdex</v>
      </c>
      <c r="B8458" s="3" t="str">
        <f>IFERROR(__xludf.DUMMYFUNCTION("""COMPUTED_VALUE"""),"okdex")</f>
        <v>okdex</v>
      </c>
      <c r="C8458" s="3" t="str">
        <f>IFERROR(__xludf.DUMMYFUNCTION("""COMPUTED_VALUE"""),"okdex")</f>
        <v>okdex</v>
      </c>
    </row>
    <row r="8459">
      <c r="A8459" s="3" t="str">
        <f>IFERROR(__xludf.DUMMYFUNCTION("""COMPUTED_VALUE"""),"okex-fly")</f>
        <v>okex-fly</v>
      </c>
      <c r="B8459" s="3" t="str">
        <f>IFERROR(__xludf.DUMMYFUNCTION("""COMPUTED_VALUE"""),"okfly")</f>
        <v>okfly</v>
      </c>
      <c r="C8459" s="3" t="str">
        <f>IFERROR(__xludf.DUMMYFUNCTION("""COMPUTED_VALUE"""),"Okex Fly")</f>
        <v>Okex Fly</v>
      </c>
    </row>
    <row r="8460">
      <c r="A8460" s="3" t="str">
        <f>IFERROR(__xludf.DUMMYFUNCTION("""COMPUTED_VALUE"""),"okeycoin")</f>
        <v>okeycoin</v>
      </c>
      <c r="B8460" s="3" t="str">
        <f>IFERROR(__xludf.DUMMYFUNCTION("""COMPUTED_VALUE"""),"okey")</f>
        <v>okey</v>
      </c>
      <c r="C8460" s="3" t="str">
        <f>IFERROR(__xludf.DUMMYFUNCTION("""COMPUTED_VALUE"""),"OKEYCOIN")</f>
        <v>OKEYCOIN</v>
      </c>
    </row>
    <row r="8461">
      <c r="A8461" s="3" t="str">
        <f>IFERROR(__xludf.DUMMYFUNCTION("""COMPUTED_VALUE"""),"okidoki-social")</f>
        <v>okidoki-social</v>
      </c>
      <c r="B8461" s="3" t="str">
        <f>IFERROR(__xludf.DUMMYFUNCTION("""COMPUTED_VALUE"""),"doki")</f>
        <v>doki</v>
      </c>
      <c r="C8461" s="3" t="str">
        <f>IFERROR(__xludf.DUMMYFUNCTION("""COMPUTED_VALUE"""),"Okidoki Social")</f>
        <v>Okidoki Social</v>
      </c>
    </row>
    <row r="8462">
      <c r="A8462" s="3" t="str">
        <f>IFERROR(__xludf.DUMMYFUNCTION("""COMPUTED_VALUE"""),"ok-lets-go")</f>
        <v>ok-lets-go</v>
      </c>
      <c r="B8462" s="3" t="str">
        <f>IFERROR(__xludf.DUMMYFUNCTION("""COMPUTED_VALUE"""),"oklg")</f>
        <v>oklg</v>
      </c>
      <c r="C8462" s="3" t="str">
        <f>IFERROR(__xludf.DUMMYFUNCTION("""COMPUTED_VALUE"""),"ok.lets.go.")</f>
        <v>ok.lets.go.</v>
      </c>
    </row>
    <row r="8463">
      <c r="A8463" s="3" t="str">
        <f>IFERROR(__xludf.DUMMYFUNCTION("""COMPUTED_VALUE"""),"okletsplay")</f>
        <v>okletsplay</v>
      </c>
      <c r="B8463" s="3" t="str">
        <f>IFERROR(__xludf.DUMMYFUNCTION("""COMPUTED_VALUE"""),"oklp")</f>
        <v>oklp</v>
      </c>
      <c r="C8463" s="3" t="str">
        <f>IFERROR(__xludf.DUMMYFUNCTION("""COMPUTED_VALUE"""),"OkLetsPlay")</f>
        <v>OkLetsPlay</v>
      </c>
    </row>
    <row r="8464">
      <c r="A8464" s="3" t="str">
        <f>IFERROR(__xludf.DUMMYFUNCTION("""COMPUTED_VALUE"""),"okratech-token")</f>
        <v>okratech-token</v>
      </c>
      <c r="B8464" s="3" t="str">
        <f>IFERROR(__xludf.DUMMYFUNCTION("""COMPUTED_VALUE"""),"ort")</f>
        <v>ort</v>
      </c>
      <c r="C8464" s="3" t="str">
        <f>IFERROR(__xludf.DUMMYFUNCTION("""COMPUTED_VALUE"""),"Okratech")</f>
        <v>Okratech</v>
      </c>
    </row>
    <row r="8465">
      <c r="A8465" s="3" t="str">
        <f>IFERROR(__xludf.DUMMYFUNCTION("""COMPUTED_VALUE"""),"okse")</f>
        <v>okse</v>
      </c>
      <c r="B8465" s="3" t="str">
        <f>IFERROR(__xludf.DUMMYFUNCTION("""COMPUTED_VALUE"""),"okse")</f>
        <v>okse</v>
      </c>
      <c r="C8465" s="3" t="str">
        <f>IFERROR(__xludf.DUMMYFUNCTION("""COMPUTED_VALUE"""),"Okse")</f>
        <v>Okse</v>
      </c>
    </row>
    <row r="8466">
      <c r="A8466" s="3" t="str">
        <f>IFERROR(__xludf.DUMMYFUNCTION("""COMPUTED_VALUE"""),"okuru")</f>
        <v>okuru</v>
      </c>
      <c r="B8466" s="3" t="str">
        <f>IFERROR(__xludf.DUMMYFUNCTION("""COMPUTED_VALUE"""),"xot")</f>
        <v>xot</v>
      </c>
      <c r="C8466" s="3" t="str">
        <f>IFERROR(__xludf.DUMMYFUNCTION("""COMPUTED_VALUE"""),"Okuru")</f>
        <v>Okuru</v>
      </c>
    </row>
    <row r="8467">
      <c r="A8467" s="3" t="str">
        <f>IFERROR(__xludf.DUMMYFUNCTION("""COMPUTED_VALUE"""),"okx-staked-dot1")</f>
        <v>okx-staked-dot1</v>
      </c>
      <c r="B8467" s="3" t="str">
        <f>IFERROR(__xludf.DUMMYFUNCTION("""COMPUTED_VALUE"""),"okdot1")</f>
        <v>okdot1</v>
      </c>
      <c r="C8467" s="3" t="str">
        <f>IFERROR(__xludf.DUMMYFUNCTION("""COMPUTED_VALUE"""),"OKX Staked DOT1")</f>
        <v>OKX Staked DOT1</v>
      </c>
    </row>
    <row r="8468">
      <c r="A8468" s="3" t="str">
        <f>IFERROR(__xludf.DUMMYFUNCTION("""COMPUTED_VALUE"""),"okx-staked-dot2")</f>
        <v>okx-staked-dot2</v>
      </c>
      <c r="B8468" s="3" t="str">
        <f>IFERROR(__xludf.DUMMYFUNCTION("""COMPUTED_VALUE"""),"okdot2")</f>
        <v>okdot2</v>
      </c>
      <c r="C8468" s="3" t="str">
        <f>IFERROR(__xludf.DUMMYFUNCTION("""COMPUTED_VALUE"""),"OKX Staked DOT2")</f>
        <v>OKX Staked DOT2</v>
      </c>
    </row>
    <row r="8469">
      <c r="A8469" s="3" t="str">
        <f>IFERROR(__xludf.DUMMYFUNCTION("""COMPUTED_VALUE"""),"ola-city")</f>
        <v>ola-city</v>
      </c>
      <c r="B8469" s="3" t="str">
        <f>IFERROR(__xludf.DUMMYFUNCTION("""COMPUTED_VALUE"""),"ola")</f>
        <v>ola</v>
      </c>
      <c r="C8469" s="3" t="str">
        <f>IFERROR(__xludf.DUMMYFUNCTION("""COMPUTED_VALUE"""),"Ola City")</f>
        <v>Ola City</v>
      </c>
    </row>
    <row r="8470">
      <c r="A8470" s="3" t="str">
        <f>IFERROR(__xludf.DUMMYFUNCTION("""COMPUTED_VALUE"""),"olecoin")</f>
        <v>olecoin</v>
      </c>
      <c r="B8470" s="3" t="str">
        <f>IFERROR(__xludf.DUMMYFUNCTION("""COMPUTED_VALUE"""),"ole")</f>
        <v>ole</v>
      </c>
      <c r="C8470" s="3" t="str">
        <f>IFERROR(__xludf.DUMMYFUNCTION("""COMPUTED_VALUE"""),"OleCoin")</f>
        <v>OleCoin</v>
      </c>
    </row>
    <row r="8471">
      <c r="A8471" s="3" t="str">
        <f>IFERROR(__xludf.DUMMYFUNCTION("""COMPUTED_VALUE"""),"olive")</f>
        <v>olive</v>
      </c>
      <c r="B8471" s="3" t="str">
        <f>IFERROR(__xludf.DUMMYFUNCTION("""COMPUTED_VALUE"""),"olv")</f>
        <v>olv</v>
      </c>
      <c r="C8471" s="3" t="str">
        <f>IFERROR(__xludf.DUMMYFUNCTION("""COMPUTED_VALUE"""),"OLIVE")</f>
        <v>OLIVE</v>
      </c>
    </row>
    <row r="8472">
      <c r="A8472" s="3" t="str">
        <f>IFERROR(__xludf.DUMMYFUNCTION("""COMPUTED_VALUE"""),"olivecash")</f>
        <v>olivecash</v>
      </c>
      <c r="B8472" s="3" t="str">
        <f>IFERROR(__xludf.DUMMYFUNCTION("""COMPUTED_VALUE"""),"olive")</f>
        <v>olive</v>
      </c>
      <c r="C8472" s="3" t="str">
        <f>IFERROR(__xludf.DUMMYFUNCTION("""COMPUTED_VALUE"""),"Olive Cash")</f>
        <v>Olive Cash</v>
      </c>
    </row>
    <row r="8473">
      <c r="A8473" s="3" t="str">
        <f>IFERROR(__xludf.DUMMYFUNCTION("""COMPUTED_VALUE"""),"oloid")</f>
        <v>oloid</v>
      </c>
      <c r="B8473" s="3" t="str">
        <f>IFERROR(__xludf.DUMMYFUNCTION("""COMPUTED_VALUE"""),"oloid")</f>
        <v>oloid</v>
      </c>
      <c r="C8473" s="3" t="str">
        <f>IFERROR(__xludf.DUMMYFUNCTION("""COMPUTED_VALUE"""),"OLOID")</f>
        <v>OLOID</v>
      </c>
    </row>
    <row r="8474">
      <c r="A8474" s="3" t="str">
        <f>IFERROR(__xludf.DUMMYFUNCTION("""COMPUTED_VALUE"""),"olympic-doge")</f>
        <v>olympic-doge</v>
      </c>
      <c r="B8474" s="3" t="str">
        <f>IFERROR(__xludf.DUMMYFUNCTION("""COMPUTED_VALUE"""),"olympic doge")</f>
        <v>olympic doge</v>
      </c>
      <c r="C8474" s="3" t="str">
        <f>IFERROR(__xludf.DUMMYFUNCTION("""COMPUTED_VALUE"""),"Olympic Doge")</f>
        <v>Olympic Doge</v>
      </c>
    </row>
    <row r="8475">
      <c r="A8475" s="3" t="str">
        <f>IFERROR(__xludf.DUMMYFUNCTION("""COMPUTED_VALUE"""),"olympus")</f>
        <v>olympus</v>
      </c>
      <c r="B8475" s="3" t="str">
        <f>IFERROR(__xludf.DUMMYFUNCTION("""COMPUTED_VALUE"""),"ohm")</f>
        <v>ohm</v>
      </c>
      <c r="C8475" s="3" t="str">
        <f>IFERROR(__xludf.DUMMYFUNCTION("""COMPUTED_VALUE"""),"Olympus")</f>
        <v>Olympus</v>
      </c>
    </row>
    <row r="8476">
      <c r="A8476" s="3" t="str">
        <f>IFERROR(__xludf.DUMMYFUNCTION("""COMPUTED_VALUE"""),"olympus-v1")</f>
        <v>olympus-v1</v>
      </c>
      <c r="B8476" s="3" t="str">
        <f>IFERROR(__xludf.DUMMYFUNCTION("""COMPUTED_VALUE"""),"ohm")</f>
        <v>ohm</v>
      </c>
      <c r="C8476" s="3" t="str">
        <f>IFERROR(__xludf.DUMMYFUNCTION("""COMPUTED_VALUE"""),"Olympus v1")</f>
        <v>Olympus v1</v>
      </c>
    </row>
    <row r="8477">
      <c r="A8477" s="3" t="str">
        <f>IFERROR(__xludf.DUMMYFUNCTION("""COMPUTED_VALUE"""),"oly-sport")</f>
        <v>oly-sport</v>
      </c>
      <c r="B8477" s="3" t="str">
        <f>IFERROR(__xludf.DUMMYFUNCTION("""COMPUTED_VALUE"""),"oly")</f>
        <v>oly</v>
      </c>
      <c r="C8477" s="3" t="str">
        <f>IFERROR(__xludf.DUMMYFUNCTION("""COMPUTED_VALUE"""),"Oly Sport")</f>
        <v>Oly Sport</v>
      </c>
    </row>
    <row r="8478">
      <c r="A8478" s="3" t="str">
        <f>IFERROR(__xludf.DUMMYFUNCTION("""COMPUTED_VALUE"""),"olyverse")</f>
        <v>olyverse</v>
      </c>
      <c r="B8478" s="3" t="str">
        <f>IFERROR(__xludf.DUMMYFUNCTION("""COMPUTED_VALUE"""),"oly")</f>
        <v>oly</v>
      </c>
      <c r="C8478" s="3" t="str">
        <f>IFERROR(__xludf.DUMMYFUNCTION("""COMPUTED_VALUE"""),"Olyverse")</f>
        <v>Olyverse</v>
      </c>
    </row>
    <row r="8479">
      <c r="A8479" s="3" t="str">
        <f>IFERROR(__xludf.DUMMYFUNCTION("""COMPUTED_VALUE"""),"omax-token")</f>
        <v>omax-token</v>
      </c>
      <c r="B8479" s="3" t="str">
        <f>IFERROR(__xludf.DUMMYFUNCTION("""COMPUTED_VALUE"""),"omax")</f>
        <v>omax</v>
      </c>
      <c r="C8479" s="3" t="str">
        <f>IFERROR(__xludf.DUMMYFUNCTION("""COMPUTED_VALUE"""),"Omax")</f>
        <v>Omax</v>
      </c>
    </row>
    <row r="8480">
      <c r="A8480" s="3" t="str">
        <f>IFERROR(__xludf.DUMMYFUNCTION("""COMPUTED_VALUE"""),"ombre")</f>
        <v>ombre</v>
      </c>
      <c r="B8480" s="3" t="str">
        <f>IFERROR(__xludf.DUMMYFUNCTION("""COMPUTED_VALUE"""),"omb")</f>
        <v>omb</v>
      </c>
      <c r="C8480" s="3" t="str">
        <f>IFERROR(__xludf.DUMMYFUNCTION("""COMPUTED_VALUE"""),"Ombre")</f>
        <v>Ombre</v>
      </c>
    </row>
    <row r="8481">
      <c r="A8481" s="3" t="str">
        <f>IFERROR(__xludf.DUMMYFUNCTION("""COMPUTED_VALUE"""),"omchain")</f>
        <v>omchain</v>
      </c>
      <c r="B8481" s="3" t="str">
        <f>IFERROR(__xludf.DUMMYFUNCTION("""COMPUTED_VALUE"""),"omc")</f>
        <v>omc</v>
      </c>
      <c r="C8481" s="3" t="str">
        <f>IFERROR(__xludf.DUMMYFUNCTION("""COMPUTED_VALUE"""),"Omchain")</f>
        <v>Omchain</v>
      </c>
    </row>
    <row r="8482">
      <c r="A8482" s="3" t="str">
        <f>IFERROR(__xludf.DUMMYFUNCTION("""COMPUTED_VALUE"""),"omega")</f>
        <v>omega</v>
      </c>
      <c r="B8482" s="3" t="str">
        <f>IFERROR(__xludf.DUMMYFUNCTION("""COMPUTED_VALUE"""),"omega")</f>
        <v>omega</v>
      </c>
      <c r="C8482" s="3" t="str">
        <f>IFERROR(__xludf.DUMMYFUNCTION("""COMPUTED_VALUE"""),"OMEGA")</f>
        <v>OMEGA</v>
      </c>
    </row>
    <row r="8483">
      <c r="A8483" s="3" t="str">
        <f>IFERROR(__xludf.DUMMYFUNCTION("""COMPUTED_VALUE"""),"omega-finance")</f>
        <v>omega-finance</v>
      </c>
      <c r="B8483" s="3" t="str">
        <f>IFERROR(__xludf.DUMMYFUNCTION("""COMPUTED_VALUE"""),"omg")</f>
        <v>omg</v>
      </c>
      <c r="C8483" s="3" t="str">
        <f>IFERROR(__xludf.DUMMYFUNCTION("""COMPUTED_VALUE"""),"Omega Finance")</f>
        <v>Omega Finance</v>
      </c>
    </row>
    <row r="8484">
      <c r="A8484" s="3" t="str">
        <f>IFERROR(__xludf.DUMMYFUNCTION("""COMPUTED_VALUE"""),"omega-particle")</f>
        <v>omega-particle</v>
      </c>
      <c r="B8484" s="3" t="str">
        <f>IFERROR(__xludf.DUMMYFUNCTION("""COMPUTED_VALUE"""),"omp")</f>
        <v>omp</v>
      </c>
      <c r="C8484" s="3" t="str">
        <f>IFERROR(__xludf.DUMMYFUNCTION("""COMPUTED_VALUE"""),"Omega Particle")</f>
        <v>Omega Particle</v>
      </c>
    </row>
    <row r="8485">
      <c r="A8485" s="3" t="str">
        <f>IFERROR(__xludf.DUMMYFUNCTION("""COMPUTED_VALUE"""),"omega-protocol-money")</f>
        <v>omega-protocol-money</v>
      </c>
      <c r="B8485" s="3" t="str">
        <f>IFERROR(__xludf.DUMMYFUNCTION("""COMPUTED_VALUE"""),"opm")</f>
        <v>opm</v>
      </c>
      <c r="C8485" s="3" t="str">
        <f>IFERROR(__xludf.DUMMYFUNCTION("""COMPUTED_VALUE"""),"Omega Protocol Money")</f>
        <v>Omega Protocol Money</v>
      </c>
    </row>
    <row r="8486">
      <c r="A8486" s="3" t="str">
        <f>IFERROR(__xludf.DUMMYFUNCTION("""COMPUTED_VALUE"""),"omicron")</f>
        <v>omicron</v>
      </c>
      <c r="B8486" s="3" t="str">
        <f>IFERROR(__xludf.DUMMYFUNCTION("""COMPUTED_VALUE"""),"omic")</f>
        <v>omic</v>
      </c>
      <c r="C8486" s="3" t="str">
        <f>IFERROR(__xludf.DUMMYFUNCTION("""COMPUTED_VALUE"""),"Omicron")</f>
        <v>Omicron</v>
      </c>
    </row>
    <row r="8487">
      <c r="A8487" s="3" t="str">
        <f>IFERROR(__xludf.DUMMYFUNCTION("""COMPUTED_VALUE"""),"omisego")</f>
        <v>omisego</v>
      </c>
      <c r="B8487" s="3" t="str">
        <f>IFERROR(__xludf.DUMMYFUNCTION("""COMPUTED_VALUE"""),"omg")</f>
        <v>omg</v>
      </c>
      <c r="C8487" s="3" t="str">
        <f>IFERROR(__xludf.DUMMYFUNCTION("""COMPUTED_VALUE"""),"OMG Network")</f>
        <v>OMG Network</v>
      </c>
    </row>
    <row r="8488">
      <c r="A8488" s="3" t="str">
        <f>IFERROR(__xludf.DUMMYFUNCTION("""COMPUTED_VALUE"""),"omm-tokens")</f>
        <v>omm-tokens</v>
      </c>
      <c r="B8488" s="3" t="str">
        <f>IFERROR(__xludf.DUMMYFUNCTION("""COMPUTED_VALUE"""),"omm")</f>
        <v>omm</v>
      </c>
      <c r="C8488" s="3" t="str">
        <f>IFERROR(__xludf.DUMMYFUNCTION("""COMPUTED_VALUE"""),"Omm")</f>
        <v>Omm</v>
      </c>
    </row>
    <row r="8489">
      <c r="A8489" s="3" t="str">
        <f>IFERROR(__xludf.DUMMYFUNCTION("""COMPUTED_VALUE"""),"omni")</f>
        <v>omni</v>
      </c>
      <c r="B8489" s="3" t="str">
        <f>IFERROR(__xludf.DUMMYFUNCTION("""COMPUTED_VALUE"""),"omni")</f>
        <v>omni</v>
      </c>
      <c r="C8489" s="3" t="str">
        <f>IFERROR(__xludf.DUMMYFUNCTION("""COMPUTED_VALUE"""),"Omni")</f>
        <v>Omni</v>
      </c>
    </row>
    <row r="8490">
      <c r="A8490" s="3" t="str">
        <f>IFERROR(__xludf.DUMMYFUNCTION("""COMPUTED_VALUE"""),"omniaverse")</f>
        <v>omniaverse</v>
      </c>
      <c r="B8490" s="3" t="str">
        <f>IFERROR(__xludf.DUMMYFUNCTION("""COMPUTED_VALUE"""),"omnia")</f>
        <v>omnia</v>
      </c>
      <c r="C8490" s="3" t="str">
        <f>IFERROR(__xludf.DUMMYFUNCTION("""COMPUTED_VALUE"""),"OmniaVerse")</f>
        <v>OmniaVerse</v>
      </c>
    </row>
    <row r="8491">
      <c r="A8491" s="3" t="str">
        <f>IFERROR(__xludf.DUMMYFUNCTION("""COMPUTED_VALUE"""),"omni-cash")</f>
        <v>omni-cash</v>
      </c>
      <c r="B8491" s="3" t="str">
        <f>IFERROR(__xludf.DUMMYFUNCTION("""COMPUTED_VALUE"""),"oca$h")</f>
        <v>oca$h</v>
      </c>
      <c r="C8491" s="3" t="str">
        <f>IFERROR(__xludf.DUMMYFUNCTION("""COMPUTED_VALUE"""),"Omni Cash")</f>
        <v>Omni Cash</v>
      </c>
    </row>
    <row r="8492">
      <c r="A8492" s="3" t="str">
        <f>IFERROR(__xludf.DUMMYFUNCTION("""COMPUTED_VALUE"""),"omni-consumer-protocol")</f>
        <v>omni-consumer-protocol</v>
      </c>
      <c r="B8492" s="3" t="str">
        <f>IFERROR(__xludf.DUMMYFUNCTION("""COMPUTED_VALUE"""),"ocp")</f>
        <v>ocp</v>
      </c>
      <c r="C8492" s="3" t="str">
        <f>IFERROR(__xludf.DUMMYFUNCTION("""COMPUTED_VALUE"""),"Omni Consumer Protocol")</f>
        <v>Omni Consumer Protocol</v>
      </c>
    </row>
    <row r="8493">
      <c r="A8493" s="3" t="str">
        <f>IFERROR(__xludf.DUMMYFUNCTION("""COMPUTED_VALUE"""),"omnidex")</f>
        <v>omnidex</v>
      </c>
      <c r="B8493" s="3" t="str">
        <f>IFERROR(__xludf.DUMMYFUNCTION("""COMPUTED_VALUE"""),"charm")</f>
        <v>charm</v>
      </c>
      <c r="C8493" s="3" t="str">
        <f>IFERROR(__xludf.DUMMYFUNCTION("""COMPUTED_VALUE"""),"OmniDex")</f>
        <v>OmniDex</v>
      </c>
    </row>
    <row r="8494">
      <c r="A8494" s="3" t="str">
        <f>IFERROR(__xludf.DUMMYFUNCTION("""COMPUTED_VALUE"""),"omni-real-estate-token")</f>
        <v>omni-real-estate-token</v>
      </c>
      <c r="B8494" s="3" t="str">
        <f>IFERROR(__xludf.DUMMYFUNCTION("""COMPUTED_VALUE"""),"ort")</f>
        <v>ort</v>
      </c>
      <c r="C8494" s="3" t="str">
        <f>IFERROR(__xludf.DUMMYFUNCTION("""COMPUTED_VALUE"""),"Omni Real Estate")</f>
        <v>Omni Real Estate</v>
      </c>
    </row>
    <row r="8495">
      <c r="A8495" s="3" t="str">
        <f>IFERROR(__xludf.DUMMYFUNCTION("""COMPUTED_VALUE"""),"omnis")</f>
        <v>omnis</v>
      </c>
      <c r="B8495" s="3" t="str">
        <f>IFERROR(__xludf.DUMMYFUNCTION("""COMPUTED_VALUE"""),"omnis")</f>
        <v>omnis</v>
      </c>
      <c r="C8495" s="3" t="str">
        <f>IFERROR(__xludf.DUMMYFUNCTION("""COMPUTED_VALUE"""),"OMNIS")</f>
        <v>OMNIS</v>
      </c>
    </row>
    <row r="8496">
      <c r="A8496" s="3" t="str">
        <f>IFERROR(__xludf.DUMMYFUNCTION("""COMPUTED_VALUE"""),"omnisea")</f>
        <v>omnisea</v>
      </c>
      <c r="B8496" s="3" t="str">
        <f>IFERROR(__xludf.DUMMYFUNCTION("""COMPUTED_VALUE"""),"osea")</f>
        <v>osea</v>
      </c>
      <c r="C8496" s="3" t="str">
        <f>IFERROR(__xludf.DUMMYFUNCTION("""COMPUTED_VALUE"""),"Omnisea")</f>
        <v>Omnisea</v>
      </c>
    </row>
    <row r="8497">
      <c r="A8497" s="3" t="str">
        <f>IFERROR(__xludf.DUMMYFUNCTION("""COMPUTED_VALUE"""),"omniwhirl")</f>
        <v>omniwhirl</v>
      </c>
      <c r="B8497" s="3" t="str">
        <f>IFERROR(__xludf.DUMMYFUNCTION("""COMPUTED_VALUE"""),"whirl")</f>
        <v>whirl</v>
      </c>
      <c r="C8497" s="3" t="str">
        <f>IFERROR(__xludf.DUMMYFUNCTION("""COMPUTED_VALUE"""),"OmniWhirl")</f>
        <v>OmniWhirl</v>
      </c>
    </row>
    <row r="8498">
      <c r="A8498" s="3" t="str">
        <f>IFERROR(__xludf.DUMMYFUNCTION("""COMPUTED_VALUE"""),"omotenashicoin")</f>
        <v>omotenashicoin</v>
      </c>
      <c r="B8498" s="3" t="str">
        <f>IFERROR(__xludf.DUMMYFUNCTION("""COMPUTED_VALUE"""),"mtns")</f>
        <v>mtns</v>
      </c>
      <c r="C8498" s="3" t="str">
        <f>IFERROR(__xludf.DUMMYFUNCTION("""COMPUTED_VALUE"""),"OmotenashiCoin")</f>
        <v>OmotenashiCoin</v>
      </c>
    </row>
    <row r="8499">
      <c r="A8499" s="3" t="str">
        <f>IFERROR(__xludf.DUMMYFUNCTION("""COMPUTED_VALUE"""),"onbuff")</f>
        <v>onbuff</v>
      </c>
      <c r="B8499" s="3" t="str">
        <f>IFERROR(__xludf.DUMMYFUNCTION("""COMPUTED_VALUE"""),"onit")</f>
        <v>onit</v>
      </c>
      <c r="C8499" s="3" t="str">
        <f>IFERROR(__xludf.DUMMYFUNCTION("""COMPUTED_VALUE"""),"ONBUFF")</f>
        <v>ONBUFF</v>
      </c>
    </row>
    <row r="8500">
      <c r="A8500" s="3" t="str">
        <f>IFERROR(__xludf.DUMMYFUNCTION("""COMPUTED_VALUE"""),"ondo-finance")</f>
        <v>ondo-finance</v>
      </c>
      <c r="B8500" s="3" t="str">
        <f>IFERROR(__xludf.DUMMYFUNCTION("""COMPUTED_VALUE"""),"ondo")</f>
        <v>ondo</v>
      </c>
      <c r="C8500" s="3" t="str">
        <f>IFERROR(__xludf.DUMMYFUNCTION("""COMPUTED_VALUE"""),"Ondo Finance")</f>
        <v>Ondo Finance</v>
      </c>
    </row>
    <row r="8501">
      <c r="A8501" s="3" t="str">
        <f>IFERROR(__xludf.DUMMYFUNCTION("""COMPUTED_VALUE"""),"one")</f>
        <v>one</v>
      </c>
      <c r="B8501" s="3" t="str">
        <f>IFERROR(__xludf.DUMMYFUNCTION("""COMPUTED_VALUE"""),"one")</f>
        <v>one</v>
      </c>
      <c r="C8501" s="3" t="str">
        <f>IFERROR(__xludf.DUMMYFUNCTION("""COMPUTED_VALUE"""),"One")</f>
        <v>One</v>
      </c>
    </row>
    <row r="8502">
      <c r="A8502" s="3" t="str">
        <f>IFERROR(__xludf.DUMMYFUNCTION("""COMPUTED_VALUE"""),"one-basis-cash")</f>
        <v>one-basis-cash</v>
      </c>
      <c r="B8502" s="3" t="str">
        <f>IFERROR(__xludf.DUMMYFUNCTION("""COMPUTED_VALUE"""),"obs")</f>
        <v>obs</v>
      </c>
      <c r="C8502" s="3" t="str">
        <f>IFERROR(__xludf.DUMMYFUNCTION("""COMPUTED_VALUE"""),"One Basis Cash")</f>
        <v>One Basis Cash</v>
      </c>
    </row>
    <row r="8503">
      <c r="A8503" s="3" t="str">
        <f>IFERROR(__xludf.DUMMYFUNCTION("""COMPUTED_VALUE"""),"onebit")</f>
        <v>onebit</v>
      </c>
      <c r="B8503" s="3" t="str">
        <f>IFERROR(__xludf.DUMMYFUNCTION("""COMPUTED_VALUE"""),"1bit")</f>
        <v>1bit</v>
      </c>
      <c r="C8503" s="3" t="str">
        <f>IFERROR(__xludf.DUMMYFUNCTION("""COMPUTED_VALUE"""),"OneBit")</f>
        <v>OneBit</v>
      </c>
    </row>
    <row r="8504">
      <c r="A8504" s="3" t="str">
        <f>IFERROR(__xludf.DUMMYFUNCTION("""COMPUTED_VALUE"""),"onebtc")</f>
        <v>onebtc</v>
      </c>
      <c r="B8504" s="3" t="str">
        <f>IFERROR(__xludf.DUMMYFUNCTION("""COMPUTED_VALUE"""),"onebtc")</f>
        <v>onebtc</v>
      </c>
      <c r="C8504" s="3" t="str">
        <f>IFERROR(__xludf.DUMMYFUNCTION("""COMPUTED_VALUE"""),"Legacy oneBTC")</f>
        <v>Legacy oneBTC</v>
      </c>
    </row>
    <row r="8505">
      <c r="A8505" s="3" t="str">
        <f>IFERROR(__xludf.DUMMYFUNCTION("""COMPUTED_VALUE"""),"one-cash")</f>
        <v>one-cash</v>
      </c>
      <c r="B8505" s="3" t="str">
        <f>IFERROR(__xludf.DUMMYFUNCTION("""COMPUTED_VALUE"""),"onc")</f>
        <v>onc</v>
      </c>
      <c r="C8505" s="3" t="str">
        <f>IFERROR(__xludf.DUMMYFUNCTION("""COMPUTED_VALUE"""),"One Cash")</f>
        <v>One Cash</v>
      </c>
    </row>
    <row r="8506">
      <c r="A8506" s="3" t="str">
        <f>IFERROR(__xludf.DUMMYFUNCTION("""COMPUTED_VALUE"""),"one-dex")</f>
        <v>one-dex</v>
      </c>
      <c r="B8506" s="3" t="str">
        <f>IFERROR(__xludf.DUMMYFUNCTION("""COMPUTED_VALUE"""),"odex")</f>
        <v>odex</v>
      </c>
      <c r="C8506" s="3" t="str">
        <f>IFERROR(__xludf.DUMMYFUNCTION("""COMPUTED_VALUE"""),"One DEX")</f>
        <v>One DEX</v>
      </c>
    </row>
    <row r="8507">
      <c r="A8507" s="3" t="str">
        <f>IFERROR(__xludf.DUMMYFUNCTION("""COMPUTED_VALUE"""),"onegetcoin")</f>
        <v>onegetcoin</v>
      </c>
      <c r="B8507" s="3" t="str">
        <f>IFERROR(__xludf.DUMMYFUNCTION("""COMPUTED_VALUE"""),"ogc")</f>
        <v>ogc</v>
      </c>
      <c r="C8507" s="3" t="str">
        <f>IFERROR(__xludf.DUMMYFUNCTION("""COMPUTED_VALUE"""),"Onegetcoin")</f>
        <v>Onegetcoin</v>
      </c>
    </row>
    <row r="8508">
      <c r="A8508" s="3" t="str">
        <f>IFERROR(__xludf.DUMMYFUNCTION("""COMPUTED_VALUE"""),"oneichi")</f>
        <v>oneichi</v>
      </c>
      <c r="B8508" s="3" t="str">
        <f>IFERROR(__xludf.DUMMYFUNCTION("""COMPUTED_VALUE"""),"oneichi")</f>
        <v>oneichi</v>
      </c>
      <c r="C8508" s="3" t="str">
        <f>IFERROR(__xludf.DUMMYFUNCTION("""COMPUTED_VALUE"""),"oneICHI")</f>
        <v>oneICHI</v>
      </c>
    </row>
    <row r="8509">
      <c r="A8509" s="3" t="str">
        <f>IFERROR(__xludf.DUMMYFUNCTION("""COMPUTED_VALUE"""),"one-ledger")</f>
        <v>one-ledger</v>
      </c>
      <c r="B8509" s="3" t="str">
        <f>IFERROR(__xludf.DUMMYFUNCTION("""COMPUTED_VALUE"""),"olt")</f>
        <v>olt</v>
      </c>
      <c r="C8509" s="3" t="str">
        <f>IFERROR(__xludf.DUMMYFUNCTION("""COMPUTED_VALUE"""),"OneLedger")</f>
        <v>OneLedger</v>
      </c>
    </row>
    <row r="8510">
      <c r="A8510" s="3" t="str">
        <f>IFERROR(__xludf.DUMMYFUNCTION("""COMPUTED_VALUE"""),"onemoon")</f>
        <v>onemoon</v>
      </c>
      <c r="B8510" s="3" t="str">
        <f>IFERROR(__xludf.DUMMYFUNCTION("""COMPUTED_VALUE"""),"onemoon")</f>
        <v>onemoon</v>
      </c>
      <c r="C8510" s="3" t="str">
        <f>IFERROR(__xludf.DUMMYFUNCTION("""COMPUTED_VALUE"""),"OneMoon")</f>
        <v>OneMoon</v>
      </c>
    </row>
    <row r="8511">
      <c r="A8511" s="3" t="str">
        <f>IFERROR(__xludf.DUMMYFUNCTION("""COMPUTED_VALUE"""),"one-piece")</f>
        <v>one-piece</v>
      </c>
      <c r="B8511" s="3" t="str">
        <f>IFERROR(__xludf.DUMMYFUNCTION("""COMPUTED_VALUE"""),"onepiece")</f>
        <v>onepiece</v>
      </c>
      <c r="C8511" s="3" t="str">
        <f>IFERROR(__xludf.DUMMYFUNCTION("""COMPUTED_VALUE"""),"ONE PIECE")</f>
        <v>ONE PIECE</v>
      </c>
    </row>
    <row r="8512">
      <c r="A8512" s="3" t="str">
        <f>IFERROR(__xludf.DUMMYFUNCTION("""COMPUTED_VALUE"""),"onerare")</f>
        <v>onerare</v>
      </c>
      <c r="B8512" s="3" t="str">
        <f>IFERROR(__xludf.DUMMYFUNCTION("""COMPUTED_VALUE"""),"orare")</f>
        <v>orare</v>
      </c>
      <c r="C8512" s="3" t="str">
        <f>IFERROR(__xludf.DUMMYFUNCTION("""COMPUTED_VALUE"""),"OneRare")</f>
        <v>OneRare</v>
      </c>
    </row>
    <row r="8513">
      <c r="A8513" s="3" t="str">
        <f>IFERROR(__xludf.DUMMYFUNCTION("""COMPUTED_VALUE"""),"onering")</f>
        <v>onering</v>
      </c>
      <c r="B8513" s="3" t="str">
        <f>IFERROR(__xludf.DUMMYFUNCTION("""COMPUTED_VALUE"""),"ring")</f>
        <v>ring</v>
      </c>
      <c r="C8513" s="3" t="str">
        <f>IFERROR(__xludf.DUMMYFUNCTION("""COMPUTED_VALUE"""),"OneRing")</f>
        <v>OneRing</v>
      </c>
    </row>
    <row r="8514">
      <c r="A8514" s="3" t="str">
        <f>IFERROR(__xludf.DUMMYFUNCTION("""COMPUTED_VALUE"""),"oneroot-network")</f>
        <v>oneroot-network</v>
      </c>
      <c r="B8514" s="3" t="str">
        <f>IFERROR(__xludf.DUMMYFUNCTION("""COMPUTED_VALUE"""),"rnt")</f>
        <v>rnt</v>
      </c>
      <c r="C8514" s="3" t="str">
        <f>IFERROR(__xludf.DUMMYFUNCTION("""COMPUTED_VALUE"""),"OneRoot Network")</f>
        <v>OneRoot Network</v>
      </c>
    </row>
    <row r="8515">
      <c r="A8515" s="3" t="str">
        <f>IFERROR(__xludf.DUMMYFUNCTION("""COMPUTED_VALUE"""),"one-share")</f>
        <v>one-share</v>
      </c>
      <c r="B8515" s="3" t="str">
        <f>IFERROR(__xludf.DUMMYFUNCTION("""COMPUTED_VALUE"""),"ons")</f>
        <v>ons</v>
      </c>
      <c r="C8515" s="3" t="str">
        <f>IFERROR(__xludf.DUMMYFUNCTION("""COMPUTED_VALUE"""),"One Share")</f>
        <v>One Share</v>
      </c>
    </row>
    <row r="8516">
      <c r="A8516" s="3" t="str">
        <f>IFERROR(__xludf.DUMMYFUNCTION("""COMPUTED_VALUE"""),"onespace")</f>
        <v>onespace</v>
      </c>
      <c r="B8516" s="3" t="str">
        <f>IFERROR(__xludf.DUMMYFUNCTION("""COMPUTED_VALUE"""),"1sp")</f>
        <v>1sp</v>
      </c>
      <c r="C8516" s="3" t="str">
        <f>IFERROR(__xludf.DUMMYFUNCTION("""COMPUTED_VALUE"""),"Onespace")</f>
        <v>Onespace</v>
      </c>
    </row>
    <row r="8517">
      <c r="A8517" s="3" t="str">
        <f>IFERROR(__xludf.DUMMYFUNCTION("""COMPUTED_VALUE"""),"oneswap-dao-token")</f>
        <v>oneswap-dao-token</v>
      </c>
      <c r="B8517" s="3" t="str">
        <f>IFERROR(__xludf.DUMMYFUNCTION("""COMPUTED_VALUE"""),"ones")</f>
        <v>ones</v>
      </c>
      <c r="C8517" s="3" t="str">
        <f>IFERROR(__xludf.DUMMYFUNCTION("""COMPUTED_VALUE"""),"OneSwap DAO")</f>
        <v>OneSwap DAO</v>
      </c>
    </row>
    <row r="8518">
      <c r="A8518" s="3" t="str">
        <f>IFERROR(__xludf.DUMMYFUNCTION("""COMPUTED_VALUE"""),"one-world-coin")</f>
        <v>one-world-coin</v>
      </c>
      <c r="B8518" s="3" t="str">
        <f>IFERROR(__xludf.DUMMYFUNCTION("""COMPUTED_VALUE"""),"owo")</f>
        <v>owo</v>
      </c>
      <c r="C8518" s="3" t="str">
        <f>IFERROR(__xludf.DUMMYFUNCTION("""COMPUTED_VALUE"""),"One World Coin")</f>
        <v>One World Coin</v>
      </c>
    </row>
    <row r="8519">
      <c r="A8519" s="3" t="str">
        <f>IFERROR(__xludf.DUMMYFUNCTION("""COMPUTED_VALUE"""),"ong")</f>
        <v>ong</v>
      </c>
      <c r="B8519" s="3" t="str">
        <f>IFERROR(__xludf.DUMMYFUNCTION("""COMPUTED_VALUE"""),"ong")</f>
        <v>ong</v>
      </c>
      <c r="C8519" s="3" t="str">
        <f>IFERROR(__xludf.DUMMYFUNCTION("""COMPUTED_VALUE"""),"Ontology Gas")</f>
        <v>Ontology Gas</v>
      </c>
    </row>
    <row r="8520">
      <c r="A8520" s="3" t="str">
        <f>IFERROR(__xludf.DUMMYFUNCTION("""COMPUTED_VALUE"""),"onigiri")</f>
        <v>onigiri</v>
      </c>
      <c r="B8520" s="3" t="str">
        <f>IFERROR(__xludf.DUMMYFUNCTION("""COMPUTED_VALUE"""),"onigiri")</f>
        <v>onigiri</v>
      </c>
      <c r="C8520" s="3" t="str">
        <f>IFERROR(__xludf.DUMMYFUNCTION("""COMPUTED_VALUE"""),"Onigiri")</f>
        <v>Onigiri</v>
      </c>
    </row>
    <row r="8521">
      <c r="A8521" s="3" t="str">
        <f>IFERROR(__xludf.DUMMYFUNCTION("""COMPUTED_VALUE"""),"oni-token")</f>
        <v>oni-token</v>
      </c>
      <c r="B8521" s="3" t="str">
        <f>IFERROR(__xludf.DUMMYFUNCTION("""COMPUTED_VALUE"""),"oni")</f>
        <v>oni</v>
      </c>
      <c r="C8521" s="3" t="str">
        <f>IFERROR(__xludf.DUMMYFUNCTION("""COMPUTED_VALUE"""),"ONINO")</f>
        <v>ONINO</v>
      </c>
    </row>
    <row r="8522">
      <c r="A8522" s="3" t="str">
        <f>IFERROR(__xludf.DUMMYFUNCTION("""COMPUTED_VALUE"""),"online-cold-wallet")</f>
        <v>online-cold-wallet</v>
      </c>
      <c r="B8522" s="3" t="str">
        <f>IFERROR(__xludf.DUMMYFUNCTION("""COMPUTED_VALUE"""),"ocw")</f>
        <v>ocw</v>
      </c>
      <c r="C8522" s="3" t="str">
        <f>IFERROR(__xludf.DUMMYFUNCTION("""COMPUTED_VALUE"""),"Online Cold Wallet")</f>
        <v>Online Cold Wallet</v>
      </c>
    </row>
    <row r="8523">
      <c r="A8523" s="3" t="str">
        <f>IFERROR(__xludf.DUMMYFUNCTION("""COMPUTED_VALUE"""),"online-expo")</f>
        <v>online-expo</v>
      </c>
      <c r="B8523" s="3" t="str">
        <f>IFERROR(__xludf.DUMMYFUNCTION("""COMPUTED_VALUE"""),"expo")</f>
        <v>expo</v>
      </c>
      <c r="C8523" s="3" t="str">
        <f>IFERROR(__xludf.DUMMYFUNCTION("""COMPUTED_VALUE"""),"Expo")</f>
        <v>Expo</v>
      </c>
    </row>
    <row r="8524">
      <c r="A8524" s="3" t="str">
        <f>IFERROR(__xludf.DUMMYFUNCTION("""COMPUTED_VALUE"""),"only1")</f>
        <v>only1</v>
      </c>
      <c r="B8524" s="3" t="str">
        <f>IFERROR(__xludf.DUMMYFUNCTION("""COMPUTED_VALUE"""),"like")</f>
        <v>like</v>
      </c>
      <c r="C8524" s="3" t="str">
        <f>IFERROR(__xludf.DUMMYFUNCTION("""COMPUTED_VALUE"""),"Only1")</f>
        <v>Only1</v>
      </c>
    </row>
    <row r="8525">
      <c r="A8525" s="3" t="str">
        <f>IFERROR(__xludf.DUMMYFUNCTION("""COMPUTED_VALUE"""),"onooks")</f>
        <v>onooks</v>
      </c>
      <c r="B8525" s="3" t="str">
        <f>IFERROR(__xludf.DUMMYFUNCTION("""COMPUTED_VALUE"""),"ooks")</f>
        <v>ooks</v>
      </c>
      <c r="C8525" s="3" t="str">
        <f>IFERROR(__xludf.DUMMYFUNCTION("""COMPUTED_VALUE"""),"Onooks")</f>
        <v>Onooks</v>
      </c>
    </row>
    <row r="8526">
      <c r="A8526" s="3" t="str">
        <f>IFERROR(__xludf.DUMMYFUNCTION("""COMPUTED_VALUE"""),"onston")</f>
        <v>onston</v>
      </c>
      <c r="B8526" s="3" t="str">
        <f>IFERROR(__xludf.DUMMYFUNCTION("""COMPUTED_VALUE"""),"onston")</f>
        <v>onston</v>
      </c>
      <c r="C8526" s="3" t="str">
        <f>IFERROR(__xludf.DUMMYFUNCTION("""COMPUTED_VALUE"""),"Onston")</f>
        <v>Onston</v>
      </c>
    </row>
    <row r="8527">
      <c r="A8527" s="3" t="str">
        <f>IFERROR(__xludf.DUMMYFUNCTION("""COMPUTED_VALUE"""),"ontology")</f>
        <v>ontology</v>
      </c>
      <c r="B8527" s="3" t="str">
        <f>IFERROR(__xludf.DUMMYFUNCTION("""COMPUTED_VALUE"""),"ont")</f>
        <v>ont</v>
      </c>
      <c r="C8527" s="3" t="str">
        <f>IFERROR(__xludf.DUMMYFUNCTION("""COMPUTED_VALUE"""),"Ontology")</f>
        <v>Ontology</v>
      </c>
    </row>
    <row r="8528">
      <c r="A8528" s="3" t="str">
        <f>IFERROR(__xludf.DUMMYFUNCTION("""COMPUTED_VALUE"""),"ontpay")</f>
        <v>ontpay</v>
      </c>
      <c r="B8528" s="3" t="str">
        <f>IFERROR(__xludf.DUMMYFUNCTION("""COMPUTED_VALUE"""),"ontp")</f>
        <v>ontp</v>
      </c>
      <c r="C8528" s="3" t="str">
        <f>IFERROR(__xludf.DUMMYFUNCTION("""COMPUTED_VALUE"""),"ONTPAY")</f>
        <v>ONTPAY</v>
      </c>
    </row>
    <row r="8529">
      <c r="A8529" s="3" t="str">
        <f>IFERROR(__xludf.DUMMYFUNCTION("""COMPUTED_VALUE"""),"onus")</f>
        <v>onus</v>
      </c>
      <c r="B8529" s="3" t="str">
        <f>IFERROR(__xludf.DUMMYFUNCTION("""COMPUTED_VALUE"""),"onus")</f>
        <v>onus</v>
      </c>
      <c r="C8529" s="3" t="str">
        <f>IFERROR(__xludf.DUMMYFUNCTION("""COMPUTED_VALUE"""),"ONUS")</f>
        <v>ONUS</v>
      </c>
    </row>
    <row r="8530">
      <c r="A8530" s="3" t="str">
        <f>IFERROR(__xludf.DUMMYFUNCTION("""COMPUTED_VALUE"""),"onx-finance")</f>
        <v>onx-finance</v>
      </c>
      <c r="B8530" s="3" t="str">
        <f>IFERROR(__xludf.DUMMYFUNCTION("""COMPUTED_VALUE"""),"onx")</f>
        <v>onx</v>
      </c>
      <c r="C8530" s="3" t="str">
        <f>IFERROR(__xludf.DUMMYFUNCTION("""COMPUTED_VALUE"""),"OnX Finance")</f>
        <v>OnX Finance</v>
      </c>
    </row>
    <row r="8531">
      <c r="A8531" s="3" t="str">
        <f>IFERROR(__xludf.DUMMYFUNCTION("""COMPUTED_VALUE"""),"onxrp")</f>
        <v>onxrp</v>
      </c>
      <c r="B8531" s="3" t="str">
        <f>IFERROR(__xludf.DUMMYFUNCTION("""COMPUTED_VALUE"""),"oxp")</f>
        <v>oxp</v>
      </c>
      <c r="C8531" s="3" t="str">
        <f>IFERROR(__xludf.DUMMYFUNCTION("""COMPUTED_VALUE"""),"onXRP")</f>
        <v>onXRP</v>
      </c>
    </row>
    <row r="8532">
      <c r="A8532" s="3" t="str">
        <f>IFERROR(__xludf.DUMMYFUNCTION("""COMPUTED_VALUE"""),"onyx")</f>
        <v>onyx</v>
      </c>
      <c r="B8532" s="3" t="str">
        <f>IFERROR(__xludf.DUMMYFUNCTION("""COMPUTED_VALUE"""),"onyx")</f>
        <v>onyx</v>
      </c>
      <c r="C8532" s="3" t="str">
        <f>IFERROR(__xludf.DUMMYFUNCTION("""COMPUTED_VALUE"""),"Onyx")</f>
        <v>Onyx</v>
      </c>
    </row>
    <row r="8533">
      <c r="A8533" s="3" t="str">
        <f>IFERROR(__xludf.DUMMYFUNCTION("""COMPUTED_VALUE"""),"oobit")</f>
        <v>oobit</v>
      </c>
      <c r="B8533" s="3" t="str">
        <f>IFERROR(__xludf.DUMMYFUNCTION("""COMPUTED_VALUE"""),"obt")</f>
        <v>obt</v>
      </c>
      <c r="C8533" s="3" t="str">
        <f>IFERROR(__xludf.DUMMYFUNCTION("""COMPUTED_VALUE"""),"Oobit")</f>
        <v>Oobit</v>
      </c>
    </row>
    <row r="8534">
      <c r="A8534" s="3" t="str">
        <f>IFERROR(__xludf.DUMMYFUNCTION("""COMPUTED_VALUE"""),"oogear")</f>
        <v>oogear</v>
      </c>
      <c r="B8534" s="3" t="str">
        <f>IFERROR(__xludf.DUMMYFUNCTION("""COMPUTED_VALUE"""),"og")</f>
        <v>og</v>
      </c>
      <c r="C8534" s="3" t="str">
        <f>IFERROR(__xludf.DUMMYFUNCTION("""COMPUTED_VALUE"""),"Oogear")</f>
        <v>Oogear</v>
      </c>
    </row>
    <row r="8535">
      <c r="A8535" s="3" t="str">
        <f>IFERROR(__xludf.DUMMYFUNCTION("""COMPUTED_VALUE"""),"oogi")</f>
        <v>oogi</v>
      </c>
      <c r="B8535" s="3" t="str">
        <f>IFERROR(__xludf.DUMMYFUNCTION("""COMPUTED_VALUE"""),"oogi")</f>
        <v>oogi</v>
      </c>
      <c r="C8535" s="3" t="str">
        <f>IFERROR(__xludf.DUMMYFUNCTION("""COMPUTED_VALUE"""),"OOGI")</f>
        <v>OOGI</v>
      </c>
    </row>
    <row r="8536">
      <c r="A8536" s="3" t="str">
        <f>IFERROR(__xludf.DUMMYFUNCTION("""COMPUTED_VALUE"""),"ookeenga")</f>
        <v>ookeenga</v>
      </c>
      <c r="B8536" s="3" t="str">
        <f>IFERROR(__xludf.DUMMYFUNCTION("""COMPUTED_VALUE"""),"okg")</f>
        <v>okg</v>
      </c>
      <c r="C8536" s="3" t="str">
        <f>IFERROR(__xludf.DUMMYFUNCTION("""COMPUTED_VALUE"""),"Ookeenga")</f>
        <v>Ookeenga</v>
      </c>
    </row>
    <row r="8537">
      <c r="A8537" s="3" t="str">
        <f>IFERROR(__xludf.DUMMYFUNCTION("""COMPUTED_VALUE"""),"ooki")</f>
        <v>ooki</v>
      </c>
      <c r="B8537" s="3" t="str">
        <f>IFERROR(__xludf.DUMMYFUNCTION("""COMPUTED_VALUE"""),"ooki")</f>
        <v>ooki</v>
      </c>
      <c r="C8537" s="3" t="str">
        <f>IFERROR(__xludf.DUMMYFUNCTION("""COMPUTED_VALUE"""),"Ooki")</f>
        <v>Ooki</v>
      </c>
    </row>
    <row r="8538">
      <c r="A8538" s="3" t="str">
        <f>IFERROR(__xludf.DUMMYFUNCTION("""COMPUTED_VALUE"""),"oolongswap")</f>
        <v>oolongswap</v>
      </c>
      <c r="B8538" s="3" t="str">
        <f>IFERROR(__xludf.DUMMYFUNCTION("""COMPUTED_VALUE"""),"olo")</f>
        <v>olo</v>
      </c>
      <c r="C8538" s="3" t="str">
        <f>IFERROR(__xludf.DUMMYFUNCTION("""COMPUTED_VALUE"""),"OolongSwap")</f>
        <v>OolongSwap</v>
      </c>
    </row>
    <row r="8539">
      <c r="A8539" s="3" t="str">
        <f>IFERROR(__xludf.DUMMYFUNCTION("""COMPUTED_VALUE"""),"ooze")</f>
        <v>ooze</v>
      </c>
      <c r="B8539" s="3" t="str">
        <f>IFERROR(__xludf.DUMMYFUNCTION("""COMPUTED_VALUE"""),"ooze")</f>
        <v>ooze</v>
      </c>
      <c r="C8539" s="3" t="str">
        <f>IFERROR(__xludf.DUMMYFUNCTION("""COMPUTED_VALUE"""),"Ooze")</f>
        <v>Ooze</v>
      </c>
    </row>
    <row r="8540">
      <c r="A8540" s="3" t="str">
        <f>IFERROR(__xludf.DUMMYFUNCTION("""COMPUTED_VALUE"""),"opacity")</f>
        <v>opacity</v>
      </c>
      <c r="B8540" s="3" t="str">
        <f>IFERROR(__xludf.DUMMYFUNCTION("""COMPUTED_VALUE"""),"opct")</f>
        <v>opct</v>
      </c>
      <c r="C8540" s="3" t="str">
        <f>IFERROR(__xludf.DUMMYFUNCTION("""COMPUTED_VALUE"""),"Opacity")</f>
        <v>Opacity</v>
      </c>
    </row>
    <row r="8541">
      <c r="A8541" s="3" t="str">
        <f>IFERROR(__xludf.DUMMYFUNCTION("""COMPUTED_VALUE"""),"opalcoin")</f>
        <v>opalcoin</v>
      </c>
      <c r="B8541" s="3" t="str">
        <f>IFERROR(__xludf.DUMMYFUNCTION("""COMPUTED_VALUE"""),"auop")</f>
        <v>auop</v>
      </c>
      <c r="C8541" s="3" t="str">
        <f>IFERROR(__xludf.DUMMYFUNCTION("""COMPUTED_VALUE"""),"Opalcoin")</f>
        <v>Opalcoin</v>
      </c>
    </row>
    <row r="8542">
      <c r="A8542" s="3" t="str">
        <f>IFERROR(__xludf.DUMMYFUNCTION("""COMPUTED_VALUE"""),"opbr")</f>
        <v>opbr</v>
      </c>
      <c r="B8542" s="3" t="str">
        <f>IFERROR(__xludf.DUMMYFUNCTION("""COMPUTED_VALUE"""),"opbr")</f>
        <v>opbr</v>
      </c>
      <c r="C8542" s="3" t="str">
        <f>IFERROR(__xludf.DUMMYFUNCTION("""COMPUTED_VALUE"""),"OPBR")</f>
        <v>OPBR</v>
      </c>
    </row>
    <row r="8543">
      <c r="A8543" s="3" t="str">
        <f>IFERROR(__xludf.DUMMYFUNCTION("""COMPUTED_VALUE"""),"openalexa-protocol")</f>
        <v>openalexa-protocol</v>
      </c>
      <c r="B8543" s="3" t="str">
        <f>IFERROR(__xludf.DUMMYFUNCTION("""COMPUTED_VALUE"""),"oap")</f>
        <v>oap</v>
      </c>
      <c r="C8543" s="3" t="str">
        <f>IFERROR(__xludf.DUMMYFUNCTION("""COMPUTED_VALUE"""),"OpenAlexa Protocol")</f>
        <v>OpenAlexa Protocol</v>
      </c>
    </row>
    <row r="8544">
      <c r="A8544" s="3" t="str">
        <f>IFERROR(__xludf.DUMMYFUNCTION("""COMPUTED_VALUE"""),"openanx")</f>
        <v>openanx</v>
      </c>
      <c r="B8544" s="3" t="str">
        <f>IFERROR(__xludf.DUMMYFUNCTION("""COMPUTED_VALUE"""),"oax")</f>
        <v>oax</v>
      </c>
      <c r="C8544" s="3" t="str">
        <f>IFERROR(__xludf.DUMMYFUNCTION("""COMPUTED_VALUE"""),"OAX")</f>
        <v>OAX</v>
      </c>
    </row>
    <row r="8545">
      <c r="A8545" s="3" t="str">
        <f>IFERROR(__xludf.DUMMYFUNCTION("""COMPUTED_VALUE"""),"openblox")</f>
        <v>openblox</v>
      </c>
      <c r="B8545" s="3" t="str">
        <f>IFERROR(__xludf.DUMMYFUNCTION("""COMPUTED_VALUE"""),"obx")</f>
        <v>obx</v>
      </c>
      <c r="C8545" s="3" t="str">
        <f>IFERROR(__xludf.DUMMYFUNCTION("""COMPUTED_VALUE"""),"OpenBlox")</f>
        <v>OpenBlox</v>
      </c>
    </row>
    <row r="8546">
      <c r="A8546" s="3" t="str">
        <f>IFERROR(__xludf.DUMMYFUNCTION("""COMPUTED_VALUE"""),"opendao")</f>
        <v>opendao</v>
      </c>
      <c r="B8546" s="3" t="str">
        <f>IFERROR(__xludf.DUMMYFUNCTION("""COMPUTED_VALUE"""),"sos")</f>
        <v>sos</v>
      </c>
      <c r="C8546" s="3" t="str">
        <f>IFERROR(__xludf.DUMMYFUNCTION("""COMPUTED_VALUE"""),"OpenDAO")</f>
        <v>OpenDAO</v>
      </c>
    </row>
    <row r="8547">
      <c r="A8547" s="3" t="str">
        <f>IFERROR(__xludf.DUMMYFUNCTION("""COMPUTED_VALUE"""),"open-governance-token")</f>
        <v>open-governance-token</v>
      </c>
      <c r="B8547" s="3" t="str">
        <f>IFERROR(__xludf.DUMMYFUNCTION("""COMPUTED_VALUE"""),"open")</f>
        <v>open</v>
      </c>
      <c r="C8547" s="3" t="str">
        <f>IFERROR(__xludf.DUMMYFUNCTION("""COMPUTED_VALUE"""),"OPEN Governance")</f>
        <v>OPEN Governance</v>
      </c>
    </row>
    <row r="8548">
      <c r="A8548" s="3" t="str">
        <f>IFERROR(__xludf.DUMMYFUNCTION("""COMPUTED_VALUE"""),"openleverage")</f>
        <v>openleverage</v>
      </c>
      <c r="B8548" s="3" t="str">
        <f>IFERROR(__xludf.DUMMYFUNCTION("""COMPUTED_VALUE"""),"ole")</f>
        <v>ole</v>
      </c>
      <c r="C8548" s="3" t="str">
        <f>IFERROR(__xludf.DUMMYFUNCTION("""COMPUTED_VALUE"""),"OpenLeverage")</f>
        <v>OpenLeverage</v>
      </c>
    </row>
    <row r="8549">
      <c r="A8549" s="3" t="str">
        <f>IFERROR(__xludf.DUMMYFUNCTION("""COMPUTED_VALUE"""),"openlink")</f>
        <v>openlink</v>
      </c>
      <c r="B8549" s="3" t="str">
        <f>IFERROR(__xludf.DUMMYFUNCTION("""COMPUTED_VALUE"""),"olink")</f>
        <v>olink</v>
      </c>
      <c r="C8549" s="3" t="str">
        <f>IFERROR(__xludf.DUMMYFUNCTION("""COMPUTED_VALUE"""),"OpenLink")</f>
        <v>OpenLink</v>
      </c>
    </row>
    <row r="8550">
      <c r="A8550" s="3" t="str">
        <f>IFERROR(__xludf.DUMMYFUNCTION("""COMPUTED_VALUE"""),"openlink-dao")</f>
        <v>openlink-dao</v>
      </c>
      <c r="B8550" s="3" t="str">
        <f>IFERROR(__xludf.DUMMYFUNCTION("""COMPUTED_VALUE"""),"olink")</f>
        <v>olink</v>
      </c>
      <c r="C8550" s="3" t="str">
        <f>IFERROR(__xludf.DUMMYFUNCTION("""COMPUTED_VALUE"""),"Openlink DAO")</f>
        <v>Openlink DAO</v>
      </c>
    </row>
    <row r="8551">
      <c r="A8551" s="3" t="str">
        <f>IFERROR(__xludf.DUMMYFUNCTION("""COMPUTED_VALUE"""),"openlive-nft")</f>
        <v>openlive-nft</v>
      </c>
      <c r="B8551" s="3" t="str">
        <f>IFERROR(__xludf.DUMMYFUNCTION("""COMPUTED_VALUE"""),"opv")</f>
        <v>opv</v>
      </c>
      <c r="C8551" s="3" t="str">
        <f>IFERROR(__xludf.DUMMYFUNCTION("""COMPUTED_VALUE"""),"OpenLive NFT")</f>
        <v>OpenLive NFT</v>
      </c>
    </row>
    <row r="8552">
      <c r="A8552" s="3" t="str">
        <f>IFERROR(__xludf.DUMMYFUNCTION("""COMPUTED_VALUE"""),"opennity")</f>
        <v>opennity</v>
      </c>
      <c r="B8552" s="3" t="str">
        <f>IFERROR(__xludf.DUMMYFUNCTION("""COMPUTED_VALUE"""),"opnn")</f>
        <v>opnn</v>
      </c>
      <c r="C8552" s="3" t="str">
        <f>IFERROR(__xludf.DUMMYFUNCTION("""COMPUTED_VALUE"""),"Opennity")</f>
        <v>Opennity</v>
      </c>
    </row>
    <row r="8553">
      <c r="A8553" s="3" t="str">
        <f>IFERROR(__xludf.DUMMYFUNCTION("""COMPUTED_VALUE"""),"openocean")</f>
        <v>openocean</v>
      </c>
      <c r="B8553" s="3" t="str">
        <f>IFERROR(__xludf.DUMMYFUNCTION("""COMPUTED_VALUE"""),"ooe")</f>
        <v>ooe</v>
      </c>
      <c r="C8553" s="3" t="str">
        <f>IFERROR(__xludf.DUMMYFUNCTION("""COMPUTED_VALUE"""),"OpenOcean")</f>
        <v>OpenOcean</v>
      </c>
    </row>
    <row r="8554">
      <c r="A8554" s="3" t="str">
        <f>IFERROR(__xludf.DUMMYFUNCTION("""COMPUTED_VALUE"""),"open-platform")</f>
        <v>open-platform</v>
      </c>
      <c r="B8554" s="3" t="str">
        <f>IFERROR(__xludf.DUMMYFUNCTION("""COMPUTED_VALUE"""),"open")</f>
        <v>open</v>
      </c>
      <c r="C8554" s="3" t="str">
        <f>IFERROR(__xludf.DUMMYFUNCTION("""COMPUTED_VALUE"""),"Open Platform")</f>
        <v>Open Platform</v>
      </c>
    </row>
    <row r="8555">
      <c r="A8555" s="3" t="str">
        <f>IFERROR(__xludf.DUMMYFUNCTION("""COMPUTED_VALUE"""),"open-proprietary-protocol")</f>
        <v>open-proprietary-protocol</v>
      </c>
      <c r="B8555" s="3" t="str">
        <f>IFERROR(__xludf.DUMMYFUNCTION("""COMPUTED_VALUE"""),"opp")</f>
        <v>opp</v>
      </c>
      <c r="C8555" s="3" t="str">
        <f>IFERROR(__xludf.DUMMYFUNCTION("""COMPUTED_VALUE"""),"Open Proprietary Protocol")</f>
        <v>Open Proprietary Protocol</v>
      </c>
    </row>
    <row r="8556">
      <c r="A8556" s="3" t="str">
        <f>IFERROR(__xludf.DUMMYFUNCTION("""COMPUTED_VALUE"""),"openstream-world")</f>
        <v>openstream-world</v>
      </c>
      <c r="B8556" s="3" t="str">
        <f>IFERROR(__xludf.DUMMYFUNCTION("""COMPUTED_VALUE"""),"osw")</f>
        <v>osw</v>
      </c>
      <c r="C8556" s="3" t="str">
        <f>IFERROR(__xludf.DUMMYFUNCTION("""COMPUTED_VALUE"""),"OpenStream World")</f>
        <v>OpenStream World</v>
      </c>
    </row>
    <row r="8557">
      <c r="A8557" s="3" t="str">
        <f>IFERROR(__xludf.DUMMYFUNCTION("""COMPUTED_VALUE"""),"openswap")</f>
        <v>openswap</v>
      </c>
      <c r="B8557" s="3" t="str">
        <f>IFERROR(__xludf.DUMMYFUNCTION("""COMPUTED_VALUE"""),"oswap")</f>
        <v>oswap</v>
      </c>
      <c r="C8557" s="3" t="str">
        <f>IFERROR(__xludf.DUMMYFUNCTION("""COMPUTED_VALUE"""),"OpenSwap")</f>
        <v>OpenSwap</v>
      </c>
    </row>
    <row r="8558">
      <c r="A8558" s="3" t="str">
        <f>IFERROR(__xludf.DUMMYFUNCTION("""COMPUTED_VALUE"""),"openswap-token")</f>
        <v>openswap-token</v>
      </c>
      <c r="B8558" s="3" t="str">
        <f>IFERROR(__xludf.DUMMYFUNCTION("""COMPUTED_VALUE"""),"openx")</f>
        <v>openx</v>
      </c>
      <c r="C8558" s="3" t="str">
        <f>IFERROR(__xludf.DUMMYFUNCTION("""COMPUTED_VALUE"""),"OpenSwap.One")</f>
        <v>OpenSwap.One</v>
      </c>
    </row>
    <row r="8559">
      <c r="A8559" s="3" t="str">
        <f>IFERROR(__xludf.DUMMYFUNCTION("""COMPUTED_VALUE"""),"openxswap")</f>
        <v>openxswap</v>
      </c>
      <c r="B8559" s="3" t="str">
        <f>IFERROR(__xludf.DUMMYFUNCTION("""COMPUTED_VALUE"""),"openx")</f>
        <v>openx</v>
      </c>
      <c r="C8559" s="3" t="str">
        <f>IFERROR(__xludf.DUMMYFUNCTION("""COMPUTED_VALUE"""),"OpenXSwap")</f>
        <v>OpenXSwap</v>
      </c>
    </row>
    <row r="8560">
      <c r="A8560" s="3" t="str">
        <f>IFERROR(__xludf.DUMMYFUNCTION("""COMPUTED_VALUE"""),"operon-origins")</f>
        <v>operon-origins</v>
      </c>
      <c r="B8560" s="3" t="str">
        <f>IFERROR(__xludf.DUMMYFUNCTION("""COMPUTED_VALUE"""),"oro")</f>
        <v>oro</v>
      </c>
      <c r="C8560" s="3" t="str">
        <f>IFERROR(__xludf.DUMMYFUNCTION("""COMPUTED_VALUE"""),"Operon Origins")</f>
        <v>Operon Origins</v>
      </c>
    </row>
    <row r="8561">
      <c r="A8561" s="3" t="str">
        <f>IFERROR(__xludf.DUMMYFUNCTION("""COMPUTED_VALUE"""),"opes-wrapped-pe")</f>
        <v>opes-wrapped-pe</v>
      </c>
      <c r="B8561" s="3" t="str">
        <f>IFERROR(__xludf.DUMMYFUNCTION("""COMPUTED_VALUE"""),"wpe")</f>
        <v>wpe</v>
      </c>
      <c r="C8561" s="3" t="str">
        <f>IFERROR(__xludf.DUMMYFUNCTION("""COMPUTED_VALUE"""),"OPES (Wrapped PE)")</f>
        <v>OPES (Wrapped PE)</v>
      </c>
    </row>
    <row r="8562">
      <c r="A8562" s="3" t="str">
        <f>IFERROR(__xludf.DUMMYFUNCTION("""COMPUTED_VALUE"""),"opium")</f>
        <v>opium</v>
      </c>
      <c r="B8562" s="3" t="str">
        <f>IFERROR(__xludf.DUMMYFUNCTION("""COMPUTED_VALUE"""),"opium")</f>
        <v>opium</v>
      </c>
      <c r="C8562" s="3" t="str">
        <f>IFERROR(__xludf.DUMMYFUNCTION("""COMPUTED_VALUE"""),"Opium")</f>
        <v>Opium</v>
      </c>
    </row>
    <row r="8563">
      <c r="A8563" s="3" t="str">
        <f>IFERROR(__xludf.DUMMYFUNCTION("""COMPUTED_VALUE"""),"oppa")</f>
        <v>oppa</v>
      </c>
      <c r="B8563" s="3" t="str">
        <f>IFERROR(__xludf.DUMMYFUNCTION("""COMPUTED_VALUE"""),"oppa")</f>
        <v>oppa</v>
      </c>
      <c r="C8563" s="3" t="str">
        <f>IFERROR(__xludf.DUMMYFUNCTION("""COMPUTED_VALUE"""),"OPPA")</f>
        <v>OPPA</v>
      </c>
    </row>
    <row r="8564">
      <c r="A8564" s="3" t="str">
        <f>IFERROR(__xludf.DUMMYFUNCTION("""COMPUTED_VALUE"""),"oppa-token")</f>
        <v>oppa-token</v>
      </c>
      <c r="B8564" s="3" t="str">
        <f>IFERROR(__xludf.DUMMYFUNCTION("""COMPUTED_VALUE"""),"oppa")</f>
        <v>oppa</v>
      </c>
      <c r="C8564" s="3" t="str">
        <f>IFERROR(__xludf.DUMMYFUNCTION("""COMPUTED_VALUE"""),"OPPA Token")</f>
        <v>OPPA Token</v>
      </c>
    </row>
    <row r="8565">
      <c r="A8565" s="3" t="str">
        <f>IFERROR(__xludf.DUMMYFUNCTION("""COMPUTED_VALUE"""),"optical-bitcoin")</f>
        <v>optical-bitcoin</v>
      </c>
      <c r="B8565" s="3" t="str">
        <f>IFERROR(__xludf.DUMMYFUNCTION("""COMPUTED_VALUE"""),"obtc")</f>
        <v>obtc</v>
      </c>
      <c r="C8565" s="3" t="str">
        <f>IFERROR(__xludf.DUMMYFUNCTION("""COMPUTED_VALUE"""),"Optical Bitcoin")</f>
        <v>Optical Bitcoin</v>
      </c>
    </row>
    <row r="8566">
      <c r="A8566" s="3" t="str">
        <f>IFERROR(__xludf.DUMMYFUNCTION("""COMPUTED_VALUE"""),"optimism")</f>
        <v>optimism</v>
      </c>
      <c r="B8566" s="3" t="str">
        <f>IFERROR(__xludf.DUMMYFUNCTION("""COMPUTED_VALUE"""),"op")</f>
        <v>op</v>
      </c>
      <c r="C8566" s="3" t="str">
        <f>IFERROR(__xludf.DUMMYFUNCTION("""COMPUTED_VALUE"""),"Optimism")</f>
        <v>Optimism</v>
      </c>
    </row>
    <row r="8567">
      <c r="A8567" s="3" t="str">
        <f>IFERROR(__xludf.DUMMYFUNCTION("""COMPUTED_VALUE"""),"optimismpad")</f>
        <v>optimismpad</v>
      </c>
      <c r="B8567" s="3" t="str">
        <f>IFERROR(__xludf.DUMMYFUNCTION("""COMPUTED_VALUE"""),"opp")</f>
        <v>opp</v>
      </c>
      <c r="C8567" s="3" t="str">
        <f>IFERROR(__xludf.DUMMYFUNCTION("""COMPUTED_VALUE"""),"OptimismPad")</f>
        <v>OptimismPad</v>
      </c>
    </row>
    <row r="8568">
      <c r="A8568" s="3" t="str">
        <f>IFERROR(__xludf.DUMMYFUNCTION("""COMPUTED_VALUE"""),"optimus")</f>
        <v>optimus</v>
      </c>
      <c r="B8568" s="3" t="str">
        <f>IFERROR(__xludf.DUMMYFUNCTION("""COMPUTED_VALUE"""),"optcm")</f>
        <v>optcm</v>
      </c>
      <c r="C8568" s="3" t="str">
        <f>IFERROR(__xludf.DUMMYFUNCTION("""COMPUTED_VALUE"""),"Optimus")</f>
        <v>Optimus</v>
      </c>
    </row>
    <row r="8569">
      <c r="A8569" s="3" t="str">
        <f>IFERROR(__xludf.DUMMYFUNCTION("""COMPUTED_VALUE"""),"optimus-finance")</f>
        <v>optimus-finance</v>
      </c>
      <c r="B8569" s="3" t="str">
        <f>IFERROR(__xludf.DUMMYFUNCTION("""COMPUTED_VALUE"""),"fin")</f>
        <v>fin</v>
      </c>
      <c r="C8569" s="3" t="str">
        <f>IFERROR(__xludf.DUMMYFUNCTION("""COMPUTED_VALUE"""),"Optimus Finance")</f>
        <v>Optimus Finance</v>
      </c>
    </row>
    <row r="8570">
      <c r="A8570" s="3" t="str">
        <f>IFERROR(__xludf.DUMMYFUNCTION("""COMPUTED_VALUE"""),"optimus-opt")</f>
        <v>optimus-opt</v>
      </c>
      <c r="B8570" s="3" t="str">
        <f>IFERROR(__xludf.DUMMYFUNCTION("""COMPUTED_VALUE"""),"opt")</f>
        <v>opt</v>
      </c>
      <c r="C8570" s="3" t="str">
        <f>IFERROR(__xludf.DUMMYFUNCTION("""COMPUTED_VALUE"""),"Optimus OPT")</f>
        <v>Optimus OPT</v>
      </c>
    </row>
    <row r="8571">
      <c r="A8571" s="3" t="str">
        <f>IFERROR(__xludf.DUMMYFUNCTION("""COMPUTED_VALUE"""),"optimus-opt2")</f>
        <v>optimus-opt2</v>
      </c>
      <c r="B8571" s="3" t="str">
        <f>IFERROR(__xludf.DUMMYFUNCTION("""COMPUTED_VALUE"""),"opt2")</f>
        <v>opt2</v>
      </c>
      <c r="C8571" s="3" t="str">
        <f>IFERROR(__xludf.DUMMYFUNCTION("""COMPUTED_VALUE"""),"Optimus OPT2")</f>
        <v>Optimus OPT2</v>
      </c>
    </row>
    <row r="8572">
      <c r="A8572" s="3" t="str">
        <f>IFERROR(__xludf.DUMMYFUNCTION("""COMPUTED_VALUE"""),"optimus-opt3")</f>
        <v>optimus-opt3</v>
      </c>
      <c r="B8572" s="3" t="str">
        <f>IFERROR(__xludf.DUMMYFUNCTION("""COMPUTED_VALUE"""),"opt3")</f>
        <v>opt3</v>
      </c>
      <c r="C8572" s="3" t="str">
        <f>IFERROR(__xludf.DUMMYFUNCTION("""COMPUTED_VALUE"""),"Optimus OPT3")</f>
        <v>Optimus OPT3</v>
      </c>
    </row>
    <row r="8573">
      <c r="A8573" s="3" t="str">
        <f>IFERROR(__xludf.DUMMYFUNCTION("""COMPUTED_VALUE"""),"option-panda-platform")</f>
        <v>option-panda-platform</v>
      </c>
      <c r="B8573" s="3" t="str">
        <f>IFERROR(__xludf.DUMMYFUNCTION("""COMPUTED_VALUE"""),"opa")</f>
        <v>opa</v>
      </c>
      <c r="C8573" s="3" t="str">
        <f>IFERROR(__xludf.DUMMYFUNCTION("""COMPUTED_VALUE"""),"Option Panda Platform")</f>
        <v>Option Panda Platform</v>
      </c>
    </row>
    <row r="8574">
      <c r="A8574" s="3" t="str">
        <f>IFERROR(__xludf.DUMMYFUNCTION("""COMPUTED_VALUE"""),"option-room")</f>
        <v>option-room</v>
      </c>
      <c r="B8574" s="3" t="str">
        <f>IFERROR(__xludf.DUMMYFUNCTION("""COMPUTED_VALUE"""),"room")</f>
        <v>room</v>
      </c>
      <c r="C8574" s="3" t="str">
        <f>IFERROR(__xludf.DUMMYFUNCTION("""COMPUTED_VALUE"""),"OptionRoom")</f>
        <v>OptionRoom</v>
      </c>
    </row>
    <row r="8575">
      <c r="A8575" s="3" t="str">
        <f>IFERROR(__xludf.DUMMYFUNCTION("""COMPUTED_VALUE"""),"optionroom-governance-token")</f>
        <v>optionroom-governance-token</v>
      </c>
      <c r="B8575" s="3" t="str">
        <f>IFERROR(__xludf.DUMMYFUNCTION("""COMPUTED_VALUE"""),"court")</f>
        <v>court</v>
      </c>
      <c r="C8575" s="3" t="str">
        <f>IFERROR(__xludf.DUMMYFUNCTION("""COMPUTED_VALUE"""),"OptionRoom Governance")</f>
        <v>OptionRoom Governance</v>
      </c>
    </row>
    <row r="8576">
      <c r="A8576" s="3" t="str">
        <f>IFERROR(__xludf.DUMMYFUNCTION("""COMPUTED_VALUE"""),"options-market")</f>
        <v>options-market</v>
      </c>
      <c r="B8576" s="3" t="str">
        <f>IFERROR(__xludf.DUMMYFUNCTION("""COMPUTED_VALUE"""),"osm")</f>
        <v>osm</v>
      </c>
      <c r="C8576" s="3" t="str">
        <f>IFERROR(__xludf.DUMMYFUNCTION("""COMPUTED_VALUE"""),"Options Market")</f>
        <v>Options Market</v>
      </c>
    </row>
    <row r="8577">
      <c r="A8577" s="3" t="str">
        <f>IFERROR(__xludf.DUMMYFUNCTION("""COMPUTED_VALUE"""),"opulous")</f>
        <v>opulous</v>
      </c>
      <c r="B8577" s="3" t="str">
        <f>IFERROR(__xludf.DUMMYFUNCTION("""COMPUTED_VALUE"""),"opul")</f>
        <v>opul</v>
      </c>
      <c r="C8577" s="3" t="str">
        <f>IFERROR(__xludf.DUMMYFUNCTION("""COMPUTED_VALUE"""),"Opulous")</f>
        <v>Opulous</v>
      </c>
    </row>
    <row r="8578">
      <c r="A8578" s="3" t="str">
        <f>IFERROR(__xludf.DUMMYFUNCTION("""COMPUTED_VALUE"""),"opus")</f>
        <v>opus</v>
      </c>
      <c r="B8578" s="3" t="str">
        <f>IFERROR(__xludf.DUMMYFUNCTION("""COMPUTED_VALUE"""),"opt")</f>
        <v>opt</v>
      </c>
      <c r="C8578" s="3" t="str">
        <f>IFERROR(__xludf.DUMMYFUNCTION("""COMPUTED_VALUE"""),"Opus")</f>
        <v>Opus</v>
      </c>
    </row>
    <row r="8579">
      <c r="A8579" s="3" t="str">
        <f>IFERROR(__xludf.DUMMYFUNCTION("""COMPUTED_VALUE"""),"opyn-squeeth")</f>
        <v>opyn-squeeth</v>
      </c>
      <c r="B8579" s="3" t="str">
        <f>IFERROR(__xludf.DUMMYFUNCTION("""COMPUTED_VALUE"""),"osqth")</f>
        <v>osqth</v>
      </c>
      <c r="C8579" s="3" t="str">
        <f>IFERROR(__xludf.DUMMYFUNCTION("""COMPUTED_VALUE"""),"Opyn Squeeth")</f>
        <v>Opyn Squeeth</v>
      </c>
    </row>
    <row r="8580">
      <c r="A8580" s="3" t="str">
        <f>IFERROR(__xludf.DUMMYFUNCTION("""COMPUTED_VALUE"""),"oraclechain")</f>
        <v>oraclechain</v>
      </c>
      <c r="B8580" s="3" t="str">
        <f>IFERROR(__xludf.DUMMYFUNCTION("""COMPUTED_VALUE"""),"oct")</f>
        <v>oct</v>
      </c>
      <c r="C8580" s="3" t="str">
        <f>IFERROR(__xludf.DUMMYFUNCTION("""COMPUTED_VALUE"""),"OracleChain")</f>
        <v>OracleChain</v>
      </c>
    </row>
    <row r="8581">
      <c r="A8581" s="3" t="str">
        <f>IFERROR(__xludf.DUMMYFUNCTION("""COMPUTED_VALUE"""),"oracle-dao")</f>
        <v>oracle-dao</v>
      </c>
      <c r="B8581" s="3" t="str">
        <f>IFERROR(__xludf.DUMMYFUNCTION("""COMPUTED_VALUE"""),"orc")</f>
        <v>orc</v>
      </c>
      <c r="C8581" s="3" t="str">
        <f>IFERROR(__xludf.DUMMYFUNCTION("""COMPUTED_VALUE"""),"Oracle Dao")</f>
        <v>Oracle Dao</v>
      </c>
    </row>
    <row r="8582">
      <c r="A8582" s="3" t="str">
        <f>IFERROR(__xludf.DUMMYFUNCTION("""COMPUTED_VALUE"""),"oracleswap")</f>
        <v>oracleswap</v>
      </c>
      <c r="B8582" s="3" t="str">
        <f>IFERROR(__xludf.DUMMYFUNCTION("""COMPUTED_VALUE"""),"oracle")</f>
        <v>oracle</v>
      </c>
      <c r="C8582" s="3" t="str">
        <f>IFERROR(__xludf.DUMMYFUNCTION("""COMPUTED_VALUE"""),"OracleSwap")</f>
        <v>OracleSwap</v>
      </c>
    </row>
    <row r="8583">
      <c r="A8583" s="3" t="str">
        <f>IFERROR(__xludf.DUMMYFUNCTION("""COMPUTED_VALUE"""),"oracle-system")</f>
        <v>oracle-system</v>
      </c>
      <c r="B8583" s="3" t="str">
        <f>IFERROR(__xludf.DUMMYFUNCTION("""COMPUTED_VALUE"""),"orc")</f>
        <v>orc</v>
      </c>
      <c r="C8583" s="3" t="str">
        <f>IFERROR(__xludf.DUMMYFUNCTION("""COMPUTED_VALUE"""),"Oracle System")</f>
        <v>Oracle System</v>
      </c>
    </row>
    <row r="8584">
      <c r="A8584" s="3" t="str">
        <f>IFERROR(__xludf.DUMMYFUNCTION("""COMPUTED_VALUE"""),"oracolxor")</f>
        <v>oracolxor</v>
      </c>
      <c r="B8584" s="3" t="str">
        <f>IFERROR(__xludf.DUMMYFUNCTION("""COMPUTED_VALUE"""),"xor")</f>
        <v>xor</v>
      </c>
      <c r="C8584" s="3" t="str">
        <f>IFERROR(__xludf.DUMMYFUNCTION("""COMPUTED_VALUE"""),"Oracolxor")</f>
        <v>Oracolxor</v>
      </c>
    </row>
    <row r="8585">
      <c r="A8585" s="3" t="str">
        <f>IFERROR(__xludf.DUMMYFUNCTION("""COMPUTED_VALUE"""),"oragonx")</f>
        <v>oragonx</v>
      </c>
      <c r="B8585" s="3" t="str">
        <f>IFERROR(__xludf.DUMMYFUNCTION("""COMPUTED_VALUE"""),"orgn")</f>
        <v>orgn</v>
      </c>
      <c r="C8585" s="3" t="str">
        <f>IFERROR(__xludf.DUMMYFUNCTION("""COMPUTED_VALUE"""),"OragonX")</f>
        <v>OragonX</v>
      </c>
    </row>
    <row r="8586">
      <c r="A8586" s="3" t="str">
        <f>IFERROR(__xludf.DUMMYFUNCTION("""COMPUTED_VALUE"""),"oraichain-token")</f>
        <v>oraichain-token</v>
      </c>
      <c r="B8586" s="3" t="str">
        <f>IFERROR(__xludf.DUMMYFUNCTION("""COMPUTED_VALUE"""),"orai")</f>
        <v>orai</v>
      </c>
      <c r="C8586" s="3" t="str">
        <f>IFERROR(__xludf.DUMMYFUNCTION("""COMPUTED_VALUE"""),"Oraichain")</f>
        <v>Oraichain</v>
      </c>
    </row>
    <row r="8587">
      <c r="A8587" s="3" t="str">
        <f>IFERROR(__xludf.DUMMYFUNCTION("""COMPUTED_VALUE"""),"oraidex")</f>
        <v>oraidex</v>
      </c>
      <c r="B8587" s="3" t="str">
        <f>IFERROR(__xludf.DUMMYFUNCTION("""COMPUTED_VALUE"""),"oraix")</f>
        <v>oraix</v>
      </c>
      <c r="C8587" s="3" t="str">
        <f>IFERROR(__xludf.DUMMYFUNCTION("""COMPUTED_VALUE"""),"OraiDEX")</f>
        <v>OraiDEX</v>
      </c>
    </row>
    <row r="8588">
      <c r="A8588" s="3" t="str">
        <f>IFERROR(__xludf.DUMMYFUNCTION("""COMPUTED_VALUE"""),"orakler")</f>
        <v>orakler</v>
      </c>
      <c r="B8588" s="3" t="str">
        <f>IFERROR(__xludf.DUMMYFUNCTION("""COMPUTED_VALUE"""),"orkl")</f>
        <v>orkl</v>
      </c>
      <c r="C8588" s="3" t="str">
        <f>IFERROR(__xludf.DUMMYFUNCTION("""COMPUTED_VALUE"""),"Orakler")</f>
        <v>Orakler</v>
      </c>
    </row>
    <row r="8589">
      <c r="A8589" s="3" t="str">
        <f>IFERROR(__xludf.DUMMYFUNCTION("""COMPUTED_VALUE"""),"orakuru")</f>
        <v>orakuru</v>
      </c>
      <c r="B8589" s="3" t="str">
        <f>IFERROR(__xludf.DUMMYFUNCTION("""COMPUTED_VALUE"""),"ork")</f>
        <v>ork</v>
      </c>
      <c r="C8589" s="3" t="str">
        <f>IFERROR(__xludf.DUMMYFUNCTION("""COMPUTED_VALUE"""),"Orakuru")</f>
        <v>Orakuru</v>
      </c>
    </row>
    <row r="8590">
      <c r="A8590" s="3" t="str">
        <f>IFERROR(__xludf.DUMMYFUNCTION("""COMPUTED_VALUE"""),"orao-network")</f>
        <v>orao-network</v>
      </c>
      <c r="B8590" s="3" t="str">
        <f>IFERROR(__xludf.DUMMYFUNCTION("""COMPUTED_VALUE"""),"orao")</f>
        <v>orao</v>
      </c>
      <c r="C8590" s="3" t="str">
        <f>IFERROR(__xludf.DUMMYFUNCTION("""COMPUTED_VALUE"""),"ORAO Network")</f>
        <v>ORAO Network</v>
      </c>
    </row>
    <row r="8591">
      <c r="A8591" s="3" t="str">
        <f>IFERROR(__xludf.DUMMYFUNCTION("""COMPUTED_VALUE"""),"orbis")</f>
        <v>orbis</v>
      </c>
      <c r="B8591" s="3" t="str">
        <f>IFERROR(__xludf.DUMMYFUNCTION("""COMPUTED_VALUE"""),"orbc")</f>
        <v>orbc</v>
      </c>
      <c r="C8591" s="3" t="str">
        <f>IFERROR(__xludf.DUMMYFUNCTION("""COMPUTED_VALUE"""),"Orbis")</f>
        <v>Orbis</v>
      </c>
    </row>
    <row r="8592">
      <c r="A8592" s="3" t="str">
        <f>IFERROR(__xludf.DUMMYFUNCTION("""COMPUTED_VALUE"""),"orbit-2")</f>
        <v>orbit-2</v>
      </c>
      <c r="B8592" s="3" t="str">
        <f>IFERROR(__xludf.DUMMYFUNCTION("""COMPUTED_VALUE"""),"orbit")</f>
        <v>orbit</v>
      </c>
      <c r="C8592" s="3" t="str">
        <f>IFERROR(__xludf.DUMMYFUNCTION("""COMPUTED_VALUE"""),"Orbit")</f>
        <v>Orbit</v>
      </c>
    </row>
    <row r="8593">
      <c r="A8593" s="3" t="str">
        <f>IFERROR(__xludf.DUMMYFUNCTION("""COMPUTED_VALUE"""),"orbitau-taureum")</f>
        <v>orbitau-taureum</v>
      </c>
      <c r="B8593" s="3" t="str">
        <f>IFERROR(__xludf.DUMMYFUNCTION("""COMPUTED_VALUE"""),"taum")</f>
        <v>taum</v>
      </c>
      <c r="C8593" s="3" t="str">
        <f>IFERROR(__xludf.DUMMYFUNCTION("""COMPUTED_VALUE"""),"Orbitau Taureum")</f>
        <v>Orbitau Taureum</v>
      </c>
    </row>
    <row r="8594">
      <c r="A8594" s="3" t="str">
        <f>IFERROR(__xludf.DUMMYFUNCTION("""COMPUTED_VALUE"""),"orbit-bridge-klaytn-binance-coin")</f>
        <v>orbit-bridge-klaytn-binance-coin</v>
      </c>
      <c r="B8594" s="3" t="str">
        <f>IFERROR(__xludf.DUMMYFUNCTION("""COMPUTED_VALUE"""),"obnb")</f>
        <v>obnb</v>
      </c>
      <c r="C8594" s="3" t="str">
        <f>IFERROR(__xludf.DUMMYFUNCTION("""COMPUTED_VALUE"""),"Orbit Bridge Klaytn Binance Coin")</f>
        <v>Orbit Bridge Klaytn Binance Coin</v>
      </c>
    </row>
    <row r="8595">
      <c r="A8595" s="3" t="str">
        <f>IFERROR(__xludf.DUMMYFUNCTION("""COMPUTED_VALUE"""),"orbit-bridge-klaytn-ethereum")</f>
        <v>orbit-bridge-klaytn-ethereum</v>
      </c>
      <c r="B8595" s="3" t="str">
        <f>IFERROR(__xludf.DUMMYFUNCTION("""COMPUTED_VALUE"""),"oeth")</f>
        <v>oeth</v>
      </c>
      <c r="C8595" s="3" t="str">
        <f>IFERROR(__xludf.DUMMYFUNCTION("""COMPUTED_VALUE"""),"Orbit Bridge Klaytn Ethereum")</f>
        <v>Orbit Bridge Klaytn Ethereum</v>
      </c>
    </row>
    <row r="8596">
      <c r="A8596" s="3" t="str">
        <f>IFERROR(__xludf.DUMMYFUNCTION("""COMPUTED_VALUE"""),"orbit-bridge-klaytn-matic")</f>
        <v>orbit-bridge-klaytn-matic</v>
      </c>
      <c r="B8596" s="3" t="str">
        <f>IFERROR(__xludf.DUMMYFUNCTION("""COMPUTED_VALUE"""),"omatic")</f>
        <v>omatic</v>
      </c>
      <c r="C8596" s="3" t="str">
        <f>IFERROR(__xludf.DUMMYFUNCTION("""COMPUTED_VALUE"""),"Orbit Bridge Klaytn MATIC")</f>
        <v>Orbit Bridge Klaytn MATIC</v>
      </c>
    </row>
    <row r="8597">
      <c r="A8597" s="3" t="str">
        <f>IFERROR(__xludf.DUMMYFUNCTION("""COMPUTED_VALUE"""),"orbit-bridge-klaytn-ripple")</f>
        <v>orbit-bridge-klaytn-ripple</v>
      </c>
      <c r="B8597" s="3" t="str">
        <f>IFERROR(__xludf.DUMMYFUNCTION("""COMPUTED_VALUE"""),"oxrp")</f>
        <v>oxrp</v>
      </c>
      <c r="C8597" s="3" t="str">
        <f>IFERROR(__xludf.DUMMYFUNCTION("""COMPUTED_VALUE"""),"Orbit Bridge Klaytn Ripple")</f>
        <v>Orbit Bridge Klaytn Ripple</v>
      </c>
    </row>
    <row r="8598">
      <c r="A8598" s="3" t="str">
        <f>IFERROR(__xludf.DUMMYFUNCTION("""COMPUTED_VALUE"""),"orbit-bridge-klaytn-usdc")</f>
        <v>orbit-bridge-klaytn-usdc</v>
      </c>
      <c r="B8598" s="3" t="str">
        <f>IFERROR(__xludf.DUMMYFUNCTION("""COMPUTED_VALUE"""),"ousdc")</f>
        <v>ousdc</v>
      </c>
      <c r="C8598" s="3" t="str">
        <f>IFERROR(__xludf.DUMMYFUNCTION("""COMPUTED_VALUE"""),"Orbit Bridge Klaytn USDC")</f>
        <v>Orbit Bridge Klaytn USDC</v>
      </c>
    </row>
    <row r="8599">
      <c r="A8599" s="3" t="str">
        <f>IFERROR(__xludf.DUMMYFUNCTION("""COMPUTED_VALUE"""),"orbit-bridge-klaytn-usd-tether")</f>
        <v>orbit-bridge-klaytn-usd-tether</v>
      </c>
      <c r="B8599" s="3" t="str">
        <f>IFERROR(__xludf.DUMMYFUNCTION("""COMPUTED_VALUE"""),"ousdt")</f>
        <v>ousdt</v>
      </c>
      <c r="C8599" s="3" t="str">
        <f>IFERROR(__xludf.DUMMYFUNCTION("""COMPUTED_VALUE"""),"Orbit Bridge Klaytn USD Tether")</f>
        <v>Orbit Bridge Klaytn USD Tether</v>
      </c>
    </row>
    <row r="8600">
      <c r="A8600" s="3" t="str">
        <f>IFERROR(__xludf.DUMMYFUNCTION("""COMPUTED_VALUE"""),"orbit-bridge-klaytn-wrapped-btc")</f>
        <v>orbit-bridge-klaytn-wrapped-btc</v>
      </c>
      <c r="B8600" s="3" t="str">
        <f>IFERROR(__xludf.DUMMYFUNCTION("""COMPUTED_VALUE"""),"owbtc")</f>
        <v>owbtc</v>
      </c>
      <c r="C8600" s="3" t="str">
        <f>IFERROR(__xludf.DUMMYFUNCTION("""COMPUTED_VALUE"""),"Orbit Bridge Klaytn Wrapped BTC")</f>
        <v>Orbit Bridge Klaytn Wrapped BTC</v>
      </c>
    </row>
    <row r="8601">
      <c r="A8601" s="3" t="str">
        <f>IFERROR(__xludf.DUMMYFUNCTION("""COMPUTED_VALUE"""),"orbit-chain")</f>
        <v>orbit-chain</v>
      </c>
      <c r="B8601" s="3" t="str">
        <f>IFERROR(__xludf.DUMMYFUNCTION("""COMPUTED_VALUE"""),"orc")</f>
        <v>orc</v>
      </c>
      <c r="C8601" s="3" t="str">
        <f>IFERROR(__xludf.DUMMYFUNCTION("""COMPUTED_VALUE"""),"Orbit Chain")</f>
        <v>Orbit Chain</v>
      </c>
    </row>
    <row r="8602">
      <c r="A8602" s="3" t="str">
        <f>IFERROR(__xludf.DUMMYFUNCTION("""COMPUTED_VALUE"""),"orbitcoin")</f>
        <v>orbitcoin</v>
      </c>
      <c r="B8602" s="3" t="str">
        <f>IFERROR(__xludf.DUMMYFUNCTION("""COMPUTED_VALUE"""),"orb")</f>
        <v>orb</v>
      </c>
      <c r="C8602" s="3" t="str">
        <f>IFERROR(__xludf.DUMMYFUNCTION("""COMPUTED_VALUE"""),"Orbitcoin")</f>
        <v>Orbitcoin</v>
      </c>
    </row>
    <row r="8603">
      <c r="A8603" s="3" t="str">
        <f>IFERROR(__xludf.DUMMYFUNCTION("""COMPUTED_VALUE"""),"orbit-token")</f>
        <v>orbit-token</v>
      </c>
      <c r="B8603" s="3" t="str">
        <f>IFERROR(__xludf.DUMMYFUNCTION("""COMPUTED_VALUE"""),"orbit")</f>
        <v>orbit</v>
      </c>
      <c r="C8603" s="3" t="str">
        <f>IFERROR(__xludf.DUMMYFUNCTION("""COMPUTED_VALUE"""),"First On The Moon ORBIT")</f>
        <v>First On The Moon ORBIT</v>
      </c>
    </row>
    <row r="8604">
      <c r="A8604" s="3" t="str">
        <f>IFERROR(__xludf.DUMMYFUNCTION("""COMPUTED_VALUE"""),"orbler")</f>
        <v>orbler</v>
      </c>
      <c r="B8604" s="3" t="str">
        <f>IFERROR(__xludf.DUMMYFUNCTION("""COMPUTED_VALUE"""),"orbr")</f>
        <v>orbr</v>
      </c>
      <c r="C8604" s="3" t="str">
        <f>IFERROR(__xludf.DUMMYFUNCTION("""COMPUTED_VALUE"""),"Orbler")</f>
        <v>Orbler</v>
      </c>
    </row>
    <row r="8605">
      <c r="A8605" s="3" t="str">
        <f>IFERROR(__xludf.DUMMYFUNCTION("""COMPUTED_VALUE"""),"orbs")</f>
        <v>orbs</v>
      </c>
      <c r="B8605" s="3" t="str">
        <f>IFERROR(__xludf.DUMMYFUNCTION("""COMPUTED_VALUE"""),"orbs")</f>
        <v>orbs</v>
      </c>
      <c r="C8605" s="3" t="str">
        <f>IFERROR(__xludf.DUMMYFUNCTION("""COMPUTED_VALUE"""),"Orbs")</f>
        <v>Orbs</v>
      </c>
    </row>
    <row r="8606">
      <c r="A8606" s="3" t="str">
        <f>IFERROR(__xludf.DUMMYFUNCTION("""COMPUTED_VALUE"""),"orbyt-token")</f>
        <v>orbyt-token</v>
      </c>
      <c r="B8606" s="3" t="str">
        <f>IFERROR(__xludf.DUMMYFUNCTION("""COMPUTED_VALUE"""),"orbyt")</f>
        <v>orbyt</v>
      </c>
      <c r="C8606" s="3" t="str">
        <f>IFERROR(__xludf.DUMMYFUNCTION("""COMPUTED_VALUE"""),"ORBYT Token")</f>
        <v>ORBYT Token</v>
      </c>
    </row>
    <row r="8607">
      <c r="A8607" s="3" t="str">
        <f>IFERROR(__xludf.DUMMYFUNCTION("""COMPUTED_VALUE"""),"orca")</f>
        <v>orca</v>
      </c>
      <c r="B8607" s="3" t="str">
        <f>IFERROR(__xludf.DUMMYFUNCTION("""COMPUTED_VALUE"""),"orca")</f>
        <v>orca</v>
      </c>
      <c r="C8607" s="3" t="str">
        <f>IFERROR(__xludf.DUMMYFUNCTION("""COMPUTED_VALUE"""),"Orca")</f>
        <v>Orca</v>
      </c>
    </row>
    <row r="8608">
      <c r="A8608" s="3" t="str">
        <f>IFERROR(__xludf.DUMMYFUNCTION("""COMPUTED_VALUE"""),"orca-avai")</f>
        <v>orca-avai</v>
      </c>
      <c r="B8608" s="3" t="str">
        <f>IFERROR(__xludf.DUMMYFUNCTION("""COMPUTED_VALUE"""),"avai")</f>
        <v>avai</v>
      </c>
      <c r="C8608" s="3" t="str">
        <f>IFERROR(__xludf.DUMMYFUNCTION("""COMPUTED_VALUE"""),"Orca AVAI")</f>
        <v>Orca AVAI</v>
      </c>
    </row>
    <row r="8609">
      <c r="A8609" s="3" t="str">
        <f>IFERROR(__xludf.DUMMYFUNCTION("""COMPUTED_VALUE"""),"orcadao")</f>
        <v>orcadao</v>
      </c>
      <c r="B8609" s="3" t="str">
        <f>IFERROR(__xludf.DUMMYFUNCTION("""COMPUTED_VALUE"""),"orca")</f>
        <v>orca</v>
      </c>
      <c r="C8609" s="3" t="str">
        <f>IFERROR(__xludf.DUMMYFUNCTION("""COMPUTED_VALUE"""),"Orca DAO")</f>
        <v>Orca DAO</v>
      </c>
    </row>
    <row r="8610">
      <c r="A8610" s="3" t="str">
        <f>IFERROR(__xludf.DUMMYFUNCTION("""COMPUTED_VALUE"""),"orchid-protocol")</f>
        <v>orchid-protocol</v>
      </c>
      <c r="B8610" s="3" t="str">
        <f>IFERROR(__xludf.DUMMYFUNCTION("""COMPUTED_VALUE"""),"oxt")</f>
        <v>oxt</v>
      </c>
      <c r="C8610" s="3" t="str">
        <f>IFERROR(__xludf.DUMMYFUNCTION("""COMPUTED_VALUE"""),"Orchid Protocol")</f>
        <v>Orchid Protocol</v>
      </c>
    </row>
    <row r="8611">
      <c r="A8611" s="3" t="str">
        <f>IFERROR(__xludf.DUMMYFUNCTION("""COMPUTED_VALUE"""),"orclands-metaverse")</f>
        <v>orclands-metaverse</v>
      </c>
      <c r="B8611" s="3" t="str">
        <f>IFERROR(__xludf.DUMMYFUNCTION("""COMPUTED_VALUE"""),"orc")</f>
        <v>orc</v>
      </c>
      <c r="C8611" s="3" t="str">
        <f>IFERROR(__xludf.DUMMYFUNCTION("""COMPUTED_VALUE"""),"Orclands Metaverse")</f>
        <v>Orclands Metaverse</v>
      </c>
    </row>
    <row r="8612">
      <c r="A8612" s="3" t="str">
        <f>IFERROR(__xludf.DUMMYFUNCTION("""COMPUTED_VALUE"""),"order")</f>
        <v>order</v>
      </c>
      <c r="B8612" s="3" t="str">
        <f>IFERROR(__xludf.DUMMYFUNCTION("""COMPUTED_VALUE"""),"order")</f>
        <v>order</v>
      </c>
      <c r="C8612" s="3" t="str">
        <f>IFERROR(__xludf.DUMMYFUNCTION("""COMPUTED_VALUE"""),"Order")</f>
        <v>Order</v>
      </c>
    </row>
    <row r="8613">
      <c r="A8613" s="3" t="str">
        <f>IFERROR(__xludf.DUMMYFUNCTION("""COMPUTED_VALUE"""),"order-of-the-apeverse")</f>
        <v>order-of-the-apeverse</v>
      </c>
      <c r="B8613" s="3" t="str">
        <f>IFERROR(__xludf.DUMMYFUNCTION("""COMPUTED_VALUE"""),"oav")</f>
        <v>oav</v>
      </c>
      <c r="C8613" s="3" t="str">
        <f>IFERROR(__xludf.DUMMYFUNCTION("""COMPUTED_VALUE"""),"Order of the Apeverse")</f>
        <v>Order of the Apeverse</v>
      </c>
    </row>
    <row r="8614">
      <c r="A8614" s="3" t="str">
        <f>IFERROR(__xludf.DUMMYFUNCTION("""COMPUTED_VALUE"""),"ore-token")</f>
        <v>ore-token</v>
      </c>
      <c r="B8614" s="3" t="str">
        <f>IFERROR(__xludf.DUMMYFUNCTION("""COMPUTED_VALUE"""),"ore")</f>
        <v>ore</v>
      </c>
      <c r="C8614" s="3" t="str">
        <f>IFERROR(__xludf.DUMMYFUNCTION("""COMPUTED_VALUE"""),"ORE")</f>
        <v>ORE</v>
      </c>
    </row>
    <row r="8615">
      <c r="A8615" s="3" t="str">
        <f>IFERROR(__xludf.DUMMYFUNCTION("""COMPUTED_VALUE"""),"organix")</f>
        <v>organix</v>
      </c>
      <c r="B8615" s="3" t="str">
        <f>IFERROR(__xludf.DUMMYFUNCTION("""COMPUTED_VALUE"""),"ogx")</f>
        <v>ogx</v>
      </c>
      <c r="C8615" s="3" t="str">
        <f>IFERROR(__xludf.DUMMYFUNCTION("""COMPUTED_VALUE"""),"Organix")</f>
        <v>Organix</v>
      </c>
    </row>
    <row r="8616">
      <c r="A8616" s="3" t="str">
        <f>IFERROR(__xludf.DUMMYFUNCTION("""COMPUTED_VALUE"""),"orient-walt")</f>
        <v>orient-walt</v>
      </c>
      <c r="B8616" s="3" t="str">
        <f>IFERROR(__xludf.DUMMYFUNCTION("""COMPUTED_VALUE"""),"htdf")</f>
        <v>htdf</v>
      </c>
      <c r="C8616" s="3" t="str">
        <f>IFERROR(__xludf.DUMMYFUNCTION("""COMPUTED_VALUE"""),"Orient Walt")</f>
        <v>Orient Walt</v>
      </c>
    </row>
    <row r="8617">
      <c r="A8617" s="3" t="str">
        <f>IFERROR(__xludf.DUMMYFUNCTION("""COMPUTED_VALUE"""),"original-crypto-coin")</f>
        <v>original-crypto-coin</v>
      </c>
      <c r="B8617" s="3" t="str">
        <f>IFERROR(__xludf.DUMMYFUNCTION("""COMPUTED_VALUE"""),"tusc")</f>
        <v>tusc</v>
      </c>
      <c r="C8617" s="3" t="str">
        <f>IFERROR(__xludf.DUMMYFUNCTION("""COMPUTED_VALUE"""),"The Universal Settlement Coin")</f>
        <v>The Universal Settlement Coin</v>
      </c>
    </row>
    <row r="8618">
      <c r="A8618" s="3" t="str">
        <f>IFERROR(__xludf.DUMMYFUNCTION("""COMPUTED_VALUE"""),"origindao")</f>
        <v>origindao</v>
      </c>
      <c r="B8618" s="3" t="str">
        <f>IFERROR(__xludf.DUMMYFUNCTION("""COMPUTED_VALUE"""),"og")</f>
        <v>og</v>
      </c>
      <c r="C8618" s="3" t="str">
        <f>IFERROR(__xludf.DUMMYFUNCTION("""COMPUTED_VALUE"""),"OriginDAO")</f>
        <v>OriginDAO</v>
      </c>
    </row>
    <row r="8619">
      <c r="A8619" s="3" t="str">
        <f>IFERROR(__xludf.DUMMYFUNCTION("""COMPUTED_VALUE"""),"origin-dollar")</f>
        <v>origin-dollar</v>
      </c>
      <c r="B8619" s="3" t="str">
        <f>IFERROR(__xludf.DUMMYFUNCTION("""COMPUTED_VALUE"""),"ousd")</f>
        <v>ousd</v>
      </c>
      <c r="C8619" s="3" t="str">
        <f>IFERROR(__xludf.DUMMYFUNCTION("""COMPUTED_VALUE"""),"Origin Dollar")</f>
        <v>Origin Dollar</v>
      </c>
    </row>
    <row r="8620">
      <c r="A8620" s="3" t="str">
        <f>IFERROR(__xludf.DUMMYFUNCTION("""COMPUTED_VALUE"""),"origin-dollar-governance")</f>
        <v>origin-dollar-governance</v>
      </c>
      <c r="B8620" s="3" t="str">
        <f>IFERROR(__xludf.DUMMYFUNCTION("""COMPUTED_VALUE"""),"ogv")</f>
        <v>ogv</v>
      </c>
      <c r="C8620" s="3" t="str">
        <f>IFERROR(__xludf.DUMMYFUNCTION("""COMPUTED_VALUE"""),"Origin Dollar Governance")</f>
        <v>Origin Dollar Governance</v>
      </c>
    </row>
    <row r="8621">
      <c r="A8621" s="3" t="str">
        <f>IFERROR(__xludf.DUMMYFUNCTION("""COMPUTED_VALUE"""),"origin-protocol")</f>
        <v>origin-protocol</v>
      </c>
      <c r="B8621" s="3" t="str">
        <f>IFERROR(__xludf.DUMMYFUNCTION("""COMPUTED_VALUE"""),"ogn")</f>
        <v>ogn</v>
      </c>
      <c r="C8621" s="3" t="str">
        <f>IFERROR(__xludf.DUMMYFUNCTION("""COMPUTED_VALUE"""),"Origin Protocol")</f>
        <v>Origin Protocol</v>
      </c>
    </row>
    <row r="8622">
      <c r="A8622" s="3" t="str">
        <f>IFERROR(__xludf.DUMMYFUNCTION("""COMPUTED_VALUE"""),"origin-sport")</f>
        <v>origin-sport</v>
      </c>
      <c r="B8622" s="3" t="str">
        <f>IFERROR(__xludf.DUMMYFUNCTION("""COMPUTED_VALUE"""),"ors")</f>
        <v>ors</v>
      </c>
      <c r="C8622" s="3" t="str">
        <f>IFERROR(__xludf.DUMMYFUNCTION("""COMPUTED_VALUE"""),"Origin Sport")</f>
        <v>Origin Sport</v>
      </c>
    </row>
    <row r="8623">
      <c r="A8623" s="3" t="str">
        <f>IFERROR(__xludf.DUMMYFUNCTION("""COMPUTED_VALUE"""),"origintrail")</f>
        <v>origintrail</v>
      </c>
      <c r="B8623" s="3" t="str">
        <f>IFERROR(__xludf.DUMMYFUNCTION("""COMPUTED_VALUE"""),"trac")</f>
        <v>trac</v>
      </c>
      <c r="C8623" s="3" t="str">
        <f>IFERROR(__xludf.DUMMYFUNCTION("""COMPUTED_VALUE"""),"OriginTrail")</f>
        <v>OriginTrail</v>
      </c>
    </row>
    <row r="8624">
      <c r="A8624" s="3" t="str">
        <f>IFERROR(__xludf.DUMMYFUNCTION("""COMPUTED_VALUE"""),"origo")</f>
        <v>origo</v>
      </c>
      <c r="B8624" s="3" t="str">
        <f>IFERROR(__xludf.DUMMYFUNCTION("""COMPUTED_VALUE"""),"ogo")</f>
        <v>ogo</v>
      </c>
      <c r="C8624" s="3" t="str">
        <f>IFERROR(__xludf.DUMMYFUNCTION("""COMPUTED_VALUE"""),"Origo")</f>
        <v>Origo</v>
      </c>
    </row>
    <row r="8625">
      <c r="A8625" s="3" t="str">
        <f>IFERROR(__xludf.DUMMYFUNCTION("""COMPUTED_VALUE"""),"origyn-foundation")</f>
        <v>origyn-foundation</v>
      </c>
      <c r="B8625" s="3" t="str">
        <f>IFERROR(__xludf.DUMMYFUNCTION("""COMPUTED_VALUE"""),"ogy")</f>
        <v>ogy</v>
      </c>
      <c r="C8625" s="3" t="str">
        <f>IFERROR(__xludf.DUMMYFUNCTION("""COMPUTED_VALUE"""),"ORIGYN Foundation")</f>
        <v>ORIGYN Foundation</v>
      </c>
    </row>
    <row r="8626">
      <c r="A8626" s="3" t="str">
        <f>IFERROR(__xludf.DUMMYFUNCTION("""COMPUTED_VALUE"""),"orion-cash")</f>
        <v>orion-cash</v>
      </c>
      <c r="B8626" s="3" t="str">
        <f>IFERROR(__xludf.DUMMYFUNCTION("""COMPUTED_VALUE"""),"orc")</f>
        <v>orc</v>
      </c>
      <c r="C8626" s="3" t="str">
        <f>IFERROR(__xludf.DUMMYFUNCTION("""COMPUTED_VALUE"""),"Orion Cash")</f>
        <v>Orion Cash</v>
      </c>
    </row>
    <row r="8627">
      <c r="A8627" s="3" t="str">
        <f>IFERROR(__xludf.DUMMYFUNCTION("""COMPUTED_VALUE"""),"orion-money")</f>
        <v>orion-money</v>
      </c>
      <c r="B8627" s="3" t="str">
        <f>IFERROR(__xludf.DUMMYFUNCTION("""COMPUTED_VALUE"""),"orion")</f>
        <v>orion</v>
      </c>
      <c r="C8627" s="3" t="str">
        <f>IFERROR(__xludf.DUMMYFUNCTION("""COMPUTED_VALUE"""),"Orion Money")</f>
        <v>Orion Money</v>
      </c>
    </row>
    <row r="8628">
      <c r="A8628" s="3" t="str">
        <f>IFERROR(__xludf.DUMMYFUNCTION("""COMPUTED_VALUE"""),"orion-protocol")</f>
        <v>orion-protocol</v>
      </c>
      <c r="B8628" s="3" t="str">
        <f>IFERROR(__xludf.DUMMYFUNCTION("""COMPUTED_VALUE"""),"orn")</f>
        <v>orn</v>
      </c>
      <c r="C8628" s="3" t="str">
        <f>IFERROR(__xludf.DUMMYFUNCTION("""COMPUTED_VALUE"""),"Orion Protocol")</f>
        <v>Orion Protocol</v>
      </c>
    </row>
    <row r="8629">
      <c r="A8629" s="3" t="str">
        <f>IFERROR(__xludf.DUMMYFUNCTION("""COMPUTED_VALUE"""),"orkan")</f>
        <v>orkan</v>
      </c>
      <c r="B8629" s="3" t="str">
        <f>IFERROR(__xludf.DUMMYFUNCTION("""COMPUTED_VALUE"""),"ork")</f>
        <v>ork</v>
      </c>
      <c r="C8629" s="3" t="str">
        <f>IFERROR(__xludf.DUMMYFUNCTION("""COMPUTED_VALUE"""),"Orkan")</f>
        <v>Orkan</v>
      </c>
    </row>
    <row r="8630">
      <c r="A8630" s="3" t="str">
        <f>IFERROR(__xludf.DUMMYFUNCTION("""COMPUTED_VALUE"""),"orlando-chain")</f>
        <v>orlando-chain</v>
      </c>
      <c r="B8630" s="3" t="str">
        <f>IFERROR(__xludf.DUMMYFUNCTION("""COMPUTED_VALUE"""),"orl")</f>
        <v>orl</v>
      </c>
      <c r="C8630" s="3" t="str">
        <f>IFERROR(__xludf.DUMMYFUNCTION("""COMPUTED_VALUE"""),"Orlando Chain")</f>
        <v>Orlando Chain</v>
      </c>
    </row>
    <row r="8631">
      <c r="A8631" s="3" t="str">
        <f>IFERROR(__xludf.DUMMYFUNCTION("""COMPUTED_VALUE"""),"orlycoin")</f>
        <v>orlycoin</v>
      </c>
      <c r="B8631" s="3" t="str">
        <f>IFERROR(__xludf.DUMMYFUNCTION("""COMPUTED_VALUE"""),"orly")</f>
        <v>orly</v>
      </c>
      <c r="C8631" s="3" t="str">
        <f>IFERROR(__xludf.DUMMYFUNCTION("""COMPUTED_VALUE"""),"Orlycoin")</f>
        <v>Orlycoin</v>
      </c>
    </row>
    <row r="8632">
      <c r="A8632" s="3" t="str">
        <f>IFERROR(__xludf.DUMMYFUNCTION("""COMPUTED_VALUE"""),"ormeus-cash")</f>
        <v>ormeus-cash</v>
      </c>
      <c r="B8632" s="3" t="str">
        <f>IFERROR(__xludf.DUMMYFUNCTION("""COMPUTED_VALUE"""),"omc")</f>
        <v>omc</v>
      </c>
      <c r="C8632" s="3" t="str">
        <f>IFERROR(__xludf.DUMMYFUNCTION("""COMPUTED_VALUE"""),"Ormeus Cash")</f>
        <v>Ormeus Cash</v>
      </c>
    </row>
    <row r="8633">
      <c r="A8633" s="3" t="str">
        <f>IFERROR(__xludf.DUMMYFUNCTION("""COMPUTED_VALUE"""),"ormeuscoin")</f>
        <v>ormeuscoin</v>
      </c>
      <c r="B8633" s="3" t="str">
        <f>IFERROR(__xludf.DUMMYFUNCTION("""COMPUTED_VALUE"""),"orme")</f>
        <v>orme</v>
      </c>
      <c r="C8633" s="3" t="str">
        <f>IFERROR(__xludf.DUMMYFUNCTION("""COMPUTED_VALUE"""),"Ormeus Coin")</f>
        <v>Ormeus Coin</v>
      </c>
    </row>
    <row r="8634">
      <c r="A8634" s="3" t="str">
        <f>IFERROR(__xludf.DUMMYFUNCTION("""COMPUTED_VALUE"""),"ormeus-ecosystem")</f>
        <v>ormeus-ecosystem</v>
      </c>
      <c r="B8634" s="3" t="str">
        <f>IFERROR(__xludf.DUMMYFUNCTION("""COMPUTED_VALUE"""),"eco")</f>
        <v>eco</v>
      </c>
      <c r="C8634" s="3" t="str">
        <f>IFERROR(__xludf.DUMMYFUNCTION("""COMPUTED_VALUE"""),"Ormeus Ecosystem")</f>
        <v>Ormeus Ecosystem</v>
      </c>
    </row>
    <row r="8635">
      <c r="A8635" s="3" t="str">
        <f>IFERROR(__xludf.DUMMYFUNCTION("""COMPUTED_VALUE"""),"oro")</f>
        <v>oro</v>
      </c>
      <c r="B8635" s="3" t="str">
        <f>IFERROR(__xludf.DUMMYFUNCTION("""COMPUTED_VALUE"""),"oro")</f>
        <v>oro</v>
      </c>
      <c r="C8635" s="3" t="str">
        <f>IFERROR(__xludf.DUMMYFUNCTION("""COMPUTED_VALUE"""),"ORO")</f>
        <v>ORO</v>
      </c>
    </row>
    <row r="8636">
      <c r="A8636" s="3" t="str">
        <f>IFERROR(__xludf.DUMMYFUNCTION("""COMPUTED_VALUE"""),"ort-rune-rune-game")</f>
        <v>ort-rune-rune-game</v>
      </c>
      <c r="B8636" s="3" t="str">
        <f>IFERROR(__xludf.DUMMYFUNCTION("""COMPUTED_VALUE"""),"ort")</f>
        <v>ort</v>
      </c>
      <c r="C8636" s="3" t="str">
        <f>IFERROR(__xludf.DUMMYFUNCTION("""COMPUTED_VALUE"""),"ORT Rune (Rune.Game)")</f>
        <v>ORT Rune (Rune.Game)</v>
      </c>
    </row>
    <row r="8637">
      <c r="A8637" s="3" t="str">
        <f>IFERROR(__xludf.DUMMYFUNCTION("""COMPUTED_VALUE"""),"oryxfi")</f>
        <v>oryxfi</v>
      </c>
      <c r="B8637" s="3" t="str">
        <f>IFERROR(__xludf.DUMMYFUNCTION("""COMPUTED_VALUE"""),"oryx")</f>
        <v>oryx</v>
      </c>
      <c r="C8637" s="3" t="str">
        <f>IFERROR(__xludf.DUMMYFUNCTION("""COMPUTED_VALUE"""),"OryxFi")</f>
        <v>OryxFi</v>
      </c>
    </row>
    <row r="8638">
      <c r="A8638" s="3" t="str">
        <f>IFERROR(__xludf.DUMMYFUNCTION("""COMPUTED_VALUE"""),"osk")</f>
        <v>osk</v>
      </c>
      <c r="B8638" s="3" t="str">
        <f>IFERROR(__xludf.DUMMYFUNCTION("""COMPUTED_VALUE"""),"osk")</f>
        <v>osk</v>
      </c>
      <c r="C8638" s="3" t="str">
        <f>IFERROR(__xludf.DUMMYFUNCTION("""COMPUTED_VALUE"""),"OSK")</f>
        <v>OSK</v>
      </c>
    </row>
    <row r="8639">
      <c r="A8639" s="3" t="str">
        <f>IFERROR(__xludf.DUMMYFUNCTION("""COMPUTED_VALUE"""),"osmiumcoin")</f>
        <v>osmiumcoin</v>
      </c>
      <c r="B8639" s="3" t="str">
        <f>IFERROR(__xludf.DUMMYFUNCTION("""COMPUTED_VALUE"""),"os76")</f>
        <v>os76</v>
      </c>
      <c r="C8639" s="3" t="str">
        <f>IFERROR(__xludf.DUMMYFUNCTION("""COMPUTED_VALUE"""),"OsmiumCoin")</f>
        <v>OsmiumCoin</v>
      </c>
    </row>
    <row r="8640">
      <c r="A8640" s="3" t="str">
        <f>IFERROR(__xludf.DUMMYFUNCTION("""COMPUTED_VALUE"""),"osmosis")</f>
        <v>osmosis</v>
      </c>
      <c r="B8640" s="3" t="str">
        <f>IFERROR(__xludf.DUMMYFUNCTION("""COMPUTED_VALUE"""),"osmo")</f>
        <v>osmo</v>
      </c>
      <c r="C8640" s="3" t="str">
        <f>IFERROR(__xludf.DUMMYFUNCTION("""COMPUTED_VALUE"""),"Osmosis")</f>
        <v>Osmosis</v>
      </c>
    </row>
    <row r="8641">
      <c r="A8641" s="3" t="str">
        <f>IFERROR(__xludf.DUMMYFUNCTION("""COMPUTED_VALUE"""),"otcbtc-token")</f>
        <v>otcbtc-token</v>
      </c>
      <c r="B8641" s="3" t="str">
        <f>IFERROR(__xludf.DUMMYFUNCTION("""COMPUTED_VALUE"""),"otb")</f>
        <v>otb</v>
      </c>
      <c r="C8641" s="3" t="str">
        <f>IFERROR(__xludf.DUMMYFUNCTION("""COMPUTED_VALUE"""),"OTCBTC")</f>
        <v>OTCBTC</v>
      </c>
    </row>
    <row r="8642">
      <c r="A8642" s="3" t="str">
        <f>IFERROR(__xludf.DUMMYFUNCTION("""COMPUTED_VALUE"""),"otherdao")</f>
        <v>otherdao</v>
      </c>
      <c r="B8642" s="3" t="str">
        <f>IFERROR(__xludf.DUMMYFUNCTION("""COMPUTED_VALUE"""),"othr")</f>
        <v>othr</v>
      </c>
      <c r="C8642" s="3" t="str">
        <f>IFERROR(__xludf.DUMMYFUNCTION("""COMPUTED_VALUE"""),"OtherDAO")</f>
        <v>OtherDAO</v>
      </c>
    </row>
    <row r="8643">
      <c r="A8643" s="3" t="str">
        <f>IFERROR(__xludf.DUMMYFUNCTION("""COMPUTED_VALUE"""),"otherlife")</f>
        <v>otherlife</v>
      </c>
      <c r="B8643" s="3" t="str">
        <f>IFERROR(__xludf.DUMMYFUNCTION("""COMPUTED_VALUE"""),"otl")</f>
        <v>otl</v>
      </c>
      <c r="C8643" s="3" t="str">
        <f>IFERROR(__xludf.DUMMYFUNCTION("""COMPUTED_VALUE"""),"OtherLife")</f>
        <v>OtherLife</v>
      </c>
    </row>
    <row r="8644">
      <c r="A8644" s="3" t="str">
        <f>IFERROR(__xludf.DUMMYFUNCTION("""COMPUTED_VALUE"""),"otium-technologies")</f>
        <v>otium-technologies</v>
      </c>
      <c r="B8644" s="3" t="str">
        <f>IFERROR(__xludf.DUMMYFUNCTION("""COMPUTED_VALUE"""),"otium")</f>
        <v>otium</v>
      </c>
      <c r="C8644" s="3" t="str">
        <f>IFERROR(__xludf.DUMMYFUNCTION("""COMPUTED_VALUE"""),"Otium Technologies")</f>
        <v>Otium Technologies</v>
      </c>
    </row>
    <row r="8645">
      <c r="A8645" s="3" t="str">
        <f>IFERROR(__xludf.DUMMYFUNCTION("""COMPUTED_VALUE"""),"otocash")</f>
        <v>otocash</v>
      </c>
      <c r="B8645" s="3" t="str">
        <f>IFERROR(__xludf.DUMMYFUNCTION("""COMPUTED_VALUE"""),"oto")</f>
        <v>oto</v>
      </c>
      <c r="C8645" s="3" t="str">
        <f>IFERROR(__xludf.DUMMYFUNCTION("""COMPUTED_VALUE"""),"OTOCASH")</f>
        <v>OTOCASH</v>
      </c>
    </row>
    <row r="8646">
      <c r="A8646" s="3" t="str">
        <f>IFERROR(__xludf.DUMMYFUNCTION("""COMPUTED_VALUE"""),"oto-protocol")</f>
        <v>oto-protocol</v>
      </c>
      <c r="B8646" s="3" t="str">
        <f>IFERROR(__xludf.DUMMYFUNCTION("""COMPUTED_VALUE"""),"oto")</f>
        <v>oto</v>
      </c>
      <c r="C8646" s="3" t="str">
        <f>IFERROR(__xludf.DUMMYFUNCTION("""COMPUTED_VALUE"""),"OTO Protocol")</f>
        <v>OTO Protocol</v>
      </c>
    </row>
    <row r="8647">
      <c r="A8647" s="3" t="str">
        <f>IFERROR(__xludf.DUMMYFUNCTION("""COMPUTED_VALUE"""),"ot-pendle-eth")</f>
        <v>ot-pendle-eth</v>
      </c>
      <c r="B8647" s="3" t="str">
        <f>IFERROR(__xludf.DUMMYFUNCTION("""COMPUTED_VALUE"""),"ot-pe-29dec2022")</f>
        <v>ot-pe-29dec2022</v>
      </c>
      <c r="C8647" s="3" t="str">
        <f>IFERROR(__xludf.DUMMYFUNCTION("""COMPUTED_VALUE"""),"OT-PENDLE/ETH")</f>
        <v>OT-PENDLE/ETH</v>
      </c>
    </row>
    <row r="8648">
      <c r="A8648" s="3" t="str">
        <f>IFERROR(__xludf.DUMMYFUNCTION("""COMPUTED_VALUE"""),"otterclam")</f>
        <v>otterclam</v>
      </c>
      <c r="B8648" s="3" t="str">
        <f>IFERROR(__xludf.DUMMYFUNCTION("""COMPUTED_VALUE"""),"clam")</f>
        <v>clam</v>
      </c>
      <c r="C8648" s="3" t="str">
        <f>IFERROR(__xludf.DUMMYFUNCTION("""COMPUTED_VALUE"""),"OtterClam")</f>
        <v>OtterClam</v>
      </c>
    </row>
    <row r="8649">
      <c r="A8649" s="3" t="str">
        <f>IFERROR(__xludf.DUMMYFUNCTION("""COMPUTED_VALUE"""),"otter-finance")</f>
        <v>otter-finance</v>
      </c>
      <c r="B8649" s="3" t="str">
        <f>IFERROR(__xludf.DUMMYFUNCTION("""COMPUTED_VALUE"""),"otr")</f>
        <v>otr</v>
      </c>
      <c r="C8649" s="3" t="str">
        <f>IFERROR(__xludf.DUMMYFUNCTION("""COMPUTED_VALUE"""),"Otter Finance")</f>
        <v>Otter Finance</v>
      </c>
    </row>
    <row r="8650">
      <c r="A8650" s="3" t="str">
        <f>IFERROR(__xludf.DUMMYFUNCTION("""COMPUTED_VALUE"""),"ourglass")</f>
        <v>ourglass</v>
      </c>
      <c r="B8650" s="3" t="str">
        <f>IFERROR(__xludf.DUMMYFUNCTION("""COMPUTED_VALUE"""),"glass")</f>
        <v>glass</v>
      </c>
      <c r="C8650" s="3" t="str">
        <f>IFERROR(__xludf.DUMMYFUNCTION("""COMPUTED_VALUE"""),"OurGlass")</f>
        <v>OurGlass</v>
      </c>
    </row>
    <row r="8651">
      <c r="A8651" s="3" t="str">
        <f>IFERROR(__xludf.DUMMYFUNCTION("""COMPUTED_VALUE"""),"ouro-governance-share")</f>
        <v>ouro-governance-share</v>
      </c>
      <c r="B8651" s="3" t="str">
        <f>IFERROR(__xludf.DUMMYFUNCTION("""COMPUTED_VALUE"""),"ogs")</f>
        <v>ogs</v>
      </c>
      <c r="C8651" s="3" t="str">
        <f>IFERROR(__xludf.DUMMYFUNCTION("""COMPUTED_VALUE"""),"Ouro Governance Share")</f>
        <v>Ouro Governance Share</v>
      </c>
    </row>
    <row r="8652">
      <c r="A8652" s="3" t="str">
        <f>IFERROR(__xludf.DUMMYFUNCTION("""COMPUTED_VALUE"""),"ouro-stablecoin")</f>
        <v>ouro-stablecoin</v>
      </c>
      <c r="B8652" s="3" t="str">
        <f>IFERROR(__xludf.DUMMYFUNCTION("""COMPUTED_VALUE"""),"ouro")</f>
        <v>ouro</v>
      </c>
      <c r="C8652" s="3" t="str">
        <f>IFERROR(__xludf.DUMMYFUNCTION("""COMPUTED_VALUE"""),"Ouro Stablecoin")</f>
        <v>Ouro Stablecoin</v>
      </c>
    </row>
    <row r="8653">
      <c r="A8653" s="3" t="str">
        <f>IFERROR(__xludf.DUMMYFUNCTION("""COMPUTED_VALUE"""),"ouse")</f>
        <v>ouse</v>
      </c>
      <c r="B8653" s="3" t="str">
        <f>IFERROR(__xludf.DUMMYFUNCTION("""COMPUTED_VALUE"""),"ouse")</f>
        <v>ouse</v>
      </c>
      <c r="C8653" s="3" t="str">
        <f>IFERROR(__xludf.DUMMYFUNCTION("""COMPUTED_VALUE"""),"Ouse")</f>
        <v>Ouse</v>
      </c>
    </row>
    <row r="8654">
      <c r="A8654" s="3" t="str">
        <f>IFERROR(__xludf.DUMMYFUNCTION("""COMPUTED_VALUE"""),"outer-ring")</f>
        <v>outer-ring</v>
      </c>
      <c r="B8654" s="3" t="str">
        <f>IFERROR(__xludf.DUMMYFUNCTION("""COMPUTED_VALUE"""),"gq")</f>
        <v>gq</v>
      </c>
      <c r="C8654" s="3" t="str">
        <f>IFERROR(__xludf.DUMMYFUNCTION("""COMPUTED_VALUE"""),"Outer Ring MMO")</f>
        <v>Outer Ring MMO</v>
      </c>
    </row>
    <row r="8655">
      <c r="A8655" s="3" t="str">
        <f>IFERROR(__xludf.DUMMYFUNCTION("""COMPUTED_VALUE"""),"outpost")</f>
        <v>outpost</v>
      </c>
      <c r="B8655" s="3" t="str">
        <f>IFERROR(__xludf.DUMMYFUNCTION("""COMPUTED_VALUE"""),"out")</f>
        <v>out</v>
      </c>
      <c r="C8655" s="3" t="str">
        <f>IFERROR(__xludf.DUMMYFUNCTION("""COMPUTED_VALUE"""),"OutPost")</f>
        <v>OutPost</v>
      </c>
    </row>
    <row r="8656">
      <c r="A8656" s="3" t="str">
        <f>IFERROR(__xludf.DUMMYFUNCTION("""COMPUTED_VALUE"""),"outrace")</f>
        <v>outrace</v>
      </c>
      <c r="B8656" s="3" t="str">
        <f>IFERROR(__xludf.DUMMYFUNCTION("""COMPUTED_VALUE"""),"ore")</f>
        <v>ore</v>
      </c>
      <c r="C8656" s="3" t="str">
        <f>IFERROR(__xludf.DUMMYFUNCTION("""COMPUTED_VALUE"""),"Outrace")</f>
        <v>Outrace</v>
      </c>
    </row>
    <row r="8657">
      <c r="A8657" s="3" t="str">
        <f>IFERROR(__xludf.DUMMYFUNCTION("""COMPUTED_VALUE"""),"ovato")</f>
        <v>ovato</v>
      </c>
      <c r="B8657" s="3" t="str">
        <f>IFERROR(__xludf.DUMMYFUNCTION("""COMPUTED_VALUE"""),"ovo")</f>
        <v>ovo</v>
      </c>
      <c r="C8657" s="3" t="str">
        <f>IFERROR(__xludf.DUMMYFUNCTION("""COMPUTED_VALUE"""),"Ovato")</f>
        <v>Ovato</v>
      </c>
    </row>
    <row r="8658">
      <c r="A8658" s="3" t="str">
        <f>IFERROR(__xludf.DUMMYFUNCTION("""COMPUTED_VALUE"""),"overline-emblem")</f>
        <v>overline-emblem</v>
      </c>
      <c r="B8658" s="3" t="str">
        <f>IFERROR(__xludf.DUMMYFUNCTION("""COMPUTED_VALUE"""),"emb")</f>
        <v>emb</v>
      </c>
      <c r="C8658" s="3" t="str">
        <f>IFERROR(__xludf.DUMMYFUNCTION("""COMPUTED_VALUE"""),"Overline Emblem")</f>
        <v>Overline Emblem</v>
      </c>
    </row>
    <row r="8659">
      <c r="A8659" s="3" t="str">
        <f>IFERROR(__xludf.DUMMYFUNCTION("""COMPUTED_VALUE"""),"overload-game")</f>
        <v>overload-game</v>
      </c>
      <c r="B8659" s="3" t="str">
        <f>IFERROR(__xludf.DUMMYFUNCTION("""COMPUTED_VALUE"""),"ovl")</f>
        <v>ovl</v>
      </c>
      <c r="C8659" s="3" t="str">
        <f>IFERROR(__xludf.DUMMYFUNCTION("""COMPUTED_VALUE"""),"Overlord Game")</f>
        <v>Overlord Game</v>
      </c>
    </row>
    <row r="8660">
      <c r="A8660" s="3" t="str">
        <f>IFERROR(__xludf.DUMMYFUNCTION("""COMPUTED_VALUE"""),"overlord")</f>
        <v>overlord</v>
      </c>
      <c r="B8660" s="3" t="str">
        <f>IFERROR(__xludf.DUMMYFUNCTION("""COMPUTED_VALUE"""),"lord")</f>
        <v>lord</v>
      </c>
      <c r="C8660" s="3" t="str">
        <f>IFERROR(__xludf.DUMMYFUNCTION("""COMPUTED_VALUE"""),"Overlord")</f>
        <v>Overlord</v>
      </c>
    </row>
    <row r="8661">
      <c r="A8661" s="3" t="str">
        <f>IFERROR(__xludf.DUMMYFUNCTION("""COMPUTED_VALUE"""),"ovr")</f>
        <v>ovr</v>
      </c>
      <c r="B8661" s="3" t="str">
        <f>IFERROR(__xludf.DUMMYFUNCTION("""COMPUTED_VALUE"""),"ovr")</f>
        <v>ovr</v>
      </c>
      <c r="C8661" s="3" t="str">
        <f>IFERROR(__xludf.DUMMYFUNCTION("""COMPUTED_VALUE"""),"Ovr")</f>
        <v>Ovr</v>
      </c>
    </row>
    <row r="8662">
      <c r="A8662" s="3" t="str">
        <f>IFERROR(__xludf.DUMMYFUNCTION("""COMPUTED_VALUE"""),"owgaming")</f>
        <v>owgaming</v>
      </c>
      <c r="B8662" s="3" t="str">
        <f>IFERROR(__xludf.DUMMYFUNCTION("""COMPUTED_VALUE"""),"ow")</f>
        <v>ow</v>
      </c>
      <c r="C8662" s="3" t="str">
        <f>IFERROR(__xludf.DUMMYFUNCTION("""COMPUTED_VALUE"""),"OWGaming")</f>
        <v>OWGaming</v>
      </c>
    </row>
    <row r="8663">
      <c r="A8663" s="3" t="str">
        <f>IFERROR(__xludf.DUMMYFUNCTION("""COMPUTED_VALUE"""),"owldao")</f>
        <v>owldao</v>
      </c>
      <c r="B8663" s="3" t="str">
        <f>IFERROR(__xludf.DUMMYFUNCTION("""COMPUTED_VALUE"""),"owl")</f>
        <v>owl</v>
      </c>
      <c r="C8663" s="3" t="str">
        <f>IFERROR(__xludf.DUMMYFUNCTION("""COMPUTED_VALUE"""),"OwlDAO")</f>
        <v>OwlDAO</v>
      </c>
    </row>
    <row r="8664">
      <c r="A8664" s="3" t="str">
        <f>IFERROR(__xludf.DUMMYFUNCTION("""COMPUTED_VALUE"""),"owloper")</f>
        <v>owloper</v>
      </c>
      <c r="B8664" s="3" t="str">
        <f>IFERROR(__xludf.DUMMYFUNCTION("""COMPUTED_VALUE"""),"owl")</f>
        <v>owl</v>
      </c>
      <c r="C8664" s="3" t="str">
        <f>IFERROR(__xludf.DUMMYFUNCTION("""COMPUTED_VALUE"""),"Owloper Owl")</f>
        <v>Owloper Owl</v>
      </c>
    </row>
    <row r="8665">
      <c r="A8665" s="3" t="str">
        <f>IFERROR(__xludf.DUMMYFUNCTION("""COMPUTED_VALUE"""),"owndata")</f>
        <v>owndata</v>
      </c>
      <c r="B8665" s="3" t="str">
        <f>IFERROR(__xludf.DUMMYFUNCTION("""COMPUTED_VALUE"""),"own")</f>
        <v>own</v>
      </c>
      <c r="C8665" s="3" t="str">
        <f>IFERROR(__xludf.DUMMYFUNCTION("""COMPUTED_VALUE"""),"OWNDATA")</f>
        <v>OWNDATA</v>
      </c>
    </row>
    <row r="8666">
      <c r="A8666" s="3" t="str">
        <f>IFERROR(__xludf.DUMMYFUNCTION("""COMPUTED_VALUE"""),"ownix")</f>
        <v>ownix</v>
      </c>
      <c r="B8666" s="3" t="str">
        <f>IFERROR(__xludf.DUMMYFUNCTION("""COMPUTED_VALUE"""),"onx")</f>
        <v>onx</v>
      </c>
      <c r="C8666" s="3" t="str">
        <f>IFERROR(__xludf.DUMMYFUNCTION("""COMPUTED_VALUE"""),"Ownix")</f>
        <v>Ownix</v>
      </c>
    </row>
    <row r="8667">
      <c r="A8667" s="3" t="str">
        <f>IFERROR(__xludf.DUMMYFUNCTION("""COMPUTED_VALUE"""),"ownly")</f>
        <v>ownly</v>
      </c>
      <c r="B8667" s="3" t="str">
        <f>IFERROR(__xludf.DUMMYFUNCTION("""COMPUTED_VALUE"""),"own")</f>
        <v>own</v>
      </c>
      <c r="C8667" s="3" t="str">
        <f>IFERROR(__xludf.DUMMYFUNCTION("""COMPUTED_VALUE"""),"Ownly")</f>
        <v>Ownly</v>
      </c>
    </row>
    <row r="8668">
      <c r="A8668" s="3" t="str">
        <f>IFERROR(__xludf.DUMMYFUNCTION("""COMPUTED_VALUE"""),"own-token")</f>
        <v>own-token</v>
      </c>
      <c r="B8668" s="3" t="str">
        <f>IFERROR(__xludf.DUMMYFUNCTION("""COMPUTED_VALUE"""),"own")</f>
        <v>own</v>
      </c>
      <c r="C8668" s="3" t="str">
        <f>IFERROR(__xludf.DUMMYFUNCTION("""COMPUTED_VALUE"""),"OWN Token")</f>
        <v>OWN Token</v>
      </c>
    </row>
    <row r="8669">
      <c r="A8669" s="3" t="str">
        <f>IFERROR(__xludf.DUMMYFUNCTION("""COMPUTED_VALUE"""),"oxbitcoin")</f>
        <v>oxbitcoin</v>
      </c>
      <c r="B8669" s="3" t="str">
        <f>IFERROR(__xludf.DUMMYFUNCTION("""COMPUTED_VALUE"""),"0xbtc")</f>
        <v>0xbtc</v>
      </c>
      <c r="C8669" s="3" t="str">
        <f>IFERROR(__xludf.DUMMYFUNCTION("""COMPUTED_VALUE"""),"0xBitcoin")</f>
        <v>0xBitcoin</v>
      </c>
    </row>
    <row r="8670">
      <c r="A8670" s="3" t="str">
        <f>IFERROR(__xludf.DUMMYFUNCTION("""COMPUTED_VALUE"""),"oxbull-solana")</f>
        <v>oxbull-solana</v>
      </c>
      <c r="B8670" s="3" t="str">
        <f>IFERROR(__xludf.DUMMYFUNCTION("""COMPUTED_VALUE"""),"oxs")</f>
        <v>oxs</v>
      </c>
      <c r="C8670" s="3" t="str">
        <f>IFERROR(__xludf.DUMMYFUNCTION("""COMPUTED_VALUE"""),"Oxbull Solana")</f>
        <v>Oxbull Solana</v>
      </c>
    </row>
    <row r="8671">
      <c r="A8671" s="3" t="str">
        <f>IFERROR(__xludf.DUMMYFUNCTION("""COMPUTED_VALUE"""),"oxbull-tech")</f>
        <v>oxbull-tech</v>
      </c>
      <c r="B8671" s="3" t="str">
        <f>IFERROR(__xludf.DUMMYFUNCTION("""COMPUTED_VALUE"""),"oxb")</f>
        <v>oxb</v>
      </c>
      <c r="C8671" s="3" t="str">
        <f>IFERROR(__xludf.DUMMYFUNCTION("""COMPUTED_VALUE"""),"Oxbull Tech [OLD]")</f>
        <v>Oxbull Tech [OLD]</v>
      </c>
    </row>
    <row r="8672">
      <c r="A8672" s="3" t="str">
        <f>IFERROR(__xludf.DUMMYFUNCTION("""COMPUTED_VALUE"""),"oxbull-tech-2")</f>
        <v>oxbull-tech-2</v>
      </c>
      <c r="B8672" s="3" t="str">
        <f>IFERROR(__xludf.DUMMYFUNCTION("""COMPUTED_VALUE"""),"oxb")</f>
        <v>oxb</v>
      </c>
      <c r="C8672" s="3" t="str">
        <f>IFERROR(__xludf.DUMMYFUNCTION("""COMPUTED_VALUE"""),"Oxbull Tech")</f>
        <v>Oxbull Tech</v>
      </c>
    </row>
    <row r="8673">
      <c r="A8673" s="3" t="str">
        <f>IFERROR(__xludf.DUMMYFUNCTION("""COMPUTED_VALUE"""),"oxfinance")</f>
        <v>oxfinance</v>
      </c>
      <c r="B8673" s="3" t="str">
        <f>IFERROR(__xludf.DUMMYFUNCTION("""COMPUTED_VALUE"""),"oxfi")</f>
        <v>oxfi</v>
      </c>
      <c r="C8673" s="3" t="str">
        <f>IFERROR(__xludf.DUMMYFUNCTION("""COMPUTED_VALUE"""),"Oxfinance")</f>
        <v>Oxfinance</v>
      </c>
    </row>
    <row r="8674">
      <c r="A8674" s="3" t="str">
        <f>IFERROR(__xludf.DUMMYFUNCTION("""COMPUTED_VALUE"""),"oxo-farm")</f>
        <v>oxo-farm</v>
      </c>
      <c r="B8674" s="3" t="str">
        <f>IFERROR(__xludf.DUMMYFUNCTION("""COMPUTED_VALUE"""),"oxo")</f>
        <v>oxo</v>
      </c>
      <c r="C8674" s="3" t="str">
        <f>IFERROR(__xludf.DUMMYFUNCTION("""COMPUTED_VALUE"""),"OXO.Farm")</f>
        <v>OXO.Farm</v>
      </c>
    </row>
    <row r="8675">
      <c r="A8675" s="3" t="str">
        <f>IFERROR(__xludf.DUMMYFUNCTION("""COMPUTED_VALUE"""),"oxsolid")</f>
        <v>oxsolid</v>
      </c>
      <c r="B8675" s="3" t="str">
        <f>IFERROR(__xludf.DUMMYFUNCTION("""COMPUTED_VALUE"""),"oxsolid")</f>
        <v>oxsolid</v>
      </c>
      <c r="C8675" s="3" t="str">
        <f>IFERROR(__xludf.DUMMYFUNCTION("""COMPUTED_VALUE"""),"oxSOLID")</f>
        <v>oxSOLID</v>
      </c>
    </row>
    <row r="8676">
      <c r="A8676" s="3" t="str">
        <f>IFERROR(__xludf.DUMMYFUNCTION("""COMPUTED_VALUE"""),"oxygen")</f>
        <v>oxygen</v>
      </c>
      <c r="B8676" s="3" t="str">
        <f>IFERROR(__xludf.DUMMYFUNCTION("""COMPUTED_VALUE"""),"oxy")</f>
        <v>oxy</v>
      </c>
      <c r="C8676" s="3" t="str">
        <f>IFERROR(__xludf.DUMMYFUNCTION("""COMPUTED_VALUE"""),"Oxygen")</f>
        <v>Oxygen</v>
      </c>
    </row>
    <row r="8677">
      <c r="A8677" s="3" t="str">
        <f>IFERROR(__xludf.DUMMYFUNCTION("""COMPUTED_VALUE"""),"oxymetatoken")</f>
        <v>oxymetatoken</v>
      </c>
      <c r="B8677" s="3" t="str">
        <f>IFERROR(__xludf.DUMMYFUNCTION("""COMPUTED_VALUE"""),"omt")</f>
        <v>omt</v>
      </c>
      <c r="C8677" s="3" t="str">
        <f>IFERROR(__xludf.DUMMYFUNCTION("""COMPUTED_VALUE"""),"OxyMetaToken")</f>
        <v>OxyMetaToken</v>
      </c>
    </row>
    <row r="8678">
      <c r="A8678" s="3" t="str">
        <f>IFERROR(__xludf.DUMMYFUNCTION("""COMPUTED_VALUE"""),"oxyo2")</f>
        <v>oxyo2</v>
      </c>
      <c r="B8678" s="3" t="str">
        <f>IFERROR(__xludf.DUMMYFUNCTION("""COMPUTED_VALUE"""),"ox2")</f>
        <v>ox2</v>
      </c>
      <c r="C8678" s="3" t="str">
        <f>IFERROR(__xludf.DUMMYFUNCTION("""COMPUTED_VALUE"""),"OxyO2")</f>
        <v>OxyO2</v>
      </c>
    </row>
    <row r="8679">
      <c r="A8679" s="3" t="str">
        <f>IFERROR(__xludf.DUMMYFUNCTION("""COMPUTED_VALUE"""),"ozagold")</f>
        <v>ozagold</v>
      </c>
      <c r="B8679" s="3" t="str">
        <f>IFERROR(__xludf.DUMMYFUNCTION("""COMPUTED_VALUE"""),"ozg")</f>
        <v>ozg</v>
      </c>
      <c r="C8679" s="3" t="str">
        <f>IFERROR(__xludf.DUMMYFUNCTION("""COMPUTED_VALUE"""),"Ozagold")</f>
        <v>Ozagold</v>
      </c>
    </row>
    <row r="8680">
      <c r="A8680" s="3" t="str">
        <f>IFERROR(__xludf.DUMMYFUNCTION("""COMPUTED_VALUE"""),"p2p")</f>
        <v>p2p</v>
      </c>
      <c r="B8680" s="3" t="str">
        <f>IFERROR(__xludf.DUMMYFUNCTION("""COMPUTED_VALUE"""),"p2p")</f>
        <v>p2p</v>
      </c>
      <c r="C8680" s="3" t="str">
        <f>IFERROR(__xludf.DUMMYFUNCTION("""COMPUTED_VALUE"""),"P2P")</f>
        <v>P2P</v>
      </c>
    </row>
    <row r="8681">
      <c r="A8681" s="3" t="str">
        <f>IFERROR(__xludf.DUMMYFUNCTION("""COMPUTED_VALUE"""),"p2p-solutions-foundation")</f>
        <v>p2p-solutions-foundation</v>
      </c>
      <c r="B8681" s="3" t="str">
        <f>IFERROR(__xludf.DUMMYFUNCTION("""COMPUTED_VALUE"""),"p2ps")</f>
        <v>p2ps</v>
      </c>
      <c r="C8681" s="3" t="str">
        <f>IFERROR(__xludf.DUMMYFUNCTION("""COMPUTED_VALUE"""),"P2P solutions foundation")</f>
        <v>P2P solutions foundation</v>
      </c>
    </row>
    <row r="8682">
      <c r="A8682" s="3" t="str">
        <f>IFERROR(__xludf.DUMMYFUNCTION("""COMPUTED_VALUE"""),"p2p-taxi")</f>
        <v>p2p-taxi</v>
      </c>
      <c r="B8682" s="3" t="str">
        <f>IFERROR(__xludf.DUMMYFUNCTION("""COMPUTED_VALUE"""),"p2ptxt")</f>
        <v>p2ptxt</v>
      </c>
      <c r="C8682" s="3" t="str">
        <f>IFERROR(__xludf.DUMMYFUNCTION("""COMPUTED_VALUE"""),"p2p taxi")</f>
        <v>p2p taxi</v>
      </c>
    </row>
    <row r="8683">
      <c r="A8683" s="3" t="str">
        <f>IFERROR(__xludf.DUMMYFUNCTION("""COMPUTED_VALUE"""),"paccoin")</f>
        <v>paccoin</v>
      </c>
      <c r="B8683" s="3" t="str">
        <f>IFERROR(__xludf.DUMMYFUNCTION("""COMPUTED_VALUE"""),"pac")</f>
        <v>pac</v>
      </c>
      <c r="C8683" s="3" t="str">
        <f>IFERROR(__xludf.DUMMYFUNCTION("""COMPUTED_VALUE"""),"PAC Protocol")</f>
        <v>PAC Protocol</v>
      </c>
    </row>
    <row r="8684">
      <c r="A8684" s="3" t="str">
        <f>IFERROR(__xludf.DUMMYFUNCTION("""COMPUTED_VALUE"""),"pacific")</f>
        <v>pacific</v>
      </c>
      <c r="B8684" s="3" t="str">
        <f>IFERROR(__xludf.DUMMYFUNCTION("""COMPUTED_VALUE"""),"paf")</f>
        <v>paf</v>
      </c>
      <c r="C8684" s="3" t="str">
        <f>IFERROR(__xludf.DUMMYFUNCTION("""COMPUTED_VALUE"""),"Pacific")</f>
        <v>Pacific</v>
      </c>
    </row>
    <row r="8685">
      <c r="A8685" s="3" t="str">
        <f>IFERROR(__xludf.DUMMYFUNCTION("""COMPUTED_VALUE"""),"pacific-defi")</f>
        <v>pacific-defi</v>
      </c>
      <c r="B8685" s="3" t="str">
        <f>IFERROR(__xludf.DUMMYFUNCTION("""COMPUTED_VALUE"""),"pacific")</f>
        <v>pacific</v>
      </c>
      <c r="C8685" s="3" t="str">
        <f>IFERROR(__xludf.DUMMYFUNCTION("""COMPUTED_VALUE"""),"Pacific DeFi")</f>
        <v>Pacific DeFi</v>
      </c>
    </row>
    <row r="8686">
      <c r="A8686" s="3" t="str">
        <f>IFERROR(__xludf.DUMMYFUNCTION("""COMPUTED_VALUE"""),"packageportal")</f>
        <v>packageportal</v>
      </c>
      <c r="B8686" s="3" t="str">
        <f>IFERROR(__xludf.DUMMYFUNCTION("""COMPUTED_VALUE"""),"port")</f>
        <v>port</v>
      </c>
      <c r="C8686" s="3" t="str">
        <f>IFERROR(__xludf.DUMMYFUNCTION("""COMPUTED_VALUE"""),"PackagePortal")</f>
        <v>PackagePortal</v>
      </c>
    </row>
    <row r="8687">
      <c r="A8687" s="3" t="str">
        <f>IFERROR(__xludf.DUMMYFUNCTION("""COMPUTED_VALUE"""),"packetchain")</f>
        <v>packetchain</v>
      </c>
      <c r="B8687" s="3" t="str">
        <f>IFERROR(__xludf.DUMMYFUNCTION("""COMPUTED_VALUE"""),"ptcl")</f>
        <v>ptcl</v>
      </c>
      <c r="C8687" s="3" t="str">
        <f>IFERROR(__xludf.DUMMYFUNCTION("""COMPUTED_VALUE"""),"Packetchain")</f>
        <v>Packetchain</v>
      </c>
    </row>
    <row r="8688">
      <c r="A8688" s="3" t="str">
        <f>IFERROR(__xludf.DUMMYFUNCTION("""COMPUTED_VALUE"""),"packswap")</f>
        <v>packswap</v>
      </c>
      <c r="B8688" s="3" t="str">
        <f>IFERROR(__xludf.DUMMYFUNCTION("""COMPUTED_VALUE"""),"pact")</f>
        <v>pact</v>
      </c>
      <c r="C8688" s="3" t="str">
        <f>IFERROR(__xludf.DUMMYFUNCTION("""COMPUTED_VALUE"""),"PactSwap")</f>
        <v>PactSwap</v>
      </c>
    </row>
    <row r="8689">
      <c r="A8689" s="3" t="str">
        <f>IFERROR(__xludf.DUMMYFUNCTION("""COMPUTED_VALUE"""),"pacoca")</f>
        <v>pacoca</v>
      </c>
      <c r="B8689" s="3" t="str">
        <f>IFERROR(__xludf.DUMMYFUNCTION("""COMPUTED_VALUE"""),"pacoca")</f>
        <v>pacoca</v>
      </c>
      <c r="C8689" s="3" t="str">
        <f>IFERROR(__xludf.DUMMYFUNCTION("""COMPUTED_VALUE"""),"Pacoca")</f>
        <v>Pacoca</v>
      </c>
    </row>
    <row r="8690">
      <c r="A8690" s="3" t="str">
        <f>IFERROR(__xludf.DUMMYFUNCTION("""COMPUTED_VALUE"""),"pagan-gods-fur-token")</f>
        <v>pagan-gods-fur-token</v>
      </c>
      <c r="B8690" s="3" t="str">
        <f>IFERROR(__xludf.DUMMYFUNCTION("""COMPUTED_VALUE"""),"fur")</f>
        <v>fur</v>
      </c>
      <c r="C8690" s="3" t="str">
        <f>IFERROR(__xludf.DUMMYFUNCTION("""COMPUTED_VALUE"""),"Pagan Gods Fur")</f>
        <v>Pagan Gods Fur</v>
      </c>
    </row>
    <row r="8691">
      <c r="A8691" s="3" t="str">
        <f>IFERROR(__xludf.DUMMYFUNCTION("""COMPUTED_VALUE"""),"page")</f>
        <v>page</v>
      </c>
      <c r="B8691" s="3" t="str">
        <f>IFERROR(__xludf.DUMMYFUNCTION("""COMPUTED_VALUE"""),"page")</f>
        <v>page</v>
      </c>
      <c r="C8691" s="3" t="str">
        <f>IFERROR(__xludf.DUMMYFUNCTION("""COMPUTED_VALUE"""),"Page")</f>
        <v>Page</v>
      </c>
    </row>
    <row r="8692">
      <c r="A8692" s="3" t="str">
        <f>IFERROR(__xludf.DUMMYFUNCTION("""COMPUTED_VALUE"""),"page-network")</f>
        <v>page-network</v>
      </c>
      <c r="B8692" s="3" t="str">
        <f>IFERROR(__xludf.DUMMYFUNCTION("""COMPUTED_VALUE"""),"pgx")</f>
        <v>pgx</v>
      </c>
      <c r="C8692" s="3" t="str">
        <f>IFERROR(__xludf.DUMMYFUNCTION("""COMPUTED_VALUE"""),"Page Network")</f>
        <v>Page Network</v>
      </c>
    </row>
    <row r="8693">
      <c r="A8693" s="3" t="str">
        <f>IFERROR(__xludf.DUMMYFUNCTION("""COMPUTED_VALUE"""),"paid-network")</f>
        <v>paid-network</v>
      </c>
      <c r="B8693" s="3" t="str">
        <f>IFERROR(__xludf.DUMMYFUNCTION("""COMPUTED_VALUE"""),"paid")</f>
        <v>paid</v>
      </c>
      <c r="C8693" s="3" t="str">
        <f>IFERROR(__xludf.DUMMYFUNCTION("""COMPUTED_VALUE"""),"PAID Network")</f>
        <v>PAID Network</v>
      </c>
    </row>
    <row r="8694">
      <c r="A8694" s="3" t="str">
        <f>IFERROR(__xludf.DUMMYFUNCTION("""COMPUTED_VALUE"""),"paint")</f>
        <v>paint</v>
      </c>
      <c r="B8694" s="3" t="str">
        <f>IFERROR(__xludf.DUMMYFUNCTION("""COMPUTED_VALUE"""),"paint")</f>
        <v>paint</v>
      </c>
      <c r="C8694" s="3" t="str">
        <f>IFERROR(__xludf.DUMMYFUNCTION("""COMPUTED_VALUE"""),"MurAll")</f>
        <v>MurAll</v>
      </c>
    </row>
    <row r="8695">
      <c r="A8695" s="3" t="str">
        <f>IFERROR(__xludf.DUMMYFUNCTION("""COMPUTED_VALUE"""),"paint-swap")</f>
        <v>paint-swap</v>
      </c>
      <c r="B8695" s="3" t="str">
        <f>IFERROR(__xludf.DUMMYFUNCTION("""COMPUTED_VALUE"""),"brush")</f>
        <v>brush</v>
      </c>
      <c r="C8695" s="3" t="str">
        <f>IFERROR(__xludf.DUMMYFUNCTION("""COMPUTED_VALUE"""),"Paint Swap")</f>
        <v>Paint Swap</v>
      </c>
    </row>
    <row r="8696">
      <c r="A8696" s="3" t="str">
        <f>IFERROR(__xludf.DUMMYFUNCTION("""COMPUTED_VALUE"""),"pakcoin")</f>
        <v>pakcoin</v>
      </c>
      <c r="B8696" s="3" t="str">
        <f>IFERROR(__xludf.DUMMYFUNCTION("""COMPUTED_VALUE"""),"pak")</f>
        <v>pak</v>
      </c>
      <c r="C8696" s="3" t="str">
        <f>IFERROR(__xludf.DUMMYFUNCTION("""COMPUTED_VALUE"""),"Pakcoin")</f>
        <v>Pakcoin</v>
      </c>
    </row>
    <row r="8697">
      <c r="A8697" s="3" t="str">
        <f>IFERROR(__xludf.DUMMYFUNCTION("""COMPUTED_VALUE"""),"palace")</f>
        <v>palace</v>
      </c>
      <c r="B8697" s="3" t="str">
        <f>IFERROR(__xludf.DUMMYFUNCTION("""COMPUTED_VALUE"""),"paa")</f>
        <v>paa</v>
      </c>
      <c r="C8697" s="3" t="str">
        <f>IFERROR(__xludf.DUMMYFUNCTION("""COMPUTED_VALUE"""),"Palace")</f>
        <v>Palace</v>
      </c>
    </row>
    <row r="8698">
      <c r="A8698" s="3" t="str">
        <f>IFERROR(__xludf.DUMMYFUNCTION("""COMPUTED_VALUE"""),"paladin")</f>
        <v>paladin</v>
      </c>
      <c r="B8698" s="3" t="str">
        <f>IFERROR(__xludf.DUMMYFUNCTION("""COMPUTED_VALUE"""),"pal")</f>
        <v>pal</v>
      </c>
      <c r="C8698" s="3" t="str">
        <f>IFERROR(__xludf.DUMMYFUNCTION("""COMPUTED_VALUE"""),"Paladin")</f>
        <v>Paladin</v>
      </c>
    </row>
    <row r="8699">
      <c r="A8699" s="3" t="str">
        <f>IFERROR(__xludf.DUMMYFUNCTION("""COMPUTED_VALUE"""),"paladin-dao")</f>
        <v>paladin-dao</v>
      </c>
      <c r="B8699" s="3" t="str">
        <f>IFERROR(__xludf.DUMMYFUNCTION("""COMPUTED_VALUE"""),"pal")</f>
        <v>pal</v>
      </c>
      <c r="C8699" s="3" t="str">
        <f>IFERROR(__xludf.DUMMYFUNCTION("""COMPUTED_VALUE"""),"Paladin DAO")</f>
        <v>Paladin DAO</v>
      </c>
    </row>
    <row r="8700">
      <c r="A8700" s="3" t="str">
        <f>IFERROR(__xludf.DUMMYFUNCTION("""COMPUTED_VALUE"""),"palantir-tokenized-stock-defichain")</f>
        <v>palantir-tokenized-stock-defichain</v>
      </c>
      <c r="B8700" s="3" t="str">
        <f>IFERROR(__xludf.DUMMYFUNCTION("""COMPUTED_VALUE"""),"dpltr")</f>
        <v>dpltr</v>
      </c>
      <c r="C8700" s="3" t="str">
        <f>IFERROR(__xludf.DUMMYFUNCTION("""COMPUTED_VALUE"""),"Palantir Tokenized Stock Defichain")</f>
        <v>Palantir Tokenized Stock Defichain</v>
      </c>
    </row>
    <row r="8701">
      <c r="A8701" s="3" t="str">
        <f>IFERROR(__xludf.DUMMYFUNCTION("""COMPUTED_VALUE"""),"palette")</f>
        <v>palette</v>
      </c>
      <c r="B8701" s="3" t="str">
        <f>IFERROR(__xludf.DUMMYFUNCTION("""COMPUTED_VALUE"""),"plt")</f>
        <v>plt</v>
      </c>
      <c r="C8701" s="3" t="str">
        <f>IFERROR(__xludf.DUMMYFUNCTION("""COMPUTED_VALUE"""),"Palette")</f>
        <v>Palette</v>
      </c>
    </row>
    <row r="8702">
      <c r="A8702" s="3" t="str">
        <f>IFERROR(__xludf.DUMMYFUNCTION("""COMPUTED_VALUE"""),"palgold")</f>
        <v>palgold</v>
      </c>
      <c r="B8702" s="3" t="str">
        <f>IFERROR(__xludf.DUMMYFUNCTION("""COMPUTED_VALUE"""),"palg")</f>
        <v>palg</v>
      </c>
      <c r="C8702" s="3" t="str">
        <f>IFERROR(__xludf.DUMMYFUNCTION("""COMPUTED_VALUE"""),"PalGold")</f>
        <v>PalGold</v>
      </c>
    </row>
    <row r="8703">
      <c r="A8703" s="3" t="str">
        <f>IFERROR(__xludf.DUMMYFUNCTION("""COMPUTED_VALUE"""),"pallapay")</f>
        <v>pallapay</v>
      </c>
      <c r="B8703" s="3" t="str">
        <f>IFERROR(__xludf.DUMMYFUNCTION("""COMPUTED_VALUE"""),"palla")</f>
        <v>palla</v>
      </c>
      <c r="C8703" s="3" t="str">
        <f>IFERROR(__xludf.DUMMYFUNCTION("""COMPUTED_VALUE"""),"Pallapay")</f>
        <v>Pallapay</v>
      </c>
    </row>
    <row r="8704">
      <c r="A8704" s="3" t="str">
        <f>IFERROR(__xludf.DUMMYFUNCTION("""COMPUTED_VALUE"""),"palletone")</f>
        <v>palletone</v>
      </c>
      <c r="B8704" s="3" t="str">
        <f>IFERROR(__xludf.DUMMYFUNCTION("""COMPUTED_VALUE"""),"ptn")</f>
        <v>ptn</v>
      </c>
      <c r="C8704" s="3" t="str">
        <f>IFERROR(__xludf.DUMMYFUNCTION("""COMPUTED_VALUE"""),"PalletOne")</f>
        <v>PalletOne</v>
      </c>
    </row>
    <row r="8705">
      <c r="A8705" s="3" t="str">
        <f>IFERROR(__xludf.DUMMYFUNCTION("""COMPUTED_VALUE"""),"palmare")</f>
        <v>palmare</v>
      </c>
      <c r="B8705" s="3" t="str">
        <f>IFERROR(__xludf.DUMMYFUNCTION("""COMPUTED_VALUE"""),"pal")</f>
        <v>pal</v>
      </c>
      <c r="C8705" s="3" t="str">
        <f>IFERROR(__xludf.DUMMYFUNCTION("""COMPUTED_VALUE"""),"Palmare")</f>
        <v>Palmare</v>
      </c>
    </row>
    <row r="8706">
      <c r="A8706" s="3" t="str">
        <f>IFERROR(__xludf.DUMMYFUNCTION("""COMPUTED_VALUE"""),"palmpay")</f>
        <v>palmpay</v>
      </c>
      <c r="B8706" s="3" t="str">
        <f>IFERROR(__xludf.DUMMYFUNCTION("""COMPUTED_VALUE"""),"palm")</f>
        <v>palm</v>
      </c>
      <c r="C8706" s="3" t="str">
        <f>IFERROR(__xludf.DUMMYFUNCTION("""COMPUTED_VALUE"""),"PalmPay")</f>
        <v>PalmPay</v>
      </c>
    </row>
    <row r="8707">
      <c r="A8707" s="3" t="str">
        <f>IFERROR(__xludf.DUMMYFUNCTION("""COMPUTED_VALUE"""),"palmswap")</f>
        <v>palmswap</v>
      </c>
      <c r="B8707" s="3" t="str">
        <f>IFERROR(__xludf.DUMMYFUNCTION("""COMPUTED_VALUE"""),"palm")</f>
        <v>palm</v>
      </c>
      <c r="C8707" s="3" t="str">
        <f>IFERROR(__xludf.DUMMYFUNCTION("""COMPUTED_VALUE"""),"PalmSwap")</f>
        <v>PalmSwap</v>
      </c>
    </row>
    <row r="8708">
      <c r="A8708" s="3" t="str">
        <f>IFERROR(__xludf.DUMMYFUNCTION("""COMPUTED_VALUE"""),"pamp-network")</f>
        <v>pamp-network</v>
      </c>
      <c r="B8708" s="3" t="str">
        <f>IFERROR(__xludf.DUMMYFUNCTION("""COMPUTED_VALUE"""),"pamp")</f>
        <v>pamp</v>
      </c>
      <c r="C8708" s="3" t="str">
        <f>IFERROR(__xludf.DUMMYFUNCTION("""COMPUTED_VALUE"""),"Pamp Network")</f>
        <v>Pamp Network</v>
      </c>
    </row>
    <row r="8709">
      <c r="A8709" s="3" t="str">
        <f>IFERROR(__xludf.DUMMYFUNCTION("""COMPUTED_VALUE"""),"pampther")</f>
        <v>pampther</v>
      </c>
      <c r="B8709" s="3" t="str">
        <f>IFERROR(__xludf.DUMMYFUNCTION("""COMPUTED_VALUE"""),"pampther")</f>
        <v>pampther</v>
      </c>
      <c r="C8709" s="3" t="str">
        <f>IFERROR(__xludf.DUMMYFUNCTION("""COMPUTED_VALUE"""),"Pampther")</f>
        <v>Pampther</v>
      </c>
    </row>
    <row r="8710">
      <c r="A8710" s="3" t="str">
        <f>IFERROR(__xludf.DUMMYFUNCTION("""COMPUTED_VALUE"""),"pana-dao")</f>
        <v>pana-dao</v>
      </c>
      <c r="B8710" s="3" t="str">
        <f>IFERROR(__xludf.DUMMYFUNCTION("""COMPUTED_VALUE"""),"pana")</f>
        <v>pana</v>
      </c>
      <c r="C8710" s="3" t="str">
        <f>IFERROR(__xludf.DUMMYFUNCTION("""COMPUTED_VALUE"""),"PANA DAO")</f>
        <v>PANA DAO</v>
      </c>
    </row>
    <row r="8711">
      <c r="A8711" s="3" t="str">
        <f>IFERROR(__xludf.DUMMYFUNCTION("""COMPUTED_VALUE"""),"pancake-bunny")</f>
        <v>pancake-bunny</v>
      </c>
      <c r="B8711" s="3" t="str">
        <f>IFERROR(__xludf.DUMMYFUNCTION("""COMPUTED_VALUE"""),"bunny")</f>
        <v>bunny</v>
      </c>
      <c r="C8711" s="3" t="str">
        <f>IFERROR(__xludf.DUMMYFUNCTION("""COMPUTED_VALUE"""),"Pancake Bunny")</f>
        <v>Pancake Bunny</v>
      </c>
    </row>
    <row r="8712">
      <c r="A8712" s="3" t="str">
        <f>IFERROR(__xludf.DUMMYFUNCTION("""COMPUTED_VALUE"""),"pancake-games")</f>
        <v>pancake-games</v>
      </c>
      <c r="B8712" s="3" t="str">
        <f>IFERROR(__xludf.DUMMYFUNCTION("""COMPUTED_VALUE"""),"gcake")</f>
        <v>gcake</v>
      </c>
      <c r="C8712" s="3" t="str">
        <f>IFERROR(__xludf.DUMMYFUNCTION("""COMPUTED_VALUE"""),"Pancake Games")</f>
        <v>Pancake Games</v>
      </c>
    </row>
    <row r="8713">
      <c r="A8713" s="3" t="str">
        <f>IFERROR(__xludf.DUMMYFUNCTION("""COMPUTED_VALUE"""),"pancake-hunny")</f>
        <v>pancake-hunny</v>
      </c>
      <c r="B8713" s="3" t="str">
        <f>IFERROR(__xludf.DUMMYFUNCTION("""COMPUTED_VALUE"""),"hunny")</f>
        <v>hunny</v>
      </c>
      <c r="C8713" s="3" t="str">
        <f>IFERROR(__xludf.DUMMYFUNCTION("""COMPUTED_VALUE"""),"Hunny Finance")</f>
        <v>Hunny Finance</v>
      </c>
    </row>
    <row r="8714">
      <c r="A8714" s="3" t="str">
        <f>IFERROR(__xludf.DUMMYFUNCTION("""COMPUTED_VALUE"""),"pancakelock")</f>
        <v>pancakelock</v>
      </c>
      <c r="B8714" s="3" t="str">
        <f>IFERROR(__xludf.DUMMYFUNCTION("""COMPUTED_VALUE"""),"plock")</f>
        <v>plock</v>
      </c>
      <c r="C8714" s="3" t="str">
        <f>IFERROR(__xludf.DUMMYFUNCTION("""COMPUTED_VALUE"""),"PancakeLock")</f>
        <v>PancakeLock</v>
      </c>
    </row>
    <row r="8715">
      <c r="A8715" s="3" t="str">
        <f>IFERROR(__xludf.DUMMYFUNCTION("""COMPUTED_VALUE"""),"pancakepoll")</f>
        <v>pancakepoll</v>
      </c>
      <c r="B8715" s="3" t="str">
        <f>IFERROR(__xludf.DUMMYFUNCTION("""COMPUTED_VALUE"""),"ppoll")</f>
        <v>ppoll</v>
      </c>
      <c r="C8715" s="3" t="str">
        <f>IFERROR(__xludf.DUMMYFUNCTION("""COMPUTED_VALUE"""),"PancakePoll")</f>
        <v>PancakePoll</v>
      </c>
    </row>
    <row r="8716">
      <c r="A8716" s="3" t="str">
        <f>IFERROR(__xludf.DUMMYFUNCTION("""COMPUTED_VALUE"""),"pancakeswap-token")</f>
        <v>pancakeswap-token</v>
      </c>
      <c r="B8716" s="3" t="str">
        <f>IFERROR(__xludf.DUMMYFUNCTION("""COMPUTED_VALUE"""),"cake")</f>
        <v>cake</v>
      </c>
      <c r="C8716" s="3" t="str">
        <f>IFERROR(__xludf.DUMMYFUNCTION("""COMPUTED_VALUE"""),"PancakeSwap")</f>
        <v>PancakeSwap</v>
      </c>
    </row>
    <row r="8717">
      <c r="A8717" s="3" t="str">
        <f>IFERROR(__xludf.DUMMYFUNCTION("""COMPUTED_VALUE"""),"pancaketools")</f>
        <v>pancaketools</v>
      </c>
      <c r="B8717" s="3" t="str">
        <f>IFERROR(__xludf.DUMMYFUNCTION("""COMPUTED_VALUE"""),"tcake")</f>
        <v>tcake</v>
      </c>
      <c r="C8717" s="3" t="str">
        <f>IFERROR(__xludf.DUMMYFUNCTION("""COMPUTED_VALUE"""),"PancakeTools")</f>
        <v>PancakeTools</v>
      </c>
    </row>
    <row r="8718">
      <c r="A8718" s="3" t="str">
        <f>IFERROR(__xludf.DUMMYFUNCTION("""COMPUTED_VALUE"""),"pandacoin")</f>
        <v>pandacoin</v>
      </c>
      <c r="B8718" s="3" t="str">
        <f>IFERROR(__xludf.DUMMYFUNCTION("""COMPUTED_VALUE"""),"pnd")</f>
        <v>pnd</v>
      </c>
      <c r="C8718" s="3" t="str">
        <f>IFERROR(__xludf.DUMMYFUNCTION("""COMPUTED_VALUE"""),"Pandacoin")</f>
        <v>Pandacoin</v>
      </c>
    </row>
    <row r="8719">
      <c r="A8719" s="3" t="str">
        <f>IFERROR(__xludf.DUMMYFUNCTION("""COMPUTED_VALUE"""),"panda-coin")</f>
        <v>panda-coin</v>
      </c>
      <c r="B8719" s="3" t="str">
        <f>IFERROR(__xludf.DUMMYFUNCTION("""COMPUTED_VALUE"""),"panda")</f>
        <v>panda</v>
      </c>
      <c r="C8719" s="3" t="str">
        <f>IFERROR(__xludf.DUMMYFUNCTION("""COMPUTED_VALUE"""),"Panda Coin")</f>
        <v>Panda Coin</v>
      </c>
    </row>
    <row r="8720">
      <c r="A8720" s="3" t="str">
        <f>IFERROR(__xludf.DUMMYFUNCTION("""COMPUTED_VALUE"""),"pandadao")</f>
        <v>pandadao</v>
      </c>
      <c r="B8720" s="3" t="str">
        <f>IFERROR(__xludf.DUMMYFUNCTION("""COMPUTED_VALUE"""),"panda")</f>
        <v>panda</v>
      </c>
      <c r="C8720" s="3" t="str">
        <f>IFERROR(__xludf.DUMMYFUNCTION("""COMPUTED_VALUE"""),"PandaDAO")</f>
        <v>PandaDAO</v>
      </c>
    </row>
    <row r="8721">
      <c r="A8721" s="3" t="str">
        <f>IFERROR(__xludf.DUMMYFUNCTION("""COMPUTED_VALUE"""),"panda-multiverse")</f>
        <v>panda-multiverse</v>
      </c>
      <c r="B8721" s="3" t="str">
        <f>IFERROR(__xludf.DUMMYFUNCTION("""COMPUTED_VALUE"""),"pndmlv")</f>
        <v>pndmlv</v>
      </c>
      <c r="C8721" s="3" t="str">
        <f>IFERROR(__xludf.DUMMYFUNCTION("""COMPUTED_VALUE"""),"Panda Multiverse")</f>
        <v>Panda Multiverse</v>
      </c>
    </row>
    <row r="8722">
      <c r="A8722" s="3" t="str">
        <f>IFERROR(__xludf.DUMMYFUNCTION("""COMPUTED_VALUE"""),"pando")</f>
        <v>pando</v>
      </c>
      <c r="B8722" s="3" t="str">
        <f>IFERROR(__xludf.DUMMYFUNCTION("""COMPUTED_VALUE"""),"pando")</f>
        <v>pando</v>
      </c>
      <c r="C8722" s="3" t="str">
        <f>IFERROR(__xludf.DUMMYFUNCTION("""COMPUTED_VALUE"""),"Pando")</f>
        <v>Pando</v>
      </c>
    </row>
    <row r="8723">
      <c r="A8723" s="3" t="str">
        <f>IFERROR(__xludf.DUMMYFUNCTION("""COMPUTED_VALUE"""),"pandora-cash")</f>
        <v>pandora-cash</v>
      </c>
      <c r="B8723" s="3" t="str">
        <f>IFERROR(__xludf.DUMMYFUNCTION("""COMPUTED_VALUE"""),"pcash")</f>
        <v>pcash</v>
      </c>
      <c r="C8723" s="3" t="str">
        <f>IFERROR(__xludf.DUMMYFUNCTION("""COMPUTED_VALUE"""),"Pandora Cash")</f>
        <v>Pandora Cash</v>
      </c>
    </row>
    <row r="8724">
      <c r="A8724" s="3" t="str">
        <f>IFERROR(__xludf.DUMMYFUNCTION("""COMPUTED_VALUE"""),"pandora-protocol")</f>
        <v>pandora-protocol</v>
      </c>
      <c r="B8724" s="3" t="str">
        <f>IFERROR(__xludf.DUMMYFUNCTION("""COMPUTED_VALUE"""),"pndr")</f>
        <v>pndr</v>
      </c>
      <c r="C8724" s="3" t="str">
        <f>IFERROR(__xludf.DUMMYFUNCTION("""COMPUTED_VALUE"""),"Pandora Protocol")</f>
        <v>Pandora Protocol</v>
      </c>
    </row>
    <row r="8725">
      <c r="A8725" s="3" t="str">
        <f>IFERROR(__xludf.DUMMYFUNCTION("""COMPUTED_VALUE"""),"pandora-spirit")</f>
        <v>pandora-spirit</v>
      </c>
      <c r="B8725" s="3" t="str">
        <f>IFERROR(__xludf.DUMMYFUNCTION("""COMPUTED_VALUE"""),"psr")</f>
        <v>psr</v>
      </c>
      <c r="C8725" s="3" t="str">
        <f>IFERROR(__xludf.DUMMYFUNCTION("""COMPUTED_VALUE"""),"Pandora Spirit")</f>
        <v>Pandora Spirit</v>
      </c>
    </row>
    <row r="8726">
      <c r="A8726" s="3" t="str">
        <f>IFERROR(__xludf.DUMMYFUNCTION("""COMPUTED_VALUE"""),"pandorium")</f>
        <v>pandorium</v>
      </c>
      <c r="B8726" s="3" t="str">
        <f>IFERROR(__xludf.DUMMYFUNCTION("""COMPUTED_VALUE"""),"pan")</f>
        <v>pan</v>
      </c>
      <c r="C8726" s="3" t="str">
        <f>IFERROR(__xludf.DUMMYFUNCTION("""COMPUTED_VALUE"""),"Pandorium")</f>
        <v>Pandorium</v>
      </c>
    </row>
    <row r="8727">
      <c r="A8727" s="3" t="str">
        <f>IFERROR(__xludf.DUMMYFUNCTION("""COMPUTED_VALUE"""),"pando-token")</f>
        <v>pando-token</v>
      </c>
      <c r="B8727" s="3" t="str">
        <f>IFERROR(__xludf.DUMMYFUNCTION("""COMPUTED_VALUE"""),"ptx")</f>
        <v>ptx</v>
      </c>
      <c r="C8727" s="3" t="str">
        <f>IFERROR(__xludf.DUMMYFUNCTION("""COMPUTED_VALUE"""),"PandoProject")</f>
        <v>PandoProject</v>
      </c>
    </row>
    <row r="8728">
      <c r="A8728" s="3" t="str">
        <f>IFERROR(__xludf.DUMMYFUNCTION("""COMPUTED_VALUE"""),"pando-usd")</f>
        <v>pando-usd</v>
      </c>
      <c r="B8728" s="3" t="str">
        <f>IFERROR(__xludf.DUMMYFUNCTION("""COMPUTED_VALUE"""),"pusd")</f>
        <v>pusd</v>
      </c>
      <c r="C8728" s="3" t="str">
        <f>IFERROR(__xludf.DUMMYFUNCTION("""COMPUTED_VALUE"""),"Pando USD")</f>
        <v>Pando USD</v>
      </c>
    </row>
    <row r="8729">
      <c r="A8729" s="3" t="str">
        <f>IFERROR(__xludf.DUMMYFUNCTION("""COMPUTED_VALUE"""),"pangolin")</f>
        <v>pangolin</v>
      </c>
      <c r="B8729" s="3" t="str">
        <f>IFERROR(__xludf.DUMMYFUNCTION("""COMPUTED_VALUE"""),"png")</f>
        <v>png</v>
      </c>
      <c r="C8729" s="3" t="str">
        <f>IFERROR(__xludf.DUMMYFUNCTION("""COMPUTED_VALUE"""),"Pangolin")</f>
        <v>Pangolin</v>
      </c>
    </row>
    <row r="8730">
      <c r="A8730" s="3" t="str">
        <f>IFERROR(__xludf.DUMMYFUNCTION("""COMPUTED_VALUE"""),"pangolin-songbird")</f>
        <v>pangolin-songbird</v>
      </c>
      <c r="B8730" s="3" t="str">
        <f>IFERROR(__xludf.DUMMYFUNCTION("""COMPUTED_VALUE"""),"psb")</f>
        <v>psb</v>
      </c>
      <c r="C8730" s="3" t="str">
        <f>IFERROR(__xludf.DUMMYFUNCTION("""COMPUTED_VALUE"""),"Pangolin Songbird")</f>
        <v>Pangolin Songbird</v>
      </c>
    </row>
    <row r="8731">
      <c r="A8731" s="3" t="str">
        <f>IFERROR(__xludf.DUMMYFUNCTION("""COMPUTED_VALUE"""),"pangolinswap")</f>
        <v>pangolinswap</v>
      </c>
      <c r="B8731" s="3" t="str">
        <f>IFERROR(__xludf.DUMMYFUNCTION("""COMPUTED_VALUE"""),"pangolin")</f>
        <v>pangolin</v>
      </c>
      <c r="C8731" s="3" t="str">
        <f>IFERROR(__xludf.DUMMYFUNCTION("""COMPUTED_VALUE"""),"Pangolinswap")</f>
        <v>Pangolinswap</v>
      </c>
    </row>
    <row r="8732">
      <c r="A8732" s="3" t="str">
        <f>IFERROR(__xludf.DUMMYFUNCTION("""COMPUTED_VALUE"""),"panicswap")</f>
        <v>panicswap</v>
      </c>
      <c r="B8732" s="3" t="str">
        <f>IFERROR(__xludf.DUMMYFUNCTION("""COMPUTED_VALUE"""),"panic")</f>
        <v>panic</v>
      </c>
      <c r="C8732" s="3" t="str">
        <f>IFERROR(__xludf.DUMMYFUNCTION("""COMPUTED_VALUE"""),"PanicSwap")</f>
        <v>PanicSwap</v>
      </c>
    </row>
    <row r="8733">
      <c r="A8733" s="3" t="str">
        <f>IFERROR(__xludf.DUMMYFUNCTION("""COMPUTED_VALUE"""),"pankuku")</f>
        <v>pankuku</v>
      </c>
      <c r="B8733" s="3" t="str">
        <f>IFERROR(__xludf.DUMMYFUNCTION("""COMPUTED_VALUE"""),"kuku")</f>
        <v>kuku</v>
      </c>
      <c r="C8733" s="3" t="str">
        <f>IFERROR(__xludf.DUMMYFUNCTION("""COMPUTED_VALUE"""),"panKUKU")</f>
        <v>panKUKU</v>
      </c>
    </row>
    <row r="8734">
      <c r="A8734" s="3" t="str">
        <f>IFERROR(__xludf.DUMMYFUNCTION("""COMPUTED_VALUE"""),"pantheon-x")</f>
        <v>pantheon-x</v>
      </c>
      <c r="B8734" s="3" t="str">
        <f>IFERROR(__xludf.DUMMYFUNCTION("""COMPUTED_VALUE"""),"xpn")</f>
        <v>xpn</v>
      </c>
      <c r="C8734" s="3" t="str">
        <f>IFERROR(__xludf.DUMMYFUNCTION("""COMPUTED_VALUE"""),"PANTHEON X")</f>
        <v>PANTHEON X</v>
      </c>
    </row>
    <row r="8735">
      <c r="A8735" s="3" t="str">
        <f>IFERROR(__xludf.DUMMYFUNCTION("""COMPUTED_VALUE"""),"panther")</f>
        <v>panther</v>
      </c>
      <c r="B8735" s="3" t="str">
        <f>IFERROR(__xludf.DUMMYFUNCTION("""COMPUTED_VALUE"""),"zkp")</f>
        <v>zkp</v>
      </c>
      <c r="C8735" s="3" t="str">
        <f>IFERROR(__xludf.DUMMYFUNCTION("""COMPUTED_VALUE"""),"Panther Protocol")</f>
        <v>Panther Protocol</v>
      </c>
    </row>
    <row r="8736">
      <c r="A8736" s="3" t="str">
        <f>IFERROR(__xludf.DUMMYFUNCTION("""COMPUTED_VALUE"""),"pantherswap")</f>
        <v>pantherswap</v>
      </c>
      <c r="B8736" s="3" t="str">
        <f>IFERROR(__xludf.DUMMYFUNCTION("""COMPUTED_VALUE"""),"panther")</f>
        <v>panther</v>
      </c>
      <c r="C8736" s="3" t="str">
        <f>IFERROR(__xludf.DUMMYFUNCTION("""COMPUTED_VALUE"""),"PantherSwap")</f>
        <v>PantherSwap</v>
      </c>
    </row>
    <row r="8737">
      <c r="A8737" s="3" t="str">
        <f>IFERROR(__xludf.DUMMYFUNCTION("""COMPUTED_VALUE"""),"pantos")</f>
        <v>pantos</v>
      </c>
      <c r="B8737" s="3" t="str">
        <f>IFERROR(__xludf.DUMMYFUNCTION("""COMPUTED_VALUE"""),"pan")</f>
        <v>pan</v>
      </c>
      <c r="C8737" s="3" t="str">
        <f>IFERROR(__xludf.DUMMYFUNCTION("""COMPUTED_VALUE"""),"Pantos")</f>
        <v>Pantos</v>
      </c>
    </row>
    <row r="8738">
      <c r="A8738" s="3" t="str">
        <f>IFERROR(__xludf.DUMMYFUNCTION("""COMPUTED_VALUE"""),"panvala-pan")</f>
        <v>panvala-pan</v>
      </c>
      <c r="B8738" s="3" t="str">
        <f>IFERROR(__xludf.DUMMYFUNCTION("""COMPUTED_VALUE"""),"pan")</f>
        <v>pan</v>
      </c>
      <c r="C8738" s="3" t="str">
        <f>IFERROR(__xludf.DUMMYFUNCTION("""COMPUTED_VALUE"""),"Panvala Pan")</f>
        <v>Panvala Pan</v>
      </c>
    </row>
    <row r="8739">
      <c r="A8739" s="3" t="str">
        <f>IFERROR(__xludf.DUMMYFUNCTION("""COMPUTED_VALUE"""),"papa-doge")</f>
        <v>papa-doge</v>
      </c>
      <c r="B8739" s="3" t="str">
        <f>IFERROR(__xludf.DUMMYFUNCTION("""COMPUTED_VALUE"""),"papadoge")</f>
        <v>papadoge</v>
      </c>
      <c r="C8739" s="3" t="str">
        <f>IFERROR(__xludf.DUMMYFUNCTION("""COMPUTED_VALUE"""),"Papa Doge")</f>
        <v>Papa Doge</v>
      </c>
    </row>
    <row r="8740">
      <c r="A8740" s="3" t="str">
        <f>IFERROR(__xludf.DUMMYFUNCTION("""COMPUTED_VALUE"""),"paparazzi")</f>
        <v>paparazzi</v>
      </c>
      <c r="B8740" s="3" t="str">
        <f>IFERROR(__xludf.DUMMYFUNCTION("""COMPUTED_VALUE"""),"pazzi")</f>
        <v>pazzi</v>
      </c>
      <c r="C8740" s="3" t="str">
        <f>IFERROR(__xludf.DUMMYFUNCTION("""COMPUTED_VALUE"""),"Paparazzi")</f>
        <v>Paparazzi</v>
      </c>
    </row>
    <row r="8741">
      <c r="A8741" s="3" t="str">
        <f>IFERROR(__xludf.DUMMYFUNCTION("""COMPUTED_VALUE"""),"papel")</f>
        <v>papel</v>
      </c>
      <c r="B8741" s="3" t="str">
        <f>IFERROR(__xludf.DUMMYFUNCTION("""COMPUTED_VALUE"""),"papel")</f>
        <v>papel</v>
      </c>
      <c r="C8741" s="3" t="str">
        <f>IFERROR(__xludf.DUMMYFUNCTION("""COMPUTED_VALUE"""),"Papel")</f>
        <v>Papel</v>
      </c>
    </row>
    <row r="8742">
      <c r="A8742" s="3" t="str">
        <f>IFERROR(__xludf.DUMMYFUNCTION("""COMPUTED_VALUE"""),"paper-dao")</f>
        <v>paper-dao</v>
      </c>
      <c r="B8742" s="3" t="str">
        <f>IFERROR(__xludf.DUMMYFUNCTION("""COMPUTED_VALUE"""),"ppr")</f>
        <v>ppr</v>
      </c>
      <c r="C8742" s="3" t="str">
        <f>IFERROR(__xludf.DUMMYFUNCTION("""COMPUTED_VALUE"""),"Paper DAO")</f>
        <v>Paper DAO</v>
      </c>
    </row>
    <row r="8743">
      <c r="A8743" s="3" t="str">
        <f>IFERROR(__xludf.DUMMYFUNCTION("""COMPUTED_VALUE"""),"paper-fantom")</f>
        <v>paper-fantom</v>
      </c>
      <c r="B8743" s="3" t="str">
        <f>IFERROR(__xludf.DUMMYFUNCTION("""COMPUTED_VALUE"""),"paper")</f>
        <v>paper</v>
      </c>
      <c r="C8743" s="3" t="str">
        <f>IFERROR(__xludf.DUMMYFUNCTION("""COMPUTED_VALUE"""),"Paper")</f>
        <v>Paper</v>
      </c>
    </row>
    <row r="8744">
      <c r="A8744" s="3" t="str">
        <f>IFERROR(__xludf.DUMMYFUNCTION("""COMPUTED_VALUE"""),"pappay")</f>
        <v>pappay</v>
      </c>
      <c r="B8744" s="3" t="str">
        <f>IFERROR(__xludf.DUMMYFUNCTION("""COMPUTED_VALUE"""),"pappay")</f>
        <v>pappay</v>
      </c>
      <c r="C8744" s="3" t="str">
        <f>IFERROR(__xludf.DUMMYFUNCTION("""COMPUTED_VALUE"""),"Pappay")</f>
        <v>Pappay</v>
      </c>
    </row>
    <row r="8745">
      <c r="A8745" s="3" t="str">
        <f>IFERROR(__xludf.DUMMYFUNCTION("""COMPUTED_VALUE"""),"paprprintr-finance")</f>
        <v>paprprintr-finance</v>
      </c>
      <c r="B8745" s="3" t="str">
        <f>IFERROR(__xludf.DUMMYFUNCTION("""COMPUTED_VALUE"""),"papr")</f>
        <v>papr</v>
      </c>
      <c r="C8745" s="3" t="str">
        <f>IFERROR(__xludf.DUMMYFUNCTION("""COMPUTED_VALUE"""),"Paprprintr Finance")</f>
        <v>Paprprintr Finance</v>
      </c>
    </row>
    <row r="8746">
      <c r="A8746" s="3" t="str">
        <f>IFERROR(__xludf.DUMMYFUNCTION("""COMPUTED_VALUE"""),"parabolic-2")</f>
        <v>parabolic-2</v>
      </c>
      <c r="B8746" s="3" t="str">
        <f>IFERROR(__xludf.DUMMYFUNCTION("""COMPUTED_VALUE"""),"para")</f>
        <v>para</v>
      </c>
      <c r="C8746" s="3" t="str">
        <f>IFERROR(__xludf.DUMMYFUNCTION("""COMPUTED_VALUE"""),"Parabolic")</f>
        <v>Parabolic</v>
      </c>
    </row>
    <row r="8747">
      <c r="A8747" s="3" t="str">
        <f>IFERROR(__xludf.DUMMYFUNCTION("""COMPUTED_VALUE"""),"parachute")</f>
        <v>parachute</v>
      </c>
      <c r="B8747" s="3" t="str">
        <f>IFERROR(__xludf.DUMMYFUNCTION("""COMPUTED_VALUE"""),"par")</f>
        <v>par</v>
      </c>
      <c r="C8747" s="3" t="str">
        <f>IFERROR(__xludf.DUMMYFUNCTION("""COMPUTED_VALUE"""),"Parachute")</f>
        <v>Parachute</v>
      </c>
    </row>
    <row r="8748">
      <c r="A8748" s="3" t="str">
        <f>IFERROR(__xludf.DUMMYFUNCTION("""COMPUTED_VALUE"""),"paradisefi")</f>
        <v>paradisefi</v>
      </c>
      <c r="B8748" s="3" t="str">
        <f>IFERROR(__xludf.DUMMYFUNCTION("""COMPUTED_VALUE"""),"eden")</f>
        <v>eden</v>
      </c>
      <c r="C8748" s="3" t="str">
        <f>IFERROR(__xludf.DUMMYFUNCTION("""COMPUTED_VALUE"""),"ParadiseFi")</f>
        <v>ParadiseFi</v>
      </c>
    </row>
    <row r="8749">
      <c r="A8749" s="3" t="str">
        <f>IFERROR(__xludf.DUMMYFUNCTION("""COMPUTED_VALUE"""),"paradisehotel-nft")</f>
        <v>paradisehotel-nft</v>
      </c>
      <c r="B8749" s="3" t="str">
        <f>IFERROR(__xludf.DUMMYFUNCTION("""COMPUTED_VALUE"""),"pht")</f>
        <v>pht</v>
      </c>
      <c r="C8749" s="3" t="str">
        <f>IFERROR(__xludf.DUMMYFUNCTION("""COMPUTED_VALUE"""),"ParadiseHotel NFT")</f>
        <v>ParadiseHotel NFT</v>
      </c>
    </row>
    <row r="8750">
      <c r="A8750" s="3" t="str">
        <f>IFERROR(__xludf.DUMMYFUNCTION("""COMPUTED_VALUE"""),"paragen")</f>
        <v>paragen</v>
      </c>
      <c r="B8750" s="3" t="str">
        <f>IFERROR(__xludf.DUMMYFUNCTION("""COMPUTED_VALUE"""),"rgen")</f>
        <v>rgen</v>
      </c>
      <c r="C8750" s="3" t="str">
        <f>IFERROR(__xludf.DUMMYFUNCTION("""COMPUTED_VALUE"""),"Paragen")</f>
        <v>Paragen</v>
      </c>
    </row>
    <row r="8751">
      <c r="A8751" s="3" t="str">
        <f>IFERROR(__xludf.DUMMYFUNCTION("""COMPUTED_VALUE"""),"paragonsdao")</f>
        <v>paragonsdao</v>
      </c>
      <c r="B8751" s="3" t="str">
        <f>IFERROR(__xludf.DUMMYFUNCTION("""COMPUTED_VALUE"""),"pdt")</f>
        <v>pdt</v>
      </c>
      <c r="C8751" s="3" t="str">
        <f>IFERROR(__xludf.DUMMYFUNCTION("""COMPUTED_VALUE"""),"ParagonsDAO")</f>
        <v>ParagonsDAO</v>
      </c>
    </row>
    <row r="8752">
      <c r="A8752" s="3" t="str">
        <f>IFERROR(__xludf.DUMMYFUNCTION("""COMPUTED_VALUE"""),"paralink-network")</f>
        <v>paralink-network</v>
      </c>
      <c r="B8752" s="3" t="str">
        <f>IFERROR(__xludf.DUMMYFUNCTION("""COMPUTED_VALUE"""),"para")</f>
        <v>para</v>
      </c>
      <c r="C8752" s="3" t="str">
        <f>IFERROR(__xludf.DUMMYFUNCTION("""COMPUTED_VALUE"""),"Paralink Network")</f>
        <v>Paralink Network</v>
      </c>
    </row>
    <row r="8753">
      <c r="A8753" s="3" t="str">
        <f>IFERROR(__xludf.DUMMYFUNCTION("""COMPUTED_VALUE"""),"parallelcoin")</f>
        <v>parallelcoin</v>
      </c>
      <c r="B8753" s="3" t="str">
        <f>IFERROR(__xludf.DUMMYFUNCTION("""COMPUTED_VALUE"""),"duo")</f>
        <v>duo</v>
      </c>
      <c r="C8753" s="3" t="str">
        <f>IFERROR(__xludf.DUMMYFUNCTION("""COMPUTED_VALUE"""),"ParallelCoin")</f>
        <v>ParallelCoin</v>
      </c>
    </row>
    <row r="8754">
      <c r="A8754" s="3" t="str">
        <f>IFERROR(__xludf.DUMMYFUNCTION("""COMPUTED_VALUE"""),"parallel-finance")</f>
        <v>parallel-finance</v>
      </c>
      <c r="B8754" s="3" t="str">
        <f>IFERROR(__xludf.DUMMYFUNCTION("""COMPUTED_VALUE"""),"para")</f>
        <v>para</v>
      </c>
      <c r="C8754" s="3" t="str">
        <f>IFERROR(__xludf.DUMMYFUNCTION("""COMPUTED_VALUE"""),"Parallel Finance")</f>
        <v>Parallel Finance</v>
      </c>
    </row>
    <row r="8755">
      <c r="A8755" s="3" t="str">
        <f>IFERROR(__xludf.DUMMYFUNCTION("""COMPUTED_VALUE"""),"paras")</f>
        <v>paras</v>
      </c>
      <c r="B8755" s="3" t="str">
        <f>IFERROR(__xludf.DUMMYFUNCTION("""COMPUTED_VALUE"""),"paras")</f>
        <v>paras</v>
      </c>
      <c r="C8755" s="3" t="str">
        <f>IFERROR(__xludf.DUMMYFUNCTION("""COMPUTED_VALUE"""),"Paras")</f>
        <v>Paras</v>
      </c>
    </row>
    <row r="8756">
      <c r="A8756" s="3" t="str">
        <f>IFERROR(__xludf.DUMMYFUNCTION("""COMPUTED_VALUE"""),"parasol-finance")</f>
        <v>parasol-finance</v>
      </c>
      <c r="B8756" s="3" t="str">
        <f>IFERROR(__xludf.DUMMYFUNCTION("""COMPUTED_VALUE"""),"psol")</f>
        <v>psol</v>
      </c>
      <c r="C8756" s="3" t="str">
        <f>IFERROR(__xludf.DUMMYFUNCTION("""COMPUTED_VALUE"""),"Parasol Finance")</f>
        <v>Parasol Finance</v>
      </c>
    </row>
    <row r="8757">
      <c r="A8757" s="3" t="str">
        <f>IFERROR(__xludf.DUMMYFUNCTION("""COMPUTED_VALUE"""),"parasset")</f>
        <v>parasset</v>
      </c>
      <c r="B8757" s="3" t="str">
        <f>IFERROR(__xludf.DUMMYFUNCTION("""COMPUTED_VALUE"""),"aset")</f>
        <v>aset</v>
      </c>
      <c r="C8757" s="3" t="str">
        <f>IFERROR(__xludf.DUMMYFUNCTION("""COMPUTED_VALUE"""),"Parasset")</f>
        <v>Parasset</v>
      </c>
    </row>
    <row r="8758">
      <c r="A8758" s="3" t="str">
        <f>IFERROR(__xludf.DUMMYFUNCTION("""COMPUTED_VALUE"""),"parastate")</f>
        <v>parastate</v>
      </c>
      <c r="B8758" s="3" t="str">
        <f>IFERROR(__xludf.DUMMYFUNCTION("""COMPUTED_VALUE"""),"state")</f>
        <v>state</v>
      </c>
      <c r="C8758" s="3" t="str">
        <f>IFERROR(__xludf.DUMMYFUNCTION("""COMPUTED_VALUE"""),"ParaState")</f>
        <v>ParaState</v>
      </c>
    </row>
    <row r="8759">
      <c r="A8759" s="3" t="str">
        <f>IFERROR(__xludf.DUMMYFUNCTION("""COMPUTED_VALUE"""),"paraswap")</f>
        <v>paraswap</v>
      </c>
      <c r="B8759" s="3" t="str">
        <f>IFERROR(__xludf.DUMMYFUNCTION("""COMPUTED_VALUE"""),"psp")</f>
        <v>psp</v>
      </c>
      <c r="C8759" s="3" t="str">
        <f>IFERROR(__xludf.DUMMYFUNCTION("""COMPUTED_VALUE"""),"ParaSwap")</f>
        <v>ParaSwap</v>
      </c>
    </row>
    <row r="8760">
      <c r="A8760" s="3" t="str">
        <f>IFERROR(__xludf.DUMMYFUNCTION("""COMPUTED_VALUE"""),"paratoken-2")</f>
        <v>paratoken-2</v>
      </c>
      <c r="B8760" s="3" t="str">
        <f>IFERROR(__xludf.DUMMYFUNCTION("""COMPUTED_VALUE"""),"para")</f>
        <v>para</v>
      </c>
      <c r="C8760" s="3" t="str">
        <f>IFERROR(__xludf.DUMMYFUNCTION("""COMPUTED_VALUE"""),"Para")</f>
        <v>Para</v>
      </c>
    </row>
    <row r="8761">
      <c r="A8761" s="3" t="str">
        <f>IFERROR(__xludf.DUMMYFUNCTION("""COMPUTED_VALUE"""),"parex")</f>
        <v>parex</v>
      </c>
      <c r="B8761" s="3" t="str">
        <f>IFERROR(__xludf.DUMMYFUNCTION("""COMPUTED_VALUE"""),"prx")</f>
        <v>prx</v>
      </c>
      <c r="C8761" s="3" t="str">
        <f>IFERROR(__xludf.DUMMYFUNCTION("""COMPUTED_VALUE"""),"Parex")</f>
        <v>Parex</v>
      </c>
    </row>
    <row r="8762">
      <c r="A8762" s="3" t="str">
        <f>IFERROR(__xludf.DUMMYFUNCTION("""COMPUTED_VALUE"""),"paribu-net")</f>
        <v>paribu-net</v>
      </c>
      <c r="B8762" s="3" t="str">
        <f>IFERROR(__xludf.DUMMYFUNCTION("""COMPUTED_VALUE"""),"prb")</f>
        <v>prb</v>
      </c>
      <c r="C8762" s="3" t="str">
        <f>IFERROR(__xludf.DUMMYFUNCTION("""COMPUTED_VALUE"""),"Paribu Net")</f>
        <v>Paribu Net</v>
      </c>
    </row>
    <row r="8763">
      <c r="A8763" s="3" t="str">
        <f>IFERROR(__xludf.DUMMYFUNCTION("""COMPUTED_VALUE"""),"paribus")</f>
        <v>paribus</v>
      </c>
      <c r="B8763" s="3" t="str">
        <f>IFERROR(__xludf.DUMMYFUNCTION("""COMPUTED_VALUE"""),"pbx")</f>
        <v>pbx</v>
      </c>
      <c r="C8763" s="3" t="str">
        <f>IFERROR(__xludf.DUMMYFUNCTION("""COMPUTED_VALUE"""),"Paribus")</f>
        <v>Paribus</v>
      </c>
    </row>
    <row r="8764">
      <c r="A8764" s="3" t="str">
        <f>IFERROR(__xludf.DUMMYFUNCTION("""COMPUTED_VALUE"""),"paris-saint-germain-fan-token")</f>
        <v>paris-saint-germain-fan-token</v>
      </c>
      <c r="B8764" s="3" t="str">
        <f>IFERROR(__xludf.DUMMYFUNCTION("""COMPUTED_VALUE"""),"psg")</f>
        <v>psg</v>
      </c>
      <c r="C8764" s="3" t="str">
        <f>IFERROR(__xludf.DUMMYFUNCTION("""COMPUTED_VALUE"""),"Paris Saint-Germain Fan Token")</f>
        <v>Paris Saint-Germain Fan Token</v>
      </c>
    </row>
    <row r="8765">
      <c r="A8765" s="3" t="str">
        <f>IFERROR(__xludf.DUMMYFUNCTION("""COMPUTED_VALUE"""),"parkgene")</f>
        <v>parkgene</v>
      </c>
      <c r="B8765" s="3" t="str">
        <f>IFERROR(__xludf.DUMMYFUNCTION("""COMPUTED_VALUE"""),"gene")</f>
        <v>gene</v>
      </c>
      <c r="C8765" s="3" t="str">
        <f>IFERROR(__xludf.DUMMYFUNCTION("""COMPUTED_VALUE"""),"Parkgene")</f>
        <v>Parkgene</v>
      </c>
    </row>
    <row r="8766">
      <c r="A8766" s="3" t="str">
        <f>IFERROR(__xludf.DUMMYFUNCTION("""COMPUTED_VALUE"""),"parma")</f>
        <v>parma</v>
      </c>
      <c r="B8766" s="3" t="str">
        <f>IFERROR(__xludf.DUMMYFUNCTION("""COMPUTED_VALUE"""),"parma")</f>
        <v>parma</v>
      </c>
      <c r="C8766" s="3" t="str">
        <f>IFERROR(__xludf.DUMMYFUNCTION("""COMPUTED_VALUE"""),"PARMA")</f>
        <v>PARMA</v>
      </c>
    </row>
    <row r="8767">
      <c r="A8767" s="3" t="str">
        <f>IFERROR(__xludf.DUMMYFUNCTION("""COMPUTED_VALUE"""),"parrot-protocol")</f>
        <v>parrot-protocol</v>
      </c>
      <c r="B8767" s="3" t="str">
        <f>IFERROR(__xludf.DUMMYFUNCTION("""COMPUTED_VALUE"""),"prt")</f>
        <v>prt</v>
      </c>
      <c r="C8767" s="3" t="str">
        <f>IFERROR(__xludf.DUMMYFUNCTION("""COMPUTED_VALUE"""),"Parrot Protocol")</f>
        <v>Parrot Protocol</v>
      </c>
    </row>
    <row r="8768">
      <c r="A8768" s="3" t="str">
        <f>IFERROR(__xludf.DUMMYFUNCTION("""COMPUTED_VALUE"""),"parrot-usd")</f>
        <v>parrot-usd</v>
      </c>
      <c r="B8768" s="3" t="str">
        <f>IFERROR(__xludf.DUMMYFUNCTION("""COMPUTED_VALUE"""),"pai")</f>
        <v>pai</v>
      </c>
      <c r="C8768" s="3" t="str">
        <f>IFERROR(__xludf.DUMMYFUNCTION("""COMPUTED_VALUE"""),"Parrot USD")</f>
        <v>Parrot USD</v>
      </c>
    </row>
    <row r="8769">
      <c r="A8769" s="3" t="str">
        <f>IFERROR(__xludf.DUMMYFUNCTION("""COMPUTED_VALUE"""),"parsiq")</f>
        <v>parsiq</v>
      </c>
      <c r="B8769" s="3" t="str">
        <f>IFERROR(__xludf.DUMMYFUNCTION("""COMPUTED_VALUE"""),"prq")</f>
        <v>prq</v>
      </c>
      <c r="C8769" s="3" t="str">
        <f>IFERROR(__xludf.DUMMYFUNCTION("""COMPUTED_VALUE"""),"PARSIQ")</f>
        <v>PARSIQ</v>
      </c>
    </row>
    <row r="8770">
      <c r="A8770" s="3" t="str">
        <f>IFERROR(__xludf.DUMMYFUNCTION("""COMPUTED_VALUE"""),"parsl")</f>
        <v>parsl</v>
      </c>
      <c r="B8770" s="3" t="str">
        <f>IFERROR(__xludf.DUMMYFUNCTION("""COMPUTED_VALUE"""),"seed")</f>
        <v>seed</v>
      </c>
      <c r="C8770" s="3" t="str">
        <f>IFERROR(__xludf.DUMMYFUNCTION("""COMPUTED_VALUE"""),"Parsl")</f>
        <v>Parsl</v>
      </c>
    </row>
    <row r="8771">
      <c r="A8771" s="3" t="str">
        <f>IFERROR(__xludf.DUMMYFUNCTION("""COMPUTED_VALUE"""),"par-stablecoin")</f>
        <v>par-stablecoin</v>
      </c>
      <c r="B8771" s="3" t="str">
        <f>IFERROR(__xludf.DUMMYFUNCTION("""COMPUTED_VALUE"""),"par")</f>
        <v>par</v>
      </c>
      <c r="C8771" s="3" t="str">
        <f>IFERROR(__xludf.DUMMYFUNCTION("""COMPUTED_VALUE"""),"Parallel")</f>
        <v>Parallel</v>
      </c>
    </row>
    <row r="8772">
      <c r="A8772" s="3" t="str">
        <f>IFERROR(__xludf.DUMMYFUNCTION("""COMPUTED_VALUE"""),"particl")</f>
        <v>particl</v>
      </c>
      <c r="B8772" s="3" t="str">
        <f>IFERROR(__xludf.DUMMYFUNCTION("""COMPUTED_VALUE"""),"part")</f>
        <v>part</v>
      </c>
      <c r="C8772" s="3" t="str">
        <f>IFERROR(__xludf.DUMMYFUNCTION("""COMPUTED_VALUE"""),"Particl")</f>
        <v>Particl</v>
      </c>
    </row>
    <row r="8773">
      <c r="A8773" s="3" t="str">
        <f>IFERROR(__xludf.DUMMYFUNCTION("""COMPUTED_VALUE"""),"particle-2")</f>
        <v>particle-2</v>
      </c>
      <c r="B8773" s="3" t="str">
        <f>IFERROR(__xludf.DUMMYFUNCTION("""COMPUTED_VALUE"""),"prtcle")</f>
        <v>prtcle</v>
      </c>
      <c r="C8773" s="3" t="str">
        <f>IFERROR(__xludf.DUMMYFUNCTION("""COMPUTED_VALUE"""),"Particle")</f>
        <v>Particle</v>
      </c>
    </row>
    <row r="8774">
      <c r="A8774" s="3" t="str">
        <f>IFERROR(__xludf.DUMMYFUNCTION("""COMPUTED_VALUE"""),"particle-technology")</f>
        <v>particle-technology</v>
      </c>
      <c r="B8774" s="3" t="str">
        <f>IFERROR(__xludf.DUMMYFUNCTION("""COMPUTED_VALUE"""),"part")</f>
        <v>part</v>
      </c>
      <c r="C8774" s="3" t="str">
        <f>IFERROR(__xludf.DUMMYFUNCTION("""COMPUTED_VALUE"""),"Particle Technology")</f>
        <v>Particle Technology</v>
      </c>
    </row>
    <row r="8775">
      <c r="A8775" s="3" t="str">
        <f>IFERROR(__xludf.DUMMYFUNCTION("""COMPUTED_VALUE"""),"partneroid")</f>
        <v>partneroid</v>
      </c>
      <c r="B8775" s="3" t="str">
        <f>IFERROR(__xludf.DUMMYFUNCTION("""COMPUTED_VALUE"""),"ptr")</f>
        <v>ptr</v>
      </c>
      <c r="C8775" s="3" t="str">
        <f>IFERROR(__xludf.DUMMYFUNCTION("""COMPUTED_VALUE"""),"Partner Coin")</f>
        <v>Partner Coin</v>
      </c>
    </row>
    <row r="8776">
      <c r="A8776" s="3" t="str">
        <f>IFERROR(__xludf.DUMMYFUNCTION("""COMPUTED_VALUE"""),"parts-of-four-coin")</f>
        <v>parts-of-four-coin</v>
      </c>
      <c r="B8776" s="3" t="str">
        <f>IFERROR(__xludf.DUMMYFUNCTION("""COMPUTED_VALUE"""),"p4c")</f>
        <v>p4c</v>
      </c>
      <c r="C8776" s="3" t="str">
        <f>IFERROR(__xludf.DUMMYFUNCTION("""COMPUTED_VALUE"""),"Parts of Four Coin")</f>
        <v>Parts of Four Coin</v>
      </c>
    </row>
    <row r="8777">
      <c r="A8777" s="3" t="str">
        <f>IFERROR(__xludf.DUMMYFUNCTION("""COMPUTED_VALUE"""),"partyfi")</f>
        <v>partyfi</v>
      </c>
      <c r="B8777" s="3" t="str">
        <f>IFERROR(__xludf.DUMMYFUNCTION("""COMPUTED_VALUE"""),"pfi")</f>
        <v>pfi</v>
      </c>
      <c r="C8777" s="3" t="str">
        <f>IFERROR(__xludf.DUMMYFUNCTION("""COMPUTED_VALUE"""),"PartyFi")</f>
        <v>PartyFi</v>
      </c>
    </row>
    <row r="8778">
      <c r="A8778" s="3" t="str">
        <f>IFERROR(__xludf.DUMMYFUNCTION("""COMPUTED_VALUE"""),"pascalcoin")</f>
        <v>pascalcoin</v>
      </c>
      <c r="B8778" s="3" t="str">
        <f>IFERROR(__xludf.DUMMYFUNCTION("""COMPUTED_VALUE"""),"pasc")</f>
        <v>pasc</v>
      </c>
      <c r="C8778" s="3" t="str">
        <f>IFERROR(__xludf.DUMMYFUNCTION("""COMPUTED_VALUE"""),"Pascal")</f>
        <v>Pascal</v>
      </c>
    </row>
    <row r="8779">
      <c r="A8779" s="3" t="str">
        <f>IFERROR(__xludf.DUMMYFUNCTION("""COMPUTED_VALUE"""),"pasha")</f>
        <v>pasha</v>
      </c>
      <c r="B8779" s="3" t="str">
        <f>IFERROR(__xludf.DUMMYFUNCTION("""COMPUTED_VALUE"""),"pasha")</f>
        <v>pasha</v>
      </c>
      <c r="C8779" s="3" t="str">
        <f>IFERROR(__xludf.DUMMYFUNCTION("""COMPUTED_VALUE"""),"Pasha")</f>
        <v>Pasha</v>
      </c>
    </row>
    <row r="8780">
      <c r="A8780" s="3" t="str">
        <f>IFERROR(__xludf.DUMMYFUNCTION("""COMPUTED_VALUE"""),"passive-income")</f>
        <v>passive-income</v>
      </c>
      <c r="B8780" s="3" t="str">
        <f>IFERROR(__xludf.DUMMYFUNCTION("""COMPUTED_VALUE"""),"psi")</f>
        <v>psi</v>
      </c>
      <c r="C8780" s="3" t="str">
        <f>IFERROR(__xludf.DUMMYFUNCTION("""COMPUTED_VALUE"""),"Passive Income")</f>
        <v>Passive Income</v>
      </c>
    </row>
    <row r="8781">
      <c r="A8781" s="3" t="str">
        <f>IFERROR(__xludf.DUMMYFUNCTION("""COMPUTED_VALUE"""),"passive-token")</f>
        <v>passive-token</v>
      </c>
      <c r="B8781" s="3" t="str">
        <f>IFERROR(__xludf.DUMMYFUNCTION("""COMPUTED_VALUE"""),"passive")</f>
        <v>passive</v>
      </c>
      <c r="C8781" s="3" t="str">
        <f>IFERROR(__xludf.DUMMYFUNCTION("""COMPUTED_VALUE"""),"Passive")</f>
        <v>Passive</v>
      </c>
    </row>
    <row r="8782">
      <c r="A8782" s="3" t="str">
        <f>IFERROR(__xludf.DUMMYFUNCTION("""COMPUTED_VALUE"""),"pastel")</f>
        <v>pastel</v>
      </c>
      <c r="B8782" s="3" t="str">
        <f>IFERROR(__xludf.DUMMYFUNCTION("""COMPUTED_VALUE"""),"psl")</f>
        <v>psl</v>
      </c>
      <c r="C8782" s="3" t="str">
        <f>IFERROR(__xludf.DUMMYFUNCTION("""COMPUTED_VALUE"""),"Pastel")</f>
        <v>Pastel</v>
      </c>
    </row>
    <row r="8783">
      <c r="A8783" s="3" t="str">
        <f>IFERROR(__xludf.DUMMYFUNCTION("""COMPUTED_VALUE"""),"pathdao")</f>
        <v>pathdao</v>
      </c>
      <c r="B8783" s="3" t="str">
        <f>IFERROR(__xludf.DUMMYFUNCTION("""COMPUTED_VALUE"""),"path")</f>
        <v>path</v>
      </c>
      <c r="C8783" s="3" t="str">
        <f>IFERROR(__xludf.DUMMYFUNCTION("""COMPUTED_VALUE"""),"PathDAO")</f>
        <v>PathDAO</v>
      </c>
    </row>
    <row r="8784">
      <c r="A8784" s="3" t="str">
        <f>IFERROR(__xludf.DUMMYFUNCTION("""COMPUTED_VALUE"""),"pathfundv2")</f>
        <v>pathfundv2</v>
      </c>
      <c r="B8784" s="3" t="str">
        <f>IFERROR(__xludf.DUMMYFUNCTION("""COMPUTED_VALUE"""),"path")</f>
        <v>path</v>
      </c>
      <c r="C8784" s="3" t="str">
        <f>IFERROR(__xludf.DUMMYFUNCTION("""COMPUTED_VALUE"""),"PathFundV2")</f>
        <v>PathFundV2</v>
      </c>
    </row>
    <row r="8785">
      <c r="A8785" s="3" t="str">
        <f>IFERROR(__xludf.DUMMYFUNCTION("""COMPUTED_VALUE"""),"patientory")</f>
        <v>patientory</v>
      </c>
      <c r="B8785" s="3" t="str">
        <f>IFERROR(__xludf.DUMMYFUNCTION("""COMPUTED_VALUE"""),"ptoy")</f>
        <v>ptoy</v>
      </c>
      <c r="C8785" s="3" t="str">
        <f>IFERROR(__xludf.DUMMYFUNCTION("""COMPUTED_VALUE"""),"Patientory")</f>
        <v>Patientory</v>
      </c>
    </row>
    <row r="8786">
      <c r="A8786" s="3" t="str">
        <f>IFERROR(__xludf.DUMMYFUNCTION("""COMPUTED_VALUE"""),"patriot-exchange")</f>
        <v>patriot-exchange</v>
      </c>
      <c r="B8786" s="3" t="str">
        <f>IFERROR(__xludf.DUMMYFUNCTION("""COMPUTED_VALUE"""),"patx")</f>
        <v>patx</v>
      </c>
      <c r="C8786" s="3" t="str">
        <f>IFERROR(__xludf.DUMMYFUNCTION("""COMPUTED_VALUE"""),"Patriot Exchange")</f>
        <v>Patriot Exchange</v>
      </c>
    </row>
    <row r="8787">
      <c r="A8787" s="3" t="str">
        <f>IFERROR(__xludf.DUMMYFUNCTION("""COMPUTED_VALUE"""),"patron")</f>
        <v>patron</v>
      </c>
      <c r="B8787" s="3" t="str">
        <f>IFERROR(__xludf.DUMMYFUNCTION("""COMPUTED_VALUE"""),"pat")</f>
        <v>pat</v>
      </c>
      <c r="C8787" s="3" t="str">
        <f>IFERROR(__xludf.DUMMYFUNCTION("""COMPUTED_VALUE"""),"Patron")</f>
        <v>Patron</v>
      </c>
    </row>
    <row r="8788">
      <c r="A8788" s="3" t="str">
        <f>IFERROR(__xludf.DUMMYFUNCTION("""COMPUTED_VALUE"""),"paul-token")</f>
        <v>paul-token</v>
      </c>
      <c r="B8788" s="3" t="str">
        <f>IFERROR(__xludf.DUMMYFUNCTION("""COMPUTED_VALUE"""),"paul")</f>
        <v>paul</v>
      </c>
      <c r="C8788" s="3" t="str">
        <f>IFERROR(__xludf.DUMMYFUNCTION("""COMPUTED_VALUE"""),"PAUL")</f>
        <v>PAUL</v>
      </c>
    </row>
    <row r="8789">
      <c r="A8789" s="3" t="str">
        <f>IFERROR(__xludf.DUMMYFUNCTION("""COMPUTED_VALUE"""),"pavecoin")</f>
        <v>pavecoin</v>
      </c>
      <c r="B8789" s="3" t="str">
        <f>IFERROR(__xludf.DUMMYFUNCTION("""COMPUTED_VALUE"""),"pvn")</f>
        <v>pvn</v>
      </c>
      <c r="C8789" s="3" t="str">
        <f>IFERROR(__xludf.DUMMYFUNCTION("""COMPUTED_VALUE"""),"Pavecoin")</f>
        <v>Pavecoin</v>
      </c>
    </row>
    <row r="8790">
      <c r="A8790" s="3" t="str">
        <f>IFERROR(__xludf.DUMMYFUNCTION("""COMPUTED_VALUE"""),"pavia")</f>
        <v>pavia</v>
      </c>
      <c r="B8790" s="3" t="str">
        <f>IFERROR(__xludf.DUMMYFUNCTION("""COMPUTED_VALUE"""),"pavia")</f>
        <v>pavia</v>
      </c>
      <c r="C8790" s="3" t="str">
        <f>IFERROR(__xludf.DUMMYFUNCTION("""COMPUTED_VALUE"""),"Pavia")</f>
        <v>Pavia</v>
      </c>
    </row>
    <row r="8791">
      <c r="A8791" s="3" t="str">
        <f>IFERROR(__xludf.DUMMYFUNCTION("""COMPUTED_VALUE"""),"paw")</f>
        <v>paw</v>
      </c>
      <c r="B8791" s="3" t="str">
        <f>IFERROR(__xludf.DUMMYFUNCTION("""COMPUTED_VALUE"""),"paw")</f>
        <v>paw</v>
      </c>
      <c r="C8791" s="3" t="str">
        <f>IFERROR(__xludf.DUMMYFUNCTION("""COMPUTED_VALUE"""),"Paw")</f>
        <v>Paw</v>
      </c>
    </row>
    <row r="8792">
      <c r="A8792" s="3" t="str">
        <f>IFERROR(__xludf.DUMMYFUNCTION("""COMPUTED_VALUE"""),"pawn-2")</f>
        <v>pawn-2</v>
      </c>
      <c r="B8792" s="3" t="str">
        <f>IFERROR(__xludf.DUMMYFUNCTION("""COMPUTED_VALUE"""),"pawn")</f>
        <v>pawn</v>
      </c>
      <c r="C8792" s="3" t="str">
        <f>IFERROR(__xludf.DUMMYFUNCTION("""COMPUTED_VALUE"""),"Pawn")</f>
        <v>Pawn</v>
      </c>
    </row>
    <row r="8793">
      <c r="A8793" s="3" t="str">
        <f>IFERROR(__xludf.DUMMYFUNCTION("""COMPUTED_VALUE"""),"pawn-my-nft")</f>
        <v>pawn-my-nft</v>
      </c>
      <c r="B8793" s="3" t="str">
        <f>IFERROR(__xludf.DUMMYFUNCTION("""COMPUTED_VALUE"""),"pnft")</f>
        <v>pnft</v>
      </c>
      <c r="C8793" s="3" t="str">
        <f>IFERROR(__xludf.DUMMYFUNCTION("""COMPUTED_VALUE"""),"Pawn My NFT")</f>
        <v>Pawn My NFT</v>
      </c>
    </row>
    <row r="8794">
      <c r="A8794" s="3" t="str">
        <f>IFERROR(__xludf.DUMMYFUNCTION("""COMPUTED_VALUE"""),"paws-funds")</f>
        <v>paws-funds</v>
      </c>
      <c r="B8794" s="3" t="str">
        <f>IFERROR(__xludf.DUMMYFUNCTION("""COMPUTED_VALUE"""),"paws")</f>
        <v>paws</v>
      </c>
      <c r="C8794" s="3" t="str">
        <f>IFERROR(__xludf.DUMMYFUNCTION("""COMPUTED_VALUE"""),"Paws Funds")</f>
        <v>Paws Funds</v>
      </c>
    </row>
    <row r="8795">
      <c r="A8795" s="3" t="str">
        <f>IFERROR(__xludf.DUMMYFUNCTION("""COMPUTED_VALUE"""),"pawthereum")</f>
        <v>pawthereum</v>
      </c>
      <c r="B8795" s="3" t="str">
        <f>IFERROR(__xludf.DUMMYFUNCTION("""COMPUTED_VALUE"""),"pawth")</f>
        <v>pawth</v>
      </c>
      <c r="C8795" s="3" t="str">
        <f>IFERROR(__xludf.DUMMYFUNCTION("""COMPUTED_VALUE"""),"Pawthereum")</f>
        <v>Pawthereum</v>
      </c>
    </row>
    <row r="8796">
      <c r="A8796" s="3" t="str">
        <f>IFERROR(__xludf.DUMMYFUNCTION("""COMPUTED_VALUE"""),"pawtocol")</f>
        <v>pawtocol</v>
      </c>
      <c r="B8796" s="3" t="str">
        <f>IFERROR(__xludf.DUMMYFUNCTION("""COMPUTED_VALUE"""),"upi")</f>
        <v>upi</v>
      </c>
      <c r="C8796" s="3" t="str">
        <f>IFERROR(__xludf.DUMMYFUNCTION("""COMPUTED_VALUE"""),"Pawtocol")</f>
        <v>Pawtocol</v>
      </c>
    </row>
    <row r="8797">
      <c r="A8797" s="3" t="str">
        <f>IFERROR(__xludf.DUMMYFUNCTION("""COMPUTED_VALUE"""),"paw-v2")</f>
        <v>paw-v2</v>
      </c>
      <c r="B8797" s="3" t="str">
        <f>IFERROR(__xludf.DUMMYFUNCTION("""COMPUTED_VALUE"""),"paw")</f>
        <v>paw</v>
      </c>
      <c r="C8797" s="3" t="str">
        <f>IFERROR(__xludf.DUMMYFUNCTION("""COMPUTED_VALUE"""),"Paw V2")</f>
        <v>Paw V2</v>
      </c>
    </row>
    <row r="8798">
      <c r="A8798" s="3" t="str">
        <f>IFERROR(__xludf.DUMMYFUNCTION("""COMPUTED_VALUE"""),"pax-gold")</f>
        <v>pax-gold</v>
      </c>
      <c r="B8798" s="3" t="str">
        <f>IFERROR(__xludf.DUMMYFUNCTION("""COMPUTED_VALUE"""),"paxg")</f>
        <v>paxg</v>
      </c>
      <c r="C8798" s="3" t="str">
        <f>IFERROR(__xludf.DUMMYFUNCTION("""COMPUTED_VALUE"""),"PAX Gold")</f>
        <v>PAX Gold</v>
      </c>
    </row>
    <row r="8799">
      <c r="A8799" s="3" t="str">
        <f>IFERROR(__xludf.DUMMYFUNCTION("""COMPUTED_VALUE"""),"paxos-gold-wormhole")</f>
        <v>paxos-gold-wormhole</v>
      </c>
      <c r="B8799" s="3" t="str">
        <f>IFERROR(__xludf.DUMMYFUNCTION("""COMPUTED_VALUE"""),"paxg")</f>
        <v>paxg</v>
      </c>
      <c r="C8799" s="3" t="str">
        <f>IFERROR(__xludf.DUMMYFUNCTION("""COMPUTED_VALUE"""),"Paxos Gold (Wormhole)")</f>
        <v>Paxos Gold (Wormhole)</v>
      </c>
    </row>
    <row r="8800">
      <c r="A8800" s="3" t="str">
        <f>IFERROR(__xludf.DUMMYFUNCTION("""COMPUTED_VALUE"""),"paxos-standard")</f>
        <v>paxos-standard</v>
      </c>
      <c r="B8800" s="3" t="str">
        <f>IFERROR(__xludf.DUMMYFUNCTION("""COMPUTED_VALUE"""),"usdp")</f>
        <v>usdp</v>
      </c>
      <c r="C8800" s="3" t="str">
        <f>IFERROR(__xludf.DUMMYFUNCTION("""COMPUTED_VALUE"""),"Pax Dollar")</f>
        <v>Pax Dollar</v>
      </c>
    </row>
    <row r="8801">
      <c r="A8801" s="3" t="str">
        <f>IFERROR(__xludf.DUMMYFUNCTION("""COMPUTED_VALUE"""),"pax-world")</f>
        <v>pax-world</v>
      </c>
      <c r="B8801" s="3" t="str">
        <f>IFERROR(__xludf.DUMMYFUNCTION("""COMPUTED_VALUE"""),"paxw")</f>
        <v>paxw</v>
      </c>
      <c r="C8801" s="3" t="str">
        <f>IFERROR(__xludf.DUMMYFUNCTION("""COMPUTED_VALUE"""),"pax.world")</f>
        <v>pax.world</v>
      </c>
    </row>
    <row r="8802">
      <c r="A8802" s="3" t="str">
        <f>IFERROR(__xludf.DUMMYFUNCTION("""COMPUTED_VALUE"""),"payaccept")</f>
        <v>payaccept</v>
      </c>
      <c r="B8802" s="3" t="str">
        <f>IFERROR(__xludf.DUMMYFUNCTION("""COMPUTED_VALUE"""),"payt")</f>
        <v>payt</v>
      </c>
      <c r="C8802" s="3" t="str">
        <f>IFERROR(__xludf.DUMMYFUNCTION("""COMPUTED_VALUE"""),"PayAccept")</f>
        <v>PayAccept</v>
      </c>
    </row>
    <row r="8803">
      <c r="A8803" s="3" t="str">
        <f>IFERROR(__xludf.DUMMYFUNCTION("""COMPUTED_VALUE"""),"payb")</f>
        <v>payb</v>
      </c>
      <c r="B8803" s="3" t="str">
        <f>IFERROR(__xludf.DUMMYFUNCTION("""COMPUTED_VALUE"""),"payb")</f>
        <v>payb</v>
      </c>
      <c r="C8803" s="3" t="str">
        <f>IFERROR(__xludf.DUMMYFUNCTION("""COMPUTED_VALUE"""),"PayB")</f>
        <v>PayB</v>
      </c>
    </row>
    <row r="8804">
      <c r="A8804" s="3" t="str">
        <f>IFERROR(__xludf.DUMMYFUNCTION("""COMPUTED_VALUE"""),"paybandcoin")</f>
        <v>paybandcoin</v>
      </c>
      <c r="B8804" s="3" t="str">
        <f>IFERROR(__xludf.DUMMYFUNCTION("""COMPUTED_VALUE"""),"pybc")</f>
        <v>pybc</v>
      </c>
      <c r="C8804" s="3" t="str">
        <f>IFERROR(__xludf.DUMMYFUNCTION("""COMPUTED_VALUE"""),"PaybandCoin")</f>
        <v>PaybandCoin</v>
      </c>
    </row>
    <row r="8805">
      <c r="A8805" s="3" t="str">
        <f>IFERROR(__xludf.DUMMYFUNCTION("""COMPUTED_VALUE"""),"paybolt")</f>
        <v>paybolt</v>
      </c>
      <c r="B8805" s="3" t="str">
        <f>IFERROR(__xludf.DUMMYFUNCTION("""COMPUTED_VALUE"""),"pay")</f>
        <v>pay</v>
      </c>
      <c r="C8805" s="3" t="str">
        <f>IFERROR(__xludf.DUMMYFUNCTION("""COMPUTED_VALUE"""),"PayBolt")</f>
        <v>PayBolt</v>
      </c>
    </row>
    <row r="8806">
      <c r="A8806" s="3" t="str">
        <f>IFERROR(__xludf.DUMMYFUNCTION("""COMPUTED_VALUE"""),"paycent")</f>
        <v>paycent</v>
      </c>
      <c r="B8806" s="3" t="str">
        <f>IFERROR(__xludf.DUMMYFUNCTION("""COMPUTED_VALUE"""),"pyn")</f>
        <v>pyn</v>
      </c>
      <c r="C8806" s="3" t="str">
        <f>IFERROR(__xludf.DUMMYFUNCTION("""COMPUTED_VALUE"""),"Paycent")</f>
        <v>Paycent</v>
      </c>
    </row>
    <row r="8807">
      <c r="A8807" s="3" t="str">
        <f>IFERROR(__xludf.DUMMYFUNCTION("""COMPUTED_VALUE"""),"paycer-protocol")</f>
        <v>paycer-protocol</v>
      </c>
      <c r="B8807" s="3" t="str">
        <f>IFERROR(__xludf.DUMMYFUNCTION("""COMPUTED_VALUE"""),"pcr")</f>
        <v>pcr</v>
      </c>
      <c r="C8807" s="3" t="str">
        <f>IFERROR(__xludf.DUMMYFUNCTION("""COMPUTED_VALUE"""),"Paycer Protocol")</f>
        <v>Paycer Protocol</v>
      </c>
    </row>
    <row r="8808">
      <c r="A8808" s="3" t="str">
        <f>IFERROR(__xludf.DUMMYFUNCTION("""COMPUTED_VALUE"""),"paycheck-defi")</f>
        <v>paycheck-defi</v>
      </c>
      <c r="B8808" s="3" t="str">
        <f>IFERROR(__xludf.DUMMYFUNCTION("""COMPUTED_VALUE"""),"check")</f>
        <v>check</v>
      </c>
      <c r="C8808" s="3" t="str">
        <f>IFERROR(__xludf.DUMMYFUNCTION("""COMPUTED_VALUE"""),"Paycheck")</f>
        <v>Paycheck</v>
      </c>
    </row>
    <row r="8809">
      <c r="A8809" s="3" t="str">
        <f>IFERROR(__xludf.DUMMYFUNCTION("""COMPUTED_VALUE"""),"pay-coin")</f>
        <v>pay-coin</v>
      </c>
      <c r="B8809" s="3" t="str">
        <f>IFERROR(__xludf.DUMMYFUNCTION("""COMPUTED_VALUE"""),"pci")</f>
        <v>pci</v>
      </c>
      <c r="C8809" s="3" t="str">
        <f>IFERROR(__xludf.DUMMYFUNCTION("""COMPUTED_VALUE"""),"Paycoin")</f>
        <v>Paycoin</v>
      </c>
    </row>
    <row r="8810">
      <c r="A8810" s="3" t="str">
        <f>IFERROR(__xludf.DUMMYFUNCTION("""COMPUTED_VALUE"""),"paycon-token")</f>
        <v>paycon-token</v>
      </c>
      <c r="B8810" s="3" t="str">
        <f>IFERROR(__xludf.DUMMYFUNCTION("""COMPUTED_VALUE"""),"con")</f>
        <v>con</v>
      </c>
      <c r="C8810" s="3" t="str">
        <f>IFERROR(__xludf.DUMMYFUNCTION("""COMPUTED_VALUE"""),"Paycon")</f>
        <v>Paycon</v>
      </c>
    </row>
    <row r="8811">
      <c r="A8811" s="3" t="str">
        <f>IFERROR(__xludf.DUMMYFUNCTION("""COMPUTED_VALUE"""),"paydex")</f>
        <v>paydex</v>
      </c>
      <c r="B8811" s="3" t="str">
        <f>IFERROR(__xludf.DUMMYFUNCTION("""COMPUTED_VALUE"""),"dpay")</f>
        <v>dpay</v>
      </c>
      <c r="C8811" s="3" t="str">
        <f>IFERROR(__xludf.DUMMYFUNCTION("""COMPUTED_VALUE"""),"PayDex")</f>
        <v>PayDex</v>
      </c>
    </row>
    <row r="8812">
      <c r="A8812" s="3" t="str">
        <f>IFERROR(__xludf.DUMMYFUNCTION("""COMPUTED_VALUE"""),"payflow")</f>
        <v>payflow</v>
      </c>
      <c r="B8812" s="3" t="str">
        <f>IFERROR(__xludf.DUMMYFUNCTION("""COMPUTED_VALUE"""),"pft")</f>
        <v>pft</v>
      </c>
      <c r="C8812" s="3" t="str">
        <f>IFERROR(__xludf.DUMMYFUNCTION("""COMPUTED_VALUE"""),"PayFlow")</f>
        <v>PayFlow</v>
      </c>
    </row>
    <row r="8813">
      <c r="A8813" s="3" t="str">
        <f>IFERROR(__xludf.DUMMYFUNCTION("""COMPUTED_VALUE"""),"paygo")</f>
        <v>paygo</v>
      </c>
      <c r="B8813" s="3" t="str">
        <f>IFERROR(__xludf.DUMMYFUNCTION("""COMPUTED_VALUE"""),"paygo")</f>
        <v>paygo</v>
      </c>
      <c r="C8813" s="3" t="str">
        <f>IFERROR(__xludf.DUMMYFUNCTION("""COMPUTED_VALUE"""),"PayGo")</f>
        <v>PayGo</v>
      </c>
    </row>
    <row r="8814">
      <c r="A8814" s="3" t="str">
        <f>IFERROR(__xludf.DUMMYFUNCTION("""COMPUTED_VALUE"""),"pay-it-now")</f>
        <v>pay-it-now</v>
      </c>
      <c r="B8814" s="3" t="str">
        <f>IFERROR(__xludf.DUMMYFUNCTION("""COMPUTED_VALUE"""),"pin")</f>
        <v>pin</v>
      </c>
      <c r="C8814" s="3" t="str">
        <f>IFERROR(__xludf.DUMMYFUNCTION("""COMPUTED_VALUE"""),"Pay It Now")</f>
        <v>Pay It Now</v>
      </c>
    </row>
    <row r="8815">
      <c r="A8815" s="3" t="str">
        <f>IFERROR(__xludf.DUMMYFUNCTION("""COMPUTED_VALUE"""),"paymastercoin")</f>
        <v>paymastercoin</v>
      </c>
      <c r="B8815" s="3" t="str">
        <f>IFERROR(__xludf.DUMMYFUNCTION("""COMPUTED_VALUE"""),"pmc")</f>
        <v>pmc</v>
      </c>
      <c r="C8815" s="3" t="str">
        <f>IFERROR(__xludf.DUMMYFUNCTION("""COMPUTED_VALUE"""),"PayMasterCoin")</f>
        <v>PayMasterCoin</v>
      </c>
    </row>
    <row r="8816">
      <c r="A8816" s="3" t="str">
        <f>IFERROR(__xludf.DUMMYFUNCTION("""COMPUTED_VALUE"""),"paynet-coin")</f>
        <v>paynet-coin</v>
      </c>
      <c r="B8816" s="3" t="str">
        <f>IFERROR(__xludf.DUMMYFUNCTION("""COMPUTED_VALUE"""),"payn")</f>
        <v>payn</v>
      </c>
      <c r="C8816" s="3" t="str">
        <f>IFERROR(__xludf.DUMMYFUNCTION("""COMPUTED_VALUE"""),"PAYNET")</f>
        <v>PAYNET</v>
      </c>
    </row>
    <row r="8817">
      <c r="A8817" s="3" t="str">
        <f>IFERROR(__xludf.DUMMYFUNCTION("""COMPUTED_VALUE"""),"paypolitan-token")</f>
        <v>paypolitan-token</v>
      </c>
      <c r="B8817" s="3" t="str">
        <f>IFERROR(__xludf.DUMMYFUNCTION("""COMPUTED_VALUE"""),"epan")</f>
        <v>epan</v>
      </c>
      <c r="C8817" s="3" t="str">
        <f>IFERROR(__xludf.DUMMYFUNCTION("""COMPUTED_VALUE"""),"Paypolitan")</f>
        <v>Paypolitan</v>
      </c>
    </row>
    <row r="8818">
      <c r="A8818" s="3" t="str">
        <f>IFERROR(__xludf.DUMMYFUNCTION("""COMPUTED_VALUE"""),"payrue")</f>
        <v>payrue</v>
      </c>
      <c r="B8818" s="3" t="str">
        <f>IFERROR(__xludf.DUMMYFUNCTION("""COMPUTED_VALUE"""),"propel")</f>
        <v>propel</v>
      </c>
      <c r="C8818" s="3" t="str">
        <f>IFERROR(__xludf.DUMMYFUNCTION("""COMPUTED_VALUE"""),"Propel")</f>
        <v>Propel</v>
      </c>
    </row>
    <row r="8819">
      <c r="A8819" s="3" t="str">
        <f>IFERROR(__xludf.DUMMYFUNCTION("""COMPUTED_VALUE"""),"paytomat")</f>
        <v>paytomat</v>
      </c>
      <c r="B8819" s="3" t="str">
        <f>IFERROR(__xludf.DUMMYFUNCTION("""COMPUTED_VALUE"""),"pti")</f>
        <v>pti</v>
      </c>
      <c r="C8819" s="3" t="str">
        <f>IFERROR(__xludf.DUMMYFUNCTION("""COMPUTED_VALUE"""),"Paytomat")</f>
        <v>Paytomat</v>
      </c>
    </row>
    <row r="8820">
      <c r="A8820" s="3" t="str">
        <f>IFERROR(__xludf.DUMMYFUNCTION("""COMPUTED_VALUE"""),"payturn")</f>
        <v>payturn</v>
      </c>
      <c r="B8820" s="3" t="str">
        <f>IFERROR(__xludf.DUMMYFUNCTION("""COMPUTED_VALUE"""),"ptr")</f>
        <v>ptr</v>
      </c>
      <c r="C8820" s="3" t="str">
        <f>IFERROR(__xludf.DUMMYFUNCTION("""COMPUTED_VALUE"""),"Payturn")</f>
        <v>Payturn</v>
      </c>
    </row>
    <row r="8821">
      <c r="A8821" s="3" t="str">
        <f>IFERROR(__xludf.DUMMYFUNCTION("""COMPUTED_VALUE"""),"payyoda")</f>
        <v>payyoda</v>
      </c>
      <c r="B8821" s="3" t="str">
        <f>IFERROR(__xludf.DUMMYFUNCTION("""COMPUTED_VALUE"""),"yot")</f>
        <v>yot</v>
      </c>
      <c r="C8821" s="3" t="str">
        <f>IFERROR(__xludf.DUMMYFUNCTION("""COMPUTED_VALUE"""),"PayYoda")</f>
        <v>PayYoda</v>
      </c>
    </row>
    <row r="8822">
      <c r="A8822" s="3" t="str">
        <f>IFERROR(__xludf.DUMMYFUNCTION("""COMPUTED_VALUE"""),"payz-payments")</f>
        <v>payz-payments</v>
      </c>
      <c r="B8822" s="3" t="str">
        <f>IFERROR(__xludf.DUMMYFUNCTION("""COMPUTED_VALUE"""),"payz")</f>
        <v>payz</v>
      </c>
      <c r="C8822" s="3" t="str">
        <f>IFERROR(__xludf.DUMMYFUNCTION("""COMPUTED_VALUE"""),"Payz Payments")</f>
        <v>Payz Payments</v>
      </c>
    </row>
    <row r="8823">
      <c r="A8823" s="3" t="str">
        <f>IFERROR(__xludf.DUMMYFUNCTION("""COMPUTED_VALUE"""),"pbtc35a")</f>
        <v>pbtc35a</v>
      </c>
      <c r="B8823" s="3" t="str">
        <f>IFERROR(__xludf.DUMMYFUNCTION("""COMPUTED_VALUE"""),"pbtc35a")</f>
        <v>pbtc35a</v>
      </c>
      <c r="C8823" s="3" t="str">
        <f>IFERROR(__xludf.DUMMYFUNCTION("""COMPUTED_VALUE"""),"pBTC35A")</f>
        <v>pBTC35A</v>
      </c>
    </row>
    <row r="8824">
      <c r="A8824" s="3" t="str">
        <f>IFERROR(__xludf.DUMMYFUNCTION("""COMPUTED_VALUE"""),"pchain")</f>
        <v>pchain</v>
      </c>
      <c r="B8824" s="3" t="str">
        <f>IFERROR(__xludf.DUMMYFUNCTION("""COMPUTED_VALUE"""),"pi")</f>
        <v>pi</v>
      </c>
      <c r="C8824" s="3" t="str">
        <f>IFERROR(__xludf.DUMMYFUNCTION("""COMPUTED_VALUE"""),"Plian")</f>
        <v>Plian</v>
      </c>
    </row>
    <row r="8825">
      <c r="A8825" s="3" t="str">
        <f>IFERROR(__xludf.DUMMYFUNCTION("""COMPUTED_VALUE"""),"pdbc-defichain")</f>
        <v>pdbc-defichain</v>
      </c>
      <c r="B8825" s="3" t="str">
        <f>IFERROR(__xludf.DUMMYFUNCTION("""COMPUTED_VALUE"""),"dpdbc")</f>
        <v>dpdbc</v>
      </c>
      <c r="C8825" s="3" t="str">
        <f>IFERROR(__xludf.DUMMYFUNCTION("""COMPUTED_VALUE"""),"PDBC Defichain")</f>
        <v>PDBC Defichain</v>
      </c>
    </row>
    <row r="8826">
      <c r="A8826" s="3" t="str">
        <f>IFERROR(__xludf.DUMMYFUNCTION("""COMPUTED_VALUE"""),"pdshare")</f>
        <v>pdshare</v>
      </c>
      <c r="B8826" s="3" t="str">
        <f>IFERROR(__xludf.DUMMYFUNCTION("""COMPUTED_VALUE"""),"pdshare")</f>
        <v>pdshare</v>
      </c>
      <c r="C8826" s="3" t="str">
        <f>IFERROR(__xludf.DUMMYFUNCTION("""COMPUTED_VALUE"""),"PDSHARE")</f>
        <v>PDSHARE</v>
      </c>
    </row>
    <row r="8827">
      <c r="A8827" s="3" t="str">
        <f>IFERROR(__xludf.DUMMYFUNCTION("""COMPUTED_VALUE"""),"pdx-coin")</f>
        <v>pdx-coin</v>
      </c>
      <c r="B8827" s="3" t="str">
        <f>IFERROR(__xludf.DUMMYFUNCTION("""COMPUTED_VALUE"""),"pdx")</f>
        <v>pdx</v>
      </c>
      <c r="C8827" s="3" t="str">
        <f>IFERROR(__xludf.DUMMYFUNCTION("""COMPUTED_VALUE"""),"PDX Coin")</f>
        <v>PDX Coin</v>
      </c>
    </row>
    <row r="8828">
      <c r="A8828" s="3" t="str">
        <f>IFERROR(__xludf.DUMMYFUNCTION("""COMPUTED_VALUE"""),"peace-dao")</f>
        <v>peace-dao</v>
      </c>
      <c r="B8828" s="3" t="str">
        <f>IFERROR(__xludf.DUMMYFUNCTION("""COMPUTED_VALUE"""),"peace")</f>
        <v>peace</v>
      </c>
      <c r="C8828" s="3" t="str">
        <f>IFERROR(__xludf.DUMMYFUNCTION("""COMPUTED_VALUE"""),"Peace DAO")</f>
        <v>Peace DAO</v>
      </c>
    </row>
    <row r="8829">
      <c r="A8829" s="3" t="str">
        <f>IFERROR(__xludf.DUMMYFUNCTION("""COMPUTED_VALUE"""),"peace-token")</f>
        <v>peace-token</v>
      </c>
      <c r="B8829" s="3" t="str">
        <f>IFERROR(__xludf.DUMMYFUNCTION("""COMPUTED_VALUE"""),"pet")</f>
        <v>pet</v>
      </c>
      <c r="C8829" s="3" t="str">
        <f>IFERROR(__xludf.DUMMYFUNCTION("""COMPUTED_VALUE"""),"Peace")</f>
        <v>Peace</v>
      </c>
    </row>
    <row r="8830">
      <c r="A8830" s="3" t="str">
        <f>IFERROR(__xludf.DUMMYFUNCTION("""COMPUTED_VALUE"""),"peach-finance")</f>
        <v>peach-finance</v>
      </c>
      <c r="B8830" s="3" t="str">
        <f>IFERROR(__xludf.DUMMYFUNCTION("""COMPUTED_VALUE"""),"peech")</f>
        <v>peech</v>
      </c>
      <c r="C8830" s="3" t="str">
        <f>IFERROR(__xludf.DUMMYFUNCTION("""COMPUTED_VALUE"""),"Peach Finance")</f>
        <v>Peach Finance</v>
      </c>
    </row>
    <row r="8831">
      <c r="A8831" s="3" t="str">
        <f>IFERROR(__xludf.DUMMYFUNCTION("""COMPUTED_VALUE"""),"peachfolio")</f>
        <v>peachfolio</v>
      </c>
      <c r="B8831" s="3" t="str">
        <f>IFERROR(__xludf.DUMMYFUNCTION("""COMPUTED_VALUE"""),"pchf")</f>
        <v>pchf</v>
      </c>
      <c r="C8831" s="3" t="str">
        <f>IFERROR(__xludf.DUMMYFUNCTION("""COMPUTED_VALUE"""),"Peachfolio")</f>
        <v>Peachfolio</v>
      </c>
    </row>
    <row r="8832">
      <c r="A8832" s="3" t="str">
        <f>IFERROR(__xludf.DUMMYFUNCTION("""COMPUTED_VALUE"""),"peachpye")</f>
        <v>peachpye</v>
      </c>
      <c r="B8832" s="3" t="str">
        <f>IFERROR(__xludf.DUMMYFUNCTION("""COMPUTED_VALUE"""),"peachpye")</f>
        <v>peachpye</v>
      </c>
      <c r="C8832" s="3" t="str">
        <f>IFERROR(__xludf.DUMMYFUNCTION("""COMPUTED_VALUE"""),"PEACHPYE")</f>
        <v>PEACHPYE</v>
      </c>
    </row>
    <row r="8833">
      <c r="A8833" s="3" t="str">
        <f>IFERROR(__xludf.DUMMYFUNCTION("""COMPUTED_VALUE"""),"peacockcoin-eth")</f>
        <v>peacockcoin-eth</v>
      </c>
      <c r="B8833" s="3" t="str">
        <f>IFERROR(__xludf.DUMMYFUNCTION("""COMPUTED_VALUE"""),"pekc")</f>
        <v>pekc</v>
      </c>
      <c r="C8833" s="3" t="str">
        <f>IFERROR(__xludf.DUMMYFUNCTION("""COMPUTED_VALUE"""),"Peacockcoin (ETH)")</f>
        <v>Peacockcoin (ETH)</v>
      </c>
    </row>
    <row r="8834">
      <c r="A8834" s="3" t="str">
        <f>IFERROR(__xludf.DUMMYFUNCTION("""COMPUTED_VALUE"""),"pea-farm")</f>
        <v>pea-farm</v>
      </c>
      <c r="B8834" s="3" t="str">
        <f>IFERROR(__xludf.DUMMYFUNCTION("""COMPUTED_VALUE"""),"pea")</f>
        <v>pea</v>
      </c>
      <c r="C8834" s="3" t="str">
        <f>IFERROR(__xludf.DUMMYFUNCTION("""COMPUTED_VALUE"""),"Pea Farm")</f>
        <v>Pea Farm</v>
      </c>
    </row>
    <row r="8835">
      <c r="A8835" s="3" t="str">
        <f>IFERROR(__xludf.DUMMYFUNCTION("""COMPUTED_VALUE"""),"peak-finance")</f>
        <v>peak-finance</v>
      </c>
      <c r="B8835" s="3" t="str">
        <f>IFERROR(__xludf.DUMMYFUNCTION("""COMPUTED_VALUE"""),"peak")</f>
        <v>peak</v>
      </c>
      <c r="C8835" s="3" t="str">
        <f>IFERROR(__xludf.DUMMYFUNCTION("""COMPUTED_VALUE"""),"Peak Finance")</f>
        <v>Peak Finance</v>
      </c>
    </row>
    <row r="8836">
      <c r="A8836" s="3" t="str">
        <f>IFERROR(__xludf.DUMMYFUNCTION("""COMPUTED_VALUE"""),"peakmines-peak")</f>
        <v>peakmines-peak</v>
      </c>
      <c r="B8836" s="3" t="str">
        <f>IFERROR(__xludf.DUMMYFUNCTION("""COMPUTED_VALUE"""),"peak")</f>
        <v>peak</v>
      </c>
      <c r="C8836" s="3" t="str">
        <f>IFERROR(__xludf.DUMMYFUNCTION("""COMPUTED_VALUE"""),"Peakmines PEAK")</f>
        <v>Peakmines PEAK</v>
      </c>
    </row>
    <row r="8837">
      <c r="A8837" s="3" t="str">
        <f>IFERROR(__xludf.DUMMYFUNCTION("""COMPUTED_VALUE"""),"peanut")</f>
        <v>peanut</v>
      </c>
      <c r="B8837" s="3" t="str">
        <f>IFERROR(__xludf.DUMMYFUNCTION("""COMPUTED_VALUE"""),"nux")</f>
        <v>nux</v>
      </c>
      <c r="C8837" s="3" t="str">
        <f>IFERROR(__xludf.DUMMYFUNCTION("""COMPUTED_VALUE"""),"Peanut")</f>
        <v>Peanut</v>
      </c>
    </row>
    <row r="8838">
      <c r="A8838" s="3" t="str">
        <f>IFERROR(__xludf.DUMMYFUNCTION("""COMPUTED_VALUE"""),"pear")</f>
        <v>pear</v>
      </c>
      <c r="B8838" s="3" t="str">
        <f>IFERROR(__xludf.DUMMYFUNCTION("""COMPUTED_VALUE"""),"pear")</f>
        <v>pear</v>
      </c>
      <c r="C8838" s="3" t="str">
        <f>IFERROR(__xludf.DUMMYFUNCTION("""COMPUTED_VALUE"""),"Pear")</f>
        <v>Pear</v>
      </c>
    </row>
    <row r="8839">
      <c r="A8839" s="3" t="str">
        <f>IFERROR(__xludf.DUMMYFUNCTION("""COMPUTED_VALUE"""),"peardao")</f>
        <v>peardao</v>
      </c>
      <c r="B8839" s="3" t="str">
        <f>IFERROR(__xludf.DUMMYFUNCTION("""COMPUTED_VALUE"""),"pex")</f>
        <v>pex</v>
      </c>
      <c r="C8839" s="3" t="str">
        <f>IFERROR(__xludf.DUMMYFUNCTION("""COMPUTED_VALUE"""),"PearDAO")</f>
        <v>PearDAO</v>
      </c>
    </row>
    <row r="8840">
      <c r="A8840" s="3" t="str">
        <f>IFERROR(__xludf.DUMMYFUNCTION("""COMPUTED_VALUE"""),"pearl-finance")</f>
        <v>pearl-finance</v>
      </c>
      <c r="B8840" s="3" t="str">
        <f>IFERROR(__xludf.DUMMYFUNCTION("""COMPUTED_VALUE"""),"pearl")</f>
        <v>pearl</v>
      </c>
      <c r="C8840" s="3" t="str">
        <f>IFERROR(__xludf.DUMMYFUNCTION("""COMPUTED_VALUE"""),"Pearl Finance")</f>
        <v>Pearl Finance</v>
      </c>
    </row>
    <row r="8841">
      <c r="A8841" s="3" t="str">
        <f>IFERROR(__xludf.DUMMYFUNCTION("""COMPUTED_VALUE"""),"pebble")</f>
        <v>pebble</v>
      </c>
      <c r="B8841" s="3" t="str">
        <f>IFERROR(__xludf.DUMMYFUNCTION("""COMPUTED_VALUE"""),"pbl")</f>
        <v>pbl</v>
      </c>
      <c r="C8841" s="3" t="str">
        <f>IFERROR(__xludf.DUMMYFUNCTION("""COMPUTED_VALUE"""),"Pebble")</f>
        <v>Pebble</v>
      </c>
    </row>
    <row r="8842">
      <c r="A8842" s="3" t="str">
        <f>IFERROR(__xludf.DUMMYFUNCTION("""COMPUTED_VALUE"""),"pecora-network")</f>
        <v>pecora-network</v>
      </c>
      <c r="B8842" s="3" t="str">
        <f>IFERROR(__xludf.DUMMYFUNCTION("""COMPUTED_VALUE"""),"pen")</f>
        <v>pen</v>
      </c>
      <c r="C8842" s="3" t="str">
        <f>IFERROR(__xludf.DUMMYFUNCTION("""COMPUTED_VALUE"""),"Pecora Network")</f>
        <v>Pecora Network</v>
      </c>
    </row>
    <row r="8843">
      <c r="A8843" s="3" t="str">
        <f>IFERROR(__xludf.DUMMYFUNCTION("""COMPUTED_VALUE"""),"peculium-2")</f>
        <v>peculium-2</v>
      </c>
      <c r="B8843" s="3" t="str">
        <f>IFERROR(__xludf.DUMMYFUNCTION("""COMPUTED_VALUE"""),"pcl")</f>
        <v>pcl</v>
      </c>
      <c r="C8843" s="3" t="str">
        <f>IFERROR(__xludf.DUMMYFUNCTION("""COMPUTED_VALUE"""),"Peculium")</f>
        <v>Peculium</v>
      </c>
    </row>
    <row r="8844">
      <c r="A8844" s="3" t="str">
        <f>IFERROR(__xludf.DUMMYFUNCTION("""COMPUTED_VALUE"""),"peecoin-charts")</f>
        <v>peecoin-charts</v>
      </c>
      <c r="B8844" s="3" t="str">
        <f>IFERROR(__xludf.DUMMYFUNCTION("""COMPUTED_VALUE"""),"peecoin")</f>
        <v>peecoin</v>
      </c>
      <c r="C8844" s="3" t="str">
        <f>IFERROR(__xludf.DUMMYFUNCTION("""COMPUTED_VALUE"""),"PeeCoin Charts")</f>
        <v>PeeCoin Charts</v>
      </c>
    </row>
    <row r="8845">
      <c r="A8845" s="3" t="str">
        <f>IFERROR(__xludf.DUMMYFUNCTION("""COMPUTED_VALUE"""),"peepcoin")</f>
        <v>peepcoin</v>
      </c>
      <c r="B8845" s="3" t="str">
        <f>IFERROR(__xludf.DUMMYFUNCTION("""COMPUTED_VALUE"""),"pcn")</f>
        <v>pcn</v>
      </c>
      <c r="C8845" s="3" t="str">
        <f>IFERROR(__xludf.DUMMYFUNCTION("""COMPUTED_VALUE"""),"Peepcoin")</f>
        <v>Peepcoin</v>
      </c>
    </row>
    <row r="8846">
      <c r="A8846" s="3" t="str">
        <f>IFERROR(__xludf.DUMMYFUNCTION("""COMPUTED_VALUE"""),"peercoin")</f>
        <v>peercoin</v>
      </c>
      <c r="B8846" s="3" t="str">
        <f>IFERROR(__xludf.DUMMYFUNCTION("""COMPUTED_VALUE"""),"ppc")</f>
        <v>ppc</v>
      </c>
      <c r="C8846" s="3" t="str">
        <f>IFERROR(__xludf.DUMMYFUNCTION("""COMPUTED_VALUE"""),"Peercoin")</f>
        <v>Peercoin</v>
      </c>
    </row>
    <row r="8847">
      <c r="A8847" s="3" t="str">
        <f>IFERROR(__xludf.DUMMYFUNCTION("""COMPUTED_VALUE"""),"peerex-network")</f>
        <v>peerex-network</v>
      </c>
      <c r="B8847" s="3" t="str">
        <f>IFERROR(__xludf.DUMMYFUNCTION("""COMPUTED_VALUE"""),"perx")</f>
        <v>perx</v>
      </c>
      <c r="C8847" s="3" t="str">
        <f>IFERROR(__xludf.DUMMYFUNCTION("""COMPUTED_VALUE"""),"PeerEx Network")</f>
        <v>PeerEx Network</v>
      </c>
    </row>
    <row r="8848">
      <c r="A8848" s="3" t="str">
        <f>IFERROR(__xludf.DUMMYFUNCTION("""COMPUTED_VALUE"""),"peerguess")</f>
        <v>peerguess</v>
      </c>
      <c r="B8848" s="3" t="str">
        <f>IFERROR(__xludf.DUMMYFUNCTION("""COMPUTED_VALUE"""),"guess")</f>
        <v>guess</v>
      </c>
      <c r="C8848" s="3" t="str">
        <f>IFERROR(__xludf.DUMMYFUNCTION("""COMPUTED_VALUE"""),"PeerGuess")</f>
        <v>PeerGuess</v>
      </c>
    </row>
    <row r="8849">
      <c r="A8849" s="3" t="str">
        <f>IFERROR(__xludf.DUMMYFUNCTION("""COMPUTED_VALUE"""),"peet-defi")</f>
        <v>peet-defi</v>
      </c>
      <c r="B8849" s="3" t="str">
        <f>IFERROR(__xludf.DUMMYFUNCTION("""COMPUTED_VALUE"""),"pte")</f>
        <v>pte</v>
      </c>
      <c r="C8849" s="3" t="str">
        <f>IFERROR(__xludf.DUMMYFUNCTION("""COMPUTED_VALUE"""),"Peet DeFi")</f>
        <v>Peet DeFi</v>
      </c>
    </row>
    <row r="8850">
      <c r="A8850" s="3" t="str">
        <f>IFERROR(__xludf.DUMMYFUNCTION("""COMPUTED_VALUE"""),"pegasus-pow")</f>
        <v>pegasus-pow</v>
      </c>
      <c r="B8850" s="3" t="str">
        <f>IFERROR(__xludf.DUMMYFUNCTION("""COMPUTED_VALUE"""),"$pgs")</f>
        <v>$pgs</v>
      </c>
      <c r="C8850" s="3" t="str">
        <f>IFERROR(__xludf.DUMMYFUNCTION("""COMPUTED_VALUE"""),"Pegasus PoW")</f>
        <v>Pegasus PoW</v>
      </c>
    </row>
    <row r="8851">
      <c r="A8851" s="3" t="str">
        <f>IFERROR(__xludf.DUMMYFUNCTION("""COMPUTED_VALUE"""),"pegasys")</f>
        <v>pegasys</v>
      </c>
      <c r="B8851" s="3" t="str">
        <f>IFERROR(__xludf.DUMMYFUNCTION("""COMPUTED_VALUE"""),"psys")</f>
        <v>psys</v>
      </c>
      <c r="C8851" s="3" t="str">
        <f>IFERROR(__xludf.DUMMYFUNCTION("""COMPUTED_VALUE"""),"Pegasys")</f>
        <v>Pegasys</v>
      </c>
    </row>
    <row r="8852">
      <c r="A8852" s="3" t="str">
        <f>IFERROR(__xludf.DUMMYFUNCTION("""COMPUTED_VALUE"""),"pegaxy-stone")</f>
        <v>pegaxy-stone</v>
      </c>
      <c r="B8852" s="3" t="str">
        <f>IFERROR(__xludf.DUMMYFUNCTION("""COMPUTED_VALUE"""),"pgx")</f>
        <v>pgx</v>
      </c>
      <c r="C8852" s="3" t="str">
        <f>IFERROR(__xludf.DUMMYFUNCTION("""COMPUTED_VALUE"""),"Pegaxy Stone")</f>
        <v>Pegaxy Stone</v>
      </c>
    </row>
    <row r="8853">
      <c r="A8853" s="3" t="str">
        <f>IFERROR(__xludf.DUMMYFUNCTION("""COMPUTED_VALUE"""),"pegazus-finance")</f>
        <v>pegazus-finance</v>
      </c>
      <c r="B8853" s="3" t="str">
        <f>IFERROR(__xludf.DUMMYFUNCTION("""COMPUTED_VALUE"""),"peg")</f>
        <v>peg</v>
      </c>
      <c r="C8853" s="3" t="str">
        <f>IFERROR(__xludf.DUMMYFUNCTION("""COMPUTED_VALUE"""),"Pegazus Finance")</f>
        <v>Pegazus Finance</v>
      </c>
    </row>
    <row r="8854">
      <c r="A8854" s="3" t="str">
        <f>IFERROR(__xludf.DUMMYFUNCTION("""COMPUTED_VALUE"""),"peghub-com")</f>
        <v>peghub-com</v>
      </c>
      <c r="B8854" s="3" t="str">
        <f>IFERROR(__xludf.DUMMYFUNCTION("""COMPUTED_VALUE"""),"phub")</f>
        <v>phub</v>
      </c>
      <c r="C8854" s="4" t="str">
        <f>IFERROR(__xludf.DUMMYFUNCTION("""COMPUTED_VALUE"""),"PegHub.com")</f>
        <v>PegHub.com</v>
      </c>
    </row>
    <row r="8855">
      <c r="A8855" s="3" t="str">
        <f>IFERROR(__xludf.DUMMYFUNCTION("""COMPUTED_VALUE"""),"pegnet")</f>
        <v>pegnet</v>
      </c>
      <c r="B8855" s="3" t="str">
        <f>IFERROR(__xludf.DUMMYFUNCTION("""COMPUTED_VALUE"""),"peg")</f>
        <v>peg</v>
      </c>
      <c r="C8855" s="3" t="str">
        <f>IFERROR(__xludf.DUMMYFUNCTION("""COMPUTED_VALUE"""),"PegNet")</f>
        <v>PegNet</v>
      </c>
    </row>
    <row r="8856">
      <c r="A8856" s="3" t="str">
        <f>IFERROR(__xludf.DUMMYFUNCTION("""COMPUTED_VALUE"""),"pego-network")</f>
        <v>pego-network</v>
      </c>
      <c r="B8856" s="3" t="str">
        <f>IFERROR(__xludf.DUMMYFUNCTION("""COMPUTED_VALUE"""),"osk-dao")</f>
        <v>osk-dao</v>
      </c>
      <c r="C8856" s="3" t="str">
        <f>IFERROR(__xludf.DUMMYFUNCTION("""COMPUTED_VALUE"""),"Pego Network")</f>
        <v>Pego Network</v>
      </c>
    </row>
    <row r="8857">
      <c r="A8857" s="3" t="str">
        <f>IFERROR(__xludf.DUMMYFUNCTION("""COMPUTED_VALUE"""),"pele-network")</f>
        <v>pele-network</v>
      </c>
      <c r="B8857" s="3" t="str">
        <f>IFERROR(__xludf.DUMMYFUNCTION("""COMPUTED_VALUE"""),"pele")</f>
        <v>pele</v>
      </c>
      <c r="C8857" s="3" t="str">
        <f>IFERROR(__xludf.DUMMYFUNCTION("""COMPUTED_VALUE"""),"PELE Network")</f>
        <v>PELE Network</v>
      </c>
    </row>
    <row r="8858">
      <c r="A8858" s="3" t="str">
        <f>IFERROR(__xludf.DUMMYFUNCTION("""COMPUTED_VALUE"""),"pembrock")</f>
        <v>pembrock</v>
      </c>
      <c r="B8858" s="3" t="str">
        <f>IFERROR(__xludf.DUMMYFUNCTION("""COMPUTED_VALUE"""),"pem")</f>
        <v>pem</v>
      </c>
      <c r="C8858" s="3" t="str">
        <f>IFERROR(__xludf.DUMMYFUNCTION("""COMPUTED_VALUE"""),"Pembrock")</f>
        <v>Pembrock</v>
      </c>
    </row>
    <row r="8859">
      <c r="A8859" s="3" t="str">
        <f>IFERROR(__xludf.DUMMYFUNCTION("""COMPUTED_VALUE"""),"pencil-dao")</f>
        <v>pencil-dao</v>
      </c>
      <c r="B8859" s="3" t="str">
        <f>IFERROR(__xludf.DUMMYFUNCTION("""COMPUTED_VALUE"""),"pencil")</f>
        <v>pencil</v>
      </c>
      <c r="C8859" s="3" t="str">
        <f>IFERROR(__xludf.DUMMYFUNCTION("""COMPUTED_VALUE"""),"Pencil DAO")</f>
        <v>Pencil DAO</v>
      </c>
    </row>
    <row r="8860">
      <c r="A8860" s="3" t="str">
        <f>IFERROR(__xludf.DUMMYFUNCTION("""COMPUTED_VALUE"""),"pendle")</f>
        <v>pendle</v>
      </c>
      <c r="B8860" s="3" t="str">
        <f>IFERROR(__xludf.DUMMYFUNCTION("""COMPUTED_VALUE"""),"pendle")</f>
        <v>pendle</v>
      </c>
      <c r="C8860" s="3" t="str">
        <f>IFERROR(__xludf.DUMMYFUNCTION("""COMPUTED_VALUE"""),"Pendle")</f>
        <v>Pendle</v>
      </c>
    </row>
    <row r="8861">
      <c r="A8861" s="3" t="str">
        <f>IFERROR(__xludf.DUMMYFUNCTION("""COMPUTED_VALUE"""),"pengolincoin")</f>
        <v>pengolincoin</v>
      </c>
      <c r="B8861" s="3" t="str">
        <f>IFERROR(__xludf.DUMMYFUNCTION("""COMPUTED_VALUE"""),"pgo")</f>
        <v>pgo</v>
      </c>
      <c r="C8861" s="3" t="str">
        <f>IFERROR(__xludf.DUMMYFUNCTION("""COMPUTED_VALUE"""),"PengolinCoin")</f>
        <v>PengolinCoin</v>
      </c>
    </row>
    <row r="8862">
      <c r="A8862" s="3" t="str">
        <f>IFERROR(__xludf.DUMMYFUNCTION("""COMPUTED_VALUE"""),"penguin-finance")</f>
        <v>penguin-finance</v>
      </c>
      <c r="B8862" s="3" t="str">
        <f>IFERROR(__xludf.DUMMYFUNCTION("""COMPUTED_VALUE"""),"pefi")</f>
        <v>pefi</v>
      </c>
      <c r="C8862" s="3" t="str">
        <f>IFERROR(__xludf.DUMMYFUNCTION("""COMPUTED_VALUE"""),"Penguin Finance")</f>
        <v>Penguin Finance</v>
      </c>
    </row>
    <row r="8863">
      <c r="A8863" s="3" t="str">
        <f>IFERROR(__xludf.DUMMYFUNCTION("""COMPUTED_VALUE"""),"penguin-karts")</f>
        <v>penguin-karts</v>
      </c>
      <c r="B8863" s="3" t="str">
        <f>IFERROR(__xludf.DUMMYFUNCTION("""COMPUTED_VALUE"""),"pgk")</f>
        <v>pgk</v>
      </c>
      <c r="C8863" s="3" t="str">
        <f>IFERROR(__xludf.DUMMYFUNCTION("""COMPUTED_VALUE"""),"Penguin Karts")</f>
        <v>Penguin Karts</v>
      </c>
    </row>
    <row r="8864">
      <c r="A8864" s="3" t="str">
        <f>IFERROR(__xludf.DUMMYFUNCTION("""COMPUTED_VALUE"""),"penguin-party-fish")</f>
        <v>penguin-party-fish</v>
      </c>
      <c r="B8864" s="3" t="str">
        <f>IFERROR(__xludf.DUMMYFUNCTION("""COMPUTED_VALUE"""),"fish")</f>
        <v>fish</v>
      </c>
      <c r="C8864" s="3" t="str">
        <f>IFERROR(__xludf.DUMMYFUNCTION("""COMPUTED_VALUE"""),"Penguin Party Fish")</f>
        <v>Penguin Party Fish</v>
      </c>
    </row>
    <row r="8865">
      <c r="A8865" s="3" t="str">
        <f>IFERROR(__xludf.DUMMYFUNCTION("""COMPUTED_VALUE"""),"penny-token")</f>
        <v>penny-token</v>
      </c>
      <c r="B8865" s="3" t="str">
        <f>IFERROR(__xludf.DUMMYFUNCTION("""COMPUTED_VALUE"""),"penny")</f>
        <v>penny</v>
      </c>
      <c r="C8865" s="3" t="str">
        <f>IFERROR(__xludf.DUMMYFUNCTION("""COMPUTED_VALUE"""),"Penny Token")</f>
        <v>Penny Token</v>
      </c>
    </row>
    <row r="8866">
      <c r="A8866" s="3" t="str">
        <f>IFERROR(__xludf.DUMMYFUNCTION("""COMPUTED_VALUE"""),"penrose-finance")</f>
        <v>penrose-finance</v>
      </c>
      <c r="B8866" s="3" t="str">
        <f>IFERROR(__xludf.DUMMYFUNCTION("""COMPUTED_VALUE"""),"pen")</f>
        <v>pen</v>
      </c>
      <c r="C8866" s="3" t="str">
        <f>IFERROR(__xludf.DUMMYFUNCTION("""COMPUTED_VALUE"""),"Penrose Finance")</f>
        <v>Penrose Finance</v>
      </c>
    </row>
    <row r="8867">
      <c r="A8867" s="3" t="str">
        <f>IFERROR(__xludf.DUMMYFUNCTION("""COMPUTED_VALUE"""),"pension-plan")</f>
        <v>pension-plan</v>
      </c>
      <c r="B8867" s="3" t="str">
        <f>IFERROR(__xludf.DUMMYFUNCTION("""COMPUTED_VALUE"""),"pp")</f>
        <v>pp</v>
      </c>
      <c r="C8867" s="3" t="str">
        <f>IFERROR(__xludf.DUMMYFUNCTION("""COMPUTED_VALUE"""),"Pension Plan")</f>
        <v>Pension Plan</v>
      </c>
    </row>
    <row r="8868">
      <c r="A8868" s="3" t="str">
        <f>IFERROR(__xludf.DUMMYFUNCTION("""COMPUTED_VALUE"""),"peony-coin")</f>
        <v>peony-coin</v>
      </c>
      <c r="B8868" s="3" t="str">
        <f>IFERROR(__xludf.DUMMYFUNCTION("""COMPUTED_VALUE"""),"pny")</f>
        <v>pny</v>
      </c>
      <c r="C8868" s="3" t="str">
        <f>IFERROR(__xludf.DUMMYFUNCTION("""COMPUTED_VALUE"""),"Peony Coin")</f>
        <v>Peony Coin</v>
      </c>
    </row>
    <row r="8869">
      <c r="A8869" s="3" t="str">
        <f>IFERROR(__xludf.DUMMYFUNCTION("""COMPUTED_VALUE"""),"peoples-punk")</f>
        <v>peoples-punk</v>
      </c>
      <c r="B8869" s="3" t="str">
        <f>IFERROR(__xludf.DUMMYFUNCTION("""COMPUTED_VALUE"""),"dddd")</f>
        <v>dddd</v>
      </c>
      <c r="C8869" s="3" t="str">
        <f>IFERROR(__xludf.DUMMYFUNCTION("""COMPUTED_VALUE"""),"People's Punk")</f>
        <v>People's Punk</v>
      </c>
    </row>
    <row r="8870">
      <c r="A8870" s="3" t="str">
        <f>IFERROR(__xludf.DUMMYFUNCTION("""COMPUTED_VALUE"""),"peoplez")</f>
        <v>peoplez</v>
      </c>
      <c r="B8870" s="3" t="str">
        <f>IFERROR(__xludf.DUMMYFUNCTION("""COMPUTED_VALUE"""),"lez")</f>
        <v>lez</v>
      </c>
      <c r="C8870" s="3" t="str">
        <f>IFERROR(__xludf.DUMMYFUNCTION("""COMPUTED_VALUE"""),"Peoplez")</f>
        <v>Peoplez</v>
      </c>
    </row>
    <row r="8871">
      <c r="A8871" s="3" t="str">
        <f>IFERROR(__xludf.DUMMYFUNCTION("""COMPUTED_VALUE"""),"peos")</f>
        <v>peos</v>
      </c>
      <c r="B8871" s="3" t="str">
        <f>IFERROR(__xludf.DUMMYFUNCTION("""COMPUTED_VALUE"""),"peos")</f>
        <v>peos</v>
      </c>
      <c r="C8871" s="3" t="str">
        <f>IFERROR(__xludf.DUMMYFUNCTION("""COMPUTED_VALUE"""),"pEOS")</f>
        <v>pEOS</v>
      </c>
    </row>
    <row r="8872">
      <c r="A8872" s="3" t="str">
        <f>IFERROR(__xludf.DUMMYFUNCTION("""COMPUTED_VALUE"""),"pepe-bet")</f>
        <v>pepe-bet</v>
      </c>
      <c r="B8872" s="3" t="str">
        <f>IFERROR(__xludf.DUMMYFUNCTION("""COMPUTED_VALUE"""),"pepebet")</f>
        <v>pepebet</v>
      </c>
      <c r="C8872" s="3" t="str">
        <f>IFERROR(__xludf.DUMMYFUNCTION("""COMPUTED_VALUE"""),"PEPE.bet")</f>
        <v>PEPE.bet</v>
      </c>
    </row>
    <row r="8873">
      <c r="A8873" s="3" t="str">
        <f>IFERROR(__xludf.DUMMYFUNCTION("""COMPUTED_VALUE"""),"pepedex")</f>
        <v>pepedex</v>
      </c>
      <c r="B8873" s="3" t="str">
        <f>IFERROR(__xludf.DUMMYFUNCTION("""COMPUTED_VALUE"""),"ppdex")</f>
        <v>ppdex</v>
      </c>
      <c r="C8873" s="3" t="str">
        <f>IFERROR(__xludf.DUMMYFUNCTION("""COMPUTED_VALUE"""),"Pepedex")</f>
        <v>Pepedex</v>
      </c>
    </row>
    <row r="8874">
      <c r="A8874" s="3" t="str">
        <f>IFERROR(__xludf.DUMMYFUNCTION("""COMPUTED_VALUE"""),"pepegold")</f>
        <v>pepegold</v>
      </c>
      <c r="B8874" s="3" t="str">
        <f>IFERROR(__xludf.DUMMYFUNCTION("""COMPUTED_VALUE"""),"peps")</f>
        <v>peps</v>
      </c>
      <c r="C8874" s="3" t="str">
        <f>IFERROR(__xludf.DUMMYFUNCTION("""COMPUTED_VALUE"""),"PEPS Coin")</f>
        <v>PEPS Coin</v>
      </c>
    </row>
    <row r="8875">
      <c r="A8875" s="3" t="str">
        <f>IFERROR(__xludf.DUMMYFUNCTION("""COMPUTED_VALUE"""),"pepegold-6ea5105a-8bbe-45bc-bd1c-dc9b01a19be7")</f>
        <v>pepegold-6ea5105a-8bbe-45bc-bd1c-dc9b01a19be7</v>
      </c>
      <c r="B8875" s="3" t="str">
        <f>IFERROR(__xludf.DUMMYFUNCTION("""COMPUTED_VALUE"""),"pepe")</f>
        <v>pepe</v>
      </c>
      <c r="C8875" s="3" t="str">
        <f>IFERROR(__xludf.DUMMYFUNCTION("""COMPUTED_VALUE"""),"PEPEGOLD")</f>
        <v>PEPEGOLD</v>
      </c>
    </row>
    <row r="8876">
      <c r="A8876" s="3" t="str">
        <f>IFERROR(__xludf.DUMMYFUNCTION("""COMPUTED_VALUE"""),"pepemoon")</f>
        <v>pepemoon</v>
      </c>
      <c r="B8876" s="3" t="str">
        <f>IFERROR(__xludf.DUMMYFUNCTION("""COMPUTED_VALUE"""),"pepe")</f>
        <v>pepe</v>
      </c>
      <c r="C8876" s="3" t="str">
        <f>IFERROR(__xludf.DUMMYFUNCTION("""COMPUTED_VALUE"""),"Pepemoon")</f>
        <v>Pepemoon</v>
      </c>
    </row>
    <row r="8877">
      <c r="A8877" s="3" t="str">
        <f>IFERROR(__xludf.DUMMYFUNCTION("""COMPUTED_VALUE"""),"pera-finance")</f>
        <v>pera-finance</v>
      </c>
      <c r="B8877" s="3" t="str">
        <f>IFERROR(__xludf.DUMMYFUNCTION("""COMPUTED_VALUE"""),"pera")</f>
        <v>pera</v>
      </c>
      <c r="C8877" s="3" t="str">
        <f>IFERROR(__xludf.DUMMYFUNCTION("""COMPUTED_VALUE"""),"Pera Finance")</f>
        <v>Pera Finance</v>
      </c>
    </row>
    <row r="8878">
      <c r="A8878" s="3" t="str">
        <f>IFERROR(__xludf.DUMMYFUNCTION("""COMPUTED_VALUE"""),"perfect-world")</f>
        <v>perfect-world</v>
      </c>
      <c r="B8878" s="3" t="str">
        <f>IFERROR(__xludf.DUMMYFUNCTION("""COMPUTED_VALUE"""),"pfw")</f>
        <v>pfw</v>
      </c>
      <c r="C8878" s="3" t="str">
        <f>IFERROR(__xludf.DUMMYFUNCTION("""COMPUTED_VALUE"""),"Perfect World")</f>
        <v>Perfect World</v>
      </c>
    </row>
    <row r="8879">
      <c r="A8879" s="3" t="str">
        <f>IFERROR(__xludf.DUMMYFUNCTION("""COMPUTED_VALUE"""),"peri-finance")</f>
        <v>peri-finance</v>
      </c>
      <c r="B8879" s="3" t="str">
        <f>IFERROR(__xludf.DUMMYFUNCTION("""COMPUTED_VALUE"""),"peri")</f>
        <v>peri</v>
      </c>
      <c r="C8879" s="3" t="str">
        <f>IFERROR(__xludf.DUMMYFUNCTION("""COMPUTED_VALUE"""),"PERI Finance")</f>
        <v>PERI Finance</v>
      </c>
    </row>
    <row r="8880">
      <c r="A8880" s="3" t="str">
        <f>IFERROR(__xludf.DUMMYFUNCTION("""COMPUTED_VALUE"""),"perion")</f>
        <v>perion</v>
      </c>
      <c r="B8880" s="3" t="str">
        <f>IFERROR(__xludf.DUMMYFUNCTION("""COMPUTED_VALUE"""),"perc")</f>
        <v>perc</v>
      </c>
      <c r="C8880" s="3" t="str">
        <f>IFERROR(__xludf.DUMMYFUNCTION("""COMPUTED_VALUE"""),"Perion")</f>
        <v>Perion</v>
      </c>
    </row>
    <row r="8881">
      <c r="A8881" s="3" t="str">
        <f>IFERROR(__xludf.DUMMYFUNCTION("""COMPUTED_VALUE"""),"perlin")</f>
        <v>perlin</v>
      </c>
      <c r="B8881" s="3" t="str">
        <f>IFERROR(__xludf.DUMMYFUNCTION("""COMPUTED_VALUE"""),"perl")</f>
        <v>perl</v>
      </c>
      <c r="C8881" s="3" t="str">
        <f>IFERROR(__xludf.DUMMYFUNCTION("""COMPUTED_VALUE"""),"PERL.eco")</f>
        <v>PERL.eco</v>
      </c>
    </row>
    <row r="8882">
      <c r="A8882" s="3" t="str">
        <f>IFERROR(__xludf.DUMMYFUNCTION("""COMPUTED_VALUE"""),"permission-coin")</f>
        <v>permission-coin</v>
      </c>
      <c r="B8882" s="3" t="str">
        <f>IFERROR(__xludf.DUMMYFUNCTION("""COMPUTED_VALUE"""),"ask")</f>
        <v>ask</v>
      </c>
      <c r="C8882" s="3" t="str">
        <f>IFERROR(__xludf.DUMMYFUNCTION("""COMPUTED_VALUE"""),"Permission Coin")</f>
        <v>Permission Coin</v>
      </c>
    </row>
    <row r="8883">
      <c r="A8883" s="3" t="str">
        <f>IFERROR(__xludf.DUMMYFUNCTION("""COMPUTED_VALUE"""),"perpetual-protocol")</f>
        <v>perpetual-protocol</v>
      </c>
      <c r="B8883" s="3" t="str">
        <f>IFERROR(__xludf.DUMMYFUNCTION("""COMPUTED_VALUE"""),"perp")</f>
        <v>perp</v>
      </c>
      <c r="C8883" s="3" t="str">
        <f>IFERROR(__xludf.DUMMYFUNCTION("""COMPUTED_VALUE"""),"Perpetual Protocol")</f>
        <v>Perpetual Protocol</v>
      </c>
    </row>
    <row r="8884">
      <c r="A8884" s="3" t="str">
        <f>IFERROR(__xludf.DUMMYFUNCTION("""COMPUTED_VALUE"""),"perpetuum-coin")</f>
        <v>perpetuum-coin</v>
      </c>
      <c r="B8884" s="3" t="str">
        <f>IFERROR(__xludf.DUMMYFUNCTION("""COMPUTED_VALUE"""),"prp")</f>
        <v>prp</v>
      </c>
      <c r="C8884" s="3" t="str">
        <f>IFERROR(__xludf.DUMMYFUNCTION("""COMPUTED_VALUE"""),"Perpetuum Coin")</f>
        <v>Perpetuum Coin</v>
      </c>
    </row>
    <row r="8885">
      <c r="A8885" s="3" t="str">
        <f>IFERROR(__xludf.DUMMYFUNCTION("""COMPUTED_VALUE"""),"perseus-fintech")</f>
        <v>perseus-fintech</v>
      </c>
      <c r="B8885" s="3" t="str">
        <f>IFERROR(__xludf.DUMMYFUNCTION("""COMPUTED_VALUE"""),"prs")</f>
        <v>prs</v>
      </c>
      <c r="C8885" s="3" t="str">
        <f>IFERROR(__xludf.DUMMYFUNCTION("""COMPUTED_VALUE"""),"Perseus Fintech")</f>
        <v>Perseus Fintech</v>
      </c>
    </row>
    <row r="8886">
      <c r="A8886" s="3" t="str">
        <f>IFERROR(__xludf.DUMMYFUNCTION("""COMPUTED_VALUE"""),"persia")</f>
        <v>persia</v>
      </c>
      <c r="B8886" s="3" t="str">
        <f>IFERROR(__xludf.DUMMYFUNCTION("""COMPUTED_VALUE"""),"persia")</f>
        <v>persia</v>
      </c>
      <c r="C8886" s="3" t="str">
        <f>IFERROR(__xludf.DUMMYFUNCTION("""COMPUTED_VALUE"""),"Persia")</f>
        <v>Persia</v>
      </c>
    </row>
    <row r="8887">
      <c r="A8887" s="3" t="str">
        <f>IFERROR(__xludf.DUMMYFUNCTION("""COMPUTED_VALUE"""),"persistence")</f>
        <v>persistence</v>
      </c>
      <c r="B8887" s="3" t="str">
        <f>IFERROR(__xludf.DUMMYFUNCTION("""COMPUTED_VALUE"""),"xprt")</f>
        <v>xprt</v>
      </c>
      <c r="C8887" s="3" t="str">
        <f>IFERROR(__xludf.DUMMYFUNCTION("""COMPUTED_VALUE"""),"Persistence")</f>
        <v>Persistence</v>
      </c>
    </row>
    <row r="8888">
      <c r="A8888" s="3" t="str">
        <f>IFERROR(__xludf.DUMMYFUNCTION("""COMPUTED_VALUE"""),"persistence-staked-xprt")</f>
        <v>persistence-staked-xprt</v>
      </c>
      <c r="B8888" s="3" t="str">
        <f>IFERROR(__xludf.DUMMYFUNCTION("""COMPUTED_VALUE"""),"stkxprt")</f>
        <v>stkxprt</v>
      </c>
      <c r="C8888" s="3" t="str">
        <f>IFERROR(__xludf.DUMMYFUNCTION("""COMPUTED_VALUE"""),"pSTAKE Staked XPRT")</f>
        <v>pSTAKE Staked XPRT</v>
      </c>
    </row>
    <row r="8889">
      <c r="A8889" s="3" t="str">
        <f>IFERROR(__xludf.DUMMYFUNCTION("""COMPUTED_VALUE"""),"perth-mint-gold-token")</f>
        <v>perth-mint-gold-token</v>
      </c>
      <c r="B8889" s="3" t="str">
        <f>IFERROR(__xludf.DUMMYFUNCTION("""COMPUTED_VALUE"""),"pmgt")</f>
        <v>pmgt</v>
      </c>
      <c r="C8889" s="3" t="str">
        <f>IFERROR(__xludf.DUMMYFUNCTION("""COMPUTED_VALUE"""),"Perth Mint Gold Token")</f>
        <v>Perth Mint Gold Token</v>
      </c>
    </row>
    <row r="8890">
      <c r="A8890" s="3" t="str">
        <f>IFERROR(__xludf.DUMMYFUNCTION("""COMPUTED_VALUE"""),"peruvian-national-football-team-fan-token")</f>
        <v>peruvian-national-football-team-fan-token</v>
      </c>
      <c r="B8890" s="3" t="str">
        <f>IFERROR(__xludf.DUMMYFUNCTION("""COMPUTED_VALUE"""),"fpft")</f>
        <v>fpft</v>
      </c>
      <c r="C8890" s="3" t="str">
        <f>IFERROR(__xludf.DUMMYFUNCTION("""COMPUTED_VALUE"""),"Peruvian National Football Team Fan Token")</f>
        <v>Peruvian National Football Team Fan Token</v>
      </c>
    </row>
    <row r="8891">
      <c r="A8891" s="3" t="str">
        <f>IFERROR(__xludf.DUMMYFUNCTION("""COMPUTED_VALUE"""),"pesabase")</f>
        <v>pesabase</v>
      </c>
      <c r="B8891" s="3" t="str">
        <f>IFERROR(__xludf.DUMMYFUNCTION("""COMPUTED_VALUE"""),"pesa")</f>
        <v>pesa</v>
      </c>
      <c r="C8891" s="3" t="str">
        <f>IFERROR(__xludf.DUMMYFUNCTION("""COMPUTED_VALUE"""),"Pesabase")</f>
        <v>Pesabase</v>
      </c>
    </row>
    <row r="8892">
      <c r="A8892" s="3" t="str">
        <f>IFERROR(__xludf.DUMMYFUNCTION("""COMPUTED_VALUE"""),"peseta-digital")</f>
        <v>peseta-digital</v>
      </c>
      <c r="B8892" s="3" t="str">
        <f>IFERROR(__xludf.DUMMYFUNCTION("""COMPUTED_VALUE"""),"ptd")</f>
        <v>ptd</v>
      </c>
      <c r="C8892" s="3" t="str">
        <f>IFERROR(__xludf.DUMMYFUNCTION("""COMPUTED_VALUE"""),"Peseta Digital")</f>
        <v>Peseta Digital</v>
      </c>
    </row>
    <row r="8893">
      <c r="A8893" s="3" t="str">
        <f>IFERROR(__xludf.DUMMYFUNCTION("""COMPUTED_VALUE"""),"peseta-token")</f>
        <v>peseta-token</v>
      </c>
      <c r="B8893" s="3" t="str">
        <f>IFERROR(__xludf.DUMMYFUNCTION("""COMPUTED_VALUE"""),"pst")</f>
        <v>pst</v>
      </c>
      <c r="C8893" s="3" t="str">
        <f>IFERROR(__xludf.DUMMYFUNCTION("""COMPUTED_VALUE"""),"Peseta Token")</f>
        <v>Peseta Token</v>
      </c>
    </row>
    <row r="8894">
      <c r="A8894" s="3" t="str">
        <f>IFERROR(__xludf.DUMMYFUNCTION("""COMPUTED_VALUE"""),"pet-alliance")</f>
        <v>pet-alliance</v>
      </c>
      <c r="B8894" s="3" t="str">
        <f>IFERROR(__xludf.DUMMYFUNCTION("""COMPUTED_VALUE"""),"pal")</f>
        <v>pal</v>
      </c>
      <c r="C8894" s="3" t="str">
        <f>IFERROR(__xludf.DUMMYFUNCTION("""COMPUTED_VALUE"""),"Pet Alliance")</f>
        <v>Pet Alliance</v>
      </c>
    </row>
    <row r="8895">
      <c r="A8895" s="3" t="str">
        <f>IFERROR(__xludf.DUMMYFUNCTION("""COMPUTED_VALUE"""),"petals")</f>
        <v>petals</v>
      </c>
      <c r="B8895" s="3" t="str">
        <f>IFERROR(__xludf.DUMMYFUNCTION("""COMPUTED_VALUE"""),"pts")</f>
        <v>pts</v>
      </c>
      <c r="C8895" s="3" t="str">
        <f>IFERROR(__xludf.DUMMYFUNCTION("""COMPUTED_VALUE"""),"Petals")</f>
        <v>Petals</v>
      </c>
    </row>
    <row r="8896">
      <c r="A8896" s="3" t="str">
        <f>IFERROR(__xludf.DUMMYFUNCTION("""COMPUTED_VALUE"""),"pet-games")</f>
        <v>pet-games</v>
      </c>
      <c r="B8896" s="3" t="str">
        <f>IFERROR(__xludf.DUMMYFUNCTION("""COMPUTED_VALUE"""),"petg")</f>
        <v>petg</v>
      </c>
      <c r="C8896" s="3" t="str">
        <f>IFERROR(__xludf.DUMMYFUNCTION("""COMPUTED_VALUE"""),"Pet Games")</f>
        <v>Pet Games</v>
      </c>
    </row>
    <row r="8897">
      <c r="A8897" s="3" t="str">
        <f>IFERROR(__xludf.DUMMYFUNCTION("""COMPUTED_VALUE"""),"peth18c")</f>
        <v>peth18c</v>
      </c>
      <c r="B8897" s="3" t="str">
        <f>IFERROR(__xludf.DUMMYFUNCTION("""COMPUTED_VALUE"""),"peth18c")</f>
        <v>peth18c</v>
      </c>
      <c r="C8897" s="3" t="str">
        <f>IFERROR(__xludf.DUMMYFUNCTION("""COMPUTED_VALUE"""),"pETH18C")</f>
        <v>pETH18C</v>
      </c>
    </row>
    <row r="8898">
      <c r="A8898" s="3" t="str">
        <f>IFERROR(__xludf.DUMMYFUNCTION("""COMPUTED_VALUE"""),"petoverse")</f>
        <v>petoverse</v>
      </c>
      <c r="B8898" s="3" t="str">
        <f>IFERROR(__xludf.DUMMYFUNCTION("""COMPUTED_VALUE"""),"peto")</f>
        <v>peto</v>
      </c>
      <c r="C8898" s="3" t="str">
        <f>IFERROR(__xludf.DUMMYFUNCTION("""COMPUTED_VALUE"""),"Petoverse")</f>
        <v>Petoverse</v>
      </c>
    </row>
    <row r="8899">
      <c r="A8899" s="3" t="str">
        <f>IFERROR(__xludf.DUMMYFUNCTION("""COMPUTED_VALUE"""),"petrachor")</f>
        <v>petrachor</v>
      </c>
      <c r="B8899" s="3" t="str">
        <f>IFERROR(__xludf.DUMMYFUNCTION("""COMPUTED_VALUE"""),"pta")</f>
        <v>pta</v>
      </c>
      <c r="C8899" s="3" t="str">
        <f>IFERROR(__xludf.DUMMYFUNCTION("""COMPUTED_VALUE"""),"Petrachor")</f>
        <v>Petrachor</v>
      </c>
    </row>
    <row r="8900">
      <c r="A8900" s="3" t="str">
        <f>IFERROR(__xludf.DUMMYFUNCTION("""COMPUTED_VALUE"""),"petrodollar")</f>
        <v>petrodollar</v>
      </c>
      <c r="B8900" s="3" t="str">
        <f>IFERROR(__xludf.DUMMYFUNCTION("""COMPUTED_VALUE"""),"xpd")</f>
        <v>xpd</v>
      </c>
      <c r="C8900" s="3" t="str">
        <f>IFERROR(__xludf.DUMMYFUNCTION("""COMPUTED_VALUE"""),"PetroDollar")</f>
        <v>PetroDollar</v>
      </c>
    </row>
    <row r="8901">
      <c r="A8901" s="3" t="str">
        <f>IFERROR(__xludf.DUMMYFUNCTION("""COMPUTED_VALUE"""),"petshelp")</f>
        <v>petshelp</v>
      </c>
      <c r="B8901" s="3" t="str">
        <f>IFERROR(__xludf.DUMMYFUNCTION("""COMPUTED_VALUE"""),"peth")</f>
        <v>peth</v>
      </c>
      <c r="C8901" s="3" t="str">
        <f>IFERROR(__xludf.DUMMYFUNCTION("""COMPUTED_VALUE"""),"PetsHelp")</f>
        <v>PetsHelp</v>
      </c>
    </row>
    <row r="8902">
      <c r="A8902" s="3" t="str">
        <f>IFERROR(__xludf.DUMMYFUNCTION("""COMPUTED_VALUE"""),"petsneaker")</f>
        <v>petsneaker</v>
      </c>
      <c r="B8902" s="3" t="str">
        <f>IFERROR(__xludf.DUMMYFUNCTION("""COMPUTED_VALUE"""),"psc")</f>
        <v>psc</v>
      </c>
      <c r="C8902" s="3" t="str">
        <f>IFERROR(__xludf.DUMMYFUNCTION("""COMPUTED_VALUE"""),"Petsneaker")</f>
        <v>Petsneaker</v>
      </c>
    </row>
    <row r="8903">
      <c r="A8903" s="3" t="str">
        <f>IFERROR(__xludf.DUMMYFUNCTION("""COMPUTED_VALUE"""),"pet-store")</f>
        <v>pet-store</v>
      </c>
      <c r="B8903" s="3" t="str">
        <f>IFERROR(__xludf.DUMMYFUNCTION("""COMPUTED_VALUE"""),"psbd")</f>
        <v>psbd</v>
      </c>
      <c r="C8903" s="3" t="str">
        <f>IFERROR(__xludf.DUMMYFUNCTION("""COMPUTED_VALUE"""),"Pet Store")</f>
        <v>Pet Store</v>
      </c>
    </row>
    <row r="8904">
      <c r="A8904" s="3" t="str">
        <f>IFERROR(__xludf.DUMMYFUNCTION("""COMPUTED_VALUE"""),"pett-network")</f>
        <v>pett-network</v>
      </c>
      <c r="B8904" s="3" t="str">
        <f>IFERROR(__xludf.DUMMYFUNCTION("""COMPUTED_VALUE"""),"pett")</f>
        <v>pett</v>
      </c>
      <c r="C8904" s="3" t="str">
        <f>IFERROR(__xludf.DUMMYFUNCTION("""COMPUTED_VALUE"""),"Pett Network")</f>
        <v>Pett Network</v>
      </c>
    </row>
    <row r="8905">
      <c r="A8905" s="3" t="str">
        <f>IFERROR(__xludf.DUMMYFUNCTION("""COMPUTED_VALUE"""),"pexcoin")</f>
        <v>pexcoin</v>
      </c>
      <c r="B8905" s="3" t="str">
        <f>IFERROR(__xludf.DUMMYFUNCTION("""COMPUTED_VALUE"""),"pex")</f>
        <v>pex</v>
      </c>
      <c r="C8905" s="3" t="str">
        <f>IFERROR(__xludf.DUMMYFUNCTION("""COMPUTED_VALUE"""),"Pexcoin")</f>
        <v>Pexcoin</v>
      </c>
    </row>
    <row r="8906">
      <c r="A8906" s="3" t="str">
        <f>IFERROR(__xludf.DUMMYFUNCTION("""COMPUTED_VALUE"""),"pftm")</f>
        <v>pftm</v>
      </c>
      <c r="B8906" s="3" t="str">
        <f>IFERROR(__xludf.DUMMYFUNCTION("""COMPUTED_VALUE"""),"pftm")</f>
        <v>pftm</v>
      </c>
      <c r="C8906" s="3" t="str">
        <f>IFERROR(__xludf.DUMMYFUNCTION("""COMPUTED_VALUE"""),"pFTM")</f>
        <v>pFTM</v>
      </c>
    </row>
    <row r="8907">
      <c r="A8907" s="3" t="str">
        <f>IFERROR(__xludf.DUMMYFUNCTION("""COMPUTED_VALUE"""),"pgala")</f>
        <v>pgala</v>
      </c>
      <c r="B8907" s="3" t="str">
        <f>IFERROR(__xludf.DUMMYFUNCTION("""COMPUTED_VALUE"""),"pgala")</f>
        <v>pgala</v>
      </c>
      <c r="C8907" s="3" t="str">
        <f>IFERROR(__xludf.DUMMYFUNCTION("""COMPUTED_VALUE"""),"pGALA")</f>
        <v>pGALA</v>
      </c>
    </row>
    <row r="8908">
      <c r="A8908" s="3" t="str">
        <f>IFERROR(__xludf.DUMMYFUNCTION("""COMPUTED_VALUE"""),"pgov")</f>
        <v>pgov</v>
      </c>
      <c r="B8908" s="3" t="str">
        <f>IFERROR(__xludf.DUMMYFUNCTION("""COMPUTED_VALUE"""),"pgov")</f>
        <v>pgov</v>
      </c>
      <c r="C8908" s="3" t="str">
        <f>IFERROR(__xludf.DUMMYFUNCTION("""COMPUTED_VALUE"""),"PGOV")</f>
        <v>PGOV</v>
      </c>
    </row>
    <row r="8909">
      <c r="A8909" s="3" t="str">
        <f>IFERROR(__xludf.DUMMYFUNCTION("""COMPUTED_VALUE"""),"pha")</f>
        <v>pha</v>
      </c>
      <c r="B8909" s="3" t="str">
        <f>IFERROR(__xludf.DUMMYFUNCTION("""COMPUTED_VALUE"""),"pha")</f>
        <v>pha</v>
      </c>
      <c r="C8909" s="3" t="str">
        <f>IFERROR(__xludf.DUMMYFUNCTION("""COMPUTED_VALUE"""),"Phala Network")</f>
        <v>Phala Network</v>
      </c>
    </row>
    <row r="8910">
      <c r="A8910" s="3" t="str">
        <f>IFERROR(__xludf.DUMMYFUNCTION("""COMPUTED_VALUE"""),"phaeton")</f>
        <v>phaeton</v>
      </c>
      <c r="B8910" s="3" t="str">
        <f>IFERROR(__xludf.DUMMYFUNCTION("""COMPUTED_VALUE"""),"phae")</f>
        <v>phae</v>
      </c>
      <c r="C8910" s="3" t="str">
        <f>IFERROR(__xludf.DUMMYFUNCTION("""COMPUTED_VALUE"""),"Phaeton")</f>
        <v>Phaeton</v>
      </c>
    </row>
    <row r="8911">
      <c r="A8911" s="3" t="str">
        <f>IFERROR(__xludf.DUMMYFUNCTION("""COMPUTED_VALUE"""),"phant")</f>
        <v>phant</v>
      </c>
      <c r="B8911" s="3" t="str">
        <f>IFERROR(__xludf.DUMMYFUNCTION("""COMPUTED_VALUE"""),"pnt")</f>
        <v>pnt</v>
      </c>
      <c r="C8911" s="3" t="str">
        <f>IFERROR(__xludf.DUMMYFUNCTION("""COMPUTED_VALUE"""),"Phant")</f>
        <v>Phant</v>
      </c>
    </row>
    <row r="8912">
      <c r="A8912" s="3" t="str">
        <f>IFERROR(__xludf.DUMMYFUNCTION("""COMPUTED_VALUE"""),"phantasia")</f>
        <v>phantasia</v>
      </c>
      <c r="B8912" s="3" t="str">
        <f>IFERROR(__xludf.DUMMYFUNCTION("""COMPUTED_VALUE"""),"fant")</f>
        <v>fant</v>
      </c>
      <c r="C8912" s="3" t="str">
        <f>IFERROR(__xludf.DUMMYFUNCTION("""COMPUTED_VALUE"""),"Phantasia")</f>
        <v>Phantasia</v>
      </c>
    </row>
    <row r="8913">
      <c r="A8913" s="3" t="str">
        <f>IFERROR(__xludf.DUMMYFUNCTION("""COMPUTED_VALUE"""),"phantasma")</f>
        <v>phantasma</v>
      </c>
      <c r="B8913" s="3" t="str">
        <f>IFERROR(__xludf.DUMMYFUNCTION("""COMPUTED_VALUE"""),"soul")</f>
        <v>soul</v>
      </c>
      <c r="C8913" s="3" t="str">
        <f>IFERROR(__xludf.DUMMYFUNCTION("""COMPUTED_VALUE"""),"Phantasma")</f>
        <v>Phantasma</v>
      </c>
    </row>
    <row r="8914">
      <c r="A8914" s="3" t="str">
        <f>IFERROR(__xludf.DUMMYFUNCTION("""COMPUTED_VALUE"""),"phantasma-energy")</f>
        <v>phantasma-energy</v>
      </c>
      <c r="B8914" s="3" t="str">
        <f>IFERROR(__xludf.DUMMYFUNCTION("""COMPUTED_VALUE"""),"kcal")</f>
        <v>kcal</v>
      </c>
      <c r="C8914" s="3" t="str">
        <f>IFERROR(__xludf.DUMMYFUNCTION("""COMPUTED_VALUE"""),"Phantasma Energy")</f>
        <v>Phantasma Energy</v>
      </c>
    </row>
    <row r="8915">
      <c r="A8915" s="3" t="str">
        <f>IFERROR(__xludf.DUMMYFUNCTION("""COMPUTED_VALUE"""),"phantom-protocol")</f>
        <v>phantom-protocol</v>
      </c>
      <c r="B8915" s="3" t="str">
        <f>IFERROR(__xludf.DUMMYFUNCTION("""COMPUTED_VALUE"""),"phm")</f>
        <v>phm</v>
      </c>
      <c r="C8915" s="3" t="str">
        <f>IFERROR(__xludf.DUMMYFUNCTION("""COMPUTED_VALUE"""),"Phantom Protocol")</f>
        <v>Phantom Protocol</v>
      </c>
    </row>
    <row r="8916">
      <c r="A8916" s="3" t="str">
        <f>IFERROR(__xludf.DUMMYFUNCTION("""COMPUTED_VALUE"""),"phenix-finance")</f>
        <v>phenix-finance</v>
      </c>
      <c r="B8916" s="3" t="str">
        <f>IFERROR(__xludf.DUMMYFUNCTION("""COMPUTED_VALUE"""),"phnx")</f>
        <v>phnx</v>
      </c>
      <c r="C8916" s="3" t="str">
        <f>IFERROR(__xludf.DUMMYFUNCTION("""COMPUTED_VALUE"""),"Phenix Finance [OLD]")</f>
        <v>Phenix Finance [OLD]</v>
      </c>
    </row>
    <row r="8917">
      <c r="A8917" s="3" t="str">
        <f>IFERROR(__xludf.DUMMYFUNCTION("""COMPUTED_VALUE"""),"phenix-finance-2")</f>
        <v>phenix-finance-2</v>
      </c>
      <c r="B8917" s="3" t="str">
        <f>IFERROR(__xludf.DUMMYFUNCTION("""COMPUTED_VALUE"""),"phnx")</f>
        <v>phnx</v>
      </c>
      <c r="C8917" s="3" t="str">
        <f>IFERROR(__xludf.DUMMYFUNCTION("""COMPUTED_VALUE"""),"Phenix Finance")</f>
        <v>Phenix Finance</v>
      </c>
    </row>
    <row r="8918">
      <c r="A8918" s="3" t="str">
        <f>IFERROR(__xludf.DUMMYFUNCTION("""COMPUTED_VALUE"""),"philcoin")</f>
        <v>philcoin</v>
      </c>
      <c r="B8918" s="3" t="str">
        <f>IFERROR(__xludf.DUMMYFUNCTION("""COMPUTED_VALUE"""),"phl")</f>
        <v>phl</v>
      </c>
      <c r="C8918" s="3" t="str">
        <f>IFERROR(__xludf.DUMMYFUNCTION("""COMPUTED_VALUE"""),"Philcoin")</f>
        <v>Philcoin</v>
      </c>
    </row>
    <row r="8919">
      <c r="A8919" s="3" t="str">
        <f>IFERROR(__xludf.DUMMYFUNCTION("""COMPUTED_VALUE"""),"philips-pay-coin")</f>
        <v>philips-pay-coin</v>
      </c>
      <c r="B8919" s="3" t="str">
        <f>IFERROR(__xludf.DUMMYFUNCTION("""COMPUTED_VALUE"""),"ppc")</f>
        <v>ppc</v>
      </c>
      <c r="C8919" s="3" t="str">
        <f>IFERROR(__xludf.DUMMYFUNCTION("""COMPUTED_VALUE"""),"PHILLIPS PAY COIN")</f>
        <v>PHILLIPS PAY COIN</v>
      </c>
    </row>
    <row r="8920">
      <c r="A8920" s="3" t="str">
        <f>IFERROR(__xludf.DUMMYFUNCTION("""COMPUTED_VALUE"""),"phoenix")</f>
        <v>phoenix</v>
      </c>
      <c r="B8920" s="3" t="str">
        <f>IFERROR(__xludf.DUMMYFUNCTION("""COMPUTED_VALUE"""),"phx")</f>
        <v>phx</v>
      </c>
      <c r="C8920" s="3" t="str">
        <f>IFERROR(__xludf.DUMMYFUNCTION("""COMPUTED_VALUE"""),"Phoenix")</f>
        <v>Phoenix</v>
      </c>
    </row>
    <row r="8921">
      <c r="A8921" s="3" t="str">
        <f>IFERROR(__xludf.DUMMYFUNCTION("""COMPUTED_VALUE"""),"phoenixcoin")</f>
        <v>phoenixcoin</v>
      </c>
      <c r="B8921" s="3" t="str">
        <f>IFERROR(__xludf.DUMMYFUNCTION("""COMPUTED_VALUE"""),"pxc")</f>
        <v>pxc</v>
      </c>
      <c r="C8921" s="3" t="str">
        <f>IFERROR(__xludf.DUMMYFUNCTION("""COMPUTED_VALUE"""),"Phoenixcoin")</f>
        <v>Phoenixcoin</v>
      </c>
    </row>
    <row r="8922">
      <c r="A8922" s="3" t="str">
        <f>IFERROR(__xludf.DUMMYFUNCTION("""COMPUTED_VALUE"""),"phoenixdao")</f>
        <v>phoenixdao</v>
      </c>
      <c r="B8922" s="3" t="str">
        <f>IFERROR(__xludf.DUMMYFUNCTION("""COMPUTED_VALUE"""),"phnx")</f>
        <v>phnx</v>
      </c>
      <c r="C8922" s="3" t="str">
        <f>IFERROR(__xludf.DUMMYFUNCTION("""COMPUTED_VALUE"""),"PhoenixDAO")</f>
        <v>PhoenixDAO</v>
      </c>
    </row>
    <row r="8923">
      <c r="A8923" s="3" t="str">
        <f>IFERROR(__xludf.DUMMYFUNCTION("""COMPUTED_VALUE"""),"phoenix-defi-finance")</f>
        <v>phoenix-defi-finance</v>
      </c>
      <c r="B8923" s="3" t="str">
        <f>IFERROR(__xludf.DUMMYFUNCTION("""COMPUTED_VALUE"""),"pnixs")</f>
        <v>pnixs</v>
      </c>
      <c r="C8923" s="3" t="str">
        <f>IFERROR(__xludf.DUMMYFUNCTION("""COMPUTED_VALUE"""),"Phoenix Defi Finance")</f>
        <v>Phoenix Defi Finance</v>
      </c>
    </row>
    <row r="8924">
      <c r="A8924" s="3" t="str">
        <f>IFERROR(__xludf.DUMMYFUNCTION("""COMPUTED_VALUE"""),"phoenixdefi-finance")</f>
        <v>phoenixdefi-finance</v>
      </c>
      <c r="B8924" s="3" t="str">
        <f>IFERROR(__xludf.DUMMYFUNCTION("""COMPUTED_VALUE"""),"pnix")</f>
        <v>pnix</v>
      </c>
      <c r="C8924" s="3" t="str">
        <f>IFERROR(__xludf.DUMMYFUNCTION("""COMPUTED_VALUE"""),"PhoenixDefi.Finance")</f>
        <v>PhoenixDefi.Finance</v>
      </c>
    </row>
    <row r="8925">
      <c r="A8925" s="3" t="str">
        <f>IFERROR(__xludf.DUMMYFUNCTION("""COMPUTED_VALUE"""),"phoenix-global")</f>
        <v>phoenix-global</v>
      </c>
      <c r="B8925" s="3" t="str">
        <f>IFERROR(__xludf.DUMMYFUNCTION("""COMPUTED_VALUE"""),"phb")</f>
        <v>phb</v>
      </c>
      <c r="C8925" s="3" t="str">
        <f>IFERROR(__xludf.DUMMYFUNCTION("""COMPUTED_VALUE"""),"Phoenix Global")</f>
        <v>Phoenix Global</v>
      </c>
    </row>
    <row r="8926">
      <c r="A8926" s="3" t="str">
        <f>IFERROR(__xludf.DUMMYFUNCTION("""COMPUTED_VALUE"""),"phoenix-protocol-b7a9513c-36e9-4a6b-b6ae-6a1a76bb913e")</f>
        <v>phoenix-protocol-b7a9513c-36e9-4a6b-b6ae-6a1a76bb913e</v>
      </c>
      <c r="B8926" s="3" t="str">
        <f>IFERROR(__xludf.DUMMYFUNCTION("""COMPUTED_VALUE"""),"pp")</f>
        <v>pp</v>
      </c>
      <c r="C8926" s="3" t="str">
        <f>IFERROR(__xludf.DUMMYFUNCTION("""COMPUTED_VALUE"""),"Phoenix Protocol")</f>
        <v>Phoenix Protocol</v>
      </c>
    </row>
    <row r="8927">
      <c r="A8927" s="3" t="str">
        <f>IFERROR(__xludf.DUMMYFUNCTION("""COMPUTED_VALUE"""),"phoenix-token")</f>
        <v>phoenix-token</v>
      </c>
      <c r="B8927" s="3" t="str">
        <f>IFERROR(__xludf.DUMMYFUNCTION("""COMPUTED_VALUE"""),"phx")</f>
        <v>phx</v>
      </c>
      <c r="C8927" s="3" t="str">
        <f>IFERROR(__xludf.DUMMYFUNCTION("""COMPUTED_VALUE"""),"Phoenix Finance")</f>
        <v>Phoenix Finance</v>
      </c>
    </row>
    <row r="8928">
      <c r="A8928" s="3" t="str">
        <f>IFERROR(__xludf.DUMMYFUNCTION("""COMPUTED_VALUE"""),"phoneum")</f>
        <v>phoneum</v>
      </c>
      <c r="B8928" s="3" t="str">
        <f>IFERROR(__xludf.DUMMYFUNCTION("""COMPUTED_VALUE"""),"pht")</f>
        <v>pht</v>
      </c>
      <c r="C8928" s="3" t="str">
        <f>IFERROR(__xludf.DUMMYFUNCTION("""COMPUTED_VALUE"""),"Phoneum")</f>
        <v>Phoneum</v>
      </c>
    </row>
    <row r="8929">
      <c r="A8929" s="3" t="str">
        <f>IFERROR(__xludf.DUMMYFUNCTION("""COMPUTED_VALUE"""),"phonon-dao")</f>
        <v>phonon-dao</v>
      </c>
      <c r="B8929" s="3" t="str">
        <f>IFERROR(__xludf.DUMMYFUNCTION("""COMPUTED_VALUE"""),"phonon")</f>
        <v>phonon</v>
      </c>
      <c r="C8929" s="3" t="str">
        <f>IFERROR(__xludf.DUMMYFUNCTION("""COMPUTED_VALUE"""),"Phonon DAO")</f>
        <v>Phonon DAO</v>
      </c>
    </row>
    <row r="8930">
      <c r="A8930" s="3" t="str">
        <f>IFERROR(__xludf.DUMMYFUNCTION("""COMPUTED_VALUE"""),"phore")</f>
        <v>phore</v>
      </c>
      <c r="B8930" s="3" t="str">
        <f>IFERROR(__xludf.DUMMYFUNCTION("""COMPUTED_VALUE"""),"phr")</f>
        <v>phr</v>
      </c>
      <c r="C8930" s="3" t="str">
        <f>IFERROR(__xludf.DUMMYFUNCTION("""COMPUTED_VALUE"""),"Phore")</f>
        <v>Phore</v>
      </c>
    </row>
    <row r="8931">
      <c r="A8931" s="3" t="str">
        <f>IFERROR(__xludf.DUMMYFUNCTION("""COMPUTED_VALUE"""),"phoswap")</f>
        <v>phoswap</v>
      </c>
      <c r="B8931" s="3" t="str">
        <f>IFERROR(__xludf.DUMMYFUNCTION("""COMPUTED_VALUE"""),"pho")</f>
        <v>pho</v>
      </c>
      <c r="C8931" s="3" t="str">
        <f>IFERROR(__xludf.DUMMYFUNCTION("""COMPUTED_VALUE"""),"Phoswap")</f>
        <v>Phoswap</v>
      </c>
    </row>
    <row r="8932">
      <c r="A8932" s="3" t="str">
        <f>IFERROR(__xludf.DUMMYFUNCTION("""COMPUTED_VALUE"""),"photochromic")</f>
        <v>photochromic</v>
      </c>
      <c r="B8932" s="3" t="str">
        <f>IFERROR(__xludf.DUMMYFUNCTION("""COMPUTED_VALUE"""),"phcr")</f>
        <v>phcr</v>
      </c>
      <c r="C8932" s="3" t="str">
        <f>IFERROR(__xludf.DUMMYFUNCTION("""COMPUTED_VALUE"""),"PhotoChromic")</f>
        <v>PhotoChromic</v>
      </c>
    </row>
    <row r="8933">
      <c r="A8933" s="3" t="str">
        <f>IFERROR(__xludf.DUMMYFUNCTION("""COMPUTED_VALUE"""),"photonswap")</f>
        <v>photonswap</v>
      </c>
      <c r="B8933" s="3" t="str">
        <f>IFERROR(__xludf.DUMMYFUNCTION("""COMPUTED_VALUE"""),"photon")</f>
        <v>photon</v>
      </c>
      <c r="C8933" s="3" t="str">
        <f>IFERROR(__xludf.DUMMYFUNCTION("""COMPUTED_VALUE"""),"PhotonSwap")</f>
        <v>PhotonSwap</v>
      </c>
    </row>
    <row r="8934">
      <c r="A8934" s="3" t="str">
        <f>IFERROR(__xludf.DUMMYFUNCTION("""COMPUTED_VALUE"""),"photonswap-kava")</f>
        <v>photonswap-kava</v>
      </c>
      <c r="B8934" s="3" t="str">
        <f>IFERROR(__xludf.DUMMYFUNCTION("""COMPUTED_VALUE"""),"k-photon")</f>
        <v>k-photon</v>
      </c>
      <c r="C8934" s="3" t="str">
        <f>IFERROR(__xludf.DUMMYFUNCTION("""COMPUTED_VALUE"""),"Photonswap(Kava)")</f>
        <v>Photonswap(Kava)</v>
      </c>
    </row>
    <row r="8935">
      <c r="A8935" s="3" t="str">
        <f>IFERROR(__xludf.DUMMYFUNCTION("""COMPUTED_VALUE"""),"phunk-vault-nftx")</f>
        <v>phunk-vault-nftx</v>
      </c>
      <c r="B8935" s="3" t="str">
        <f>IFERROR(__xludf.DUMMYFUNCTION("""COMPUTED_VALUE"""),"phunk")</f>
        <v>phunk</v>
      </c>
      <c r="C8935" s="3" t="str">
        <f>IFERROR(__xludf.DUMMYFUNCTION("""COMPUTED_VALUE"""),"PHUNK Vault (NFTX)")</f>
        <v>PHUNK Vault (NFTX)</v>
      </c>
    </row>
    <row r="8936">
      <c r="A8936" s="3" t="str">
        <f>IFERROR(__xludf.DUMMYFUNCTION("""COMPUTED_VALUE"""),"phuntoken")</f>
        <v>phuntoken</v>
      </c>
      <c r="B8936" s="3" t="str">
        <f>IFERROR(__xludf.DUMMYFUNCTION("""COMPUTED_VALUE"""),"phtk")</f>
        <v>phtk</v>
      </c>
      <c r="C8936" s="3" t="str">
        <f>IFERROR(__xludf.DUMMYFUNCTION("""COMPUTED_VALUE"""),"Phun Token")</f>
        <v>Phun Token</v>
      </c>
    </row>
    <row r="8937">
      <c r="A8937" s="3" t="str">
        <f>IFERROR(__xludf.DUMMYFUNCTION("""COMPUTED_VALUE"""),"phuture")</f>
        <v>phuture</v>
      </c>
      <c r="B8937" s="3" t="str">
        <f>IFERROR(__xludf.DUMMYFUNCTION("""COMPUTED_VALUE"""),"phtr")</f>
        <v>phtr</v>
      </c>
      <c r="C8937" s="3" t="str">
        <f>IFERROR(__xludf.DUMMYFUNCTION("""COMPUTED_VALUE"""),"Phuture")</f>
        <v>Phuture</v>
      </c>
    </row>
    <row r="8938">
      <c r="A8938" s="3" t="str">
        <f>IFERROR(__xludf.DUMMYFUNCTION("""COMPUTED_VALUE"""),"phuture-defi-index")</f>
        <v>phuture-defi-index</v>
      </c>
      <c r="B8938" s="3" t="str">
        <f>IFERROR(__xludf.DUMMYFUNCTION("""COMPUTED_VALUE"""),"pdi")</f>
        <v>pdi</v>
      </c>
      <c r="C8938" s="3" t="str">
        <f>IFERROR(__xludf.DUMMYFUNCTION("""COMPUTED_VALUE"""),"Phuture DeFi Index")</f>
        <v>Phuture DeFi Index</v>
      </c>
    </row>
    <row r="8939">
      <c r="A8939" s="3" t="str">
        <f>IFERROR(__xludf.DUMMYFUNCTION("""COMPUTED_VALUE"""),"physis")</f>
        <v>physis</v>
      </c>
      <c r="B8939" s="3" t="str">
        <f>IFERROR(__xludf.DUMMYFUNCTION("""COMPUTED_VALUE"""),"phy")</f>
        <v>phy</v>
      </c>
      <c r="C8939" s="3" t="str">
        <f>IFERROR(__xludf.DUMMYFUNCTION("""COMPUTED_VALUE"""),"Physis")</f>
        <v>Physis</v>
      </c>
    </row>
    <row r="8940">
      <c r="A8940" s="3" t="str">
        <f>IFERROR(__xludf.DUMMYFUNCTION("""COMPUTED_VALUE"""),"pias")</f>
        <v>pias</v>
      </c>
      <c r="B8940" s="3" t="str">
        <f>IFERROR(__xludf.DUMMYFUNCTION("""COMPUTED_VALUE"""),"pias")</f>
        <v>pias</v>
      </c>
      <c r="C8940" s="3" t="str">
        <f>IFERROR(__xludf.DUMMYFUNCTION("""COMPUTED_VALUE"""),"PIAS")</f>
        <v>PIAS</v>
      </c>
    </row>
    <row r="8941">
      <c r="A8941" s="3" t="str">
        <f>IFERROR(__xludf.DUMMYFUNCTION("""COMPUTED_VALUE"""),"piasa")</f>
        <v>piasa</v>
      </c>
      <c r="B8941" s="3" t="str">
        <f>IFERROR(__xludf.DUMMYFUNCTION("""COMPUTED_VALUE"""),"piasa")</f>
        <v>piasa</v>
      </c>
      <c r="C8941" s="3" t="str">
        <f>IFERROR(__xludf.DUMMYFUNCTION("""COMPUTED_VALUE"""),"PIASA")</f>
        <v>PIASA</v>
      </c>
    </row>
    <row r="8942">
      <c r="A8942" s="3" t="str">
        <f>IFERROR(__xludf.DUMMYFUNCTION("""COMPUTED_VALUE"""),"pibble")</f>
        <v>pibble</v>
      </c>
      <c r="B8942" s="3" t="str">
        <f>IFERROR(__xludf.DUMMYFUNCTION("""COMPUTED_VALUE"""),"pib")</f>
        <v>pib</v>
      </c>
      <c r="C8942" s="3" t="str">
        <f>IFERROR(__xludf.DUMMYFUNCTION("""COMPUTED_VALUE"""),"Pibble")</f>
        <v>Pibble</v>
      </c>
    </row>
    <row r="8943">
      <c r="A8943" s="3" t="str">
        <f>IFERROR(__xludf.DUMMYFUNCTION("""COMPUTED_VALUE"""),"piccolo-inu")</f>
        <v>piccolo-inu</v>
      </c>
      <c r="B8943" s="3" t="str">
        <f>IFERROR(__xludf.DUMMYFUNCTION("""COMPUTED_VALUE"""),"pinu")</f>
        <v>pinu</v>
      </c>
      <c r="C8943" s="3" t="str">
        <f>IFERROR(__xludf.DUMMYFUNCTION("""COMPUTED_VALUE"""),"Piccolo Inu")</f>
        <v>Piccolo Inu</v>
      </c>
    </row>
    <row r="8944">
      <c r="A8944" s="3" t="str">
        <f>IFERROR(__xludf.DUMMYFUNCTION("""COMPUTED_VALUE"""),"picipo")</f>
        <v>picipo</v>
      </c>
      <c r="B8944" s="3" t="str">
        <f>IFERROR(__xludf.DUMMYFUNCTION("""COMPUTED_VALUE"""),"picipo")</f>
        <v>picipo</v>
      </c>
      <c r="C8944" s="3" t="str">
        <f>IFERROR(__xludf.DUMMYFUNCTION("""COMPUTED_VALUE"""),"Picipo")</f>
        <v>Picipo</v>
      </c>
    </row>
    <row r="8945">
      <c r="A8945" s="3" t="str">
        <f>IFERROR(__xludf.DUMMYFUNCTION("""COMPUTED_VALUE"""),"pick")</f>
        <v>pick</v>
      </c>
      <c r="B8945" s="3" t="str">
        <f>IFERROR(__xludf.DUMMYFUNCTION("""COMPUTED_VALUE"""),"pick")</f>
        <v>pick</v>
      </c>
      <c r="C8945" s="3" t="str">
        <f>IFERROR(__xludf.DUMMYFUNCTION("""COMPUTED_VALUE"""),"PICK")</f>
        <v>PICK</v>
      </c>
    </row>
    <row r="8946">
      <c r="A8946" s="3" t="str">
        <f>IFERROR(__xludf.DUMMYFUNCTION("""COMPUTED_VALUE"""),"pickle-finance")</f>
        <v>pickle-finance</v>
      </c>
      <c r="B8946" s="3" t="str">
        <f>IFERROR(__xludf.DUMMYFUNCTION("""COMPUTED_VALUE"""),"pickle")</f>
        <v>pickle</v>
      </c>
      <c r="C8946" s="3" t="str">
        <f>IFERROR(__xludf.DUMMYFUNCTION("""COMPUTED_VALUE"""),"Pickle Finance")</f>
        <v>Pickle Finance</v>
      </c>
    </row>
    <row r="8947">
      <c r="A8947" s="3" t="str">
        <f>IFERROR(__xludf.DUMMYFUNCTION("""COMPUTED_VALUE"""),"picogo")</f>
        <v>picogo</v>
      </c>
      <c r="B8947" s="3" t="str">
        <f>IFERROR(__xludf.DUMMYFUNCTION("""COMPUTED_VALUE"""),"pico")</f>
        <v>pico</v>
      </c>
      <c r="C8947" s="3" t="str">
        <f>IFERROR(__xludf.DUMMYFUNCTION("""COMPUTED_VALUE"""),"PicoGo")</f>
        <v>PicoGo</v>
      </c>
    </row>
    <row r="8948">
      <c r="A8948" s="3" t="str">
        <f>IFERROR(__xludf.DUMMYFUNCTION("""COMPUTED_VALUE"""),"piconnect")</f>
        <v>piconnect</v>
      </c>
      <c r="B8948" s="3" t="str">
        <f>IFERROR(__xludf.DUMMYFUNCTION("""COMPUTED_VALUE"""),"pico")</f>
        <v>pico</v>
      </c>
      <c r="C8948" s="3" t="str">
        <f>IFERROR(__xludf.DUMMYFUNCTION("""COMPUTED_VALUE"""),"PiConnect")</f>
        <v>PiConnect</v>
      </c>
    </row>
    <row r="8949">
      <c r="A8949" s="3" t="str">
        <f>IFERROR(__xludf.DUMMYFUNCTION("""COMPUTED_VALUE"""),"piction-network")</f>
        <v>piction-network</v>
      </c>
      <c r="B8949" s="3" t="str">
        <f>IFERROR(__xludf.DUMMYFUNCTION("""COMPUTED_VALUE"""),"pxl")</f>
        <v>pxl</v>
      </c>
      <c r="C8949" s="3" t="str">
        <f>IFERROR(__xludf.DUMMYFUNCTION("""COMPUTED_VALUE"""),"Piction Network")</f>
        <v>Piction Network</v>
      </c>
    </row>
    <row r="8950">
      <c r="A8950" s="3" t="str">
        <f>IFERROR(__xludf.DUMMYFUNCTION("""COMPUTED_VALUE"""),"pidao")</f>
        <v>pidao</v>
      </c>
      <c r="B8950" s="3" t="str">
        <f>IFERROR(__xludf.DUMMYFUNCTION("""COMPUTED_VALUE"""),"pid")</f>
        <v>pid</v>
      </c>
      <c r="C8950" s="3" t="str">
        <f>IFERROR(__xludf.DUMMYFUNCTION("""COMPUTED_VALUE"""),"PIDAO")</f>
        <v>PIDAO</v>
      </c>
    </row>
    <row r="8951">
      <c r="A8951" s="3" t="str">
        <f>IFERROR(__xludf.DUMMYFUNCTION("""COMPUTED_VALUE"""),"piedao-balanced-crypto-pie")</f>
        <v>piedao-balanced-crypto-pie</v>
      </c>
      <c r="B8951" s="3" t="str">
        <f>IFERROR(__xludf.DUMMYFUNCTION("""COMPUTED_VALUE"""),"bcp")</f>
        <v>bcp</v>
      </c>
      <c r="C8951" s="3" t="str">
        <f>IFERROR(__xludf.DUMMYFUNCTION("""COMPUTED_VALUE"""),"PieDAO Balanced Crypto Pie")</f>
        <v>PieDAO Balanced Crypto Pie</v>
      </c>
    </row>
    <row r="8952">
      <c r="A8952" s="3" t="str">
        <f>IFERROR(__xludf.DUMMYFUNCTION("""COMPUTED_VALUE"""),"piedao-btc")</f>
        <v>piedao-btc</v>
      </c>
      <c r="B8952" s="3" t="str">
        <f>IFERROR(__xludf.DUMMYFUNCTION("""COMPUTED_VALUE"""),"btc++")</f>
        <v>btc++</v>
      </c>
      <c r="C8952" s="3" t="str">
        <f>IFERROR(__xludf.DUMMYFUNCTION("""COMPUTED_VALUE"""),"PieDAO BTC++")</f>
        <v>PieDAO BTC++</v>
      </c>
    </row>
    <row r="8953">
      <c r="A8953" s="3" t="str">
        <f>IFERROR(__xludf.DUMMYFUNCTION("""COMPUTED_VALUE"""),"piedao-defi")</f>
        <v>piedao-defi</v>
      </c>
      <c r="B8953" s="3" t="str">
        <f>IFERROR(__xludf.DUMMYFUNCTION("""COMPUTED_VALUE"""),"defi++")</f>
        <v>defi++</v>
      </c>
      <c r="C8953" s="3" t="str">
        <f>IFERROR(__xludf.DUMMYFUNCTION("""COMPUTED_VALUE"""),"PieDAO DEFI++")</f>
        <v>PieDAO DEFI++</v>
      </c>
    </row>
    <row r="8954">
      <c r="A8954" s="3" t="str">
        <f>IFERROR(__xludf.DUMMYFUNCTION("""COMPUTED_VALUE"""),"piedao-defi-large-cap")</f>
        <v>piedao-defi-large-cap</v>
      </c>
      <c r="B8954" s="3" t="str">
        <f>IFERROR(__xludf.DUMMYFUNCTION("""COMPUTED_VALUE"""),"defi+l")</f>
        <v>defi+l</v>
      </c>
      <c r="C8954" s="3" t="str">
        <f>IFERROR(__xludf.DUMMYFUNCTION("""COMPUTED_VALUE"""),"PieDAO DEFI Large Cap")</f>
        <v>PieDAO DEFI Large Cap</v>
      </c>
    </row>
    <row r="8955">
      <c r="A8955" s="3" t="str">
        <f>IFERROR(__xludf.DUMMYFUNCTION("""COMPUTED_VALUE"""),"piedao-defi-small-cap")</f>
        <v>piedao-defi-small-cap</v>
      </c>
      <c r="B8955" s="3" t="str">
        <f>IFERROR(__xludf.DUMMYFUNCTION("""COMPUTED_VALUE"""),"defi+s")</f>
        <v>defi+s</v>
      </c>
      <c r="C8955" s="3" t="str">
        <f>IFERROR(__xludf.DUMMYFUNCTION("""COMPUTED_VALUE"""),"PieDAO DEFI Small Cap")</f>
        <v>PieDAO DEFI Small Cap</v>
      </c>
    </row>
    <row r="8956">
      <c r="A8956" s="3" t="str">
        <f>IFERROR(__xludf.DUMMYFUNCTION("""COMPUTED_VALUE"""),"piedao-dough-v2")</f>
        <v>piedao-dough-v2</v>
      </c>
      <c r="B8956" s="3" t="str">
        <f>IFERROR(__xludf.DUMMYFUNCTION("""COMPUTED_VALUE"""),"dough")</f>
        <v>dough</v>
      </c>
      <c r="C8956" s="3" t="str">
        <f>IFERROR(__xludf.DUMMYFUNCTION("""COMPUTED_VALUE"""),"PieDAO DOUGH v2")</f>
        <v>PieDAO DOUGH v2</v>
      </c>
    </row>
    <row r="8957">
      <c r="A8957" s="3" t="str">
        <f>IFERROR(__xludf.DUMMYFUNCTION("""COMPUTED_VALUE"""),"piedao-yearn-ecosystem-pie")</f>
        <v>piedao-yearn-ecosystem-pie</v>
      </c>
      <c r="B8957" s="3" t="str">
        <f>IFERROR(__xludf.DUMMYFUNCTION("""COMPUTED_VALUE"""),"ypie")</f>
        <v>ypie</v>
      </c>
      <c r="C8957" s="3" t="str">
        <f>IFERROR(__xludf.DUMMYFUNCTION("""COMPUTED_VALUE"""),"PieDAO Yearn Ecosystem Pie")</f>
        <v>PieDAO Yearn Ecosystem Pie</v>
      </c>
    </row>
    <row r="8958">
      <c r="A8958" s="3" t="str">
        <f>IFERROR(__xludf.DUMMYFUNCTION("""COMPUTED_VALUE"""),"pie-share")</f>
        <v>pie-share</v>
      </c>
      <c r="B8958" s="3" t="str">
        <f>IFERROR(__xludf.DUMMYFUNCTION("""COMPUTED_VALUE"""),"pie")</f>
        <v>pie</v>
      </c>
      <c r="C8958" s="3" t="str">
        <f>IFERROR(__xludf.DUMMYFUNCTION("""COMPUTED_VALUE"""),"Pie Share")</f>
        <v>Pie Share</v>
      </c>
    </row>
    <row r="8959">
      <c r="A8959" s="3" t="str">
        <f>IFERROR(__xludf.DUMMYFUNCTION("""COMPUTED_VALUE"""),"pige-inu")</f>
        <v>pige-inu</v>
      </c>
      <c r="B8959" s="3" t="str">
        <f>IFERROR(__xludf.DUMMYFUNCTION("""COMPUTED_VALUE"""),"pinu")</f>
        <v>pinu</v>
      </c>
      <c r="C8959" s="3" t="str">
        <f>IFERROR(__xludf.DUMMYFUNCTION("""COMPUTED_VALUE"""),"Pige Inu")</f>
        <v>Pige Inu</v>
      </c>
    </row>
    <row r="8960">
      <c r="A8960" s="3" t="str">
        <f>IFERROR(__xludf.DUMMYFUNCTION("""COMPUTED_VALUE"""),"pigeoncoin")</f>
        <v>pigeoncoin</v>
      </c>
      <c r="B8960" s="3" t="str">
        <f>IFERROR(__xludf.DUMMYFUNCTION("""COMPUTED_VALUE"""),"pgn")</f>
        <v>pgn</v>
      </c>
      <c r="C8960" s="3" t="str">
        <f>IFERROR(__xludf.DUMMYFUNCTION("""COMPUTED_VALUE"""),"Pigeoncoin")</f>
        <v>Pigeoncoin</v>
      </c>
    </row>
    <row r="8961">
      <c r="A8961" s="3" t="str">
        <f>IFERROR(__xludf.DUMMYFUNCTION("""COMPUTED_VALUE"""),"pigeon-sol")</f>
        <v>pigeon-sol</v>
      </c>
      <c r="B8961" s="3" t="str">
        <f>IFERROR(__xludf.DUMMYFUNCTION("""COMPUTED_VALUE"""),"pgnt")</f>
        <v>pgnt</v>
      </c>
      <c r="C8961" s="3" t="str">
        <f>IFERROR(__xludf.DUMMYFUNCTION("""COMPUTED_VALUE"""),"Pigeon Sol")</f>
        <v>Pigeon Sol</v>
      </c>
    </row>
    <row r="8962">
      <c r="A8962" s="3" t="str">
        <f>IFERROR(__xludf.DUMMYFUNCTION("""COMPUTED_VALUE"""),"pig-finance")</f>
        <v>pig-finance</v>
      </c>
      <c r="B8962" s="3" t="str">
        <f>IFERROR(__xludf.DUMMYFUNCTION("""COMPUTED_VALUE"""),"pig")</f>
        <v>pig</v>
      </c>
      <c r="C8962" s="3" t="str">
        <f>IFERROR(__xludf.DUMMYFUNCTION("""COMPUTED_VALUE"""),"Pig Finance")</f>
        <v>Pig Finance</v>
      </c>
    </row>
    <row r="8963">
      <c r="A8963" s="3" t="str">
        <f>IFERROR(__xludf.DUMMYFUNCTION("""COMPUTED_VALUE"""),"piggy")</f>
        <v>piggy</v>
      </c>
      <c r="B8963" s="3" t="str">
        <f>IFERROR(__xludf.DUMMYFUNCTION("""COMPUTED_VALUE"""),"piggy")</f>
        <v>piggy</v>
      </c>
      <c r="C8963" s="3" t="str">
        <f>IFERROR(__xludf.DUMMYFUNCTION("""COMPUTED_VALUE"""),"Piggy")</f>
        <v>Piggy</v>
      </c>
    </row>
    <row r="8964">
      <c r="A8964" s="3" t="str">
        <f>IFERROR(__xludf.DUMMYFUNCTION("""COMPUTED_VALUE"""),"piggy-bank-token")</f>
        <v>piggy-bank-token</v>
      </c>
      <c r="B8964" s="3" t="str">
        <f>IFERROR(__xludf.DUMMYFUNCTION("""COMPUTED_VALUE"""),"piggy")</f>
        <v>piggy</v>
      </c>
      <c r="C8964" s="3" t="str">
        <f>IFERROR(__xludf.DUMMYFUNCTION("""COMPUTED_VALUE"""),"PiggyBank")</f>
        <v>PiggyBank</v>
      </c>
    </row>
    <row r="8965">
      <c r="A8965" s="3" t="str">
        <f>IFERROR(__xludf.DUMMYFUNCTION("""COMPUTED_VALUE"""),"piggy-finance")</f>
        <v>piggy-finance</v>
      </c>
      <c r="B8965" s="3" t="str">
        <f>IFERROR(__xludf.DUMMYFUNCTION("""COMPUTED_VALUE"""),"piggy")</f>
        <v>piggy</v>
      </c>
      <c r="C8965" s="3" t="str">
        <f>IFERROR(__xludf.DUMMYFUNCTION("""COMPUTED_VALUE"""),"Piggy Finance")</f>
        <v>Piggy Finance</v>
      </c>
    </row>
    <row r="8966">
      <c r="A8966" s="3" t="str">
        <f>IFERROR(__xludf.DUMMYFUNCTION("""COMPUTED_VALUE"""),"piggy-share")</f>
        <v>piggy-share</v>
      </c>
      <c r="B8966" s="3" t="str">
        <f>IFERROR(__xludf.DUMMYFUNCTION("""COMPUTED_VALUE"""),"pshare")</f>
        <v>pshare</v>
      </c>
      <c r="C8966" s="3" t="str">
        <f>IFERROR(__xludf.DUMMYFUNCTION("""COMPUTED_VALUE"""),"Piggy Share")</f>
        <v>Piggy Share</v>
      </c>
    </row>
    <row r="8967">
      <c r="A8967" s="3" t="str">
        <f>IFERROR(__xludf.DUMMYFUNCTION("""COMPUTED_VALUE"""),"pigs-2")</f>
        <v>pigs-2</v>
      </c>
      <c r="B8967" s="3" t="str">
        <f>IFERROR(__xludf.DUMMYFUNCTION("""COMPUTED_VALUE"""),"afp")</f>
        <v>afp</v>
      </c>
      <c r="C8967" s="3" t="str">
        <f>IFERROR(__xludf.DUMMYFUNCTION("""COMPUTED_VALUE"""),"PIGS")</f>
        <v>PIGS</v>
      </c>
    </row>
    <row r="8968">
      <c r="A8968" s="3" t="str">
        <f>IFERROR(__xludf.DUMMYFUNCTION("""COMPUTED_VALUE"""),"pikachu")</f>
        <v>pikachu</v>
      </c>
      <c r="B8968" s="3" t="str">
        <f>IFERROR(__xludf.DUMMYFUNCTION("""COMPUTED_VALUE"""),"pika")</f>
        <v>pika</v>
      </c>
      <c r="C8968" s="3" t="str">
        <f>IFERROR(__xludf.DUMMYFUNCTION("""COMPUTED_VALUE"""),"Pika")</f>
        <v>Pika</v>
      </c>
    </row>
    <row r="8969">
      <c r="A8969" s="3" t="str">
        <f>IFERROR(__xludf.DUMMYFUNCTION("""COMPUTED_VALUE"""),"pikaster")</f>
        <v>pikaster</v>
      </c>
      <c r="B8969" s="3" t="str">
        <f>IFERROR(__xludf.DUMMYFUNCTION("""COMPUTED_VALUE"""),"mls")</f>
        <v>mls</v>
      </c>
      <c r="C8969" s="3" t="str">
        <f>IFERROR(__xludf.DUMMYFUNCTION("""COMPUTED_VALUE"""),"Metaland Shares")</f>
        <v>Metaland Shares</v>
      </c>
    </row>
    <row r="8970">
      <c r="A8970" s="3" t="str">
        <f>IFERROR(__xludf.DUMMYFUNCTION("""COMPUTED_VALUE"""),"pillar")</f>
        <v>pillar</v>
      </c>
      <c r="B8970" s="3" t="str">
        <f>IFERROR(__xludf.DUMMYFUNCTION("""COMPUTED_VALUE"""),"plr")</f>
        <v>plr</v>
      </c>
      <c r="C8970" s="3" t="str">
        <f>IFERROR(__xludf.DUMMYFUNCTION("""COMPUTED_VALUE"""),"Pillar")</f>
        <v>Pillar</v>
      </c>
    </row>
    <row r="8971">
      <c r="A8971" s="3" t="str">
        <f>IFERROR(__xludf.DUMMYFUNCTION("""COMPUTED_VALUE"""),"pilot")</f>
        <v>pilot</v>
      </c>
      <c r="B8971" s="3" t="str">
        <f>IFERROR(__xludf.DUMMYFUNCTION("""COMPUTED_VALUE"""),"ptd")</f>
        <v>ptd</v>
      </c>
      <c r="C8971" s="3" t="str">
        <f>IFERROR(__xludf.DUMMYFUNCTION("""COMPUTED_VALUE"""),"Pilot")</f>
        <v>Pilot</v>
      </c>
    </row>
    <row r="8972">
      <c r="A8972" s="3" t="str">
        <f>IFERROR(__xludf.DUMMYFUNCTION("""COMPUTED_VALUE"""),"pimride")</f>
        <v>pimride</v>
      </c>
      <c r="B8972" s="3" t="str">
        <f>IFERROR(__xludf.DUMMYFUNCTION("""COMPUTED_VALUE"""),"pim")</f>
        <v>pim</v>
      </c>
      <c r="C8972" s="3" t="str">
        <f>IFERROR(__xludf.DUMMYFUNCTION("""COMPUTED_VALUE"""),"PIMRIDE")</f>
        <v>PIMRIDE</v>
      </c>
    </row>
    <row r="8973">
      <c r="A8973" s="3" t="str">
        <f>IFERROR(__xludf.DUMMYFUNCTION("""COMPUTED_VALUE"""),"pine")</f>
        <v>pine</v>
      </c>
      <c r="B8973" s="3" t="str">
        <f>IFERROR(__xludf.DUMMYFUNCTION("""COMPUTED_VALUE"""),"pine")</f>
        <v>pine</v>
      </c>
      <c r="C8973" s="3" t="str">
        <f>IFERROR(__xludf.DUMMYFUNCTION("""COMPUTED_VALUE"""),"Pine")</f>
        <v>Pine</v>
      </c>
    </row>
    <row r="8974">
      <c r="A8974" s="3" t="str">
        <f>IFERROR(__xludf.DUMMYFUNCTION("""COMPUTED_VALUE"""),"pi-network-defi")</f>
        <v>pi-network-defi</v>
      </c>
      <c r="B8974" s="3" t="str">
        <f>IFERROR(__xludf.DUMMYFUNCTION("""COMPUTED_VALUE"""),"pinetworkdefi")</f>
        <v>pinetworkdefi</v>
      </c>
      <c r="C8974" s="3" t="str">
        <f>IFERROR(__xludf.DUMMYFUNCTION("""COMPUTED_VALUE"""),"Pi Network DeFi")</f>
        <v>Pi Network DeFi</v>
      </c>
    </row>
    <row r="8975">
      <c r="A8975" s="3" t="str">
        <f>IFERROR(__xludf.DUMMYFUNCTION("""COMPUTED_VALUE"""),"pinkcoin")</f>
        <v>pinkcoin</v>
      </c>
      <c r="B8975" s="3" t="str">
        <f>IFERROR(__xludf.DUMMYFUNCTION("""COMPUTED_VALUE"""),"pink")</f>
        <v>pink</v>
      </c>
      <c r="C8975" s="3" t="str">
        <f>IFERROR(__xludf.DUMMYFUNCTION("""COMPUTED_VALUE"""),"Pinkcoin")</f>
        <v>Pinkcoin</v>
      </c>
    </row>
    <row r="8976">
      <c r="A8976" s="3" t="str">
        <f>IFERROR(__xludf.DUMMYFUNCTION("""COMPUTED_VALUE"""),"pinkelon")</f>
        <v>pinkelon</v>
      </c>
      <c r="B8976" s="3" t="str">
        <f>IFERROR(__xludf.DUMMYFUNCTION("""COMPUTED_VALUE"""),"pinke")</f>
        <v>pinke</v>
      </c>
      <c r="C8976" s="3" t="str">
        <f>IFERROR(__xludf.DUMMYFUNCTION("""COMPUTED_VALUE"""),"PinkElon")</f>
        <v>PinkElon</v>
      </c>
    </row>
    <row r="8977">
      <c r="A8977" s="3" t="str">
        <f>IFERROR(__xludf.DUMMYFUNCTION("""COMPUTED_VALUE"""),"pinkie-inu")</f>
        <v>pinkie-inu</v>
      </c>
      <c r="B8977" s="3" t="str">
        <f>IFERROR(__xludf.DUMMYFUNCTION("""COMPUTED_VALUE"""),"pinkie")</f>
        <v>pinkie</v>
      </c>
      <c r="C8977" s="3" t="str">
        <f>IFERROR(__xludf.DUMMYFUNCTION("""COMPUTED_VALUE"""),"Pinkie Inu")</f>
        <v>Pinkie Inu</v>
      </c>
    </row>
    <row r="8978">
      <c r="A8978" s="3" t="str">
        <f>IFERROR(__xludf.DUMMYFUNCTION("""COMPUTED_VALUE"""),"pinkmoon")</f>
        <v>pinkmoon</v>
      </c>
      <c r="B8978" s="3" t="str">
        <f>IFERROR(__xludf.DUMMYFUNCTION("""COMPUTED_VALUE"""),"pinkm")</f>
        <v>pinkm</v>
      </c>
      <c r="C8978" s="3" t="str">
        <f>IFERROR(__xludf.DUMMYFUNCTION("""COMPUTED_VALUE"""),"PinkMoon")</f>
        <v>PinkMoon</v>
      </c>
    </row>
    <row r="8979">
      <c r="A8979" s="3" t="str">
        <f>IFERROR(__xludf.DUMMYFUNCTION("""COMPUTED_VALUE"""),"pinknode")</f>
        <v>pinknode</v>
      </c>
      <c r="B8979" s="3" t="str">
        <f>IFERROR(__xludf.DUMMYFUNCTION("""COMPUTED_VALUE"""),"pnode")</f>
        <v>pnode</v>
      </c>
      <c r="C8979" s="3" t="str">
        <f>IFERROR(__xludf.DUMMYFUNCTION("""COMPUTED_VALUE"""),"Pinknode")</f>
        <v>Pinknode</v>
      </c>
    </row>
    <row r="8980">
      <c r="A8980" s="3" t="str">
        <f>IFERROR(__xludf.DUMMYFUNCTION("""COMPUTED_VALUE"""),"pink-panda")</f>
        <v>pink-panda</v>
      </c>
      <c r="B8980" s="3" t="str">
        <f>IFERROR(__xludf.DUMMYFUNCTION("""COMPUTED_VALUE"""),"pinkpanda")</f>
        <v>pinkpanda</v>
      </c>
      <c r="C8980" s="3" t="str">
        <f>IFERROR(__xludf.DUMMYFUNCTION("""COMPUTED_VALUE"""),"Pink Panda")</f>
        <v>Pink Panda</v>
      </c>
    </row>
    <row r="8981">
      <c r="A8981" s="3" t="str">
        <f>IFERROR(__xludf.DUMMYFUNCTION("""COMPUTED_VALUE"""),"pink-panther")</f>
        <v>pink-panther</v>
      </c>
      <c r="B8981" s="3" t="str">
        <f>IFERROR(__xludf.DUMMYFUNCTION("""COMPUTED_VALUE"""),"pink")</f>
        <v>pink</v>
      </c>
      <c r="C8981" s="3" t="str">
        <f>IFERROR(__xludf.DUMMYFUNCTION("""COMPUTED_VALUE"""),"PINK PANTHER")</f>
        <v>PINK PANTHER</v>
      </c>
    </row>
    <row r="8982">
      <c r="A8982" s="3" t="str">
        <f>IFERROR(__xludf.DUMMYFUNCTION("""COMPUTED_VALUE"""),"pinkpea-finance")</f>
        <v>pinkpea-finance</v>
      </c>
      <c r="B8982" s="3" t="str">
        <f>IFERROR(__xludf.DUMMYFUNCTION("""COMPUTED_VALUE"""),"pea")</f>
        <v>pea</v>
      </c>
      <c r="C8982" s="3" t="str">
        <f>IFERROR(__xludf.DUMMYFUNCTION("""COMPUTED_VALUE"""),"PinkPea.Finance")</f>
        <v>PinkPea.Finance</v>
      </c>
    </row>
    <row r="8983">
      <c r="A8983" s="3" t="str">
        <f>IFERROR(__xludf.DUMMYFUNCTION("""COMPUTED_VALUE"""),"pinksale")</f>
        <v>pinksale</v>
      </c>
      <c r="B8983" s="3" t="str">
        <f>IFERROR(__xludf.DUMMYFUNCTION("""COMPUTED_VALUE"""),"pinksale")</f>
        <v>pinksale</v>
      </c>
      <c r="C8983" s="3" t="str">
        <f>IFERROR(__xludf.DUMMYFUNCTION("""COMPUTED_VALUE"""),"PinkSale")</f>
        <v>PinkSale</v>
      </c>
    </row>
    <row r="8984">
      <c r="A8984" s="3" t="str">
        <f>IFERROR(__xludf.DUMMYFUNCTION("""COMPUTED_VALUE"""),"pinkslip-finance")</f>
        <v>pinkslip-finance</v>
      </c>
      <c r="B8984" s="3" t="str">
        <f>IFERROR(__xludf.DUMMYFUNCTION("""COMPUTED_VALUE"""),"pslip")</f>
        <v>pslip</v>
      </c>
      <c r="C8984" s="3" t="str">
        <f>IFERROR(__xludf.DUMMYFUNCTION("""COMPUTED_VALUE"""),"Pinkslip Finance")</f>
        <v>Pinkslip Finance</v>
      </c>
    </row>
    <row r="8985">
      <c r="A8985" s="3" t="str">
        <f>IFERROR(__xludf.DUMMYFUNCTION("""COMPUTED_VALUE"""),"pinkswap-token")</f>
        <v>pinkswap-token</v>
      </c>
      <c r="B8985" s="3" t="str">
        <f>IFERROR(__xludf.DUMMYFUNCTION("""COMPUTED_VALUE"""),"pinks")</f>
        <v>pinks</v>
      </c>
      <c r="C8985" s="3" t="str">
        <f>IFERROR(__xludf.DUMMYFUNCTION("""COMPUTED_VALUE"""),"PinkSwap")</f>
        <v>PinkSwap</v>
      </c>
    </row>
    <row r="8986">
      <c r="A8986" s="3" t="str">
        <f>IFERROR(__xludf.DUMMYFUNCTION("""COMPUTED_VALUE"""),"pintu-token")</f>
        <v>pintu-token</v>
      </c>
      <c r="B8986" s="3" t="str">
        <f>IFERROR(__xludf.DUMMYFUNCTION("""COMPUTED_VALUE"""),"ptu")</f>
        <v>ptu</v>
      </c>
      <c r="C8986" s="3" t="str">
        <f>IFERROR(__xludf.DUMMYFUNCTION("""COMPUTED_VALUE"""),"Pintu")</f>
        <v>Pintu</v>
      </c>
    </row>
    <row r="8987">
      <c r="A8987" s="3" t="str">
        <f>IFERROR(__xludf.DUMMYFUNCTION("""COMPUTED_VALUE"""),"piogold")</f>
        <v>piogold</v>
      </c>
      <c r="B8987" s="3" t="str">
        <f>IFERROR(__xludf.DUMMYFUNCTION("""COMPUTED_VALUE"""),"pio")</f>
        <v>pio</v>
      </c>
      <c r="C8987" s="3" t="str">
        <f>IFERROR(__xludf.DUMMYFUNCTION("""COMPUTED_VALUE"""),"PioGold")</f>
        <v>PioGold</v>
      </c>
    </row>
    <row r="8988">
      <c r="A8988" s="3" t="str">
        <f>IFERROR(__xludf.DUMMYFUNCTION("""COMPUTED_VALUE"""),"pippi-finance")</f>
        <v>pippi-finance</v>
      </c>
      <c r="B8988" s="3" t="str">
        <f>IFERROR(__xludf.DUMMYFUNCTION("""COMPUTED_VALUE"""),"pipi")</f>
        <v>pipi</v>
      </c>
      <c r="C8988" s="3" t="str">
        <f>IFERROR(__xludf.DUMMYFUNCTION("""COMPUTED_VALUE"""),"Pippi Finance")</f>
        <v>Pippi Finance</v>
      </c>
    </row>
    <row r="8989">
      <c r="A8989" s="3" t="str">
        <f>IFERROR(__xludf.DUMMYFUNCTION("""COMPUTED_VALUE"""),"pi-protocol")</f>
        <v>pi-protocol</v>
      </c>
      <c r="B8989" s="3" t="str">
        <f>IFERROR(__xludf.DUMMYFUNCTION("""COMPUTED_VALUE"""),"pip")</f>
        <v>pip</v>
      </c>
      <c r="C8989" s="3" t="str">
        <f>IFERROR(__xludf.DUMMYFUNCTION("""COMPUTED_VALUE"""),"Pi Protocol")</f>
        <v>Pi Protocol</v>
      </c>
    </row>
    <row r="8990">
      <c r="A8990" s="3" t="str">
        <f>IFERROR(__xludf.DUMMYFUNCTION("""COMPUTED_VALUE"""),"piratecash")</f>
        <v>piratecash</v>
      </c>
      <c r="B8990" s="3" t="str">
        <f>IFERROR(__xludf.DUMMYFUNCTION("""COMPUTED_VALUE"""),"pirate")</f>
        <v>pirate</v>
      </c>
      <c r="C8990" s="3" t="str">
        <f>IFERROR(__xludf.DUMMYFUNCTION("""COMPUTED_VALUE"""),"PirateCash")</f>
        <v>PirateCash</v>
      </c>
    </row>
    <row r="8991">
      <c r="A8991" s="3" t="str">
        <f>IFERROR(__xludf.DUMMYFUNCTION("""COMPUTED_VALUE"""),"pirate-chain")</f>
        <v>pirate-chain</v>
      </c>
      <c r="B8991" s="3" t="str">
        <f>IFERROR(__xludf.DUMMYFUNCTION("""COMPUTED_VALUE"""),"arrr")</f>
        <v>arrr</v>
      </c>
      <c r="C8991" s="3" t="str">
        <f>IFERROR(__xludf.DUMMYFUNCTION("""COMPUTED_VALUE"""),"Pirate Chain")</f>
        <v>Pirate Chain</v>
      </c>
    </row>
    <row r="8992">
      <c r="A8992" s="3" t="str">
        <f>IFERROR(__xludf.DUMMYFUNCTION("""COMPUTED_VALUE"""),"piratecoin")</f>
        <v>piratecoin</v>
      </c>
      <c r="B8992" s="3" t="str">
        <f>IFERROR(__xludf.DUMMYFUNCTION("""COMPUTED_VALUE"""),"piratecoin☠")</f>
        <v>piratecoin☠</v>
      </c>
      <c r="C8992" s="3" t="str">
        <f>IFERROR(__xludf.DUMMYFUNCTION("""COMPUTED_VALUE"""),"PirateCoin")</f>
        <v>PirateCoin</v>
      </c>
    </row>
    <row r="8993">
      <c r="A8993" s="3" t="str">
        <f>IFERROR(__xludf.DUMMYFUNCTION("""COMPUTED_VALUE"""),"pirate-dice")</f>
        <v>pirate-dice</v>
      </c>
      <c r="B8993" s="3" t="str">
        <f>IFERROR(__xludf.DUMMYFUNCTION("""COMPUTED_VALUE"""),"booty")</f>
        <v>booty</v>
      </c>
      <c r="C8993" s="3" t="str">
        <f>IFERROR(__xludf.DUMMYFUNCTION("""COMPUTED_VALUE"""),"Pirate Dice")</f>
        <v>Pirate Dice</v>
      </c>
    </row>
    <row r="8994">
      <c r="A8994" s="3" t="str">
        <f>IFERROR(__xludf.DUMMYFUNCTION("""COMPUTED_VALUE"""),"pirate-inu")</f>
        <v>pirate-inu</v>
      </c>
      <c r="B8994" s="3" t="str">
        <f>IFERROR(__xludf.DUMMYFUNCTION("""COMPUTED_VALUE"""),"pinu")</f>
        <v>pinu</v>
      </c>
      <c r="C8994" s="3" t="str">
        <f>IFERROR(__xludf.DUMMYFUNCTION("""COMPUTED_VALUE"""),"Pirate Inu")</f>
        <v>Pirate Inu</v>
      </c>
    </row>
    <row r="8995">
      <c r="A8995" s="3" t="str">
        <f>IFERROR(__xludf.DUMMYFUNCTION("""COMPUTED_VALUE"""),"piratera")</f>
        <v>piratera</v>
      </c>
      <c r="B8995" s="3" t="str">
        <f>IFERROR(__xludf.DUMMYFUNCTION("""COMPUTED_VALUE"""),"pira")</f>
        <v>pira</v>
      </c>
      <c r="C8995" s="3" t="str">
        <f>IFERROR(__xludf.DUMMYFUNCTION("""COMPUTED_VALUE"""),"Piratera")</f>
        <v>Piratera</v>
      </c>
    </row>
    <row r="8996">
      <c r="A8996" s="3" t="str">
        <f>IFERROR(__xludf.DUMMYFUNCTION("""COMPUTED_VALUE"""),"piratesking")</f>
        <v>piratesking</v>
      </c>
      <c r="B8996" s="3" t="str">
        <f>IFERROR(__xludf.DUMMYFUNCTION("""COMPUTED_VALUE"""),"pkt")</f>
        <v>pkt</v>
      </c>
      <c r="C8996" s="3" t="str">
        <f>IFERROR(__xludf.DUMMYFUNCTION("""COMPUTED_VALUE"""),"PiratesKing")</f>
        <v>PiratesKing</v>
      </c>
    </row>
    <row r="8997">
      <c r="A8997" s="3" t="str">
        <f>IFERROR(__xludf.DUMMYFUNCTION("""COMPUTED_VALUE"""),"pirate-x-pirate")</f>
        <v>pirate-x-pirate</v>
      </c>
      <c r="B8997" s="3" t="str">
        <f>IFERROR(__xludf.DUMMYFUNCTION("""COMPUTED_VALUE"""),"pxp")</f>
        <v>pxp</v>
      </c>
      <c r="C8997" s="3" t="str">
        <f>IFERROR(__xludf.DUMMYFUNCTION("""COMPUTED_VALUE"""),"Pirate x Pirate")</f>
        <v>Pirate x Pirate</v>
      </c>
    </row>
    <row r="8998">
      <c r="A8998" s="3" t="str">
        <f>IFERROR(__xludf.DUMMYFUNCTION("""COMPUTED_VALUE"""),"pirichain")</f>
        <v>pirichain</v>
      </c>
      <c r="B8998" s="3" t="str">
        <f>IFERROR(__xludf.DUMMYFUNCTION("""COMPUTED_VALUE"""),"piri")</f>
        <v>piri</v>
      </c>
      <c r="C8998" s="3" t="str">
        <f>IFERROR(__xludf.DUMMYFUNCTION("""COMPUTED_VALUE"""),"Pirichain")</f>
        <v>Pirichain</v>
      </c>
    </row>
    <row r="8999">
      <c r="A8999" s="3" t="str">
        <f>IFERROR(__xludf.DUMMYFUNCTION("""COMPUTED_VALUE"""),"piston")</f>
        <v>piston</v>
      </c>
      <c r="B8999" s="3" t="str">
        <f>IFERROR(__xludf.DUMMYFUNCTION("""COMPUTED_VALUE"""),"pstn")</f>
        <v>pstn</v>
      </c>
      <c r="C8999" s="3" t="str">
        <f>IFERROR(__xludf.DUMMYFUNCTION("""COMPUTED_VALUE"""),"Piston")</f>
        <v>Piston</v>
      </c>
    </row>
    <row r="9000">
      <c r="A9000" s="3" t="str">
        <f>IFERROR(__xludf.DUMMYFUNCTION("""COMPUTED_VALUE"""),"pist-trust")</f>
        <v>pist-trust</v>
      </c>
      <c r="B9000" s="3" t="str">
        <f>IFERROR(__xludf.DUMMYFUNCTION("""COMPUTED_VALUE"""),"pist")</f>
        <v>pist</v>
      </c>
      <c r="C9000" s="3" t="str">
        <f>IFERROR(__xludf.DUMMYFUNCTION("""COMPUTED_VALUE"""),"Pist Trust")</f>
        <v>Pist Trust</v>
      </c>
    </row>
    <row r="9001">
      <c r="A9001" s="3" t="str">
        <f>IFERROR(__xludf.DUMMYFUNCTION("""COMPUTED_VALUE"""),"pitbull")</f>
        <v>pitbull</v>
      </c>
      <c r="B9001" s="3" t="str">
        <f>IFERROR(__xludf.DUMMYFUNCTION("""COMPUTED_VALUE"""),"pit")</f>
        <v>pit</v>
      </c>
      <c r="C9001" s="3" t="str">
        <f>IFERROR(__xludf.DUMMYFUNCTION("""COMPUTED_VALUE"""),"Pitbull")</f>
        <v>Pitbull</v>
      </c>
    </row>
    <row r="9002">
      <c r="A9002" s="3" t="str">
        <f>IFERROR(__xludf.DUMMYFUNCTION("""COMPUTED_VALUE"""),"pitbull-inu")</f>
        <v>pitbull-inu</v>
      </c>
      <c r="B9002" s="3" t="str">
        <f>IFERROR(__xludf.DUMMYFUNCTION("""COMPUTED_VALUE"""),"piti")</f>
        <v>piti</v>
      </c>
      <c r="C9002" s="3" t="str">
        <f>IFERROR(__xludf.DUMMYFUNCTION("""COMPUTED_VALUE"""),"Pitbull Inu")</f>
        <v>Pitbull Inu</v>
      </c>
    </row>
    <row r="9003">
      <c r="A9003" s="3" t="str">
        <f>IFERROR(__xludf.DUMMYFUNCTION("""COMPUTED_VALUE"""),"pitch")</f>
        <v>pitch</v>
      </c>
      <c r="B9003" s="3" t="str">
        <f>IFERROR(__xludf.DUMMYFUNCTION("""COMPUTED_VALUE"""),"pitch")</f>
        <v>pitch</v>
      </c>
      <c r="C9003" s="3" t="str">
        <f>IFERROR(__xludf.DUMMYFUNCTION("""COMPUTED_VALUE"""),"Pitch")</f>
        <v>Pitch</v>
      </c>
    </row>
    <row r="9004">
      <c r="A9004" s="3" t="str">
        <f>IFERROR(__xludf.DUMMYFUNCTION("""COMPUTED_VALUE"""),"pitquidity-capital")</f>
        <v>pitquidity-capital</v>
      </c>
      <c r="B9004" s="3" t="str">
        <f>IFERROR(__xludf.DUMMYFUNCTION("""COMPUTED_VALUE"""),"pitqc")</f>
        <v>pitqc</v>
      </c>
      <c r="C9004" s="3" t="str">
        <f>IFERROR(__xludf.DUMMYFUNCTION("""COMPUTED_VALUE"""),"Pitquidity Capital")</f>
        <v>Pitquidity Capital</v>
      </c>
    </row>
    <row r="9005">
      <c r="A9005" s="3" t="str">
        <f>IFERROR(__xludf.DUMMYFUNCTION("""COMPUTED_VALUE"""),"pivot-token")</f>
        <v>pivot-token</v>
      </c>
      <c r="B9005" s="3" t="str">
        <f>IFERROR(__xludf.DUMMYFUNCTION("""COMPUTED_VALUE"""),"pvt")</f>
        <v>pvt</v>
      </c>
      <c r="C9005" s="3" t="str">
        <f>IFERROR(__xludf.DUMMYFUNCTION("""COMPUTED_VALUE"""),"Pivot")</f>
        <v>Pivot</v>
      </c>
    </row>
    <row r="9006">
      <c r="A9006" s="3" t="str">
        <f>IFERROR(__xludf.DUMMYFUNCTION("""COMPUTED_VALUE"""),"pivx")</f>
        <v>pivx</v>
      </c>
      <c r="B9006" s="3" t="str">
        <f>IFERROR(__xludf.DUMMYFUNCTION("""COMPUTED_VALUE"""),"pivx")</f>
        <v>pivx</v>
      </c>
      <c r="C9006" s="3" t="str">
        <f>IFERROR(__xludf.DUMMYFUNCTION("""COMPUTED_VALUE"""),"PIVX")</f>
        <v>PIVX</v>
      </c>
    </row>
    <row r="9007">
      <c r="A9007" s="3" t="str">
        <f>IFERROR(__xludf.DUMMYFUNCTION("""COMPUTED_VALUE"""),"pivx-lite")</f>
        <v>pivx-lite</v>
      </c>
      <c r="B9007" s="3" t="str">
        <f>IFERROR(__xludf.DUMMYFUNCTION("""COMPUTED_VALUE"""),"pivxl")</f>
        <v>pivxl</v>
      </c>
      <c r="C9007" s="3" t="str">
        <f>IFERROR(__xludf.DUMMYFUNCTION("""COMPUTED_VALUE"""),"Pivx Lite")</f>
        <v>Pivx Lite</v>
      </c>
    </row>
    <row r="9008">
      <c r="A9008" s="3" t="str">
        <f>IFERROR(__xludf.DUMMYFUNCTION("""COMPUTED_VALUE"""),"pixel-doge")</f>
        <v>pixel-doge</v>
      </c>
      <c r="B9008" s="3" t="str">
        <f>IFERROR(__xludf.DUMMYFUNCTION("""COMPUTED_VALUE"""),"pxdoge")</f>
        <v>pxdoge</v>
      </c>
      <c r="C9008" s="3" t="str">
        <f>IFERROR(__xludf.DUMMYFUNCTION("""COMPUTED_VALUE"""),"Pixel Doge")</f>
        <v>Pixel Doge</v>
      </c>
    </row>
    <row r="9009">
      <c r="A9009" s="3" t="str">
        <f>IFERROR(__xludf.DUMMYFUNCTION("""COMPUTED_VALUE"""),"pixel-kings")</f>
        <v>pixel-kings</v>
      </c>
      <c r="B9009" s="3" t="str">
        <f>IFERROR(__xludf.DUMMYFUNCTION("""COMPUTED_VALUE"""),"kngs")</f>
        <v>kngs</v>
      </c>
      <c r="C9009" s="3" t="str">
        <f>IFERROR(__xludf.DUMMYFUNCTION("""COMPUTED_VALUE"""),"Pixel Kings")</f>
        <v>Pixel Kings</v>
      </c>
    </row>
    <row r="9010">
      <c r="A9010" s="3" t="str">
        <f>IFERROR(__xludf.DUMMYFUNCTION("""COMPUTED_VALUE"""),"pixelpotus")</f>
        <v>pixelpotus</v>
      </c>
      <c r="B9010" s="3" t="str">
        <f>IFERROR(__xludf.DUMMYFUNCTION("""COMPUTED_VALUE"""),"pxl")</f>
        <v>pxl</v>
      </c>
      <c r="C9010" s="3" t="str">
        <f>IFERROR(__xludf.DUMMYFUNCTION("""COMPUTED_VALUE"""),"PixelPotus")</f>
        <v>PixelPotus</v>
      </c>
    </row>
    <row r="9011">
      <c r="A9011" s="3" t="str">
        <f>IFERROR(__xludf.DUMMYFUNCTION("""COMPUTED_VALUE"""),"pixels-so")</f>
        <v>pixels-so</v>
      </c>
      <c r="B9011" s="3" t="str">
        <f>IFERROR(__xludf.DUMMYFUNCTION("""COMPUTED_VALUE"""),"pixl")</f>
        <v>pixl</v>
      </c>
      <c r="C9011" s="4" t="str">
        <f>IFERROR(__xludf.DUMMYFUNCTION("""COMPUTED_VALUE"""),"Pixels.so")</f>
        <v>Pixels.so</v>
      </c>
    </row>
    <row r="9012">
      <c r="A9012" s="3" t="str">
        <f>IFERROR(__xludf.DUMMYFUNCTION("""COMPUTED_VALUE"""),"pixelverse")</f>
        <v>pixelverse</v>
      </c>
      <c r="B9012" s="3" t="str">
        <f>IFERROR(__xludf.DUMMYFUNCTION("""COMPUTED_VALUE"""),"pixel")</f>
        <v>pixel</v>
      </c>
      <c r="C9012" s="3" t="str">
        <f>IFERROR(__xludf.DUMMYFUNCTION("""COMPUTED_VALUE"""),"PixelVerse")</f>
        <v>PixelVerse</v>
      </c>
    </row>
    <row r="9013">
      <c r="A9013" s="3" t="str">
        <f>IFERROR(__xludf.DUMMYFUNCTION("""COMPUTED_VALUE"""),"pixeos")</f>
        <v>pixeos</v>
      </c>
      <c r="B9013" s="3" t="str">
        <f>IFERROR(__xludf.DUMMYFUNCTION("""COMPUTED_VALUE"""),"pixeos")</f>
        <v>pixeos</v>
      </c>
      <c r="C9013" s="3" t="str">
        <f>IFERROR(__xludf.DUMMYFUNCTION("""COMPUTED_VALUE"""),"PixEOS")</f>
        <v>PixEOS</v>
      </c>
    </row>
    <row r="9014">
      <c r="A9014" s="3" t="str">
        <f>IFERROR(__xludf.DUMMYFUNCTION("""COMPUTED_VALUE"""),"pixie")</f>
        <v>pixie</v>
      </c>
      <c r="B9014" s="3" t="str">
        <f>IFERROR(__xludf.DUMMYFUNCTION("""COMPUTED_VALUE"""),"pix")</f>
        <v>pix</v>
      </c>
      <c r="C9014" s="3" t="str">
        <f>IFERROR(__xludf.DUMMYFUNCTION("""COMPUTED_VALUE"""),"Pixie")</f>
        <v>Pixie</v>
      </c>
    </row>
    <row r="9015">
      <c r="A9015" s="3" t="str">
        <f>IFERROR(__xludf.DUMMYFUNCTION("""COMPUTED_VALUE"""),"pixiu-finance")</f>
        <v>pixiu-finance</v>
      </c>
      <c r="B9015" s="3" t="str">
        <f>IFERROR(__xludf.DUMMYFUNCTION("""COMPUTED_VALUE"""),"pixiu")</f>
        <v>pixiu</v>
      </c>
      <c r="C9015" s="3" t="str">
        <f>IFERROR(__xludf.DUMMYFUNCTION("""COMPUTED_VALUE"""),"Pixiu Finance")</f>
        <v>Pixiu Finance</v>
      </c>
    </row>
    <row r="9016">
      <c r="A9016" s="3" t="str">
        <f>IFERROR(__xludf.DUMMYFUNCTION("""COMPUTED_VALUE"""),"pixl-coin-2")</f>
        <v>pixl-coin-2</v>
      </c>
      <c r="B9016" s="3" t="str">
        <f>IFERROR(__xludf.DUMMYFUNCTION("""COMPUTED_VALUE"""),"pxlc")</f>
        <v>pxlc</v>
      </c>
      <c r="C9016" s="3" t="str">
        <f>IFERROR(__xludf.DUMMYFUNCTION("""COMPUTED_VALUE"""),"Pixl Coin")</f>
        <v>Pixl Coin</v>
      </c>
    </row>
    <row r="9017">
      <c r="A9017" s="3" t="str">
        <f>IFERROR(__xludf.DUMMYFUNCTION("""COMPUTED_VALUE"""),"pixls-vault-nftx")</f>
        <v>pixls-vault-nftx</v>
      </c>
      <c r="B9017" s="3" t="str">
        <f>IFERROR(__xludf.DUMMYFUNCTION("""COMPUTED_VALUE"""),"pixls")</f>
        <v>pixls</v>
      </c>
      <c r="C9017" s="3" t="str">
        <f>IFERROR(__xludf.DUMMYFUNCTION("""COMPUTED_VALUE"""),"PIXLS Vault (NFTX)")</f>
        <v>PIXLS Vault (NFTX)</v>
      </c>
    </row>
    <row r="9018">
      <c r="A9018" s="3" t="str">
        <f>IFERROR(__xludf.DUMMYFUNCTION("""COMPUTED_VALUE"""),"pixul")</f>
        <v>pixul</v>
      </c>
      <c r="B9018" s="3" t="str">
        <f>IFERROR(__xludf.DUMMYFUNCTION("""COMPUTED_VALUE"""),"pixul")</f>
        <v>pixul</v>
      </c>
      <c r="C9018" s="3" t="str">
        <f>IFERROR(__xludf.DUMMYFUNCTION("""COMPUTED_VALUE"""),"Pixul")</f>
        <v>Pixul</v>
      </c>
    </row>
    <row r="9019">
      <c r="A9019" s="3" t="str">
        <f>IFERROR(__xludf.DUMMYFUNCTION("""COMPUTED_VALUE"""),"pizza-game")</f>
        <v>pizza-game</v>
      </c>
      <c r="B9019" s="3" t="str">
        <f>IFERROR(__xludf.DUMMYFUNCTION("""COMPUTED_VALUE"""),"pizza")</f>
        <v>pizza</v>
      </c>
      <c r="C9019" s="3" t="str">
        <f>IFERROR(__xludf.DUMMYFUNCTION("""COMPUTED_VALUE"""),"Pizza Game")</f>
        <v>Pizza Game</v>
      </c>
    </row>
    <row r="9020">
      <c r="A9020" s="3" t="str">
        <f>IFERROR(__xludf.DUMMYFUNCTION("""COMPUTED_VALUE"""),"pizza-nft")</f>
        <v>pizza-nft</v>
      </c>
      <c r="B9020" s="3" t="str">
        <f>IFERROR(__xludf.DUMMYFUNCTION("""COMPUTED_VALUE"""),"$pizza")</f>
        <v>$pizza</v>
      </c>
      <c r="C9020" s="3" t="str">
        <f>IFERROR(__xludf.DUMMYFUNCTION("""COMPUTED_VALUE"""),"Pizza NFT")</f>
        <v>Pizza NFT</v>
      </c>
    </row>
    <row r="9021">
      <c r="A9021" s="3" t="str">
        <f>IFERROR(__xludf.DUMMYFUNCTION("""COMPUTED_VALUE"""),"pizza-pug-coin")</f>
        <v>pizza-pug-coin</v>
      </c>
      <c r="B9021" s="3" t="str">
        <f>IFERROR(__xludf.DUMMYFUNCTION("""COMPUTED_VALUE"""),"ppug")</f>
        <v>ppug</v>
      </c>
      <c r="C9021" s="3" t="str">
        <f>IFERROR(__xludf.DUMMYFUNCTION("""COMPUTED_VALUE"""),"Pizza Pug Coin")</f>
        <v>Pizza Pug Coin</v>
      </c>
    </row>
    <row r="9022">
      <c r="A9022" s="3" t="str">
        <f>IFERROR(__xludf.DUMMYFUNCTION("""COMPUTED_VALUE"""),"pizzaswap")</f>
        <v>pizzaswap</v>
      </c>
      <c r="B9022" s="3" t="str">
        <f>IFERROR(__xludf.DUMMYFUNCTION("""COMPUTED_VALUE"""),"pizza")</f>
        <v>pizza</v>
      </c>
      <c r="C9022" s="3" t="str">
        <f>IFERROR(__xludf.DUMMYFUNCTION("""COMPUTED_VALUE"""),"PizzaSwap")</f>
        <v>PizzaSwap</v>
      </c>
    </row>
    <row r="9023">
      <c r="A9023" s="3" t="str">
        <f>IFERROR(__xludf.DUMMYFUNCTION("""COMPUTED_VALUE"""),"pizza-usde")</f>
        <v>pizza-usde</v>
      </c>
      <c r="B9023" s="3" t="str">
        <f>IFERROR(__xludf.DUMMYFUNCTION("""COMPUTED_VALUE"""),"pizza")</f>
        <v>pizza</v>
      </c>
      <c r="C9023" s="3" t="str">
        <f>IFERROR(__xludf.DUMMYFUNCTION("""COMPUTED_VALUE"""),"PIZZA")</f>
        <v>PIZZA</v>
      </c>
    </row>
    <row r="9024">
      <c r="A9024" s="3" t="str">
        <f>IFERROR(__xludf.DUMMYFUNCTION("""COMPUTED_VALUE"""),"pkg-token")</f>
        <v>pkg-token</v>
      </c>
      <c r="B9024" s="3" t="str">
        <f>IFERROR(__xludf.DUMMYFUNCTION("""COMPUTED_VALUE"""),"pkg")</f>
        <v>pkg</v>
      </c>
      <c r="C9024" s="3" t="str">
        <f>IFERROR(__xludf.DUMMYFUNCTION("""COMPUTED_VALUE"""),"PKG")</f>
        <v>PKG</v>
      </c>
    </row>
    <row r="9025">
      <c r="A9025" s="3" t="str">
        <f>IFERROR(__xludf.DUMMYFUNCTION("""COMPUTED_VALUE"""),"pkt")</f>
        <v>pkt</v>
      </c>
      <c r="B9025" s="3" t="str">
        <f>IFERROR(__xludf.DUMMYFUNCTION("""COMPUTED_VALUE"""),"pkt")</f>
        <v>pkt</v>
      </c>
      <c r="C9025" s="3" t="str">
        <f>IFERROR(__xludf.DUMMYFUNCTION("""COMPUTED_VALUE"""),"PKT")</f>
        <v>PKT</v>
      </c>
    </row>
    <row r="9026">
      <c r="A9026" s="3" t="str">
        <f>IFERROR(__xludf.DUMMYFUNCTION("""COMPUTED_VALUE"""),"placeh")</f>
        <v>placeh</v>
      </c>
      <c r="B9026" s="3" t="str">
        <f>IFERROR(__xludf.DUMMYFUNCTION("""COMPUTED_VALUE"""),"phl")</f>
        <v>phl</v>
      </c>
      <c r="C9026" s="3" t="str">
        <f>IFERROR(__xludf.DUMMYFUNCTION("""COMPUTED_VALUE"""),"Placeholders")</f>
        <v>Placeholders</v>
      </c>
    </row>
    <row r="9027">
      <c r="A9027" s="3" t="str">
        <f>IFERROR(__xludf.DUMMYFUNCTION("""COMPUTED_VALUE"""),"place-war")</f>
        <v>place-war</v>
      </c>
      <c r="B9027" s="3" t="str">
        <f>IFERROR(__xludf.DUMMYFUNCTION("""COMPUTED_VALUE"""),"place")</f>
        <v>place</v>
      </c>
      <c r="C9027" s="3" t="str">
        <f>IFERROR(__xludf.DUMMYFUNCTION("""COMPUTED_VALUE"""),"PlaceWar Governance")</f>
        <v>PlaceWar Governance</v>
      </c>
    </row>
    <row r="9028">
      <c r="A9028" s="3" t="str">
        <f>IFERROR(__xludf.DUMMYFUNCTION("""COMPUTED_VALUE"""),"plair")</f>
        <v>plair</v>
      </c>
      <c r="B9028" s="3" t="str">
        <f>IFERROR(__xludf.DUMMYFUNCTION("""COMPUTED_VALUE"""),"pla")</f>
        <v>pla</v>
      </c>
      <c r="C9028" s="3" t="str">
        <f>IFERROR(__xludf.DUMMYFUNCTION("""COMPUTED_VALUE"""),"Plair")</f>
        <v>Plair</v>
      </c>
    </row>
    <row r="9029">
      <c r="A9029" s="3" t="str">
        <f>IFERROR(__xludf.DUMMYFUNCTION("""COMPUTED_VALUE"""),"planet")</f>
        <v>planet</v>
      </c>
      <c r="B9029" s="3" t="str">
        <f>IFERROR(__xludf.DUMMYFUNCTION("""COMPUTED_VALUE"""),"pla")</f>
        <v>pla</v>
      </c>
      <c r="C9029" s="3" t="str">
        <f>IFERROR(__xludf.DUMMYFUNCTION("""COMPUTED_VALUE"""),"PLANET")</f>
        <v>PLANET</v>
      </c>
    </row>
    <row r="9030">
      <c r="A9030" s="3" t="str">
        <f>IFERROR(__xludf.DUMMYFUNCTION("""COMPUTED_VALUE"""),"planet-alliance-star-dao")</f>
        <v>planet-alliance-star-dao</v>
      </c>
      <c r="B9030" s="3" t="str">
        <f>IFERROR(__xludf.DUMMYFUNCTION("""COMPUTED_VALUE"""),"star")</f>
        <v>star</v>
      </c>
      <c r="C9030" s="3" t="str">
        <f>IFERROR(__xludf.DUMMYFUNCTION("""COMPUTED_VALUE"""),"Planet Alliance STAR DAO")</f>
        <v>Planet Alliance STAR DAO</v>
      </c>
    </row>
    <row r="9031">
      <c r="A9031" s="3" t="str">
        <f>IFERROR(__xludf.DUMMYFUNCTION("""COMPUTED_VALUE"""),"planetapeclub")</f>
        <v>planetapeclub</v>
      </c>
      <c r="B9031" s="3" t="str">
        <f>IFERROR(__xludf.DUMMYFUNCTION("""COMPUTED_VALUE"""),"plac")</f>
        <v>plac</v>
      </c>
      <c r="C9031" s="3" t="str">
        <f>IFERROR(__xludf.DUMMYFUNCTION("""COMPUTED_VALUE"""),"PlanetApeClub")</f>
        <v>PlanetApeClub</v>
      </c>
    </row>
    <row r="9032">
      <c r="A9032" s="3" t="str">
        <f>IFERROR(__xludf.DUMMYFUNCTION("""COMPUTED_VALUE"""),"planet-finance")</f>
        <v>planet-finance</v>
      </c>
      <c r="B9032" s="3" t="str">
        <f>IFERROR(__xludf.DUMMYFUNCTION("""COMPUTED_VALUE"""),"aqua")</f>
        <v>aqua</v>
      </c>
      <c r="C9032" s="3" t="str">
        <f>IFERROR(__xludf.DUMMYFUNCTION("""COMPUTED_VALUE"""),"Planet Finance")</f>
        <v>Planet Finance</v>
      </c>
    </row>
    <row r="9033">
      <c r="A9033" s="3" t="str">
        <f>IFERROR(__xludf.DUMMYFUNCTION("""COMPUTED_VALUE"""),"planet-infinity")</f>
        <v>planet-infinity</v>
      </c>
      <c r="B9033" s="3" t="str">
        <f>IFERROR(__xludf.DUMMYFUNCTION("""COMPUTED_VALUE"""),"pli")</f>
        <v>pli</v>
      </c>
      <c r="C9033" s="3" t="str">
        <f>IFERROR(__xludf.DUMMYFUNCTION("""COMPUTED_VALUE"""),"Planet infinity")</f>
        <v>Planet infinity</v>
      </c>
    </row>
    <row r="9034">
      <c r="A9034" s="3" t="str">
        <f>IFERROR(__xludf.DUMMYFUNCTION("""COMPUTED_VALUE"""),"planet-inu")</f>
        <v>planet-inu</v>
      </c>
      <c r="B9034" s="3" t="str">
        <f>IFERROR(__xludf.DUMMYFUNCTION("""COMPUTED_VALUE"""),"planetinu")</f>
        <v>planetinu</v>
      </c>
      <c r="C9034" s="3" t="str">
        <f>IFERROR(__xludf.DUMMYFUNCTION("""COMPUTED_VALUE"""),"Planet Inu")</f>
        <v>Planet Inu</v>
      </c>
    </row>
    <row r="9035">
      <c r="A9035" s="3" t="str">
        <f>IFERROR(__xludf.DUMMYFUNCTION("""COMPUTED_VALUE"""),"planet-sandbox")</f>
        <v>planet-sandbox</v>
      </c>
      <c r="B9035" s="3" t="str">
        <f>IFERROR(__xludf.DUMMYFUNCTION("""COMPUTED_VALUE"""),"psb")</f>
        <v>psb</v>
      </c>
      <c r="C9035" s="3" t="str">
        <f>IFERROR(__xludf.DUMMYFUNCTION("""COMPUTED_VALUE"""),"Planet Sandbox")</f>
        <v>Planet Sandbox</v>
      </c>
    </row>
    <row r="9036">
      <c r="A9036" s="3" t="str">
        <f>IFERROR(__xludf.DUMMYFUNCTION("""COMPUTED_VALUE"""),"planetwatch")</f>
        <v>planetwatch</v>
      </c>
      <c r="B9036" s="3" t="str">
        <f>IFERROR(__xludf.DUMMYFUNCTION("""COMPUTED_VALUE"""),"planets")</f>
        <v>planets</v>
      </c>
      <c r="C9036" s="3" t="str">
        <f>IFERROR(__xludf.DUMMYFUNCTION("""COMPUTED_VALUE"""),"PlanetWatch")</f>
        <v>PlanetWatch</v>
      </c>
    </row>
    <row r="9037">
      <c r="A9037" s="3" t="str">
        <f>IFERROR(__xludf.DUMMYFUNCTION("""COMPUTED_VALUE"""),"plant2earn")</f>
        <v>plant2earn</v>
      </c>
      <c r="B9037" s="3" t="str">
        <f>IFERROR(__xludf.DUMMYFUNCTION("""COMPUTED_VALUE"""),"p2e")</f>
        <v>p2e</v>
      </c>
      <c r="C9037" s="3" t="str">
        <f>IFERROR(__xludf.DUMMYFUNCTION("""COMPUTED_VALUE"""),"Plant2Earn")</f>
        <v>Plant2Earn</v>
      </c>
    </row>
    <row r="9038">
      <c r="A9038" s="3" t="str">
        <f>IFERROR(__xludf.DUMMYFUNCTION("""COMPUTED_VALUE"""),"plant-empires")</f>
        <v>plant-empires</v>
      </c>
      <c r="B9038" s="3" t="str">
        <f>IFERROR(__xludf.DUMMYFUNCTION("""COMPUTED_VALUE"""),"pefi")</f>
        <v>pefi</v>
      </c>
      <c r="C9038" s="3" t="str">
        <f>IFERROR(__xludf.DUMMYFUNCTION("""COMPUTED_VALUE"""),"Plant Empires")</f>
        <v>Plant Empires</v>
      </c>
    </row>
    <row r="9039">
      <c r="A9039" s="3" t="str">
        <f>IFERROR(__xludf.DUMMYFUNCTION("""COMPUTED_VALUE"""),"plant-exodus")</f>
        <v>plant-exodus</v>
      </c>
      <c r="B9039" s="3" t="str">
        <f>IFERROR(__xludf.DUMMYFUNCTION("""COMPUTED_VALUE"""),"pexo")</f>
        <v>pexo</v>
      </c>
      <c r="C9039" s="3" t="str">
        <f>IFERROR(__xludf.DUMMYFUNCTION("""COMPUTED_VALUE"""),"Plant Exodus")</f>
        <v>Plant Exodus</v>
      </c>
    </row>
    <row r="9040">
      <c r="A9040" s="3" t="str">
        <f>IFERROR(__xludf.DUMMYFUNCTION("""COMPUTED_VALUE"""),"plant-vs-undead-token")</f>
        <v>plant-vs-undead-token</v>
      </c>
      <c r="B9040" s="3" t="str">
        <f>IFERROR(__xludf.DUMMYFUNCTION("""COMPUTED_VALUE"""),"pvu")</f>
        <v>pvu</v>
      </c>
      <c r="C9040" s="3" t="str">
        <f>IFERROR(__xludf.DUMMYFUNCTION("""COMPUTED_VALUE"""),"Plant vs Undead")</f>
        <v>Plant vs Undead</v>
      </c>
    </row>
    <row r="9041">
      <c r="A9041" s="3" t="str">
        <f>IFERROR(__xludf.DUMMYFUNCTION("""COMPUTED_VALUE"""),"plasma-finance")</f>
        <v>plasma-finance</v>
      </c>
      <c r="B9041" s="3" t="str">
        <f>IFERROR(__xludf.DUMMYFUNCTION("""COMPUTED_VALUE"""),"ppay")</f>
        <v>ppay</v>
      </c>
      <c r="C9041" s="3" t="str">
        <f>IFERROR(__xludf.DUMMYFUNCTION("""COMPUTED_VALUE"""),"Plasma Finance")</f>
        <v>Plasma Finance</v>
      </c>
    </row>
    <row r="9042">
      <c r="A9042" s="3" t="str">
        <f>IFERROR(__xludf.DUMMYFUNCTION("""COMPUTED_VALUE"""),"plastiks")</f>
        <v>plastiks</v>
      </c>
      <c r="B9042" s="3" t="str">
        <f>IFERROR(__xludf.DUMMYFUNCTION("""COMPUTED_VALUE"""),"plastik")</f>
        <v>plastik</v>
      </c>
      <c r="C9042" s="3" t="str">
        <f>IFERROR(__xludf.DUMMYFUNCTION("""COMPUTED_VALUE"""),"Plastiks")</f>
        <v>Plastiks</v>
      </c>
    </row>
    <row r="9043">
      <c r="A9043" s="3" t="str">
        <f>IFERROR(__xludf.DUMMYFUNCTION("""COMPUTED_VALUE"""),"plata-network")</f>
        <v>plata-network</v>
      </c>
      <c r="B9043" s="3" t="str">
        <f>IFERROR(__xludf.DUMMYFUNCTION("""COMPUTED_VALUE"""),"plata")</f>
        <v>plata</v>
      </c>
      <c r="C9043" s="3" t="str">
        <f>IFERROR(__xludf.DUMMYFUNCTION("""COMPUTED_VALUE"""),"Plata Network")</f>
        <v>Plata Network</v>
      </c>
    </row>
    <row r="9044">
      <c r="A9044" s="3" t="str">
        <f>IFERROR(__xludf.DUMMYFUNCTION("""COMPUTED_VALUE"""),"platincoin")</f>
        <v>platincoin</v>
      </c>
      <c r="B9044" s="3" t="str">
        <f>IFERROR(__xludf.DUMMYFUNCTION("""COMPUTED_VALUE"""),"plc")</f>
        <v>plc</v>
      </c>
      <c r="C9044" s="3" t="str">
        <f>IFERROR(__xludf.DUMMYFUNCTION("""COMPUTED_VALUE"""),"PlatinCoin")</f>
        <v>PlatinCoin</v>
      </c>
    </row>
    <row r="9045">
      <c r="A9045" s="3" t="str">
        <f>IFERROR(__xludf.DUMMYFUNCTION("""COMPUTED_VALUE"""),"platinx")</f>
        <v>platinx</v>
      </c>
      <c r="B9045" s="3" t="str">
        <f>IFERROR(__xludf.DUMMYFUNCTION("""COMPUTED_VALUE"""),"ptx")</f>
        <v>ptx</v>
      </c>
      <c r="C9045" s="3" t="str">
        <f>IFERROR(__xludf.DUMMYFUNCTION("""COMPUTED_VALUE"""),"PlatinX")</f>
        <v>PlatinX</v>
      </c>
    </row>
    <row r="9046">
      <c r="A9046" s="3" t="str">
        <f>IFERROR(__xludf.DUMMYFUNCTION("""COMPUTED_VALUE"""),"plato-farm")</f>
        <v>plato-farm</v>
      </c>
      <c r="B9046" s="3" t="str">
        <f>IFERROR(__xludf.DUMMYFUNCTION("""COMPUTED_VALUE"""),"mark")</f>
        <v>mark</v>
      </c>
      <c r="C9046" s="3" t="str">
        <f>IFERROR(__xludf.DUMMYFUNCTION("""COMPUTED_VALUE"""),"Plato Farm")</f>
        <v>Plato Farm</v>
      </c>
    </row>
    <row r="9047">
      <c r="A9047" s="3" t="str">
        <f>IFERROR(__xludf.DUMMYFUNCTION("""COMPUTED_VALUE"""),"plato-game")</f>
        <v>plato-game</v>
      </c>
      <c r="B9047" s="3" t="str">
        <f>IFERROR(__xludf.DUMMYFUNCTION("""COMPUTED_VALUE"""),"plato")</f>
        <v>plato</v>
      </c>
      <c r="C9047" s="3" t="str">
        <f>IFERROR(__xludf.DUMMYFUNCTION("""COMPUTED_VALUE"""),"Plato Game")</f>
        <v>Plato Game</v>
      </c>
    </row>
    <row r="9048">
      <c r="A9048" s="3" t="str">
        <f>IFERROR(__xludf.DUMMYFUNCTION("""COMPUTED_VALUE"""),"platoncoin")</f>
        <v>platoncoin</v>
      </c>
      <c r="B9048" s="3" t="str">
        <f>IFERROR(__xludf.DUMMYFUNCTION("""COMPUTED_VALUE"""),"pltc")</f>
        <v>pltc</v>
      </c>
      <c r="C9048" s="3" t="str">
        <f>IFERROR(__xludf.DUMMYFUNCTION("""COMPUTED_VALUE"""),"PlatonCoin")</f>
        <v>PlatonCoin</v>
      </c>
    </row>
    <row r="9049">
      <c r="A9049" s="3" t="str">
        <f>IFERROR(__xludf.DUMMYFUNCTION("""COMPUTED_VALUE"""),"platon-network")</f>
        <v>platon-network</v>
      </c>
      <c r="B9049" s="3" t="str">
        <f>IFERROR(__xludf.DUMMYFUNCTION("""COMPUTED_VALUE"""),"lat")</f>
        <v>lat</v>
      </c>
      <c r="C9049" s="3" t="str">
        <f>IFERROR(__xludf.DUMMYFUNCTION("""COMPUTED_VALUE"""),"PlatON Network")</f>
        <v>PlatON Network</v>
      </c>
    </row>
    <row r="9050">
      <c r="A9050" s="3" t="str">
        <f>IFERROR(__xludf.DUMMYFUNCTION("""COMPUTED_VALUE"""),"platypus-finance")</f>
        <v>platypus-finance</v>
      </c>
      <c r="B9050" s="3" t="str">
        <f>IFERROR(__xludf.DUMMYFUNCTION("""COMPUTED_VALUE"""),"ptp")</f>
        <v>ptp</v>
      </c>
      <c r="C9050" s="3" t="str">
        <f>IFERROR(__xludf.DUMMYFUNCTION("""COMPUTED_VALUE"""),"Platypus Finance")</f>
        <v>Platypus Finance</v>
      </c>
    </row>
    <row r="9051">
      <c r="A9051" s="3" t="str">
        <f>IFERROR(__xludf.DUMMYFUNCTION("""COMPUTED_VALUE"""),"play2live")</f>
        <v>play2live</v>
      </c>
      <c r="B9051" s="3" t="str">
        <f>IFERROR(__xludf.DUMMYFUNCTION("""COMPUTED_VALUE"""),"luc")</f>
        <v>luc</v>
      </c>
      <c r="C9051" s="3" t="str">
        <f>IFERROR(__xludf.DUMMYFUNCTION("""COMPUTED_VALUE"""),"Level-Up Coin")</f>
        <v>Level-Up Coin</v>
      </c>
    </row>
    <row r="9052">
      <c r="A9052" s="3" t="str">
        <f>IFERROR(__xludf.DUMMYFUNCTION("""COMPUTED_VALUE"""),"play4cash")</f>
        <v>play4cash</v>
      </c>
      <c r="B9052" s="3" t="str">
        <f>IFERROR(__xludf.DUMMYFUNCTION("""COMPUTED_VALUE"""),"p4c")</f>
        <v>p4c</v>
      </c>
      <c r="C9052" s="3" t="str">
        <f>IFERROR(__xludf.DUMMYFUNCTION("""COMPUTED_VALUE"""),"Play4Cash")</f>
        <v>Play4Cash</v>
      </c>
    </row>
    <row r="9053">
      <c r="A9053" s="3" t="str">
        <f>IFERROR(__xludf.DUMMYFUNCTION("""COMPUTED_VALUE"""),"playa3ull-games")</f>
        <v>playa3ull-games</v>
      </c>
      <c r="B9053" s="3" t="str">
        <f>IFERROR(__xludf.DUMMYFUNCTION("""COMPUTED_VALUE"""),"3ull")</f>
        <v>3ull</v>
      </c>
      <c r="C9053" s="3" t="str">
        <f>IFERROR(__xludf.DUMMYFUNCTION("""COMPUTED_VALUE"""),"Playa3ull Games")</f>
        <v>Playa3ull Games</v>
      </c>
    </row>
    <row r="9054">
      <c r="A9054" s="3" t="str">
        <f>IFERROR(__xludf.DUMMYFUNCTION("""COMPUTED_VALUE"""),"playcent")</f>
        <v>playcent</v>
      </c>
      <c r="B9054" s="3" t="str">
        <f>IFERROR(__xludf.DUMMYFUNCTION("""COMPUTED_VALUE"""),"pcnt")</f>
        <v>pcnt</v>
      </c>
      <c r="C9054" s="3" t="str">
        <f>IFERROR(__xludf.DUMMYFUNCTION("""COMPUTED_VALUE"""),"Playcent")</f>
        <v>Playcent</v>
      </c>
    </row>
    <row r="9055">
      <c r="A9055" s="3" t="str">
        <f>IFERROR(__xludf.DUMMYFUNCTION("""COMPUTED_VALUE"""),"playchip")</f>
        <v>playchip</v>
      </c>
      <c r="B9055" s="3" t="str">
        <f>IFERROR(__xludf.DUMMYFUNCTION("""COMPUTED_VALUE"""),"pla")</f>
        <v>pla</v>
      </c>
      <c r="C9055" s="3" t="str">
        <f>IFERROR(__xludf.DUMMYFUNCTION("""COMPUTED_VALUE"""),"PlayChip")</f>
        <v>PlayChip</v>
      </c>
    </row>
    <row r="9056">
      <c r="A9056" s="3" t="str">
        <f>IFERROR(__xludf.DUMMYFUNCTION("""COMPUTED_VALUE"""),"playdapp")</f>
        <v>playdapp</v>
      </c>
      <c r="B9056" s="3" t="str">
        <f>IFERROR(__xludf.DUMMYFUNCTION("""COMPUTED_VALUE"""),"pla")</f>
        <v>pla</v>
      </c>
      <c r="C9056" s="3" t="str">
        <f>IFERROR(__xludf.DUMMYFUNCTION("""COMPUTED_VALUE"""),"PlayDapp")</f>
        <v>PlayDapp</v>
      </c>
    </row>
    <row r="9057">
      <c r="A9057" s="3" t="str">
        <f>IFERROR(__xludf.DUMMYFUNCTION("""COMPUTED_VALUE"""),"playermon")</f>
        <v>playermon</v>
      </c>
      <c r="B9057" s="3" t="str">
        <f>IFERROR(__xludf.DUMMYFUNCTION("""COMPUTED_VALUE"""),"pym")</f>
        <v>pym</v>
      </c>
      <c r="C9057" s="3" t="str">
        <f>IFERROR(__xludf.DUMMYFUNCTION("""COMPUTED_VALUE"""),"Playermon")</f>
        <v>Playermon</v>
      </c>
    </row>
    <row r="9058">
      <c r="A9058" s="3" t="str">
        <f>IFERROR(__xludf.DUMMYFUNCTION("""COMPUTED_VALUE"""),"playersonly")</f>
        <v>playersonly</v>
      </c>
      <c r="B9058" s="3" t="str">
        <f>IFERROR(__xludf.DUMMYFUNCTION("""COMPUTED_VALUE"""),"po")</f>
        <v>po</v>
      </c>
      <c r="C9058" s="3" t="str">
        <f>IFERROR(__xludf.DUMMYFUNCTION("""COMPUTED_VALUE"""),"PlayersOnly")</f>
        <v>PlayersOnly</v>
      </c>
    </row>
    <row r="9059">
      <c r="A9059" s="3" t="str">
        <f>IFERROR(__xludf.DUMMYFUNCTION("""COMPUTED_VALUE"""),"playervsplayercoin")</f>
        <v>playervsplayercoin</v>
      </c>
      <c r="B9059" s="3" t="str">
        <f>IFERROR(__xludf.DUMMYFUNCTION("""COMPUTED_VALUE"""),"pvp")</f>
        <v>pvp</v>
      </c>
      <c r="C9059" s="3" t="str">
        <f>IFERROR(__xludf.DUMMYFUNCTION("""COMPUTED_VALUE"""),"PlayerVsPlayerCoin")</f>
        <v>PlayerVsPlayerCoin</v>
      </c>
    </row>
    <row r="9060">
      <c r="A9060" s="3" t="str">
        <f>IFERROR(__xludf.DUMMYFUNCTION("""COMPUTED_VALUE"""),"playfuel")</f>
        <v>playfuel</v>
      </c>
      <c r="B9060" s="3" t="str">
        <f>IFERROR(__xludf.DUMMYFUNCTION("""COMPUTED_VALUE"""),"plf")</f>
        <v>plf</v>
      </c>
      <c r="C9060" s="3" t="str">
        <f>IFERROR(__xludf.DUMMYFUNCTION("""COMPUTED_VALUE"""),"PlayFuel")</f>
        <v>PlayFuel</v>
      </c>
    </row>
    <row r="9061">
      <c r="A9061" s="3" t="str">
        <f>IFERROR(__xludf.DUMMYFUNCTION("""COMPUTED_VALUE"""),"playgame")</f>
        <v>playgame</v>
      </c>
      <c r="B9061" s="3" t="str">
        <f>IFERROR(__xludf.DUMMYFUNCTION("""COMPUTED_VALUE"""),"pxg")</f>
        <v>pxg</v>
      </c>
      <c r="C9061" s="3" t="str">
        <f>IFERROR(__xludf.DUMMYFUNCTION("""COMPUTED_VALUE"""),"PlayGame")</f>
        <v>PlayGame</v>
      </c>
    </row>
    <row r="9062">
      <c r="A9062" s="3" t="str">
        <f>IFERROR(__xludf.DUMMYFUNCTION("""COMPUTED_VALUE"""),"playground")</f>
        <v>playground</v>
      </c>
      <c r="B9062" s="3" t="str">
        <f>IFERROR(__xludf.DUMMYFUNCTION("""COMPUTED_VALUE"""),"playa")</f>
        <v>playa</v>
      </c>
      <c r="C9062" s="3" t="str">
        <f>IFERROR(__xludf.DUMMYFUNCTION("""COMPUTED_VALUE"""),"Playground")</f>
        <v>Playground</v>
      </c>
    </row>
    <row r="9063">
      <c r="A9063" s="3" t="str">
        <f>IFERROR(__xludf.DUMMYFUNCTION("""COMPUTED_VALUE"""),"playground-waves-floor-index")</f>
        <v>playground-waves-floor-index</v>
      </c>
      <c r="B9063" s="3" t="str">
        <f>IFERROR(__xludf.DUMMYFUNCTION("""COMPUTED_VALUE"""),"waves")</f>
        <v>waves</v>
      </c>
      <c r="C9063" s="3" t="str">
        <f>IFERROR(__xludf.DUMMYFUNCTION("""COMPUTED_VALUE"""),"Playground Waves Floor Index")</f>
        <v>Playground Waves Floor Index</v>
      </c>
    </row>
    <row r="9064">
      <c r="A9064" s="3" t="str">
        <f>IFERROR(__xludf.DUMMYFUNCTION("""COMPUTED_VALUE"""),"play-it-forward-dao")</f>
        <v>play-it-forward-dao</v>
      </c>
      <c r="B9064" s="3" t="str">
        <f>IFERROR(__xludf.DUMMYFUNCTION("""COMPUTED_VALUE"""),"pif")</f>
        <v>pif</v>
      </c>
      <c r="C9064" s="3" t="str">
        <f>IFERROR(__xludf.DUMMYFUNCTION("""COMPUTED_VALUE"""),"Play It Forward DAO")</f>
        <v>Play It Forward DAO</v>
      </c>
    </row>
    <row r="9065">
      <c r="A9065" s="3" t="str">
        <f>IFERROR(__xludf.DUMMYFUNCTION("""COMPUTED_VALUE"""),"playkey")</f>
        <v>playkey</v>
      </c>
      <c r="B9065" s="3" t="str">
        <f>IFERROR(__xludf.DUMMYFUNCTION("""COMPUTED_VALUE"""),"pkt")</f>
        <v>pkt</v>
      </c>
      <c r="C9065" s="3" t="str">
        <f>IFERROR(__xludf.DUMMYFUNCTION("""COMPUTED_VALUE"""),"PlayKey")</f>
        <v>PlayKey</v>
      </c>
    </row>
    <row r="9066">
      <c r="A9066" s="3" t="str">
        <f>IFERROR(__xludf.DUMMYFUNCTION("""COMPUTED_VALUE"""),"playmarket")</f>
        <v>playmarket</v>
      </c>
      <c r="B9066" s="3" t="str">
        <f>IFERROR(__xludf.DUMMYFUNCTION("""COMPUTED_VALUE"""),"pmt")</f>
        <v>pmt</v>
      </c>
      <c r="C9066" s="3" t="str">
        <f>IFERROR(__xludf.DUMMYFUNCTION("""COMPUTED_VALUE"""),"DAO PlayMarket 2.0")</f>
        <v>DAO PlayMarket 2.0</v>
      </c>
    </row>
    <row r="9067">
      <c r="A9067" s="3" t="str">
        <f>IFERROR(__xludf.DUMMYFUNCTION("""COMPUTED_VALUE"""),"playmusic")</f>
        <v>playmusic</v>
      </c>
      <c r="B9067" s="3" t="str">
        <f>IFERROR(__xludf.DUMMYFUNCTION("""COMPUTED_VALUE"""),"play")</f>
        <v>play</v>
      </c>
      <c r="C9067" s="3" t="str">
        <f>IFERROR(__xludf.DUMMYFUNCTION("""COMPUTED_VALUE"""),"Playmusic")</f>
        <v>Playmusic</v>
      </c>
    </row>
    <row r="9068">
      <c r="A9068" s="3" t="str">
        <f>IFERROR(__xludf.DUMMYFUNCTION("""COMPUTED_VALUE"""),"playnity")</f>
        <v>playnity</v>
      </c>
      <c r="B9068" s="3" t="str">
        <f>IFERROR(__xludf.DUMMYFUNCTION("""COMPUTED_VALUE"""),"ply")</f>
        <v>ply</v>
      </c>
      <c r="C9068" s="3" t="str">
        <f>IFERROR(__xludf.DUMMYFUNCTION("""COMPUTED_VALUE"""),"PlayNity")</f>
        <v>PlayNity</v>
      </c>
    </row>
    <row r="9069">
      <c r="A9069" s="3" t="str">
        <f>IFERROR(__xludf.DUMMYFUNCTION("""COMPUTED_VALUE"""),"playpad")</f>
        <v>playpad</v>
      </c>
      <c r="B9069" s="3" t="str">
        <f>IFERROR(__xludf.DUMMYFUNCTION("""COMPUTED_VALUE"""),"ppad")</f>
        <v>ppad</v>
      </c>
      <c r="C9069" s="3" t="str">
        <f>IFERROR(__xludf.DUMMYFUNCTION("""COMPUTED_VALUE"""),"PlayPad")</f>
        <v>PlayPad</v>
      </c>
    </row>
    <row r="9070">
      <c r="A9070" s="3" t="str">
        <f>IFERROR(__xludf.DUMMYFUNCTION("""COMPUTED_VALUE"""),"playposeidon-nft")</f>
        <v>playposeidon-nft</v>
      </c>
      <c r="B9070" s="3" t="str">
        <f>IFERROR(__xludf.DUMMYFUNCTION("""COMPUTED_VALUE"""),"ppp")</f>
        <v>ppp</v>
      </c>
      <c r="C9070" s="3" t="str">
        <f>IFERROR(__xludf.DUMMYFUNCTION("""COMPUTED_VALUE"""),"PlayPoseidon NFT")</f>
        <v>PlayPoseidon NFT</v>
      </c>
    </row>
    <row r="9071">
      <c r="A9071" s="3" t="str">
        <f>IFERROR(__xludf.DUMMYFUNCTION("""COMPUTED_VALUE"""),"playtreks")</f>
        <v>playtreks</v>
      </c>
      <c r="B9071" s="3" t="str">
        <f>IFERROR(__xludf.DUMMYFUNCTION("""COMPUTED_VALUE"""),"treks")</f>
        <v>treks</v>
      </c>
      <c r="C9071" s="3" t="str">
        <f>IFERROR(__xludf.DUMMYFUNCTION("""COMPUTED_VALUE"""),"PlayTreks")</f>
        <v>PlayTreks</v>
      </c>
    </row>
    <row r="9072">
      <c r="A9072" s="3" t="str">
        <f>IFERROR(__xludf.DUMMYFUNCTION("""COMPUTED_VALUE"""),"plc-ultima")</f>
        <v>plc-ultima</v>
      </c>
      <c r="B9072" s="3" t="str">
        <f>IFERROR(__xludf.DUMMYFUNCTION("""COMPUTED_VALUE"""),"plcu")</f>
        <v>plcu</v>
      </c>
      <c r="C9072" s="3" t="str">
        <f>IFERROR(__xludf.DUMMYFUNCTION("""COMPUTED_VALUE"""),"PLC Ultima")</f>
        <v>PLC Ultima</v>
      </c>
    </row>
    <row r="9073">
      <c r="A9073" s="3" t="str">
        <f>IFERROR(__xludf.DUMMYFUNCTION("""COMPUTED_VALUE"""),"plearn")</f>
        <v>plearn</v>
      </c>
      <c r="B9073" s="3" t="str">
        <f>IFERROR(__xludf.DUMMYFUNCTION("""COMPUTED_VALUE"""),"pln")</f>
        <v>pln</v>
      </c>
      <c r="C9073" s="3" t="str">
        <f>IFERROR(__xludf.DUMMYFUNCTION("""COMPUTED_VALUE"""),"PLEARN")</f>
        <v>PLEARN</v>
      </c>
    </row>
    <row r="9074">
      <c r="A9074" s="3" t="str">
        <f>IFERROR(__xludf.DUMMYFUNCTION("""COMPUTED_VALUE"""),"pleasure-coin")</f>
        <v>pleasure-coin</v>
      </c>
      <c r="B9074" s="3" t="str">
        <f>IFERROR(__xludf.DUMMYFUNCTION("""COMPUTED_VALUE"""),"nsfw")</f>
        <v>nsfw</v>
      </c>
      <c r="C9074" s="3" t="str">
        <f>IFERROR(__xludf.DUMMYFUNCTION("""COMPUTED_VALUE"""),"Pleasure Coin")</f>
        <v>Pleasure Coin</v>
      </c>
    </row>
    <row r="9075">
      <c r="A9075" s="3" t="str">
        <f>IFERROR(__xludf.DUMMYFUNCTION("""COMPUTED_VALUE"""),"plebe-gaming")</f>
        <v>plebe-gaming</v>
      </c>
      <c r="B9075" s="3" t="str">
        <f>IFERROR(__xludf.DUMMYFUNCTION("""COMPUTED_VALUE"""),"pleb")</f>
        <v>pleb</v>
      </c>
      <c r="C9075" s="3" t="str">
        <f>IFERROR(__xludf.DUMMYFUNCTION("""COMPUTED_VALUE"""),"Plebe Gaming")</f>
        <v>Plebe Gaming</v>
      </c>
    </row>
    <row r="9076">
      <c r="A9076" s="3" t="str">
        <f>IFERROR(__xludf.DUMMYFUNCTION("""COMPUTED_VALUE"""),"pledge")</f>
        <v>pledge</v>
      </c>
      <c r="B9076" s="3" t="str">
        <f>IFERROR(__xludf.DUMMYFUNCTION("""COMPUTED_VALUE"""),"plgr")</f>
        <v>plgr</v>
      </c>
      <c r="C9076" s="3" t="str">
        <f>IFERROR(__xludf.DUMMYFUNCTION("""COMPUTED_VALUE"""),"Pledge")</f>
        <v>Pledge</v>
      </c>
    </row>
    <row r="9077">
      <c r="A9077" s="3" t="str">
        <f>IFERROR(__xludf.DUMMYFUNCTION("""COMPUTED_VALUE"""),"pledgecamp")</f>
        <v>pledgecamp</v>
      </c>
      <c r="B9077" s="3" t="str">
        <f>IFERROR(__xludf.DUMMYFUNCTION("""COMPUTED_VALUE"""),"plg")</f>
        <v>plg</v>
      </c>
      <c r="C9077" s="3" t="str">
        <f>IFERROR(__xludf.DUMMYFUNCTION("""COMPUTED_VALUE"""),"Pledgecamp")</f>
        <v>Pledgecamp</v>
      </c>
    </row>
    <row r="9078">
      <c r="A9078" s="3" t="str">
        <f>IFERROR(__xludf.DUMMYFUNCTION("""COMPUTED_VALUE"""),"plena")</f>
        <v>plena</v>
      </c>
      <c r="B9078" s="3" t="str">
        <f>IFERROR(__xludf.DUMMYFUNCTION("""COMPUTED_VALUE"""),"plena")</f>
        <v>plena</v>
      </c>
      <c r="C9078" s="3" t="str">
        <f>IFERROR(__xludf.DUMMYFUNCTION("""COMPUTED_VALUE"""),"Plena")</f>
        <v>Plena</v>
      </c>
    </row>
    <row r="9079">
      <c r="A9079" s="3" t="str">
        <f>IFERROR(__xludf.DUMMYFUNCTION("""COMPUTED_VALUE"""),"plenty-dao")</f>
        <v>plenty-dao</v>
      </c>
      <c r="B9079" s="3" t="str">
        <f>IFERROR(__xludf.DUMMYFUNCTION("""COMPUTED_VALUE"""),"plenty")</f>
        <v>plenty</v>
      </c>
      <c r="C9079" s="3" t="str">
        <f>IFERROR(__xludf.DUMMYFUNCTION("""COMPUTED_VALUE"""),"Plenty DeFi")</f>
        <v>Plenty DeFi</v>
      </c>
    </row>
    <row r="9080">
      <c r="A9080" s="3" t="str">
        <f>IFERROR(__xludf.DUMMYFUNCTION("""COMPUTED_VALUE"""),"plex")</f>
        <v>plex</v>
      </c>
      <c r="B9080" s="3" t="str">
        <f>IFERROR(__xludf.DUMMYFUNCTION("""COMPUTED_VALUE"""),"plex")</f>
        <v>plex</v>
      </c>
      <c r="C9080" s="3" t="str">
        <f>IFERROR(__xludf.DUMMYFUNCTION("""COMPUTED_VALUE"""),"PLEX")</f>
        <v>PLEX</v>
      </c>
    </row>
    <row r="9081">
      <c r="A9081" s="3" t="str">
        <f>IFERROR(__xludf.DUMMYFUNCTION("""COMPUTED_VALUE"""),"plgnet")</f>
        <v>plgnet</v>
      </c>
      <c r="B9081" s="3" t="str">
        <f>IFERROR(__xludf.DUMMYFUNCTION("""COMPUTED_VALUE"""),"plug")</f>
        <v>plug</v>
      </c>
      <c r="C9081" s="3" t="str">
        <f>IFERROR(__xludf.DUMMYFUNCTION("""COMPUTED_VALUE"""),"PL^Gnet")</f>
        <v>PL^Gnet</v>
      </c>
    </row>
    <row r="9082">
      <c r="A9082" s="3" t="str">
        <f>IFERROR(__xludf.DUMMYFUNCTION("""COMPUTED_VALUE"""),"plotx")</f>
        <v>plotx</v>
      </c>
      <c r="B9082" s="3" t="str">
        <f>IFERROR(__xludf.DUMMYFUNCTION("""COMPUTED_VALUE"""),"plot")</f>
        <v>plot</v>
      </c>
      <c r="C9082" s="3" t="str">
        <f>IFERROR(__xludf.DUMMYFUNCTION("""COMPUTED_VALUE"""),"PlotX")</f>
        <v>PlotX</v>
      </c>
    </row>
    <row r="9083">
      <c r="A9083" s="3" t="str">
        <f>IFERROR(__xludf.DUMMYFUNCTION("""COMPUTED_VALUE"""),"plug-chain")</f>
        <v>plug-chain</v>
      </c>
      <c r="B9083" s="3" t="str">
        <f>IFERROR(__xludf.DUMMYFUNCTION("""COMPUTED_VALUE"""),"pc")</f>
        <v>pc</v>
      </c>
      <c r="C9083" s="3" t="str">
        <f>IFERROR(__xludf.DUMMYFUNCTION("""COMPUTED_VALUE"""),"Plug Chain")</f>
        <v>Plug Chain</v>
      </c>
    </row>
    <row r="9084">
      <c r="A9084" s="3" t="str">
        <f>IFERROR(__xludf.DUMMYFUNCTION("""COMPUTED_VALUE"""),"plugin")</f>
        <v>plugin</v>
      </c>
      <c r="B9084" s="3" t="str">
        <f>IFERROR(__xludf.DUMMYFUNCTION("""COMPUTED_VALUE"""),"pli")</f>
        <v>pli</v>
      </c>
      <c r="C9084" s="3" t="str">
        <f>IFERROR(__xludf.DUMMYFUNCTION("""COMPUTED_VALUE"""),"Plugin")</f>
        <v>Plugin</v>
      </c>
    </row>
    <row r="9085">
      <c r="A9085" s="3" t="str">
        <f>IFERROR(__xludf.DUMMYFUNCTION("""COMPUTED_VALUE"""),"plunge")</f>
        <v>plunge</v>
      </c>
      <c r="B9085" s="3" t="str">
        <f>IFERROR(__xludf.DUMMYFUNCTION("""COMPUTED_VALUE"""),"plg")</f>
        <v>plg</v>
      </c>
      <c r="C9085" s="3" t="str">
        <f>IFERROR(__xludf.DUMMYFUNCTION("""COMPUTED_VALUE"""),"Plunge")</f>
        <v>Plunge</v>
      </c>
    </row>
    <row r="9086">
      <c r="A9086" s="3" t="str">
        <f>IFERROR(__xludf.DUMMYFUNCTION("""COMPUTED_VALUE"""),"pluracoin")</f>
        <v>pluracoin</v>
      </c>
      <c r="B9086" s="3" t="str">
        <f>IFERROR(__xludf.DUMMYFUNCTION("""COMPUTED_VALUE"""),"plura")</f>
        <v>plura</v>
      </c>
      <c r="C9086" s="3" t="str">
        <f>IFERROR(__xludf.DUMMYFUNCTION("""COMPUTED_VALUE"""),"PluraCoin")</f>
        <v>PluraCoin</v>
      </c>
    </row>
    <row r="9087">
      <c r="A9087" s="3" t="str">
        <f>IFERROR(__xludf.DUMMYFUNCTION("""COMPUTED_VALUE"""),"plus-coin")</f>
        <v>plus-coin</v>
      </c>
      <c r="B9087" s="3" t="str">
        <f>IFERROR(__xludf.DUMMYFUNCTION("""COMPUTED_VALUE"""),"nplc")</f>
        <v>nplc</v>
      </c>
      <c r="C9087" s="3" t="str">
        <f>IFERROR(__xludf.DUMMYFUNCTION("""COMPUTED_VALUE"""),"Plus Coin")</f>
        <v>Plus Coin</v>
      </c>
    </row>
    <row r="9088">
      <c r="A9088" s="3" t="str">
        <f>IFERROR(__xludf.DUMMYFUNCTION("""COMPUTED_VALUE"""),"plusonecoin")</f>
        <v>plusonecoin</v>
      </c>
      <c r="B9088" s="3" t="str">
        <f>IFERROR(__xludf.DUMMYFUNCTION("""COMPUTED_VALUE"""),"plus1")</f>
        <v>plus1</v>
      </c>
      <c r="C9088" s="3" t="str">
        <f>IFERROR(__xludf.DUMMYFUNCTION("""COMPUTED_VALUE"""),"PlusOneCoin")</f>
        <v>PlusOneCoin</v>
      </c>
    </row>
    <row r="9089">
      <c r="A9089" s="3" t="str">
        <f>IFERROR(__xludf.DUMMYFUNCTION("""COMPUTED_VALUE"""),"pluton")</f>
        <v>pluton</v>
      </c>
      <c r="B9089" s="3" t="str">
        <f>IFERROR(__xludf.DUMMYFUNCTION("""COMPUTED_VALUE"""),"plu")</f>
        <v>plu</v>
      </c>
      <c r="C9089" s="3" t="str">
        <f>IFERROR(__xludf.DUMMYFUNCTION("""COMPUTED_VALUE"""),"Pluton")</f>
        <v>Pluton</v>
      </c>
    </row>
    <row r="9090">
      <c r="A9090" s="3" t="str">
        <f>IFERROR(__xludf.DUMMYFUNCTION("""COMPUTED_VALUE"""),"pluto-network")</f>
        <v>pluto-network</v>
      </c>
      <c r="B9090" s="3" t="str">
        <f>IFERROR(__xludf.DUMMYFUNCTION("""COMPUTED_VALUE"""),"ptn")</f>
        <v>ptn</v>
      </c>
      <c r="C9090" s="3" t="str">
        <f>IFERROR(__xludf.DUMMYFUNCTION("""COMPUTED_VALUE"""),"Pluto Network")</f>
        <v>Pluto Network</v>
      </c>
    </row>
    <row r="9091">
      <c r="A9091" s="3" t="str">
        <f>IFERROR(__xludf.DUMMYFUNCTION("""COMPUTED_VALUE"""),"plutonian-dao")</f>
        <v>plutonian-dao</v>
      </c>
      <c r="B9091" s="3" t="str">
        <f>IFERROR(__xludf.DUMMYFUNCTION("""COMPUTED_VALUE"""),"pld")</f>
        <v>pld</v>
      </c>
      <c r="C9091" s="3" t="str">
        <f>IFERROR(__xludf.DUMMYFUNCTION("""COMPUTED_VALUE"""),"Plutonian DAO")</f>
        <v>Plutonian DAO</v>
      </c>
    </row>
    <row r="9092">
      <c r="A9092" s="3" t="str">
        <f>IFERROR(__xludf.DUMMYFUNCTION("""COMPUTED_VALUE"""),"plutonium")</f>
        <v>plutonium</v>
      </c>
      <c r="B9092" s="3" t="str">
        <f>IFERROR(__xludf.DUMMYFUNCTION("""COMPUTED_VALUE"""),"pln")</f>
        <v>pln</v>
      </c>
      <c r="C9092" s="3" t="str">
        <f>IFERROR(__xludf.DUMMYFUNCTION("""COMPUTED_VALUE"""),"Plutonium")</f>
        <v>Plutonium</v>
      </c>
    </row>
    <row r="9093">
      <c r="A9093" s="3" t="str">
        <f>IFERROR(__xludf.DUMMYFUNCTION("""COMPUTED_VALUE"""),"plutopepe")</f>
        <v>plutopepe</v>
      </c>
      <c r="B9093" s="3" t="str">
        <f>IFERROR(__xludf.DUMMYFUNCTION("""COMPUTED_VALUE"""),"pluto")</f>
        <v>pluto</v>
      </c>
      <c r="C9093" s="3" t="str">
        <f>IFERROR(__xludf.DUMMYFUNCTION("""COMPUTED_VALUE"""),"PlutoPepe")</f>
        <v>PlutoPepe</v>
      </c>
    </row>
    <row r="9094">
      <c r="A9094" s="3" t="str">
        <f>IFERROR(__xludf.DUMMYFUNCTION("""COMPUTED_VALUE"""),"pluto-pluto")</f>
        <v>pluto-pluto</v>
      </c>
      <c r="B9094" s="3" t="str">
        <f>IFERROR(__xludf.DUMMYFUNCTION("""COMPUTED_VALUE"""),"pluto")</f>
        <v>pluto</v>
      </c>
      <c r="C9094" s="3" t="str">
        <f>IFERROR(__xludf.DUMMYFUNCTION("""COMPUTED_VALUE"""),"Pluto PLUTO")</f>
        <v>Pluto PLUTO</v>
      </c>
    </row>
    <row r="9095">
      <c r="A9095" s="3" t="str">
        <f>IFERROR(__xludf.DUMMYFUNCTION("""COMPUTED_VALUE"""),"plutos-network")</f>
        <v>plutos-network</v>
      </c>
      <c r="B9095" s="3" t="str">
        <f>IFERROR(__xludf.DUMMYFUNCTION("""COMPUTED_VALUE"""),"plut")</f>
        <v>plut</v>
      </c>
      <c r="C9095" s="3" t="str">
        <f>IFERROR(__xludf.DUMMYFUNCTION("""COMPUTED_VALUE"""),"Plutos Network")</f>
        <v>Plutos Network</v>
      </c>
    </row>
    <row r="9096">
      <c r="A9096" s="3" t="str">
        <f>IFERROR(__xludf.DUMMYFUNCTION("""COMPUTED_VALUE"""),"plutusdao")</f>
        <v>plutusdao</v>
      </c>
      <c r="B9096" s="3" t="str">
        <f>IFERROR(__xludf.DUMMYFUNCTION("""COMPUTED_VALUE"""),"pls")</f>
        <v>pls</v>
      </c>
      <c r="C9096" s="3" t="str">
        <f>IFERROR(__xludf.DUMMYFUNCTION("""COMPUTED_VALUE"""),"PlutusDAO")</f>
        <v>PlutusDAO</v>
      </c>
    </row>
    <row r="9097">
      <c r="A9097" s="3" t="str">
        <f>IFERROR(__xludf.DUMMYFUNCTION("""COMPUTED_VALUE"""),"plutusfi")</f>
        <v>plutusfi</v>
      </c>
      <c r="B9097" s="3" t="str">
        <f>IFERROR(__xludf.DUMMYFUNCTION("""COMPUTED_VALUE"""),"plut")</f>
        <v>plut</v>
      </c>
      <c r="C9097" s="3" t="str">
        <f>IFERROR(__xludf.DUMMYFUNCTION("""COMPUTED_VALUE"""),"PlutusFi")</f>
        <v>PlutusFi</v>
      </c>
    </row>
    <row r="9098">
      <c r="A9098" s="3" t="str">
        <f>IFERROR(__xludf.DUMMYFUNCTION("""COMPUTED_VALUE"""),"pmg-coin")</f>
        <v>pmg-coin</v>
      </c>
      <c r="B9098" s="3" t="str">
        <f>IFERROR(__xludf.DUMMYFUNCTION("""COMPUTED_VALUE"""),"pmg")</f>
        <v>pmg</v>
      </c>
      <c r="C9098" s="3" t="str">
        <f>IFERROR(__xludf.DUMMYFUNCTION("""COMPUTED_VALUE"""),"PMG Coin")</f>
        <v>PMG Coin</v>
      </c>
    </row>
    <row r="9099">
      <c r="A9099" s="3" t="str">
        <f>IFERROR(__xludf.DUMMYFUNCTION("""COMPUTED_VALUE"""),"pmxx")</f>
        <v>pmxx</v>
      </c>
      <c r="B9099" s="3" t="str">
        <f>IFERROR(__xludf.DUMMYFUNCTION("""COMPUTED_VALUE"""),"pmxx")</f>
        <v>pmxx</v>
      </c>
      <c r="C9099" s="3" t="str">
        <f>IFERROR(__xludf.DUMMYFUNCTION("""COMPUTED_VALUE"""),"PMXX")</f>
        <v>PMXX</v>
      </c>
    </row>
    <row r="9100">
      <c r="A9100" s="3" t="str">
        <f>IFERROR(__xludf.DUMMYFUNCTION("""COMPUTED_VALUE"""),"pnetwork")</f>
        <v>pnetwork</v>
      </c>
      <c r="B9100" s="3" t="str">
        <f>IFERROR(__xludf.DUMMYFUNCTION("""COMPUTED_VALUE"""),"pnt")</f>
        <v>pnt</v>
      </c>
      <c r="C9100" s="3" t="str">
        <f>IFERROR(__xludf.DUMMYFUNCTION("""COMPUTED_VALUE"""),"pNetwork")</f>
        <v>pNetwork</v>
      </c>
    </row>
    <row r="9101">
      <c r="A9101" s="3" t="str">
        <f>IFERROR(__xludf.DUMMYFUNCTION("""COMPUTED_VALUE"""),"pn-token")</f>
        <v>pn-token</v>
      </c>
      <c r="B9101" s="3" t="str">
        <f>IFERROR(__xludf.DUMMYFUNCTION("""COMPUTED_VALUE"""),"pn")</f>
        <v>pn</v>
      </c>
      <c r="C9101" s="3" t="str">
        <f>IFERROR(__xludf.DUMMYFUNCTION("""COMPUTED_VALUE"""),"PN")</f>
        <v>PN</v>
      </c>
    </row>
    <row r="9102">
      <c r="A9102" s="3" t="str">
        <f>IFERROR(__xludf.DUMMYFUNCTION("""COMPUTED_VALUE"""),"poa-network")</f>
        <v>poa-network</v>
      </c>
      <c r="B9102" s="3" t="str">
        <f>IFERROR(__xludf.DUMMYFUNCTION("""COMPUTED_VALUE"""),"poa")</f>
        <v>poa</v>
      </c>
      <c r="C9102" s="3" t="str">
        <f>IFERROR(__xludf.DUMMYFUNCTION("""COMPUTED_VALUE"""),"POA Network")</f>
        <v>POA Network</v>
      </c>
    </row>
    <row r="9103">
      <c r="A9103" s="3" t="str">
        <f>IFERROR(__xludf.DUMMYFUNCTION("""COMPUTED_VALUE"""),"poc-blockchain")</f>
        <v>poc-blockchain</v>
      </c>
      <c r="B9103" s="3" t="str">
        <f>IFERROR(__xludf.DUMMYFUNCTION("""COMPUTED_VALUE"""),"poc")</f>
        <v>poc</v>
      </c>
      <c r="C9103" s="3" t="str">
        <f>IFERROR(__xludf.DUMMYFUNCTION("""COMPUTED_VALUE"""),"POC Blockchain")</f>
        <v>POC Blockchain</v>
      </c>
    </row>
    <row r="9104">
      <c r="A9104" s="3" t="str">
        <f>IFERROR(__xludf.DUMMYFUNCTION("""COMPUTED_VALUE"""),"poc-chain")</f>
        <v>poc-chain</v>
      </c>
      <c r="B9104" s="3" t="str">
        <f>IFERROR(__xludf.DUMMYFUNCTION("""COMPUTED_VALUE"""),"pocc")</f>
        <v>pocc</v>
      </c>
      <c r="C9104" s="3" t="str">
        <f>IFERROR(__xludf.DUMMYFUNCTION("""COMPUTED_VALUE"""),"POC Chain")</f>
        <v>POC Chain</v>
      </c>
    </row>
    <row r="9105">
      <c r="A9105" s="3" t="str">
        <f>IFERROR(__xludf.DUMMYFUNCTION("""COMPUTED_VALUE"""),"pochi-inu")</f>
        <v>pochi-inu</v>
      </c>
      <c r="B9105" s="3" t="str">
        <f>IFERROR(__xludf.DUMMYFUNCTION("""COMPUTED_VALUE"""),"pochi")</f>
        <v>pochi</v>
      </c>
      <c r="C9105" s="3" t="str">
        <f>IFERROR(__xludf.DUMMYFUNCTION("""COMPUTED_VALUE"""),"Pochi Inu")</f>
        <v>Pochi Inu</v>
      </c>
    </row>
    <row r="9106">
      <c r="A9106" s="3" t="str">
        <f>IFERROR(__xludf.DUMMYFUNCTION("""COMPUTED_VALUE"""),"pocket-arena")</f>
        <v>pocket-arena</v>
      </c>
      <c r="B9106" s="3" t="str">
        <f>IFERROR(__xludf.DUMMYFUNCTION("""COMPUTED_VALUE"""),"poc")</f>
        <v>poc</v>
      </c>
      <c r="C9106" s="3" t="str">
        <f>IFERROR(__xludf.DUMMYFUNCTION("""COMPUTED_VALUE"""),"Pocket Arena")</f>
        <v>Pocket Arena</v>
      </c>
    </row>
    <row r="9107">
      <c r="A9107" s="3" t="str">
        <f>IFERROR(__xludf.DUMMYFUNCTION("""COMPUTED_VALUE"""),"pocket-battles-nft-war")</f>
        <v>pocket-battles-nft-war</v>
      </c>
      <c r="B9107" s="3" t="str">
        <f>IFERROR(__xludf.DUMMYFUNCTION("""COMPUTED_VALUE"""),"pkt")</f>
        <v>pkt</v>
      </c>
      <c r="C9107" s="3" t="str">
        <f>IFERROR(__xludf.DUMMYFUNCTION("""COMPUTED_VALUE"""),"Pocket Battles: NFT War")</f>
        <v>Pocket Battles: NFT War</v>
      </c>
    </row>
    <row r="9108">
      <c r="A9108" s="3" t="str">
        <f>IFERROR(__xludf.DUMMYFUNCTION("""COMPUTED_VALUE"""),"pocketcoin")</f>
        <v>pocketcoin</v>
      </c>
      <c r="B9108" s="3" t="str">
        <f>IFERROR(__xludf.DUMMYFUNCTION("""COMPUTED_VALUE"""),"pkoin")</f>
        <v>pkoin</v>
      </c>
      <c r="C9108" s="3" t="str">
        <f>IFERROR(__xludf.DUMMYFUNCTION("""COMPUTED_VALUE"""),"Pocketcoin")</f>
        <v>Pocketcoin</v>
      </c>
    </row>
    <row r="9109">
      <c r="A9109" s="3" t="str">
        <f>IFERROR(__xludf.DUMMYFUNCTION("""COMPUTED_VALUE"""),"pocket-doge")</f>
        <v>pocket-doge</v>
      </c>
      <c r="B9109" s="3" t="str">
        <f>IFERROR(__xludf.DUMMYFUNCTION("""COMPUTED_VALUE"""),"pckt")</f>
        <v>pckt</v>
      </c>
      <c r="C9109" s="3" t="str">
        <f>IFERROR(__xludf.DUMMYFUNCTION("""COMPUTED_VALUE"""),"Pocket")</f>
        <v>Pocket</v>
      </c>
    </row>
    <row r="9110">
      <c r="A9110" s="3" t="str">
        <f>IFERROR(__xludf.DUMMYFUNCTION("""COMPUTED_VALUE"""),"pocket-network")</f>
        <v>pocket-network</v>
      </c>
      <c r="B9110" s="3" t="str">
        <f>IFERROR(__xludf.DUMMYFUNCTION("""COMPUTED_VALUE"""),"pokt")</f>
        <v>pokt</v>
      </c>
      <c r="C9110" s="3" t="str">
        <f>IFERROR(__xludf.DUMMYFUNCTION("""COMPUTED_VALUE"""),"Pocket Network")</f>
        <v>Pocket Network</v>
      </c>
    </row>
    <row r="9111">
      <c r="A9111" s="3" t="str">
        <f>IFERROR(__xludf.DUMMYFUNCTION("""COMPUTED_VALUE"""),"pocket-node")</f>
        <v>pocket-node</v>
      </c>
      <c r="B9111" s="3" t="str">
        <f>IFERROR(__xludf.DUMMYFUNCTION("""COMPUTED_VALUE"""),"node")</f>
        <v>node</v>
      </c>
      <c r="C9111" s="3" t="str">
        <f>IFERROR(__xludf.DUMMYFUNCTION("""COMPUTED_VALUE"""),"Pocket Node")</f>
        <v>Pocket Node</v>
      </c>
    </row>
    <row r="9112">
      <c r="A9112" s="3" t="str">
        <f>IFERROR(__xludf.DUMMYFUNCTION("""COMPUTED_VALUE"""),"pocmon-2")</f>
        <v>pocmon-2</v>
      </c>
      <c r="B9112" s="3" t="str">
        <f>IFERROR(__xludf.DUMMYFUNCTION("""COMPUTED_VALUE"""),"mon")</f>
        <v>mon</v>
      </c>
      <c r="C9112" s="3" t="str">
        <f>IFERROR(__xludf.DUMMYFUNCTION("""COMPUTED_VALUE"""),"PocMon")</f>
        <v>PocMon</v>
      </c>
    </row>
    <row r="9113">
      <c r="A9113" s="3" t="str">
        <f>IFERROR(__xludf.DUMMYFUNCTION("""COMPUTED_VALUE"""),"pocoland")</f>
        <v>pocoland</v>
      </c>
      <c r="B9113" s="3" t="str">
        <f>IFERROR(__xludf.DUMMYFUNCTION("""COMPUTED_VALUE"""),"poco")</f>
        <v>poco</v>
      </c>
      <c r="C9113" s="3" t="str">
        <f>IFERROR(__xludf.DUMMYFUNCTION("""COMPUTED_VALUE"""),"Pocoland")</f>
        <v>Pocoland</v>
      </c>
    </row>
    <row r="9114">
      <c r="A9114" s="3" t="str">
        <f>IFERROR(__xludf.DUMMYFUNCTION("""COMPUTED_VALUE"""),"poet")</f>
        <v>poet</v>
      </c>
      <c r="B9114" s="3" t="str">
        <f>IFERROR(__xludf.DUMMYFUNCTION("""COMPUTED_VALUE"""),"poe")</f>
        <v>poe</v>
      </c>
      <c r="C9114" s="4" t="str">
        <f>IFERROR(__xludf.DUMMYFUNCTION("""COMPUTED_VALUE"""),"Po.et")</f>
        <v>Po.et</v>
      </c>
    </row>
    <row r="9115">
      <c r="A9115" s="3" t="str">
        <f>IFERROR(__xludf.DUMMYFUNCTION("""COMPUTED_VALUE"""),"pofi")</f>
        <v>pofi</v>
      </c>
      <c r="B9115" s="3" t="str">
        <f>IFERROR(__xludf.DUMMYFUNCTION("""COMPUTED_VALUE"""),"pofi")</f>
        <v>pofi</v>
      </c>
      <c r="C9115" s="3" t="str">
        <f>IFERROR(__xludf.DUMMYFUNCTION("""COMPUTED_VALUE"""),"PoFi")</f>
        <v>PoFi</v>
      </c>
    </row>
    <row r="9116">
      <c r="A9116" s="3" t="str">
        <f>IFERROR(__xludf.DUMMYFUNCTION("""COMPUTED_VALUE"""),"pog-coin")</f>
        <v>pog-coin</v>
      </c>
      <c r="B9116" s="3" t="str">
        <f>IFERROR(__xludf.DUMMYFUNCTION("""COMPUTED_VALUE"""),"pog")</f>
        <v>pog</v>
      </c>
      <c r="C9116" s="3" t="str">
        <f>IFERROR(__xludf.DUMMYFUNCTION("""COMPUTED_VALUE"""),"PolygonumOnline")</f>
        <v>PolygonumOnline</v>
      </c>
    </row>
    <row r="9117">
      <c r="A9117" s="3" t="str">
        <f>IFERROR(__xludf.DUMMYFUNCTION("""COMPUTED_VALUE"""),"point-coin")</f>
        <v>point-coin</v>
      </c>
      <c r="B9117" s="3" t="str">
        <f>IFERROR(__xludf.DUMMYFUNCTION("""COMPUTED_VALUE"""),"point")</f>
        <v>point</v>
      </c>
      <c r="C9117" s="3" t="str">
        <f>IFERROR(__xludf.DUMMYFUNCTION("""COMPUTED_VALUE"""),"Point Coin")</f>
        <v>Point Coin</v>
      </c>
    </row>
    <row r="9118">
      <c r="A9118" s="3" t="str">
        <f>IFERROR(__xludf.DUMMYFUNCTION("""COMPUTED_VALUE"""),"point-network")</f>
        <v>point-network</v>
      </c>
      <c r="B9118" s="3" t="str">
        <f>IFERROR(__xludf.DUMMYFUNCTION("""COMPUTED_VALUE"""),"point")</f>
        <v>point</v>
      </c>
      <c r="C9118" s="3" t="str">
        <f>IFERROR(__xludf.DUMMYFUNCTION("""COMPUTED_VALUE"""),"Point Network")</f>
        <v>Point Network</v>
      </c>
    </row>
    <row r="9119">
      <c r="A9119" s="3" t="str">
        <f>IFERROR(__xludf.DUMMYFUNCTION("""COMPUTED_VALUE"""),"pointpay")</f>
        <v>pointpay</v>
      </c>
      <c r="B9119" s="3" t="str">
        <f>IFERROR(__xludf.DUMMYFUNCTION("""COMPUTED_VALUE"""),"pxp")</f>
        <v>pxp</v>
      </c>
      <c r="C9119" s="3" t="str">
        <f>IFERROR(__xludf.DUMMYFUNCTION("""COMPUTED_VALUE"""),"PointPay")</f>
        <v>PointPay</v>
      </c>
    </row>
    <row r="9120">
      <c r="A9120" s="3" t="str">
        <f>IFERROR(__xludf.DUMMYFUNCTION("""COMPUTED_VALUE"""),"pokedx")</f>
        <v>pokedx</v>
      </c>
      <c r="B9120" s="3" t="str">
        <f>IFERROR(__xludf.DUMMYFUNCTION("""COMPUTED_VALUE"""),"pdx")</f>
        <v>pdx</v>
      </c>
      <c r="C9120" s="3" t="str">
        <f>IFERROR(__xludf.DUMMYFUNCTION("""COMPUTED_VALUE"""),"PokeDX")</f>
        <v>PokeDX</v>
      </c>
    </row>
    <row r="9121">
      <c r="A9121" s="3" t="str">
        <f>IFERROR(__xludf.DUMMYFUNCTION("""COMPUTED_VALUE"""),"pokelon")</f>
        <v>pokelon</v>
      </c>
      <c r="B9121" s="3" t="str">
        <f>IFERROR(__xludf.DUMMYFUNCTION("""COMPUTED_VALUE"""),"pokelon")</f>
        <v>pokelon</v>
      </c>
      <c r="C9121" s="3" t="str">
        <f>IFERROR(__xludf.DUMMYFUNCTION("""COMPUTED_VALUE"""),"POKELON")</f>
        <v>POKELON</v>
      </c>
    </row>
    <row r="9122">
      <c r="A9122" s="3" t="str">
        <f>IFERROR(__xludf.DUMMYFUNCTION("""COMPUTED_VALUE"""),"poken")</f>
        <v>poken</v>
      </c>
      <c r="B9122" s="3" t="str">
        <f>IFERROR(__xludf.DUMMYFUNCTION("""COMPUTED_VALUE"""),"pkn")</f>
        <v>pkn</v>
      </c>
      <c r="C9122" s="3" t="str">
        <f>IFERROR(__xludf.DUMMYFUNCTION("""COMPUTED_VALUE"""),"Poken")</f>
        <v>Poken</v>
      </c>
    </row>
    <row r="9123">
      <c r="A9123" s="3" t="str">
        <f>IFERROR(__xludf.DUMMYFUNCTION("""COMPUTED_VALUE"""),"pokerain")</f>
        <v>pokerain</v>
      </c>
      <c r="B9123" s="3" t="str">
        <f>IFERROR(__xludf.DUMMYFUNCTION("""COMPUTED_VALUE"""),"mmda")</f>
        <v>mmda</v>
      </c>
      <c r="C9123" s="3" t="str">
        <f>IFERROR(__xludf.DUMMYFUNCTION("""COMPUTED_VALUE"""),"Pokerain")</f>
        <v>Pokerain</v>
      </c>
    </row>
    <row r="9124">
      <c r="A9124" s="3" t="str">
        <f>IFERROR(__xludf.DUMMYFUNCTION("""COMPUTED_VALUE"""),"pokerfi")</f>
        <v>pokerfi</v>
      </c>
      <c r="B9124" s="3" t="str">
        <f>IFERROR(__xludf.DUMMYFUNCTION("""COMPUTED_VALUE"""),"pokerfi")</f>
        <v>pokerfi</v>
      </c>
      <c r="C9124" s="3" t="str">
        <f>IFERROR(__xludf.DUMMYFUNCTION("""COMPUTED_VALUE"""),"PokerFi")</f>
        <v>PokerFi</v>
      </c>
    </row>
    <row r="9125">
      <c r="A9125" s="3" t="str">
        <f>IFERROR(__xludf.DUMMYFUNCTION("""COMPUTED_VALUE"""),"pokmonsters")</f>
        <v>pokmonsters</v>
      </c>
      <c r="B9125" s="3" t="str">
        <f>IFERROR(__xludf.DUMMYFUNCTION("""COMPUTED_VALUE"""),"pok")</f>
        <v>pok</v>
      </c>
      <c r="C9125" s="3" t="str">
        <f>IFERROR(__xludf.DUMMYFUNCTION("""COMPUTED_VALUE"""),"Pokmonsters")</f>
        <v>Pokmonsters</v>
      </c>
    </row>
    <row r="9126">
      <c r="A9126" s="3" t="str">
        <f>IFERROR(__xludf.DUMMYFUNCTION("""COMPUTED_VALUE"""),"polar")</f>
        <v>polar</v>
      </c>
      <c r="B9126" s="3" t="str">
        <f>IFERROR(__xludf.DUMMYFUNCTION("""COMPUTED_VALUE"""),"polar")</f>
        <v>polar</v>
      </c>
      <c r="C9126" s="3" t="str">
        <f>IFERROR(__xludf.DUMMYFUNCTION("""COMPUTED_VALUE"""),"POLAR")</f>
        <v>POLAR</v>
      </c>
    </row>
    <row r="9127">
      <c r="A9127" s="3" t="str">
        <f>IFERROR(__xludf.DUMMYFUNCTION("""COMPUTED_VALUE"""),"polaris")</f>
        <v>polaris</v>
      </c>
      <c r="B9127" s="3" t="str">
        <f>IFERROR(__xludf.DUMMYFUNCTION("""COMPUTED_VALUE"""),"polar")</f>
        <v>polar</v>
      </c>
      <c r="C9127" s="3" t="str">
        <f>IFERROR(__xludf.DUMMYFUNCTION("""COMPUTED_VALUE"""),"Polarisdefi")</f>
        <v>Polarisdefi</v>
      </c>
    </row>
    <row r="9128">
      <c r="A9128" s="3" t="str">
        <f>IFERROR(__xludf.DUMMYFUNCTION("""COMPUTED_VALUE"""),"polaris-finance-orbital")</f>
        <v>polaris-finance-orbital</v>
      </c>
      <c r="B9128" s="3" t="str">
        <f>IFERROR(__xludf.DUMMYFUNCTION("""COMPUTED_VALUE"""),"orbital")</f>
        <v>orbital</v>
      </c>
      <c r="C9128" s="3" t="str">
        <f>IFERROR(__xludf.DUMMYFUNCTION("""COMPUTED_VALUE"""),"Polaris Finance Orbital")</f>
        <v>Polaris Finance Orbital</v>
      </c>
    </row>
    <row r="9129">
      <c r="A9129" s="3" t="str">
        <f>IFERROR(__xludf.DUMMYFUNCTION("""COMPUTED_VALUE"""),"polaris-share")</f>
        <v>polaris-share</v>
      </c>
      <c r="B9129" s="3" t="str">
        <f>IFERROR(__xludf.DUMMYFUNCTION("""COMPUTED_VALUE"""),"pola")</f>
        <v>pola</v>
      </c>
      <c r="C9129" s="3" t="str">
        <f>IFERROR(__xludf.DUMMYFUNCTION("""COMPUTED_VALUE"""),"Polaris Share")</f>
        <v>Polaris Share</v>
      </c>
    </row>
    <row r="9130">
      <c r="A9130" s="3" t="str">
        <f>IFERROR(__xludf.DUMMYFUNCTION("""COMPUTED_VALUE"""),"polars")</f>
        <v>polars</v>
      </c>
      <c r="B9130" s="3" t="str">
        <f>IFERROR(__xludf.DUMMYFUNCTION("""COMPUTED_VALUE"""),"pol")</f>
        <v>pol</v>
      </c>
      <c r="C9130" s="3" t="str">
        <f>IFERROR(__xludf.DUMMYFUNCTION("""COMPUTED_VALUE"""),"Polars")</f>
        <v>Polars</v>
      </c>
    </row>
    <row r="9131">
      <c r="A9131" s="3" t="str">
        <f>IFERROR(__xludf.DUMMYFUNCTION("""COMPUTED_VALUE"""),"polar-shares")</f>
        <v>polar-shares</v>
      </c>
      <c r="B9131" s="3" t="str">
        <f>IFERROR(__xludf.DUMMYFUNCTION("""COMPUTED_VALUE"""),"spolar")</f>
        <v>spolar</v>
      </c>
      <c r="C9131" s="3" t="str">
        <f>IFERROR(__xludf.DUMMYFUNCTION("""COMPUTED_VALUE"""),"Polar Shares")</f>
        <v>Polar Shares</v>
      </c>
    </row>
    <row r="9132">
      <c r="A9132" s="3" t="str">
        <f>IFERROR(__xludf.DUMMYFUNCTION("""COMPUTED_VALUE"""),"polar-sync")</f>
        <v>polar-sync</v>
      </c>
      <c r="B9132" s="3" t="str">
        <f>IFERROR(__xludf.DUMMYFUNCTION("""COMPUTED_VALUE"""),"polar")</f>
        <v>polar</v>
      </c>
      <c r="C9132" s="3" t="str">
        <f>IFERROR(__xludf.DUMMYFUNCTION("""COMPUTED_VALUE"""),"Polar Sync")</f>
        <v>Polar Sync</v>
      </c>
    </row>
    <row r="9133">
      <c r="A9133" s="3" t="str">
        <f>IFERROR(__xludf.DUMMYFUNCTION("""COMPUTED_VALUE"""),"polar-token")</f>
        <v>polar-token</v>
      </c>
      <c r="B9133" s="3" t="str">
        <f>IFERROR(__xludf.DUMMYFUNCTION("""COMPUTED_VALUE"""),"polar")</f>
        <v>polar</v>
      </c>
      <c r="C9133" s="3" t="str">
        <f>IFERROR(__xludf.DUMMYFUNCTION("""COMPUTED_VALUE"""),"Polaris Finance Polar")</f>
        <v>Polaris Finance Polar</v>
      </c>
    </row>
    <row r="9134">
      <c r="A9134" s="3" t="str">
        <f>IFERROR(__xludf.DUMMYFUNCTION("""COMPUTED_VALUE"""),"polinate")</f>
        <v>polinate</v>
      </c>
      <c r="B9134" s="3" t="str">
        <f>IFERROR(__xludf.DUMMYFUNCTION("""COMPUTED_VALUE"""),"poli")</f>
        <v>poli</v>
      </c>
      <c r="C9134" s="3" t="str">
        <f>IFERROR(__xludf.DUMMYFUNCTION("""COMPUTED_VALUE"""),"Polinate")</f>
        <v>Polinate</v>
      </c>
    </row>
    <row r="9135">
      <c r="A9135" s="3" t="str">
        <f>IFERROR(__xludf.DUMMYFUNCTION("""COMPUTED_VALUE"""),"polis")</f>
        <v>polis</v>
      </c>
      <c r="B9135" s="3" t="str">
        <f>IFERROR(__xludf.DUMMYFUNCTION("""COMPUTED_VALUE"""),"polis")</f>
        <v>polis</v>
      </c>
      <c r="C9135" s="3" t="str">
        <f>IFERROR(__xludf.DUMMYFUNCTION("""COMPUTED_VALUE"""),"Polis")</f>
        <v>Polis</v>
      </c>
    </row>
    <row r="9136">
      <c r="A9136" s="3" t="str">
        <f>IFERROR(__xludf.DUMMYFUNCTION("""COMPUTED_VALUE"""),"polkabridge")</f>
        <v>polkabridge</v>
      </c>
      <c r="B9136" s="3" t="str">
        <f>IFERROR(__xludf.DUMMYFUNCTION("""COMPUTED_VALUE"""),"pbr")</f>
        <v>pbr</v>
      </c>
      <c r="C9136" s="3" t="str">
        <f>IFERROR(__xludf.DUMMYFUNCTION("""COMPUTED_VALUE"""),"PolkaBridge")</f>
        <v>PolkaBridge</v>
      </c>
    </row>
    <row r="9137">
      <c r="A9137" s="3" t="str">
        <f>IFERROR(__xludf.DUMMYFUNCTION("""COMPUTED_VALUE"""),"polka-city")</f>
        <v>polka-city</v>
      </c>
      <c r="B9137" s="3" t="str">
        <f>IFERROR(__xludf.DUMMYFUNCTION("""COMPUTED_VALUE"""),"polc")</f>
        <v>polc</v>
      </c>
      <c r="C9137" s="3" t="str">
        <f>IFERROR(__xludf.DUMMYFUNCTION("""COMPUTED_VALUE"""),"Polkacity")</f>
        <v>Polkacity</v>
      </c>
    </row>
    <row r="9138">
      <c r="A9138" s="3" t="str">
        <f>IFERROR(__xludf.DUMMYFUNCTION("""COMPUTED_VALUE"""),"polka-classic")</f>
        <v>polka-classic</v>
      </c>
      <c r="B9138" s="3" t="str">
        <f>IFERROR(__xludf.DUMMYFUNCTION("""COMPUTED_VALUE"""),"dotc")</f>
        <v>dotc</v>
      </c>
      <c r="C9138" s="3" t="str">
        <f>IFERROR(__xludf.DUMMYFUNCTION("""COMPUTED_VALUE"""),"Polka Classic")</f>
        <v>Polka Classic</v>
      </c>
    </row>
    <row r="9139">
      <c r="A9139" s="3" t="str">
        <f>IFERROR(__xludf.DUMMYFUNCTION("""COMPUTED_VALUE"""),"polkadex")</f>
        <v>polkadex</v>
      </c>
      <c r="B9139" s="3" t="str">
        <f>IFERROR(__xludf.DUMMYFUNCTION("""COMPUTED_VALUE"""),"pdex")</f>
        <v>pdex</v>
      </c>
      <c r="C9139" s="3" t="str">
        <f>IFERROR(__xludf.DUMMYFUNCTION("""COMPUTED_VALUE"""),"Polkadex")</f>
        <v>Polkadex</v>
      </c>
    </row>
    <row r="9140">
      <c r="A9140" s="3" t="str">
        <f>IFERROR(__xludf.DUMMYFUNCTION("""COMPUTED_VALUE"""),"polkadog-v2-0")</f>
        <v>polkadog-v2-0</v>
      </c>
      <c r="B9140" s="3" t="str">
        <f>IFERROR(__xludf.DUMMYFUNCTION("""COMPUTED_VALUE"""),"einstein")</f>
        <v>einstein</v>
      </c>
      <c r="C9140" s="3" t="str">
        <f>IFERROR(__xludf.DUMMYFUNCTION("""COMPUTED_VALUE"""),"Polkadog V2.0")</f>
        <v>Polkadog V2.0</v>
      </c>
    </row>
    <row r="9141">
      <c r="A9141" s="3" t="str">
        <f>IFERROR(__xludf.DUMMYFUNCTION("""COMPUTED_VALUE"""),"polkadomain")</f>
        <v>polkadomain</v>
      </c>
      <c r="B9141" s="3" t="str">
        <f>IFERROR(__xludf.DUMMYFUNCTION("""COMPUTED_VALUE"""),"name")</f>
        <v>name</v>
      </c>
      <c r="C9141" s="3" t="str">
        <f>IFERROR(__xludf.DUMMYFUNCTION("""COMPUTED_VALUE"""),"PolkaDomain")</f>
        <v>PolkaDomain</v>
      </c>
    </row>
    <row r="9142">
      <c r="A9142" s="3" t="str">
        <f>IFERROR(__xludf.DUMMYFUNCTION("""COMPUTED_VALUE"""),"polkadot")</f>
        <v>polkadot</v>
      </c>
      <c r="B9142" s="3" t="str">
        <f>IFERROR(__xludf.DUMMYFUNCTION("""COMPUTED_VALUE"""),"dot")</f>
        <v>dot</v>
      </c>
      <c r="C9142" s="3" t="str">
        <f>IFERROR(__xludf.DUMMYFUNCTION("""COMPUTED_VALUE"""),"Polkadot")</f>
        <v>Polkadot</v>
      </c>
    </row>
    <row r="9143">
      <c r="A9143" s="3" t="str">
        <f>IFERROR(__xludf.DUMMYFUNCTION("""COMPUTED_VALUE"""),"polkaex")</f>
        <v>polkaex</v>
      </c>
      <c r="B9143" s="3" t="str">
        <f>IFERROR(__xludf.DUMMYFUNCTION("""COMPUTED_VALUE"""),"pkex")</f>
        <v>pkex</v>
      </c>
      <c r="C9143" s="3" t="str">
        <f>IFERROR(__xludf.DUMMYFUNCTION("""COMPUTED_VALUE"""),"PolkaEx")</f>
        <v>PolkaEx</v>
      </c>
    </row>
    <row r="9144">
      <c r="A9144" s="3" t="str">
        <f>IFERROR(__xludf.DUMMYFUNCTION("""COMPUTED_VALUE"""),"polkafantasy")</f>
        <v>polkafantasy</v>
      </c>
      <c r="B9144" s="3" t="str">
        <f>IFERROR(__xludf.DUMMYFUNCTION("""COMPUTED_VALUE"""),"xp")</f>
        <v>xp</v>
      </c>
      <c r="C9144" s="3" t="str">
        <f>IFERROR(__xludf.DUMMYFUNCTION("""COMPUTED_VALUE"""),"PolkaFantasy")</f>
        <v>PolkaFantasy</v>
      </c>
    </row>
    <row r="9145">
      <c r="A9145" s="3" t="str">
        <f>IFERROR(__xludf.DUMMYFUNCTION("""COMPUTED_VALUE"""),"polkafoundry")</f>
        <v>polkafoundry</v>
      </c>
      <c r="B9145" s="3" t="str">
        <f>IFERROR(__xludf.DUMMYFUNCTION("""COMPUTED_VALUE"""),"pkf")</f>
        <v>pkf</v>
      </c>
      <c r="C9145" s="3" t="str">
        <f>IFERROR(__xludf.DUMMYFUNCTION("""COMPUTED_VALUE"""),"PolkaFoundry")</f>
        <v>PolkaFoundry</v>
      </c>
    </row>
    <row r="9146">
      <c r="A9146" s="3" t="str">
        <f>IFERROR(__xludf.DUMMYFUNCTION("""COMPUTED_VALUE"""),"polkago")</f>
        <v>polkago</v>
      </c>
      <c r="B9146" s="3" t="str">
        <f>IFERROR(__xludf.DUMMYFUNCTION("""COMPUTED_VALUE"""),"$plkg")</f>
        <v>$plkg</v>
      </c>
      <c r="C9146" s="3" t="str">
        <f>IFERROR(__xludf.DUMMYFUNCTION("""COMPUTED_VALUE"""),"Polkago")</f>
        <v>Polkago</v>
      </c>
    </row>
    <row r="9147">
      <c r="A9147" s="3" t="str">
        <f>IFERROR(__xludf.DUMMYFUNCTION("""COMPUTED_VALUE"""),"polkainsure-finance")</f>
        <v>polkainsure-finance</v>
      </c>
      <c r="B9147" s="3" t="str">
        <f>IFERROR(__xludf.DUMMYFUNCTION("""COMPUTED_VALUE"""),"pis")</f>
        <v>pis</v>
      </c>
      <c r="C9147" s="3" t="str">
        <f>IFERROR(__xludf.DUMMYFUNCTION("""COMPUTED_VALUE"""),"Polkainsure Finance")</f>
        <v>Polkainsure Finance</v>
      </c>
    </row>
    <row r="9148">
      <c r="A9148" s="3" t="str">
        <f>IFERROR(__xludf.DUMMYFUNCTION("""COMPUTED_VALUE"""),"polkally")</f>
        <v>polkally</v>
      </c>
      <c r="B9148" s="3" t="str">
        <f>IFERROR(__xludf.DUMMYFUNCTION("""COMPUTED_VALUE"""),"kally")</f>
        <v>kally</v>
      </c>
      <c r="C9148" s="3" t="str">
        <f>IFERROR(__xludf.DUMMYFUNCTION("""COMPUTED_VALUE"""),"Kally")</f>
        <v>Kally</v>
      </c>
    </row>
    <row r="9149">
      <c r="A9149" s="3" t="str">
        <f>IFERROR(__xludf.DUMMYFUNCTION("""COMPUTED_VALUE"""),"polkamarkets")</f>
        <v>polkamarkets</v>
      </c>
      <c r="B9149" s="3" t="str">
        <f>IFERROR(__xludf.DUMMYFUNCTION("""COMPUTED_VALUE"""),"polk")</f>
        <v>polk</v>
      </c>
      <c r="C9149" s="3" t="str">
        <f>IFERROR(__xludf.DUMMYFUNCTION("""COMPUTED_VALUE"""),"Polkamarkets")</f>
        <v>Polkamarkets</v>
      </c>
    </row>
    <row r="9150">
      <c r="A9150" s="3" t="str">
        <f>IFERROR(__xludf.DUMMYFUNCTION("""COMPUTED_VALUE"""),"polkaparty")</f>
        <v>polkaparty</v>
      </c>
      <c r="B9150" s="3" t="str">
        <f>IFERROR(__xludf.DUMMYFUNCTION("""COMPUTED_VALUE"""),"polp")</f>
        <v>polp</v>
      </c>
      <c r="C9150" s="3" t="str">
        <f>IFERROR(__xludf.DUMMYFUNCTION("""COMPUTED_VALUE"""),"PolkaParty")</f>
        <v>PolkaParty</v>
      </c>
    </row>
    <row r="9151">
      <c r="A9151" s="3" t="str">
        <f>IFERROR(__xludf.DUMMYFUNCTION("""COMPUTED_VALUE"""),"polkapet-world")</f>
        <v>polkapet-world</v>
      </c>
      <c r="B9151" s="3" t="str">
        <f>IFERROR(__xludf.DUMMYFUNCTION("""COMPUTED_VALUE"""),"pets")</f>
        <v>pets</v>
      </c>
      <c r="C9151" s="3" t="str">
        <f>IFERROR(__xludf.DUMMYFUNCTION("""COMPUTED_VALUE"""),"PolkaPet World")</f>
        <v>PolkaPet World</v>
      </c>
    </row>
    <row r="9152">
      <c r="A9152" s="3" t="str">
        <f>IFERROR(__xludf.DUMMYFUNCTION("""COMPUTED_VALUE"""),"polkaplay")</f>
        <v>polkaplay</v>
      </c>
      <c r="B9152" s="3" t="str">
        <f>IFERROR(__xludf.DUMMYFUNCTION("""COMPUTED_VALUE"""),"polo")</f>
        <v>polo</v>
      </c>
      <c r="C9152" s="3" t="str">
        <f>IFERROR(__xludf.DUMMYFUNCTION("""COMPUTED_VALUE"""),"NftyPlay")</f>
        <v>NftyPlay</v>
      </c>
    </row>
    <row r="9153">
      <c r="A9153" s="3" t="str">
        <f>IFERROR(__xludf.DUMMYFUNCTION("""COMPUTED_VALUE"""),"polkarare")</f>
        <v>polkarare</v>
      </c>
      <c r="B9153" s="3" t="str">
        <f>IFERROR(__xludf.DUMMYFUNCTION("""COMPUTED_VALUE"""),"prare")</f>
        <v>prare</v>
      </c>
      <c r="C9153" s="3" t="str">
        <f>IFERROR(__xludf.DUMMYFUNCTION("""COMPUTED_VALUE"""),"Polkarare")</f>
        <v>Polkarare</v>
      </c>
    </row>
    <row r="9154">
      <c r="A9154" s="3" t="str">
        <f>IFERROR(__xludf.DUMMYFUNCTION("""COMPUTED_VALUE"""),"polkasocial-network")</f>
        <v>polkasocial-network</v>
      </c>
      <c r="B9154" s="3" t="str">
        <f>IFERROR(__xludf.DUMMYFUNCTION("""COMPUTED_VALUE"""),"psn")</f>
        <v>psn</v>
      </c>
      <c r="C9154" s="3" t="str">
        <f>IFERROR(__xludf.DUMMYFUNCTION("""COMPUTED_VALUE"""),"Polkasocial Network")</f>
        <v>Polkasocial Network</v>
      </c>
    </row>
    <row r="9155">
      <c r="A9155" s="3" t="str">
        <f>IFERROR(__xludf.DUMMYFUNCTION("""COMPUTED_VALUE"""),"polkastarter")</f>
        <v>polkastarter</v>
      </c>
      <c r="B9155" s="3" t="str">
        <f>IFERROR(__xludf.DUMMYFUNCTION("""COMPUTED_VALUE"""),"pols")</f>
        <v>pols</v>
      </c>
      <c r="C9155" s="3" t="str">
        <f>IFERROR(__xludf.DUMMYFUNCTION("""COMPUTED_VALUE"""),"Polkastarter")</f>
        <v>Polkastarter</v>
      </c>
    </row>
    <row r="9156">
      <c r="A9156" s="3" t="str">
        <f>IFERROR(__xludf.DUMMYFUNCTION("""COMPUTED_VALUE"""),"polkastation")</f>
        <v>polkastation</v>
      </c>
      <c r="B9156" s="3" t="str">
        <f>IFERROR(__xludf.DUMMYFUNCTION("""COMPUTED_VALUE"""),"polkas")</f>
        <v>polkas</v>
      </c>
      <c r="C9156" s="3" t="str">
        <f>IFERROR(__xludf.DUMMYFUNCTION("""COMPUTED_VALUE"""),"PolkaStation")</f>
        <v>PolkaStation</v>
      </c>
    </row>
    <row r="9157">
      <c r="A9157" s="3" t="str">
        <f>IFERROR(__xludf.DUMMYFUNCTION("""COMPUTED_VALUE"""),"polkaswap")</f>
        <v>polkaswap</v>
      </c>
      <c r="B9157" s="3" t="str">
        <f>IFERROR(__xludf.DUMMYFUNCTION("""COMPUTED_VALUE"""),"pswap")</f>
        <v>pswap</v>
      </c>
      <c r="C9157" s="3" t="str">
        <f>IFERROR(__xludf.DUMMYFUNCTION("""COMPUTED_VALUE"""),"Polkaswap")</f>
        <v>Polkaswap</v>
      </c>
    </row>
    <row r="9158">
      <c r="A9158" s="3" t="str">
        <f>IFERROR(__xludf.DUMMYFUNCTION("""COMPUTED_VALUE"""),"polka-ventures")</f>
        <v>polka-ventures</v>
      </c>
      <c r="B9158" s="3" t="str">
        <f>IFERROR(__xludf.DUMMYFUNCTION("""COMPUTED_VALUE"""),"polven")</f>
        <v>polven</v>
      </c>
      <c r="C9158" s="3" t="str">
        <f>IFERROR(__xludf.DUMMYFUNCTION("""COMPUTED_VALUE"""),"Polka Ventures")</f>
        <v>Polka Ventures</v>
      </c>
    </row>
    <row r="9159">
      <c r="A9159" s="3" t="str">
        <f>IFERROR(__xludf.DUMMYFUNCTION("""COMPUTED_VALUE"""),"polkawar")</f>
        <v>polkawar</v>
      </c>
      <c r="B9159" s="3" t="str">
        <f>IFERROR(__xludf.DUMMYFUNCTION("""COMPUTED_VALUE"""),"pwar")</f>
        <v>pwar</v>
      </c>
      <c r="C9159" s="3" t="str">
        <f>IFERROR(__xludf.DUMMYFUNCTION("""COMPUTED_VALUE"""),"PolkaWar")</f>
        <v>PolkaWar</v>
      </c>
    </row>
    <row r="9160">
      <c r="A9160" s="3" t="str">
        <f>IFERROR(__xludf.DUMMYFUNCTION("""COMPUTED_VALUE"""),"polker")</f>
        <v>polker</v>
      </c>
      <c r="B9160" s="3" t="str">
        <f>IFERROR(__xludf.DUMMYFUNCTION("""COMPUTED_VALUE"""),"pkr")</f>
        <v>pkr</v>
      </c>
      <c r="C9160" s="3" t="str">
        <f>IFERROR(__xludf.DUMMYFUNCTION("""COMPUTED_VALUE"""),"Polker")</f>
        <v>Polker</v>
      </c>
    </row>
    <row r="9161">
      <c r="A9161" s="3" t="str">
        <f>IFERROR(__xludf.DUMMYFUNCTION("""COMPUTED_VALUE"""),"pollchain")</f>
        <v>pollchain</v>
      </c>
      <c r="B9161" s="3" t="str">
        <f>IFERROR(__xludf.DUMMYFUNCTION("""COMPUTED_VALUE"""),"poll")</f>
        <v>poll</v>
      </c>
      <c r="C9161" s="3" t="str">
        <f>IFERROR(__xludf.DUMMYFUNCTION("""COMPUTED_VALUE"""),"Pollchain")</f>
        <v>Pollchain</v>
      </c>
    </row>
    <row r="9162">
      <c r="A9162" s="3" t="str">
        <f>IFERROR(__xludf.DUMMYFUNCTION("""COMPUTED_VALUE"""),"pollen")</f>
        <v>pollen</v>
      </c>
      <c r="B9162" s="3" t="str">
        <f>IFERROR(__xludf.DUMMYFUNCTION("""COMPUTED_VALUE"""),"pln")</f>
        <v>pln</v>
      </c>
      <c r="C9162" s="3" t="str">
        <f>IFERROR(__xludf.DUMMYFUNCTION("""COMPUTED_VALUE"""),"Pollen")</f>
        <v>Pollen</v>
      </c>
    </row>
    <row r="9163">
      <c r="A9163" s="3" t="str">
        <f>IFERROR(__xludf.DUMMYFUNCTION("""COMPUTED_VALUE"""),"pollen-coin")</f>
        <v>pollen-coin</v>
      </c>
      <c r="B9163" s="3" t="str">
        <f>IFERROR(__xludf.DUMMYFUNCTION("""COMPUTED_VALUE"""),"pcn")</f>
        <v>pcn</v>
      </c>
      <c r="C9163" s="3" t="str">
        <f>IFERROR(__xludf.DUMMYFUNCTION("""COMPUTED_VALUE"""),"Pollen Coin")</f>
        <v>Pollen Coin</v>
      </c>
    </row>
    <row r="9164">
      <c r="A9164" s="3" t="str">
        <f>IFERROR(__xludf.DUMMYFUNCTION("""COMPUTED_VALUE"""),"pollux-coin")</f>
        <v>pollux-coin</v>
      </c>
      <c r="B9164" s="3" t="str">
        <f>IFERROR(__xludf.DUMMYFUNCTION("""COMPUTED_VALUE"""),"pox")</f>
        <v>pox</v>
      </c>
      <c r="C9164" s="3" t="str">
        <f>IFERROR(__xludf.DUMMYFUNCTION("""COMPUTED_VALUE"""),"Pollux Coin")</f>
        <v>Pollux Coin</v>
      </c>
    </row>
    <row r="9165">
      <c r="A9165" s="3" t="str">
        <f>IFERROR(__xludf.DUMMYFUNCTION("""COMPUTED_VALUE"""),"polly")</f>
        <v>polly</v>
      </c>
      <c r="B9165" s="3" t="str">
        <f>IFERROR(__xludf.DUMMYFUNCTION("""COMPUTED_VALUE"""),"polly")</f>
        <v>polly</v>
      </c>
      <c r="C9165" s="3" t="str">
        <f>IFERROR(__xludf.DUMMYFUNCTION("""COMPUTED_VALUE"""),"Polly Finance")</f>
        <v>Polly Finance</v>
      </c>
    </row>
    <row r="9166">
      <c r="A9166" s="3" t="str">
        <f>IFERROR(__xludf.DUMMYFUNCTION("""COMPUTED_VALUE"""),"polly-defi-nest")</f>
        <v>polly-defi-nest</v>
      </c>
      <c r="B9166" s="3" t="str">
        <f>IFERROR(__xludf.DUMMYFUNCTION("""COMPUTED_VALUE"""),"ndefi")</f>
        <v>ndefi</v>
      </c>
      <c r="C9166" s="3" t="str">
        <f>IFERROR(__xludf.DUMMYFUNCTION("""COMPUTED_VALUE"""),"Polly DeFi Nest")</f>
        <v>Polly DeFi Nest</v>
      </c>
    </row>
    <row r="9167">
      <c r="A9167" s="3" t="str">
        <f>IFERROR(__xludf.DUMMYFUNCTION("""COMPUTED_VALUE"""),"polyalpha-finance")</f>
        <v>polyalpha-finance</v>
      </c>
      <c r="B9167" s="3" t="str">
        <f>IFERROR(__xludf.DUMMYFUNCTION("""COMPUTED_VALUE"""),"alpha")</f>
        <v>alpha</v>
      </c>
      <c r="C9167" s="3" t="str">
        <f>IFERROR(__xludf.DUMMYFUNCTION("""COMPUTED_VALUE"""),"PolyAlpha Finance")</f>
        <v>PolyAlpha Finance</v>
      </c>
    </row>
    <row r="9168">
      <c r="A9168" s="3" t="str">
        <f>IFERROR(__xludf.DUMMYFUNCTION("""COMPUTED_VALUE"""),"polybeta-finance")</f>
        <v>polybeta-finance</v>
      </c>
      <c r="B9168" s="3" t="str">
        <f>IFERROR(__xludf.DUMMYFUNCTION("""COMPUTED_VALUE"""),"beta")</f>
        <v>beta</v>
      </c>
      <c r="C9168" s="3" t="str">
        <f>IFERROR(__xludf.DUMMYFUNCTION("""COMPUTED_VALUE"""),"PolyBeta Finance")</f>
        <v>PolyBeta Finance</v>
      </c>
    </row>
    <row r="9169">
      <c r="A9169" s="3" t="str">
        <f>IFERROR(__xludf.DUMMYFUNCTION("""COMPUTED_VALUE"""),"polybius")</f>
        <v>polybius</v>
      </c>
      <c r="B9169" s="3" t="str">
        <f>IFERROR(__xludf.DUMMYFUNCTION("""COMPUTED_VALUE"""),"plbt")</f>
        <v>plbt</v>
      </c>
      <c r="C9169" s="3" t="str">
        <f>IFERROR(__xludf.DUMMYFUNCTION("""COMPUTED_VALUE"""),"Polybius")</f>
        <v>Polybius</v>
      </c>
    </row>
    <row r="9170">
      <c r="A9170" s="3" t="str">
        <f>IFERROR(__xludf.DUMMYFUNCTION("""COMPUTED_VALUE"""),"polycake-finance")</f>
        <v>polycake-finance</v>
      </c>
      <c r="B9170" s="3" t="str">
        <f>IFERROR(__xludf.DUMMYFUNCTION("""COMPUTED_VALUE"""),"pcake")</f>
        <v>pcake</v>
      </c>
      <c r="C9170" s="3" t="str">
        <f>IFERROR(__xludf.DUMMYFUNCTION("""COMPUTED_VALUE"""),"PolyCake Finance")</f>
        <v>PolyCake Finance</v>
      </c>
    </row>
    <row r="9171">
      <c r="A9171" s="3" t="str">
        <f>IFERROR(__xludf.DUMMYFUNCTION("""COMPUTED_VALUE"""),"polycat-finance")</f>
        <v>polycat-finance</v>
      </c>
      <c r="B9171" s="3" t="str">
        <f>IFERROR(__xludf.DUMMYFUNCTION("""COMPUTED_VALUE"""),"fish")</f>
        <v>fish</v>
      </c>
      <c r="C9171" s="3" t="str">
        <f>IFERROR(__xludf.DUMMYFUNCTION("""COMPUTED_VALUE"""),"Polycat Finance")</f>
        <v>Polycat Finance</v>
      </c>
    </row>
    <row r="9172">
      <c r="A9172" s="3" t="str">
        <f>IFERROR(__xludf.DUMMYFUNCTION("""COMPUTED_VALUE"""),"polychain-monsters")</f>
        <v>polychain-monsters</v>
      </c>
      <c r="B9172" s="3" t="str">
        <f>IFERROR(__xludf.DUMMYFUNCTION("""COMPUTED_VALUE"""),"pmon")</f>
        <v>pmon</v>
      </c>
      <c r="C9172" s="3" t="str">
        <f>IFERROR(__xludf.DUMMYFUNCTION("""COMPUTED_VALUE"""),"Polychain Monsters")</f>
        <v>Polychain Monsters</v>
      </c>
    </row>
    <row r="9173">
      <c r="A9173" s="3" t="str">
        <f>IFERROR(__xludf.DUMMYFUNCTION("""COMPUTED_VALUE"""),"polychain-monsters-genesis")</f>
        <v>polychain-monsters-genesis</v>
      </c>
      <c r="B9173" s="3" t="str">
        <f>IFERROR(__xludf.DUMMYFUNCTION("""COMPUTED_VALUE"""),"pmlg")</f>
        <v>pmlg</v>
      </c>
      <c r="C9173" s="3" t="str">
        <f>IFERROR(__xludf.DUMMYFUNCTION("""COMPUTED_VALUE"""),"Polychain Monsters Genesis")</f>
        <v>Polychain Monsters Genesis</v>
      </c>
    </row>
    <row r="9174">
      <c r="A9174" s="3" t="str">
        <f>IFERROR(__xludf.DUMMYFUNCTION("""COMPUTED_VALUE"""),"polycub")</f>
        <v>polycub</v>
      </c>
      <c r="B9174" s="3" t="str">
        <f>IFERROR(__xludf.DUMMYFUNCTION("""COMPUTED_VALUE"""),"polycub")</f>
        <v>polycub</v>
      </c>
      <c r="C9174" s="3" t="str">
        <f>IFERROR(__xludf.DUMMYFUNCTION("""COMPUTED_VALUE"""),"PolyCub")</f>
        <v>PolyCub</v>
      </c>
    </row>
    <row r="9175">
      <c r="A9175" s="3" t="str">
        <f>IFERROR(__xludf.DUMMYFUNCTION("""COMPUTED_VALUE"""),"polydex")</f>
        <v>polydex</v>
      </c>
      <c r="B9175" s="3" t="str">
        <f>IFERROR(__xludf.DUMMYFUNCTION("""COMPUTED_VALUE"""),"plx")</f>
        <v>plx</v>
      </c>
      <c r="C9175" s="3" t="str">
        <f>IFERROR(__xludf.DUMMYFUNCTION("""COMPUTED_VALUE"""),"PolyDEX")</f>
        <v>PolyDEX</v>
      </c>
    </row>
    <row r="9176">
      <c r="A9176" s="3" t="str">
        <f>IFERROR(__xludf.DUMMYFUNCTION("""COMPUTED_VALUE"""),"polydoge")</f>
        <v>polydoge</v>
      </c>
      <c r="B9176" s="3" t="str">
        <f>IFERROR(__xludf.DUMMYFUNCTION("""COMPUTED_VALUE"""),"polydoge")</f>
        <v>polydoge</v>
      </c>
      <c r="C9176" s="3" t="str">
        <f>IFERROR(__xludf.DUMMYFUNCTION("""COMPUTED_VALUE"""),"PolyDoge")</f>
        <v>PolyDoge</v>
      </c>
    </row>
    <row r="9177">
      <c r="A9177" s="3" t="str">
        <f>IFERROR(__xludf.DUMMYFUNCTION("""COMPUTED_VALUE"""),"polyfarm-egg")</f>
        <v>polyfarm-egg</v>
      </c>
      <c r="B9177" s="3" t="str">
        <f>IFERROR(__xludf.DUMMYFUNCTION("""COMPUTED_VALUE"""),"egg")</f>
        <v>egg</v>
      </c>
      <c r="C9177" s="3" t="str">
        <f>IFERROR(__xludf.DUMMYFUNCTION("""COMPUTED_VALUE"""),"PolyFarm EGG")</f>
        <v>PolyFarm EGG</v>
      </c>
    </row>
    <row r="9178">
      <c r="A9178" s="3" t="str">
        <f>IFERROR(__xludf.DUMMYFUNCTION("""COMPUTED_VALUE"""),"polygamma")</f>
        <v>polygamma</v>
      </c>
      <c r="B9178" s="3" t="str">
        <f>IFERROR(__xludf.DUMMYFUNCTION("""COMPUTED_VALUE"""),"gamma")</f>
        <v>gamma</v>
      </c>
      <c r="C9178" s="3" t="str">
        <f>IFERROR(__xludf.DUMMYFUNCTION("""COMPUTED_VALUE"""),"PolyGamma Finance")</f>
        <v>PolyGamma Finance</v>
      </c>
    </row>
    <row r="9179">
      <c r="A9179" s="3" t="str">
        <f>IFERROR(__xludf.DUMMYFUNCTION("""COMPUTED_VALUE"""),"polygen")</f>
        <v>polygen</v>
      </c>
      <c r="B9179" s="3" t="str">
        <f>IFERROR(__xludf.DUMMYFUNCTION("""COMPUTED_VALUE"""),"pgen")</f>
        <v>pgen</v>
      </c>
      <c r="C9179" s="3" t="str">
        <f>IFERROR(__xludf.DUMMYFUNCTION("""COMPUTED_VALUE"""),"Polygen")</f>
        <v>Polygen</v>
      </c>
    </row>
    <row r="9180">
      <c r="A9180" s="3" t="str">
        <f>IFERROR(__xludf.DUMMYFUNCTION("""COMPUTED_VALUE"""),"polygod")</f>
        <v>polygod</v>
      </c>
      <c r="B9180" s="3" t="str">
        <f>IFERROR(__xludf.DUMMYFUNCTION("""COMPUTED_VALUE"""),"gull")</f>
        <v>gull</v>
      </c>
      <c r="C9180" s="3" t="str">
        <f>IFERROR(__xludf.DUMMYFUNCTION("""COMPUTED_VALUE"""),"PolyGod")</f>
        <v>PolyGod</v>
      </c>
    </row>
    <row r="9181">
      <c r="A9181" s="3" t="str">
        <f>IFERROR(__xludf.DUMMYFUNCTION("""COMPUTED_VALUE"""),"polygold")</f>
        <v>polygold</v>
      </c>
      <c r="B9181" s="3" t="str">
        <f>IFERROR(__xludf.DUMMYFUNCTION("""COMPUTED_VALUE"""),"polygold")</f>
        <v>polygold</v>
      </c>
      <c r="C9181" s="3" t="str">
        <f>IFERROR(__xludf.DUMMYFUNCTION("""COMPUTED_VALUE"""),"PolyGold")</f>
        <v>PolyGold</v>
      </c>
    </row>
    <row r="9182">
      <c r="A9182" s="3" t="str">
        <f>IFERROR(__xludf.DUMMYFUNCTION("""COMPUTED_VALUE"""),"polygon-babydoge")</f>
        <v>polygon-babydoge</v>
      </c>
      <c r="B9182" s="3" t="str">
        <f>IFERROR(__xludf.DUMMYFUNCTION("""COMPUTED_VALUE"""),"polybabydoge")</f>
        <v>polybabydoge</v>
      </c>
      <c r="C9182" s="3" t="str">
        <f>IFERROR(__xludf.DUMMYFUNCTION("""COMPUTED_VALUE"""),"Polygon BabyDoge")</f>
        <v>Polygon BabyDoge</v>
      </c>
    </row>
    <row r="9183">
      <c r="A9183" s="3" t="str">
        <f>IFERROR(__xludf.DUMMYFUNCTION("""COMPUTED_VALUE"""),"polygon-ecosystem-index")</f>
        <v>polygon-ecosystem-index</v>
      </c>
      <c r="B9183" s="3" t="str">
        <f>IFERROR(__xludf.DUMMYFUNCTION("""COMPUTED_VALUE"""),"peco")</f>
        <v>peco</v>
      </c>
      <c r="C9183" s="3" t="str">
        <f>IFERROR(__xludf.DUMMYFUNCTION("""COMPUTED_VALUE"""),"Amun Polygon Ecosystem Index")</f>
        <v>Amun Polygon Ecosystem Index</v>
      </c>
    </row>
    <row r="9184">
      <c r="A9184" s="3" t="str">
        <f>IFERROR(__xludf.DUMMYFUNCTION("""COMPUTED_VALUE"""),"polygonfarm-finance")</f>
        <v>polygonfarm-finance</v>
      </c>
      <c r="B9184" s="3" t="str">
        <f>IFERROR(__xludf.DUMMYFUNCTION("""COMPUTED_VALUE"""),"spade")</f>
        <v>spade</v>
      </c>
      <c r="C9184" s="3" t="str">
        <f>IFERROR(__xludf.DUMMYFUNCTION("""COMPUTED_VALUE"""),"PolygonFarm Finance")</f>
        <v>PolygonFarm Finance</v>
      </c>
    </row>
    <row r="9185">
      <c r="A9185" s="3" t="str">
        <f>IFERROR(__xludf.DUMMYFUNCTION("""COMPUTED_VALUE"""),"polygon-hbd")</f>
        <v>polygon-hbd</v>
      </c>
      <c r="B9185" s="3" t="str">
        <f>IFERROR(__xludf.DUMMYFUNCTION("""COMPUTED_VALUE"""),"phbd")</f>
        <v>phbd</v>
      </c>
      <c r="C9185" s="3" t="str">
        <f>IFERROR(__xludf.DUMMYFUNCTION("""COMPUTED_VALUE"""),"Polygon HBD")</f>
        <v>Polygon HBD</v>
      </c>
    </row>
    <row r="9186">
      <c r="A9186" s="3" t="str">
        <f>IFERROR(__xludf.DUMMYFUNCTION("""COMPUTED_VALUE"""),"polygon-hive")</f>
        <v>polygon-hive</v>
      </c>
      <c r="B9186" s="3" t="str">
        <f>IFERROR(__xludf.DUMMYFUNCTION("""COMPUTED_VALUE"""),"phive")</f>
        <v>phive</v>
      </c>
      <c r="C9186" s="3" t="str">
        <f>IFERROR(__xludf.DUMMYFUNCTION("""COMPUTED_VALUE"""),"Polygon Hive")</f>
        <v>Polygon Hive</v>
      </c>
    </row>
    <row r="9187">
      <c r="A9187" s="3" t="str">
        <f>IFERROR(__xludf.DUMMYFUNCTION("""COMPUTED_VALUE"""),"polylastic")</f>
        <v>polylastic</v>
      </c>
      <c r="B9187" s="3" t="str">
        <f>IFERROR(__xludf.DUMMYFUNCTION("""COMPUTED_VALUE"""),"polx")</f>
        <v>polx</v>
      </c>
      <c r="C9187" s="3" t="str">
        <f>IFERROR(__xludf.DUMMYFUNCTION("""COMPUTED_VALUE"""),"Polylastic")</f>
        <v>Polylastic</v>
      </c>
    </row>
    <row r="9188">
      <c r="A9188" s="3" t="str">
        <f>IFERROR(__xludf.DUMMYFUNCTION("""COMPUTED_VALUE"""),"polylauncher")</f>
        <v>polylauncher</v>
      </c>
      <c r="B9188" s="3" t="str">
        <f>IFERROR(__xludf.DUMMYFUNCTION("""COMPUTED_VALUE"""),"angel")</f>
        <v>angel</v>
      </c>
      <c r="C9188" s="3" t="str">
        <f>IFERROR(__xludf.DUMMYFUNCTION("""COMPUTED_VALUE"""),"Polylauncher")</f>
        <v>Polylauncher</v>
      </c>
    </row>
    <row r="9189">
      <c r="A9189" s="3" t="str">
        <f>IFERROR(__xludf.DUMMYFUNCTION("""COMPUTED_VALUE"""),"polylion")</f>
        <v>polylion</v>
      </c>
      <c r="B9189" s="3" t="str">
        <f>IFERROR(__xludf.DUMMYFUNCTION("""COMPUTED_VALUE"""),"lion")</f>
        <v>lion</v>
      </c>
      <c r="C9189" s="3" t="str">
        <f>IFERROR(__xludf.DUMMYFUNCTION("""COMPUTED_VALUE"""),"PolyLion")</f>
        <v>PolyLion</v>
      </c>
    </row>
    <row r="9190">
      <c r="A9190" s="3" t="str">
        <f>IFERROR(__xludf.DUMMYFUNCTION("""COMPUTED_VALUE"""),"polymath")</f>
        <v>polymath</v>
      </c>
      <c r="B9190" s="3" t="str">
        <f>IFERROR(__xludf.DUMMYFUNCTION("""COMPUTED_VALUE"""),"poly")</f>
        <v>poly</v>
      </c>
      <c r="C9190" s="3" t="str">
        <f>IFERROR(__xludf.DUMMYFUNCTION("""COMPUTED_VALUE"""),"Polymath")</f>
        <v>Polymath</v>
      </c>
    </row>
    <row r="9191">
      <c r="A9191" s="3" t="str">
        <f>IFERROR(__xludf.DUMMYFUNCTION("""COMPUTED_VALUE"""),"polymesh")</f>
        <v>polymesh</v>
      </c>
      <c r="B9191" s="3" t="str">
        <f>IFERROR(__xludf.DUMMYFUNCTION("""COMPUTED_VALUE"""),"polyx")</f>
        <v>polyx</v>
      </c>
      <c r="C9191" s="3" t="str">
        <f>IFERROR(__xludf.DUMMYFUNCTION("""COMPUTED_VALUE"""),"Polymesh")</f>
        <v>Polymesh</v>
      </c>
    </row>
    <row r="9192">
      <c r="A9192" s="3" t="str">
        <f>IFERROR(__xludf.DUMMYFUNCTION("""COMPUTED_VALUE"""),"polypad")</f>
        <v>polypad</v>
      </c>
      <c r="B9192" s="3" t="str">
        <f>IFERROR(__xludf.DUMMYFUNCTION("""COMPUTED_VALUE"""),"polypad")</f>
        <v>polypad</v>
      </c>
      <c r="C9192" s="3" t="str">
        <f>IFERROR(__xludf.DUMMYFUNCTION("""COMPUTED_VALUE"""),"PolyPad")</f>
        <v>PolyPad</v>
      </c>
    </row>
    <row r="9193">
      <c r="A9193" s="3" t="str">
        <f>IFERROR(__xludf.DUMMYFUNCTION("""COMPUTED_VALUE"""),"poly-peg-mdex")</f>
        <v>poly-peg-mdex</v>
      </c>
      <c r="B9193" s="3" t="str">
        <f>IFERROR(__xludf.DUMMYFUNCTION("""COMPUTED_VALUE"""),"hmdx")</f>
        <v>hmdx</v>
      </c>
      <c r="C9193" s="3" t="str">
        <f>IFERROR(__xludf.DUMMYFUNCTION("""COMPUTED_VALUE"""),"Poly-Peg Mdex")</f>
        <v>Poly-Peg Mdex</v>
      </c>
    </row>
    <row r="9194">
      <c r="A9194" s="3" t="str">
        <f>IFERROR(__xludf.DUMMYFUNCTION("""COMPUTED_VALUE"""),"polypug")</f>
        <v>polypug</v>
      </c>
      <c r="B9194" s="3" t="str">
        <f>IFERROR(__xludf.DUMMYFUNCTION("""COMPUTED_VALUE"""),"polypug")</f>
        <v>polypug</v>
      </c>
      <c r="C9194" s="3" t="str">
        <f>IFERROR(__xludf.DUMMYFUNCTION("""COMPUTED_VALUE"""),"PolyPug")</f>
        <v>PolyPug</v>
      </c>
    </row>
    <row r="9195">
      <c r="A9195" s="3" t="str">
        <f>IFERROR(__xludf.DUMMYFUNCTION("""COMPUTED_VALUE"""),"polypup")</f>
        <v>polypup</v>
      </c>
      <c r="B9195" s="3" t="str">
        <f>IFERROR(__xludf.DUMMYFUNCTION("""COMPUTED_VALUE"""),"pup")</f>
        <v>pup</v>
      </c>
      <c r="C9195" s="3" t="str">
        <f>IFERROR(__xludf.DUMMYFUNCTION("""COMPUTED_VALUE"""),"PolyPup")</f>
        <v>PolyPup</v>
      </c>
    </row>
    <row r="9196">
      <c r="A9196" s="3" t="str">
        <f>IFERROR(__xludf.DUMMYFUNCTION("""COMPUTED_VALUE"""),"polyquity")</f>
        <v>polyquity</v>
      </c>
      <c r="B9196" s="3" t="str">
        <f>IFERROR(__xludf.DUMMYFUNCTION("""COMPUTED_VALUE"""),"pyq")</f>
        <v>pyq</v>
      </c>
      <c r="C9196" s="3" t="str">
        <f>IFERROR(__xludf.DUMMYFUNCTION("""COMPUTED_VALUE"""),"PolyQuity")</f>
        <v>PolyQuity</v>
      </c>
    </row>
    <row r="9197">
      <c r="A9197" s="3" t="str">
        <f>IFERROR(__xludf.DUMMYFUNCTION("""COMPUTED_VALUE"""),"polyquity-dollar")</f>
        <v>polyquity-dollar</v>
      </c>
      <c r="B9197" s="3" t="str">
        <f>IFERROR(__xludf.DUMMYFUNCTION("""COMPUTED_VALUE"""),"pyd")</f>
        <v>pyd</v>
      </c>
      <c r="C9197" s="3" t="str">
        <f>IFERROR(__xludf.DUMMYFUNCTION("""COMPUTED_VALUE"""),"PolyQuity Dollar")</f>
        <v>PolyQuity Dollar</v>
      </c>
    </row>
    <row r="9198">
      <c r="A9198" s="3" t="str">
        <f>IFERROR(__xludf.DUMMYFUNCTION("""COMPUTED_VALUE"""),"polyroll")</f>
        <v>polyroll</v>
      </c>
      <c r="B9198" s="3" t="str">
        <f>IFERROR(__xludf.DUMMYFUNCTION("""COMPUTED_VALUE"""),"roll")</f>
        <v>roll</v>
      </c>
      <c r="C9198" s="3" t="str">
        <f>IFERROR(__xludf.DUMMYFUNCTION("""COMPUTED_VALUE"""),"Polyroll")</f>
        <v>Polyroll</v>
      </c>
    </row>
    <row r="9199">
      <c r="A9199" s="3" t="str">
        <f>IFERROR(__xludf.DUMMYFUNCTION("""COMPUTED_VALUE"""),"polysafu")</f>
        <v>polysafu</v>
      </c>
      <c r="B9199" s="3" t="str">
        <f>IFERROR(__xludf.DUMMYFUNCTION("""COMPUTED_VALUE"""),"safu")</f>
        <v>safu</v>
      </c>
      <c r="C9199" s="3" t="str">
        <f>IFERROR(__xludf.DUMMYFUNCTION("""COMPUTED_VALUE"""),"polySAFU")</f>
        <v>polySAFU</v>
      </c>
    </row>
    <row r="9200">
      <c r="A9200" s="3" t="str">
        <f>IFERROR(__xludf.DUMMYFUNCTION("""COMPUTED_VALUE"""),"polysage")</f>
        <v>polysage</v>
      </c>
      <c r="B9200" s="3" t="str">
        <f>IFERROR(__xludf.DUMMYFUNCTION("""COMPUTED_VALUE"""),"sage")</f>
        <v>sage</v>
      </c>
      <c r="C9200" s="3" t="str">
        <f>IFERROR(__xludf.DUMMYFUNCTION("""COMPUTED_VALUE"""),"Polysage")</f>
        <v>Polysage</v>
      </c>
    </row>
    <row r="9201">
      <c r="A9201" s="3" t="str">
        <f>IFERROR(__xludf.DUMMYFUNCTION("""COMPUTED_VALUE"""),"polyshark-finance")</f>
        <v>polyshark-finance</v>
      </c>
      <c r="B9201" s="3" t="str">
        <f>IFERROR(__xludf.DUMMYFUNCTION("""COMPUTED_VALUE"""),"shark")</f>
        <v>shark</v>
      </c>
      <c r="C9201" s="3" t="str">
        <f>IFERROR(__xludf.DUMMYFUNCTION("""COMPUTED_VALUE"""),"PolyShark Finance")</f>
        <v>PolyShark Finance</v>
      </c>
    </row>
    <row r="9202">
      <c r="A9202" s="3" t="str">
        <f>IFERROR(__xludf.DUMMYFUNCTION("""COMPUTED_VALUE"""),"polyshield")</f>
        <v>polyshield</v>
      </c>
      <c r="B9202" s="3" t="str">
        <f>IFERROR(__xludf.DUMMYFUNCTION("""COMPUTED_VALUE"""),"shi3ld")</f>
        <v>shi3ld</v>
      </c>
      <c r="C9202" s="3" t="str">
        <f>IFERROR(__xludf.DUMMYFUNCTION("""COMPUTED_VALUE"""),"PolyShield")</f>
        <v>PolyShield</v>
      </c>
    </row>
    <row r="9203">
      <c r="A9203" s="3" t="str">
        <f>IFERROR(__xludf.DUMMYFUNCTION("""COMPUTED_VALUE"""),"polysports")</f>
        <v>polysports</v>
      </c>
      <c r="B9203" s="3" t="str">
        <f>IFERROR(__xludf.DUMMYFUNCTION("""COMPUTED_VALUE"""),"ps1")</f>
        <v>ps1</v>
      </c>
      <c r="C9203" s="3" t="str">
        <f>IFERROR(__xludf.DUMMYFUNCTION("""COMPUTED_VALUE"""),"POLYSPORTS")</f>
        <v>POLYSPORTS</v>
      </c>
    </row>
    <row r="9204">
      <c r="A9204" s="3" t="str">
        <f>IFERROR(__xludf.DUMMYFUNCTION("""COMPUTED_VALUE"""),"polyswarm")</f>
        <v>polyswarm</v>
      </c>
      <c r="B9204" s="3" t="str">
        <f>IFERROR(__xludf.DUMMYFUNCTION("""COMPUTED_VALUE"""),"nct")</f>
        <v>nct</v>
      </c>
      <c r="C9204" s="3" t="str">
        <f>IFERROR(__xludf.DUMMYFUNCTION("""COMPUTED_VALUE"""),"PolySwarm")</f>
        <v>PolySwarm</v>
      </c>
    </row>
    <row r="9205">
      <c r="A9205" s="3" t="str">
        <f>IFERROR(__xludf.DUMMYFUNCTION("""COMPUTED_VALUE"""),"polytrade")</f>
        <v>polytrade</v>
      </c>
      <c r="B9205" s="3" t="str">
        <f>IFERROR(__xludf.DUMMYFUNCTION("""COMPUTED_VALUE"""),"trade")</f>
        <v>trade</v>
      </c>
      <c r="C9205" s="3" t="str">
        <f>IFERROR(__xludf.DUMMYFUNCTION("""COMPUTED_VALUE"""),"Polytrade")</f>
        <v>Polytrade</v>
      </c>
    </row>
    <row r="9206">
      <c r="A9206" s="3" t="str">
        <f>IFERROR(__xludf.DUMMYFUNCTION("""COMPUTED_VALUE"""),"polywhale")</f>
        <v>polywhale</v>
      </c>
      <c r="B9206" s="3" t="str">
        <f>IFERROR(__xludf.DUMMYFUNCTION("""COMPUTED_VALUE"""),"krill")</f>
        <v>krill</v>
      </c>
      <c r="C9206" s="3" t="str">
        <f>IFERROR(__xludf.DUMMYFUNCTION("""COMPUTED_VALUE"""),"Polywhale")</f>
        <v>Polywhale</v>
      </c>
    </row>
    <row r="9207">
      <c r="A9207" s="3" t="str">
        <f>IFERROR(__xludf.DUMMYFUNCTION("""COMPUTED_VALUE"""),"polywolf")</f>
        <v>polywolf</v>
      </c>
      <c r="B9207" s="3" t="str">
        <f>IFERROR(__xludf.DUMMYFUNCTION("""COMPUTED_VALUE"""),"moon")</f>
        <v>moon</v>
      </c>
      <c r="C9207" s="3" t="str">
        <f>IFERROR(__xludf.DUMMYFUNCTION("""COMPUTED_VALUE"""),"Polywolf")</f>
        <v>Polywolf</v>
      </c>
    </row>
    <row r="9208">
      <c r="A9208" s="3" t="str">
        <f>IFERROR(__xludf.DUMMYFUNCTION("""COMPUTED_VALUE"""),"polyx")</f>
        <v>polyx</v>
      </c>
      <c r="B9208" s="3" t="str">
        <f>IFERROR(__xludf.DUMMYFUNCTION("""COMPUTED_VALUE"""),"pxt")</f>
        <v>pxt</v>
      </c>
      <c r="C9208" s="3" t="str">
        <f>IFERROR(__xludf.DUMMYFUNCTION("""COMPUTED_VALUE"""),"POLYX")</f>
        <v>POLYX</v>
      </c>
    </row>
    <row r="9209">
      <c r="A9209" s="3" t="str">
        <f>IFERROR(__xludf.DUMMYFUNCTION("""COMPUTED_VALUE"""),"polyyeld-token")</f>
        <v>polyyeld-token</v>
      </c>
      <c r="B9209" s="3" t="str">
        <f>IFERROR(__xludf.DUMMYFUNCTION("""COMPUTED_VALUE"""),"yeld")</f>
        <v>yeld</v>
      </c>
      <c r="C9209" s="3" t="str">
        <f>IFERROR(__xludf.DUMMYFUNCTION("""COMPUTED_VALUE"""),"PolyYeld")</f>
        <v>PolyYeld</v>
      </c>
    </row>
    <row r="9210">
      <c r="A9210" s="3" t="str">
        <f>IFERROR(__xludf.DUMMYFUNCTION("""COMPUTED_VALUE"""),"polyyield-token")</f>
        <v>polyyield-token</v>
      </c>
      <c r="B9210" s="3" t="str">
        <f>IFERROR(__xludf.DUMMYFUNCTION("""COMPUTED_VALUE"""),"yield")</f>
        <v>yield</v>
      </c>
      <c r="C9210" s="3" t="str">
        <f>IFERROR(__xludf.DUMMYFUNCTION("""COMPUTED_VALUE"""),"PolyYield")</f>
        <v>PolyYield</v>
      </c>
    </row>
    <row r="9211">
      <c r="A9211" s="3" t="str">
        <f>IFERROR(__xludf.DUMMYFUNCTION("""COMPUTED_VALUE"""),"polyyork")</f>
        <v>polyyork</v>
      </c>
      <c r="B9211" s="3" t="str">
        <f>IFERROR(__xludf.DUMMYFUNCTION("""COMPUTED_VALUE"""),"york")</f>
        <v>york</v>
      </c>
      <c r="C9211" s="3" t="str">
        <f>IFERROR(__xludf.DUMMYFUNCTION("""COMPUTED_VALUE"""),"PolyYork")</f>
        <v>PolyYork</v>
      </c>
    </row>
    <row r="9212">
      <c r="A9212" s="3" t="str">
        <f>IFERROR(__xludf.DUMMYFUNCTION("""COMPUTED_VALUE"""),"polyzap")</f>
        <v>polyzap</v>
      </c>
      <c r="B9212" s="3" t="str">
        <f>IFERROR(__xludf.DUMMYFUNCTION("""COMPUTED_VALUE"""),"pzap")</f>
        <v>pzap</v>
      </c>
      <c r="C9212" s="3" t="str">
        <f>IFERROR(__xludf.DUMMYFUNCTION("""COMPUTED_VALUE"""),"PolyZap")</f>
        <v>PolyZap</v>
      </c>
    </row>
    <row r="9213">
      <c r="A9213" s="3" t="str">
        <f>IFERROR(__xludf.DUMMYFUNCTION("""COMPUTED_VALUE"""),"pomeranian")</f>
        <v>pomeranian</v>
      </c>
      <c r="B9213" s="3" t="str">
        <f>IFERROR(__xludf.DUMMYFUNCTION("""COMPUTED_VALUE"""),"pom")</f>
        <v>pom</v>
      </c>
      <c r="C9213" s="3" t="str">
        <f>IFERROR(__xludf.DUMMYFUNCTION("""COMPUTED_VALUE"""),"Pomeranian")</f>
        <v>Pomeranian</v>
      </c>
    </row>
    <row r="9214">
      <c r="A9214" s="3" t="str">
        <f>IFERROR(__xludf.DUMMYFUNCTION("""COMPUTED_VALUE"""),"pomerium")</f>
        <v>pomerium</v>
      </c>
      <c r="B9214" s="3" t="str">
        <f>IFERROR(__xludf.DUMMYFUNCTION("""COMPUTED_VALUE"""),"pmr")</f>
        <v>pmr</v>
      </c>
      <c r="C9214" s="3" t="str">
        <f>IFERROR(__xludf.DUMMYFUNCTION("""COMPUTED_VALUE"""),"Pomerium")</f>
        <v>Pomerium</v>
      </c>
    </row>
    <row r="9215">
      <c r="A9215" s="3" t="str">
        <f>IFERROR(__xludf.DUMMYFUNCTION("""COMPUTED_VALUE"""),"pomi")</f>
        <v>pomi</v>
      </c>
      <c r="B9215" s="3" t="str">
        <f>IFERROR(__xludf.DUMMYFUNCTION("""COMPUTED_VALUE"""),"pomi")</f>
        <v>pomi</v>
      </c>
      <c r="C9215" s="3" t="str">
        <f>IFERROR(__xludf.DUMMYFUNCTION("""COMPUTED_VALUE"""),"Pomi")</f>
        <v>Pomi</v>
      </c>
    </row>
    <row r="9216">
      <c r="A9216" s="3" t="str">
        <f>IFERROR(__xludf.DUMMYFUNCTION("""COMPUTED_VALUE"""),"pomo")</f>
        <v>pomo</v>
      </c>
      <c r="B9216" s="3" t="str">
        <f>IFERROR(__xludf.DUMMYFUNCTION("""COMPUTED_VALUE"""),"pomo")</f>
        <v>pomo</v>
      </c>
      <c r="C9216" s="3" t="str">
        <f>IFERROR(__xludf.DUMMYFUNCTION("""COMPUTED_VALUE"""),"Pomo")</f>
        <v>Pomo</v>
      </c>
    </row>
    <row r="9217">
      <c r="A9217" s="3" t="str">
        <f>IFERROR(__xludf.DUMMYFUNCTION("""COMPUTED_VALUE"""),"pompom")</f>
        <v>pompom</v>
      </c>
      <c r="B9217" s="3" t="str">
        <f>IFERROR(__xludf.DUMMYFUNCTION("""COMPUTED_VALUE"""),"pom")</f>
        <v>pom</v>
      </c>
      <c r="C9217" s="3" t="str">
        <f>IFERROR(__xludf.DUMMYFUNCTION("""COMPUTED_VALUE"""),"PomPom")</f>
        <v>PomPom</v>
      </c>
    </row>
    <row r="9218">
      <c r="A9218" s="3" t="str">
        <f>IFERROR(__xludf.DUMMYFUNCTION("""COMPUTED_VALUE"""),"pontem-network")</f>
        <v>pontem-network</v>
      </c>
      <c r="B9218" s="3" t="str">
        <f>IFERROR(__xludf.DUMMYFUNCTION("""COMPUTED_VALUE"""),"pont")</f>
        <v>pont</v>
      </c>
      <c r="C9218" s="3" t="str">
        <f>IFERROR(__xludf.DUMMYFUNCTION("""COMPUTED_VALUE"""),"Pontem Network")</f>
        <v>Pontem Network</v>
      </c>
    </row>
    <row r="9219">
      <c r="A9219" s="3" t="str">
        <f>IFERROR(__xludf.DUMMYFUNCTION("""COMPUTED_VALUE"""),"pontoon")</f>
        <v>pontoon</v>
      </c>
      <c r="B9219" s="3" t="str">
        <f>IFERROR(__xludf.DUMMYFUNCTION("""COMPUTED_VALUE"""),"toon")</f>
        <v>toon</v>
      </c>
      <c r="C9219" s="3" t="str">
        <f>IFERROR(__xludf.DUMMYFUNCTION("""COMPUTED_VALUE"""),"Pontoon")</f>
        <v>Pontoon</v>
      </c>
    </row>
    <row r="9220">
      <c r="A9220" s="3" t="str">
        <f>IFERROR(__xludf.DUMMYFUNCTION("""COMPUTED_VALUE"""),"ponydao")</f>
        <v>ponydao</v>
      </c>
      <c r="B9220" s="3" t="str">
        <f>IFERROR(__xludf.DUMMYFUNCTION("""COMPUTED_VALUE"""),"pnyd")</f>
        <v>pnyd</v>
      </c>
      <c r="C9220" s="3" t="str">
        <f>IFERROR(__xludf.DUMMYFUNCTION("""COMPUTED_VALUE"""),"PonyDAO")</f>
        <v>PonyDAO</v>
      </c>
    </row>
    <row r="9221">
      <c r="A9221" s="3" t="str">
        <f>IFERROR(__xludf.DUMMYFUNCTION("""COMPUTED_VALUE"""),"pony-index")</f>
        <v>pony-index</v>
      </c>
      <c r="B9221" s="3" t="str">
        <f>IFERROR(__xludf.DUMMYFUNCTION("""COMPUTED_VALUE"""),"pony")</f>
        <v>pony</v>
      </c>
      <c r="C9221" s="3" t="str">
        <f>IFERROR(__xludf.DUMMYFUNCTION("""COMPUTED_VALUE"""),"PONY Index")</f>
        <v>PONY Index</v>
      </c>
    </row>
    <row r="9222">
      <c r="A9222" s="3" t="str">
        <f>IFERROR(__xludf.DUMMYFUNCTION("""COMPUTED_VALUE"""),"ponzicoin")</f>
        <v>ponzicoin</v>
      </c>
      <c r="B9222" s="3" t="str">
        <f>IFERROR(__xludf.DUMMYFUNCTION("""COMPUTED_VALUE"""),"ponzi")</f>
        <v>ponzi</v>
      </c>
      <c r="C9222" s="3" t="str">
        <f>IFERROR(__xludf.DUMMYFUNCTION("""COMPUTED_VALUE"""),"PonziCoin")</f>
        <v>PonziCoin</v>
      </c>
    </row>
    <row r="9223">
      <c r="A9223" s="3" t="str">
        <f>IFERROR(__xludf.DUMMYFUNCTION("""COMPUTED_VALUE"""),"pooch")</f>
        <v>pooch</v>
      </c>
      <c r="B9223" s="3" t="str">
        <f>IFERROR(__xludf.DUMMYFUNCTION("""COMPUTED_VALUE"""),"pooch")</f>
        <v>pooch</v>
      </c>
      <c r="C9223" s="3" t="str">
        <f>IFERROR(__xludf.DUMMYFUNCTION("""COMPUTED_VALUE"""),"Pooch")</f>
        <v>Pooch</v>
      </c>
    </row>
    <row r="9224">
      <c r="A9224" s="3" t="str">
        <f>IFERROR(__xludf.DUMMYFUNCTION("""COMPUTED_VALUE"""),"poochain")</f>
        <v>poochain</v>
      </c>
      <c r="B9224" s="3" t="str">
        <f>IFERROR(__xludf.DUMMYFUNCTION("""COMPUTED_VALUE"""),"poop")</f>
        <v>poop</v>
      </c>
      <c r="C9224" s="3" t="str">
        <f>IFERROR(__xludf.DUMMYFUNCTION("""COMPUTED_VALUE"""),"Poochain")</f>
        <v>Poochain</v>
      </c>
    </row>
    <row r="9225">
      <c r="A9225" s="3" t="str">
        <f>IFERROR(__xludf.DUMMYFUNCTION("""COMPUTED_VALUE"""),"poocoin")</f>
        <v>poocoin</v>
      </c>
      <c r="B9225" s="3" t="str">
        <f>IFERROR(__xludf.DUMMYFUNCTION("""COMPUTED_VALUE"""),"poocoin")</f>
        <v>poocoin</v>
      </c>
      <c r="C9225" s="3" t="str">
        <f>IFERROR(__xludf.DUMMYFUNCTION("""COMPUTED_VALUE"""),"PooCoin")</f>
        <v>PooCoin</v>
      </c>
    </row>
    <row r="9226">
      <c r="A9226" s="3" t="str">
        <f>IFERROR(__xludf.DUMMYFUNCTION("""COMPUTED_VALUE"""),"poodle")</f>
        <v>poodle</v>
      </c>
      <c r="B9226" s="3" t="str">
        <f>IFERROR(__xludf.DUMMYFUNCTION("""COMPUTED_VALUE"""),"poodl")</f>
        <v>poodl</v>
      </c>
      <c r="C9226" s="3" t="str">
        <f>IFERROR(__xludf.DUMMYFUNCTION("""COMPUTED_VALUE"""),"Poodl")</f>
        <v>Poodl</v>
      </c>
    </row>
    <row r="9227">
      <c r="A9227" s="3" t="str">
        <f>IFERROR(__xludf.DUMMYFUNCTION("""COMPUTED_VALUE"""),"poodlefi")</f>
        <v>poodlefi</v>
      </c>
      <c r="B9227" s="3" t="str">
        <f>IFERROR(__xludf.DUMMYFUNCTION("""COMPUTED_VALUE"""),"pfi")</f>
        <v>pfi</v>
      </c>
      <c r="C9227" s="3" t="str">
        <f>IFERROR(__xludf.DUMMYFUNCTION("""COMPUTED_VALUE"""),"PoodleFi")</f>
        <v>PoodleFi</v>
      </c>
    </row>
    <row r="9228">
      <c r="A9228" s="3" t="str">
        <f>IFERROR(__xludf.DUMMYFUNCTION("""COMPUTED_VALUE"""),"poo-doge")</f>
        <v>poo-doge</v>
      </c>
      <c r="B9228" s="3" t="str">
        <f>IFERROR(__xludf.DUMMYFUNCTION("""COMPUTED_VALUE"""),"poo doge")</f>
        <v>poo doge</v>
      </c>
      <c r="C9228" s="3" t="str">
        <f>IFERROR(__xludf.DUMMYFUNCTION("""COMPUTED_VALUE"""),"Poo Doge")</f>
        <v>Poo Doge</v>
      </c>
    </row>
    <row r="9229">
      <c r="A9229" s="3" t="str">
        <f>IFERROR(__xludf.DUMMYFUNCTION("""COMPUTED_VALUE"""),"poofcash")</f>
        <v>poofcash</v>
      </c>
      <c r="B9229" s="3" t="str">
        <f>IFERROR(__xludf.DUMMYFUNCTION("""COMPUTED_VALUE"""),"poof")</f>
        <v>poof</v>
      </c>
      <c r="C9229" s="3" t="str">
        <f>IFERROR(__xludf.DUMMYFUNCTION("""COMPUTED_VALUE"""),"PoofCash")</f>
        <v>PoofCash</v>
      </c>
    </row>
    <row r="9230">
      <c r="A9230" s="3" t="str">
        <f>IFERROR(__xludf.DUMMYFUNCTION("""COMPUTED_VALUE"""),"poogrow")</f>
        <v>poogrow</v>
      </c>
      <c r="B9230" s="3" t="str">
        <f>IFERROR(__xludf.DUMMYFUNCTION("""COMPUTED_VALUE"""),"poogrow")</f>
        <v>poogrow</v>
      </c>
      <c r="C9230" s="3" t="str">
        <f>IFERROR(__xludf.DUMMYFUNCTION("""COMPUTED_VALUE"""),"PooGrow")</f>
        <v>PooGrow</v>
      </c>
    </row>
    <row r="9231">
      <c r="A9231" s="3" t="str">
        <f>IFERROR(__xludf.DUMMYFUNCTION("""COMPUTED_VALUE"""),"poolcoin")</f>
        <v>poolcoin</v>
      </c>
      <c r="B9231" s="3" t="str">
        <f>IFERROR(__xludf.DUMMYFUNCTION("""COMPUTED_VALUE"""),"pool")</f>
        <v>pool</v>
      </c>
      <c r="C9231" s="3" t="str">
        <f>IFERROR(__xludf.DUMMYFUNCTION("""COMPUTED_VALUE"""),"POOLCOIN")</f>
        <v>POOLCOIN</v>
      </c>
    </row>
    <row r="9232">
      <c r="A9232" s="3" t="str">
        <f>IFERROR(__xludf.DUMMYFUNCTION("""COMPUTED_VALUE"""),"poollotto-finance")</f>
        <v>poollotto-finance</v>
      </c>
      <c r="B9232" s="3" t="str">
        <f>IFERROR(__xludf.DUMMYFUNCTION("""COMPUTED_VALUE"""),"plt")</f>
        <v>plt</v>
      </c>
      <c r="C9232" s="3" t="str">
        <f>IFERROR(__xludf.DUMMYFUNCTION("""COMPUTED_VALUE"""),"Poollotto.finance")</f>
        <v>Poollotto.finance</v>
      </c>
    </row>
    <row r="9233">
      <c r="A9233" s="3" t="str">
        <f>IFERROR(__xludf.DUMMYFUNCTION("""COMPUTED_VALUE"""),"pool-party")</f>
        <v>pool-party</v>
      </c>
      <c r="B9233" s="3" t="str">
        <f>IFERROR(__xludf.DUMMYFUNCTION("""COMPUTED_VALUE"""),"pp")</f>
        <v>pp</v>
      </c>
      <c r="C9233" s="3" t="str">
        <f>IFERROR(__xludf.DUMMYFUNCTION("""COMPUTED_VALUE"""),"Pool Party")</f>
        <v>Pool Party</v>
      </c>
    </row>
    <row r="9234">
      <c r="A9234" s="3" t="str">
        <f>IFERROR(__xludf.DUMMYFUNCTION("""COMPUTED_VALUE"""),"pooltogether")</f>
        <v>pooltogether</v>
      </c>
      <c r="B9234" s="3" t="str">
        <f>IFERROR(__xludf.DUMMYFUNCTION("""COMPUTED_VALUE"""),"pool")</f>
        <v>pool</v>
      </c>
      <c r="C9234" s="3" t="str">
        <f>IFERROR(__xludf.DUMMYFUNCTION("""COMPUTED_VALUE"""),"PoolTogether")</f>
        <v>PoolTogether</v>
      </c>
    </row>
    <row r="9235">
      <c r="A9235" s="3" t="str">
        <f>IFERROR(__xludf.DUMMYFUNCTION("""COMPUTED_VALUE"""),"pool-token")</f>
        <v>pool-token</v>
      </c>
      <c r="B9235" s="3" t="str">
        <f>IFERROR(__xludf.DUMMYFUNCTION("""COMPUTED_VALUE"""),"pool")</f>
        <v>pool</v>
      </c>
      <c r="C9235" s="3" t="str">
        <f>IFERROR(__xludf.DUMMYFUNCTION("""COMPUTED_VALUE"""),"Pool")</f>
        <v>Pool</v>
      </c>
    </row>
    <row r="9236">
      <c r="A9236" s="3" t="str">
        <f>IFERROR(__xludf.DUMMYFUNCTION("""COMPUTED_VALUE"""),"poolz-finance")</f>
        <v>poolz-finance</v>
      </c>
      <c r="B9236" s="3" t="str">
        <f>IFERROR(__xludf.DUMMYFUNCTION("""COMPUTED_VALUE"""),"poolz")</f>
        <v>poolz</v>
      </c>
      <c r="C9236" s="3" t="str">
        <f>IFERROR(__xludf.DUMMYFUNCTION("""COMPUTED_VALUE"""),"Poolz Finance")</f>
        <v>Poolz Finance</v>
      </c>
    </row>
    <row r="9237">
      <c r="A9237" s="3" t="str">
        <f>IFERROR(__xludf.DUMMYFUNCTION("""COMPUTED_VALUE"""),"poomoon")</f>
        <v>poomoon</v>
      </c>
      <c r="B9237" s="3" t="str">
        <f>IFERROR(__xludf.DUMMYFUNCTION("""COMPUTED_VALUE"""),"poo")</f>
        <v>poo</v>
      </c>
      <c r="C9237" s="3" t="str">
        <f>IFERROR(__xludf.DUMMYFUNCTION("""COMPUTED_VALUE"""),"POOMOON")</f>
        <v>POOMOON</v>
      </c>
    </row>
    <row r="9238">
      <c r="A9238" s="3" t="str">
        <f>IFERROR(__xludf.DUMMYFUNCTION("""COMPUTED_VALUE"""),"poopcoin")</f>
        <v>poopcoin</v>
      </c>
      <c r="B9238" s="3" t="str">
        <f>IFERROR(__xludf.DUMMYFUNCTION("""COMPUTED_VALUE"""),"poop")</f>
        <v>poop</v>
      </c>
      <c r="C9238" s="3" t="str">
        <f>IFERROR(__xludf.DUMMYFUNCTION("""COMPUTED_VALUE"""),"PoopCoin")</f>
        <v>PoopCoin</v>
      </c>
    </row>
    <row r="9239">
      <c r="A9239" s="3" t="str">
        <f>IFERROR(__xludf.DUMMYFUNCTION("""COMPUTED_VALUE"""),"poopsicle")</f>
        <v>poopsicle</v>
      </c>
      <c r="B9239" s="3" t="str">
        <f>IFERROR(__xludf.DUMMYFUNCTION("""COMPUTED_VALUE"""),"poop")</f>
        <v>poop</v>
      </c>
      <c r="C9239" s="3" t="str">
        <f>IFERROR(__xludf.DUMMYFUNCTION("""COMPUTED_VALUE"""),"Poopsicle")</f>
        <v>Poopsicle</v>
      </c>
    </row>
    <row r="9240">
      <c r="A9240" s="3" t="str">
        <f>IFERROR(__xludf.DUMMYFUNCTION("""COMPUTED_VALUE"""),"poordoge")</f>
        <v>poordoge</v>
      </c>
      <c r="B9240" s="3" t="str">
        <f>IFERROR(__xludf.DUMMYFUNCTION("""COMPUTED_VALUE"""),"poordoge")</f>
        <v>poordoge</v>
      </c>
      <c r="C9240" s="3" t="str">
        <f>IFERROR(__xludf.DUMMYFUNCTION("""COMPUTED_VALUE"""),"PoorDoge")</f>
        <v>PoorDoge</v>
      </c>
    </row>
    <row r="9241">
      <c r="A9241" s="3" t="str">
        <f>IFERROR(__xludf.DUMMYFUNCTION("""COMPUTED_VALUE"""),"poorpleb")</f>
        <v>poorpleb</v>
      </c>
      <c r="B9241" s="3" t="str">
        <f>IFERROR(__xludf.DUMMYFUNCTION("""COMPUTED_VALUE"""),"pp")</f>
        <v>pp</v>
      </c>
      <c r="C9241" s="3" t="str">
        <f>IFERROR(__xludf.DUMMYFUNCTION("""COMPUTED_VALUE"""),"PoorPleb")</f>
        <v>PoorPleb</v>
      </c>
    </row>
    <row r="9242">
      <c r="A9242" s="3" t="str">
        <f>IFERROR(__xludf.DUMMYFUNCTION("""COMPUTED_VALUE"""),"poor-quack")</f>
        <v>poor-quack</v>
      </c>
      <c r="B9242" s="3" t="str">
        <f>IFERROR(__xludf.DUMMYFUNCTION("""COMPUTED_VALUE"""),"poor")</f>
        <v>poor</v>
      </c>
      <c r="C9242" s="3" t="str">
        <f>IFERROR(__xludf.DUMMYFUNCTION("""COMPUTED_VALUE"""),"Poor Quack")</f>
        <v>Poor Quack</v>
      </c>
    </row>
    <row r="9243">
      <c r="A9243" s="3" t="str">
        <f>IFERROR(__xludf.DUMMYFUNCTION("""COMPUTED_VALUE"""),"pop")</f>
        <v>pop</v>
      </c>
      <c r="B9243" s="3" t="str">
        <f>IFERROR(__xludf.DUMMYFUNCTION("""COMPUTED_VALUE"""),"pop!")</f>
        <v>pop!</v>
      </c>
      <c r="C9243" s="3" t="str">
        <f>IFERROR(__xludf.DUMMYFUNCTION("""COMPUTED_VALUE"""),"POP")</f>
        <v>POP</v>
      </c>
    </row>
    <row r="9244">
      <c r="A9244" s="3" t="str">
        <f>IFERROR(__xludf.DUMMYFUNCTION("""COMPUTED_VALUE"""),"pop-chest-token")</f>
        <v>pop-chest-token</v>
      </c>
      <c r="B9244" s="3" t="str">
        <f>IFERROR(__xludf.DUMMYFUNCTION("""COMPUTED_VALUE"""),"pop")</f>
        <v>pop</v>
      </c>
      <c r="C9244" s="3" t="str">
        <f>IFERROR(__xludf.DUMMYFUNCTION("""COMPUTED_VALUE"""),"POP Network")</f>
        <v>POP Network</v>
      </c>
    </row>
    <row r="9245">
      <c r="A9245" s="3" t="str">
        <f>IFERROR(__xludf.DUMMYFUNCTION("""COMPUTED_VALUE"""),"popcoin")</f>
        <v>popcoin</v>
      </c>
      <c r="B9245" s="3" t="str">
        <f>IFERROR(__xludf.DUMMYFUNCTION("""COMPUTED_VALUE"""),"pop")</f>
        <v>pop</v>
      </c>
      <c r="C9245" s="3" t="str">
        <f>IFERROR(__xludf.DUMMYFUNCTION("""COMPUTED_VALUE"""),"Popcoin")</f>
        <v>Popcoin</v>
      </c>
    </row>
    <row r="9246">
      <c r="A9246" s="3" t="str">
        <f>IFERROR(__xludf.DUMMYFUNCTION("""COMPUTED_VALUE"""),"popcorn")</f>
        <v>popcorn</v>
      </c>
      <c r="B9246" s="3" t="str">
        <f>IFERROR(__xludf.DUMMYFUNCTION("""COMPUTED_VALUE"""),"pop")</f>
        <v>pop</v>
      </c>
      <c r="C9246" s="3" t="str">
        <f>IFERROR(__xludf.DUMMYFUNCTION("""COMPUTED_VALUE"""),"Popcorn")</f>
        <v>Popcorn</v>
      </c>
    </row>
    <row r="9247">
      <c r="A9247" s="3" t="str">
        <f>IFERROR(__xludf.DUMMYFUNCTION("""COMPUTED_VALUE"""),"popkon")</f>
        <v>popkon</v>
      </c>
      <c r="B9247" s="3" t="str">
        <f>IFERROR(__xludf.DUMMYFUNCTION("""COMPUTED_VALUE"""),"popk")</f>
        <v>popk</v>
      </c>
      <c r="C9247" s="3" t="str">
        <f>IFERROR(__xludf.DUMMYFUNCTION("""COMPUTED_VALUE"""),"POPKON")</f>
        <v>POPKON</v>
      </c>
    </row>
    <row r="9248">
      <c r="A9248" s="3" t="str">
        <f>IFERROR(__xludf.DUMMYFUNCTION("""COMPUTED_VALUE"""),"populous")</f>
        <v>populous</v>
      </c>
      <c r="B9248" s="3" t="str">
        <f>IFERROR(__xludf.DUMMYFUNCTION("""COMPUTED_VALUE"""),"ppt")</f>
        <v>ppt</v>
      </c>
      <c r="C9248" s="3" t="str">
        <f>IFERROR(__xludf.DUMMYFUNCTION("""COMPUTED_VALUE"""),"Populous")</f>
        <v>Populous</v>
      </c>
    </row>
    <row r="9249">
      <c r="A9249" s="3" t="str">
        <f>IFERROR(__xludf.DUMMYFUNCTION("""COMPUTED_VALUE"""),"populous-xbrl-token")</f>
        <v>populous-xbrl-token</v>
      </c>
      <c r="B9249" s="3" t="str">
        <f>IFERROR(__xludf.DUMMYFUNCTION("""COMPUTED_VALUE"""),"pxt")</f>
        <v>pxt</v>
      </c>
      <c r="C9249" s="3" t="str">
        <f>IFERROR(__xludf.DUMMYFUNCTION("""COMPUTED_VALUE"""),"Populous XBRL")</f>
        <v>Populous XBRL</v>
      </c>
    </row>
    <row r="9250">
      <c r="A9250" s="3" t="str">
        <f>IFERROR(__xludf.DUMMYFUNCTION("""COMPUTED_VALUE"""),"poriverse")</f>
        <v>poriverse</v>
      </c>
      <c r="B9250" s="3" t="str">
        <f>IFERROR(__xludf.DUMMYFUNCTION("""COMPUTED_VALUE"""),"riken")</f>
        <v>riken</v>
      </c>
      <c r="C9250" s="3" t="str">
        <f>IFERROR(__xludf.DUMMYFUNCTION("""COMPUTED_VALUE"""),"Poriverse")</f>
        <v>Poriverse</v>
      </c>
    </row>
    <row r="9251">
      <c r="A9251" s="3" t="str">
        <f>IFERROR(__xludf.DUMMYFUNCTION("""COMPUTED_VALUE"""),"porkswap")</f>
        <v>porkswap</v>
      </c>
      <c r="B9251" s="3" t="str">
        <f>IFERROR(__xludf.DUMMYFUNCTION("""COMPUTED_VALUE"""),"pswap")</f>
        <v>pswap</v>
      </c>
      <c r="C9251" s="3" t="str">
        <f>IFERROR(__xludf.DUMMYFUNCTION("""COMPUTED_VALUE"""),"PorkSwap")</f>
        <v>PorkSwap</v>
      </c>
    </row>
    <row r="9252">
      <c r="A9252" s="3" t="str">
        <f>IFERROR(__xludf.DUMMYFUNCTION("""COMPUTED_VALUE"""),"pornrocket")</f>
        <v>pornrocket</v>
      </c>
      <c r="B9252" s="3" t="str">
        <f>IFERROR(__xludf.DUMMYFUNCTION("""COMPUTED_VALUE"""),"pornrocket")</f>
        <v>pornrocket</v>
      </c>
      <c r="C9252" s="3" t="str">
        <f>IFERROR(__xludf.DUMMYFUNCTION("""COMPUTED_VALUE"""),"PornRocket")</f>
        <v>PornRocket</v>
      </c>
    </row>
    <row r="9253">
      <c r="A9253" s="3" t="str">
        <f>IFERROR(__xludf.DUMMYFUNCTION("""COMPUTED_VALUE"""),"porta")</f>
        <v>porta</v>
      </c>
      <c r="B9253" s="3" t="str">
        <f>IFERROR(__xludf.DUMMYFUNCTION("""COMPUTED_VALUE"""),"kian")</f>
        <v>kian</v>
      </c>
      <c r="C9253" s="3" t="str">
        <f>IFERROR(__xludf.DUMMYFUNCTION("""COMPUTED_VALUE"""),"Porta")</f>
        <v>Porta</v>
      </c>
    </row>
    <row r="9254">
      <c r="A9254" s="3" t="str">
        <f>IFERROR(__xludf.DUMMYFUNCTION("""COMPUTED_VALUE"""),"portal")</f>
        <v>portal</v>
      </c>
      <c r="B9254" s="3" t="str">
        <f>IFERROR(__xludf.DUMMYFUNCTION("""COMPUTED_VALUE"""),"portal")</f>
        <v>portal</v>
      </c>
      <c r="C9254" s="3" t="str">
        <f>IFERROR(__xludf.DUMMYFUNCTION("""COMPUTED_VALUE"""),"Portal")</f>
        <v>Portal</v>
      </c>
    </row>
    <row r="9255">
      <c r="A9255" s="3" t="str">
        <f>IFERROR(__xludf.DUMMYFUNCTION("""COMPUTED_VALUE"""),"portals-ivory-index")</f>
        <v>portals-ivory-index</v>
      </c>
      <c r="B9255" s="3" t="str">
        <f>IFERROR(__xludf.DUMMYFUNCTION("""COMPUTED_VALUE"""),"ivry")</f>
        <v>ivry</v>
      </c>
      <c r="C9255" s="3" t="str">
        <f>IFERROR(__xludf.DUMMYFUNCTION("""COMPUTED_VALUE"""),"Portals Ivory Index")</f>
        <v>Portals Ivory Index</v>
      </c>
    </row>
    <row r="9256">
      <c r="A9256" s="3" t="str">
        <f>IFERROR(__xludf.DUMMYFUNCTION("""COMPUTED_VALUE"""),"porte-token")</f>
        <v>porte-token</v>
      </c>
      <c r="B9256" s="3" t="str">
        <f>IFERROR(__xludf.DUMMYFUNCTION("""COMPUTED_VALUE"""),"porte")</f>
        <v>porte</v>
      </c>
      <c r="C9256" s="3" t="str">
        <f>IFERROR(__xludf.DUMMYFUNCTION("""COMPUTED_VALUE"""),"Porte")</f>
        <v>Porte</v>
      </c>
    </row>
    <row r="9257">
      <c r="A9257" s="3" t="str">
        <f>IFERROR(__xludf.DUMMYFUNCTION("""COMPUTED_VALUE"""),"port-finance")</f>
        <v>port-finance</v>
      </c>
      <c r="B9257" s="3" t="str">
        <f>IFERROR(__xludf.DUMMYFUNCTION("""COMPUTED_VALUE"""),"port")</f>
        <v>port</v>
      </c>
      <c r="C9257" s="3" t="str">
        <f>IFERROR(__xludf.DUMMYFUNCTION("""COMPUTED_VALUE"""),"Port Finance")</f>
        <v>Port Finance</v>
      </c>
    </row>
    <row r="9258">
      <c r="A9258" s="3" t="str">
        <f>IFERROR(__xludf.DUMMYFUNCTION("""COMPUTED_VALUE"""),"portify")</f>
        <v>portify</v>
      </c>
      <c r="B9258" s="3" t="str">
        <f>IFERROR(__xludf.DUMMYFUNCTION("""COMPUTED_VALUE"""),"pfy")</f>
        <v>pfy</v>
      </c>
      <c r="C9258" s="3" t="str">
        <f>IFERROR(__xludf.DUMMYFUNCTION("""COMPUTED_VALUE"""),"Portify")</f>
        <v>Portify</v>
      </c>
    </row>
    <row r="9259">
      <c r="A9259" s="3" t="str">
        <f>IFERROR(__xludf.DUMMYFUNCTION("""COMPUTED_VALUE"""),"portion")</f>
        <v>portion</v>
      </c>
      <c r="B9259" s="3" t="str">
        <f>IFERROR(__xludf.DUMMYFUNCTION("""COMPUTED_VALUE"""),"prt")</f>
        <v>prt</v>
      </c>
      <c r="C9259" s="3" t="str">
        <f>IFERROR(__xludf.DUMMYFUNCTION("""COMPUTED_VALUE"""),"Portion")</f>
        <v>Portion</v>
      </c>
    </row>
    <row r="9260">
      <c r="A9260" s="3" t="str">
        <f>IFERROR(__xludf.DUMMYFUNCTION("""COMPUTED_VALUE"""),"portugal-national-team-fan-token")</f>
        <v>portugal-national-team-fan-token</v>
      </c>
      <c r="B9260" s="3" t="str">
        <f>IFERROR(__xludf.DUMMYFUNCTION("""COMPUTED_VALUE"""),"por")</f>
        <v>por</v>
      </c>
      <c r="C9260" s="3" t="str">
        <f>IFERROR(__xludf.DUMMYFUNCTION("""COMPUTED_VALUE"""),"Portugal National Team Fan Token")</f>
        <v>Portugal National Team Fan Token</v>
      </c>
    </row>
    <row r="9261">
      <c r="A9261" s="3" t="str">
        <f>IFERROR(__xludf.DUMMYFUNCTION("""COMPUTED_VALUE"""),"portuma")</f>
        <v>portuma</v>
      </c>
      <c r="B9261" s="3" t="str">
        <f>IFERROR(__xludf.DUMMYFUNCTION("""COMPUTED_VALUE"""),"por")</f>
        <v>por</v>
      </c>
      <c r="C9261" s="3" t="str">
        <f>IFERROR(__xludf.DUMMYFUNCTION("""COMPUTED_VALUE"""),"Portuma")</f>
        <v>Portuma</v>
      </c>
    </row>
    <row r="9262">
      <c r="A9262" s="3" t="str">
        <f>IFERROR(__xludf.DUMMYFUNCTION("""COMPUTED_VALUE"""),"pos-32")</f>
        <v>pos-32</v>
      </c>
      <c r="B9262" s="3" t="str">
        <f>IFERROR(__xludf.DUMMYFUNCTION("""COMPUTED_VALUE"""),"pos32")</f>
        <v>pos32</v>
      </c>
      <c r="C9262" s="3" t="str">
        <f>IFERROR(__xludf.DUMMYFUNCTION("""COMPUTED_VALUE"""),"PoS-32")</f>
        <v>PoS-32</v>
      </c>
    </row>
    <row r="9263">
      <c r="A9263" s="3" t="str">
        <f>IFERROR(__xludf.DUMMYFUNCTION("""COMPUTED_VALUE"""),"pos-coin")</f>
        <v>pos-coin</v>
      </c>
      <c r="B9263" s="3" t="str">
        <f>IFERROR(__xludf.DUMMYFUNCTION("""COMPUTED_VALUE"""),"pos")</f>
        <v>pos</v>
      </c>
      <c r="C9263" s="3" t="str">
        <f>IFERROR(__xludf.DUMMYFUNCTION("""COMPUTED_VALUE"""),"POS Coin")</f>
        <v>POS Coin</v>
      </c>
    </row>
    <row r="9264">
      <c r="A9264" s="3" t="str">
        <f>IFERROR(__xludf.DUMMYFUNCTION("""COMPUTED_VALUE"""),"poseidon-2")</f>
        <v>poseidon-2</v>
      </c>
      <c r="B9264" s="3" t="str">
        <f>IFERROR(__xludf.DUMMYFUNCTION("""COMPUTED_VALUE"""),"psdn")</f>
        <v>psdn</v>
      </c>
      <c r="C9264" s="3" t="str">
        <f>IFERROR(__xludf.DUMMYFUNCTION("""COMPUTED_VALUE"""),"Poseidon")</f>
        <v>Poseidon</v>
      </c>
    </row>
    <row r="9265">
      <c r="A9265" s="3" t="str">
        <f>IFERROR(__xludf.DUMMYFUNCTION("""COMPUTED_VALUE"""),"poseidon-finance")</f>
        <v>poseidon-finance</v>
      </c>
      <c r="B9265" s="3" t="str">
        <f>IFERROR(__xludf.DUMMYFUNCTION("""COMPUTED_VALUE"""),"psdn")</f>
        <v>psdn</v>
      </c>
      <c r="C9265" s="3" t="str">
        <f>IFERROR(__xludf.DUMMYFUNCTION("""COMPUTED_VALUE"""),"Poseidon Finance")</f>
        <v>Poseidon Finance</v>
      </c>
    </row>
    <row r="9266">
      <c r="A9266" s="3" t="str">
        <f>IFERROR(__xludf.DUMMYFUNCTION("""COMPUTED_VALUE"""),"poseidon-ocean")</f>
        <v>poseidon-ocean</v>
      </c>
      <c r="B9266" s="3" t="str">
        <f>IFERROR(__xludf.DUMMYFUNCTION("""COMPUTED_VALUE"""),"psdnocean")</f>
        <v>psdnocean</v>
      </c>
      <c r="C9266" s="3" t="str">
        <f>IFERROR(__xludf.DUMMYFUNCTION("""COMPUTED_VALUE"""),"Poseidon OCEAN")</f>
        <v>Poseidon OCEAN</v>
      </c>
    </row>
    <row r="9267">
      <c r="A9267" s="3" t="str">
        <f>IFERROR(__xludf.DUMMYFUNCTION("""COMPUTED_VALUE"""),"position-token")</f>
        <v>position-token</v>
      </c>
      <c r="B9267" s="3" t="str">
        <f>IFERROR(__xludf.DUMMYFUNCTION("""COMPUTED_VALUE"""),"posi")</f>
        <v>posi</v>
      </c>
      <c r="C9267" s="3" t="str">
        <f>IFERROR(__xludf.DUMMYFUNCTION("""COMPUTED_VALUE"""),"Position")</f>
        <v>Position</v>
      </c>
    </row>
    <row r="9268">
      <c r="A9268" s="3" t="str">
        <f>IFERROR(__xludf.DUMMYFUNCTION("""COMPUTED_VALUE"""),"positron-token")</f>
        <v>positron-token</v>
      </c>
      <c r="B9268" s="3" t="str">
        <f>IFERROR(__xludf.DUMMYFUNCTION("""COMPUTED_VALUE"""),"pot")</f>
        <v>pot</v>
      </c>
      <c r="C9268" s="3" t="str">
        <f>IFERROR(__xludf.DUMMYFUNCTION("""COMPUTED_VALUE"""),"Positron")</f>
        <v>Positron</v>
      </c>
    </row>
    <row r="9269">
      <c r="A9269" s="3" t="str">
        <f>IFERROR(__xludf.DUMMYFUNCTION("""COMPUTED_VALUE"""),"posschain")</f>
        <v>posschain</v>
      </c>
      <c r="B9269" s="3" t="str">
        <f>IFERROR(__xludf.DUMMYFUNCTION("""COMPUTED_VALUE"""),"poss")</f>
        <v>poss</v>
      </c>
      <c r="C9269" s="3" t="str">
        <f>IFERROR(__xludf.DUMMYFUNCTION("""COMPUTED_VALUE"""),"Posschain")</f>
        <v>Posschain</v>
      </c>
    </row>
    <row r="9270">
      <c r="A9270" s="3" t="str">
        <f>IFERROR(__xludf.DUMMYFUNCTION("""COMPUTED_VALUE"""),"postcoin")</f>
        <v>postcoin</v>
      </c>
      <c r="B9270" s="3" t="str">
        <f>IFERROR(__xludf.DUMMYFUNCTION("""COMPUTED_VALUE"""),"post")</f>
        <v>post</v>
      </c>
      <c r="C9270" s="3" t="str">
        <f>IFERROR(__xludf.DUMMYFUNCTION("""COMPUTED_VALUE"""),"PostCoin")</f>
        <v>PostCoin</v>
      </c>
    </row>
    <row r="9271">
      <c r="A9271" s="3" t="str">
        <f>IFERROR(__xludf.DUMMYFUNCTION("""COMPUTED_VALUE"""),"posthuman")</f>
        <v>posthuman</v>
      </c>
      <c r="B9271" s="3" t="str">
        <f>IFERROR(__xludf.DUMMYFUNCTION("""COMPUTED_VALUE"""),"phmn")</f>
        <v>phmn</v>
      </c>
      <c r="C9271" s="3" t="str">
        <f>IFERROR(__xludf.DUMMYFUNCTION("""COMPUTED_VALUE"""),"POSTHUMAN")</f>
        <v>POSTHUMAN</v>
      </c>
    </row>
    <row r="9272">
      <c r="A9272" s="3" t="str">
        <f>IFERROR(__xludf.DUMMYFUNCTION("""COMPUTED_VALUE"""),"potato")</f>
        <v>potato</v>
      </c>
      <c r="B9272" s="3" t="str">
        <f>IFERROR(__xludf.DUMMYFUNCTION("""COMPUTED_VALUE"""),"potato")</f>
        <v>potato</v>
      </c>
      <c r="C9272" s="3" t="str">
        <f>IFERROR(__xludf.DUMMYFUNCTION("""COMPUTED_VALUE"""),"Potato")</f>
        <v>Potato</v>
      </c>
    </row>
    <row r="9273">
      <c r="A9273" s="3" t="str">
        <f>IFERROR(__xludf.DUMMYFUNCTION("""COMPUTED_VALUE"""),"potcoin")</f>
        <v>potcoin</v>
      </c>
      <c r="B9273" s="3" t="str">
        <f>IFERROR(__xludf.DUMMYFUNCTION("""COMPUTED_VALUE"""),"pot")</f>
        <v>pot</v>
      </c>
      <c r="C9273" s="3" t="str">
        <f>IFERROR(__xludf.DUMMYFUNCTION("""COMPUTED_VALUE"""),"Potcoin")</f>
        <v>Potcoin</v>
      </c>
    </row>
    <row r="9274">
      <c r="A9274" s="3" t="str">
        <f>IFERROR(__xludf.DUMMYFUNCTION("""COMPUTED_VALUE"""),"potent-coin")</f>
        <v>potent-coin</v>
      </c>
      <c r="B9274" s="3" t="str">
        <f>IFERROR(__xludf.DUMMYFUNCTION("""COMPUTED_VALUE"""),"ptt")</f>
        <v>ptt</v>
      </c>
      <c r="C9274" s="3" t="str">
        <f>IFERROR(__xludf.DUMMYFUNCTION("""COMPUTED_VALUE"""),"Potent Coin")</f>
        <v>Potent Coin</v>
      </c>
    </row>
    <row r="9275">
      <c r="A9275" s="3" t="str">
        <f>IFERROR(__xludf.DUMMYFUNCTION("""COMPUTED_VALUE"""),"potentiam")</f>
        <v>potentiam</v>
      </c>
      <c r="B9275" s="3" t="str">
        <f>IFERROR(__xludf.DUMMYFUNCTION("""COMPUTED_VALUE"""),"ptm")</f>
        <v>ptm</v>
      </c>
      <c r="C9275" s="3" t="str">
        <f>IFERROR(__xludf.DUMMYFUNCTION("""COMPUTED_VALUE"""),"Potentiam")</f>
        <v>Potentiam</v>
      </c>
    </row>
    <row r="9276">
      <c r="A9276" s="3" t="str">
        <f>IFERROR(__xludf.DUMMYFUNCTION("""COMPUTED_VALUE"""),"poundtoken")</f>
        <v>poundtoken</v>
      </c>
      <c r="B9276" s="3" t="str">
        <f>IFERROR(__xludf.DUMMYFUNCTION("""COMPUTED_VALUE"""),"gbpt")</f>
        <v>gbpt</v>
      </c>
      <c r="C9276" s="3" t="str">
        <f>IFERROR(__xludf.DUMMYFUNCTION("""COMPUTED_VALUE"""),"poundtoken")</f>
        <v>poundtoken</v>
      </c>
    </row>
    <row r="9277">
      <c r="A9277" s="3" t="str">
        <f>IFERROR(__xludf.DUMMYFUNCTION("""COMPUTED_VALUE"""),"powabit")</f>
        <v>powabit</v>
      </c>
      <c r="B9277" s="3" t="str">
        <f>IFERROR(__xludf.DUMMYFUNCTION("""COMPUTED_VALUE"""),"powa")</f>
        <v>powa</v>
      </c>
      <c r="C9277" s="3" t="str">
        <f>IFERROR(__xludf.DUMMYFUNCTION("""COMPUTED_VALUE"""),"Powabit")</f>
        <v>Powabit</v>
      </c>
    </row>
    <row r="9278">
      <c r="A9278" s="3" t="str">
        <f>IFERROR(__xludf.DUMMYFUNCTION("""COMPUTED_VALUE"""),"pow-doge")</f>
        <v>pow-doge</v>
      </c>
      <c r="B9278" s="3" t="str">
        <f>IFERROR(__xludf.DUMMYFUNCTION("""COMPUTED_VALUE"""),"dogw")</f>
        <v>dogw</v>
      </c>
      <c r="C9278" s="3" t="str">
        <f>IFERROR(__xludf.DUMMYFUNCTION("""COMPUTED_VALUE"""),"PoW Doge")</f>
        <v>PoW Doge</v>
      </c>
    </row>
    <row r="9279">
      <c r="A9279" s="3" t="str">
        <f>IFERROR(__xludf.DUMMYFUNCTION("""COMPUTED_VALUE"""),"powerbalt")</f>
        <v>powerbalt</v>
      </c>
      <c r="B9279" s="3" t="str">
        <f>IFERROR(__xludf.DUMMYFUNCTION("""COMPUTED_VALUE"""),"pwrb")</f>
        <v>pwrb</v>
      </c>
      <c r="C9279" s="3" t="str">
        <f>IFERROR(__xludf.DUMMYFUNCTION("""COMPUTED_VALUE"""),"PowerBalt")</f>
        <v>PowerBalt</v>
      </c>
    </row>
    <row r="9280">
      <c r="A9280" s="3" t="str">
        <f>IFERROR(__xludf.DUMMYFUNCTION("""COMPUTED_VALUE"""),"powerfan")</f>
        <v>powerfan</v>
      </c>
      <c r="B9280" s="3" t="str">
        <f>IFERROR(__xludf.DUMMYFUNCTION("""COMPUTED_VALUE"""),"pfan")</f>
        <v>pfan</v>
      </c>
      <c r="C9280" s="3" t="str">
        <f>IFERROR(__xludf.DUMMYFUNCTION("""COMPUTED_VALUE"""),"PowerFan")</f>
        <v>PowerFan</v>
      </c>
    </row>
    <row r="9281">
      <c r="A9281" s="3" t="str">
        <f>IFERROR(__xludf.DUMMYFUNCTION("""COMPUTED_VALUE"""),"powerful")</f>
        <v>powerful</v>
      </c>
      <c r="B9281" s="3" t="str">
        <f>IFERROR(__xludf.DUMMYFUNCTION("""COMPUTED_VALUE"""),"pwfl")</f>
        <v>pwfl</v>
      </c>
      <c r="C9281" s="3" t="str">
        <f>IFERROR(__xludf.DUMMYFUNCTION("""COMPUTED_VALUE"""),"Powerful")</f>
        <v>Powerful</v>
      </c>
    </row>
    <row r="9282">
      <c r="A9282" s="3" t="str">
        <f>IFERROR(__xludf.DUMMYFUNCTION("""COMPUTED_VALUE"""),"power-index-pool-token")</f>
        <v>power-index-pool-token</v>
      </c>
      <c r="B9282" s="3" t="str">
        <f>IFERROR(__xludf.DUMMYFUNCTION("""COMPUTED_VALUE"""),"pipt")</f>
        <v>pipt</v>
      </c>
      <c r="C9282" s="3" t="str">
        <f>IFERROR(__xludf.DUMMYFUNCTION("""COMPUTED_VALUE"""),"Power Index Pool")</f>
        <v>Power Index Pool</v>
      </c>
    </row>
    <row r="9283">
      <c r="A9283" s="3" t="str">
        <f>IFERROR(__xludf.DUMMYFUNCTION("""COMPUTED_VALUE"""),"power-ledger")</f>
        <v>power-ledger</v>
      </c>
      <c r="B9283" s="3" t="str">
        <f>IFERROR(__xludf.DUMMYFUNCTION("""COMPUTED_VALUE"""),"powr")</f>
        <v>powr</v>
      </c>
      <c r="C9283" s="3" t="str">
        <f>IFERROR(__xludf.DUMMYFUNCTION("""COMPUTED_VALUE"""),"Power Ledger")</f>
        <v>Power Ledger</v>
      </c>
    </row>
    <row r="9284">
      <c r="A9284" s="3" t="str">
        <f>IFERROR(__xludf.DUMMYFUNCTION("""COMPUTED_VALUE"""),"power-nodes")</f>
        <v>power-nodes</v>
      </c>
      <c r="B9284" s="3" t="str">
        <f>IFERROR(__xludf.DUMMYFUNCTION("""COMPUTED_VALUE"""),"power")</f>
        <v>power</v>
      </c>
      <c r="C9284" s="3" t="str">
        <f>IFERROR(__xludf.DUMMYFUNCTION("""COMPUTED_VALUE"""),"Power Nodes")</f>
        <v>Power Nodes</v>
      </c>
    </row>
    <row r="9285">
      <c r="A9285" s="3" t="str">
        <f>IFERROR(__xludf.DUMMYFUNCTION("""COMPUTED_VALUE"""),"power-of-deep-ocean")</f>
        <v>power-of-deep-ocean</v>
      </c>
      <c r="B9285" s="3" t="str">
        <f>IFERROR(__xludf.DUMMYFUNCTION("""COMPUTED_VALUE"""),"podo")</f>
        <v>podo</v>
      </c>
      <c r="C9285" s="3" t="str">
        <f>IFERROR(__xludf.DUMMYFUNCTION("""COMPUTED_VALUE"""),"Power Of Deep Ocean")</f>
        <v>Power Of Deep Ocean</v>
      </c>
    </row>
    <row r="9286">
      <c r="A9286" s="3" t="str">
        <f>IFERROR(__xludf.DUMMYFUNCTION("""COMPUTED_VALUE"""),"powertrade-fuel")</f>
        <v>powertrade-fuel</v>
      </c>
      <c r="B9286" s="3" t="str">
        <f>IFERROR(__xludf.DUMMYFUNCTION("""COMPUTED_VALUE"""),"ptf")</f>
        <v>ptf</v>
      </c>
      <c r="C9286" s="3" t="str">
        <f>IFERROR(__xludf.DUMMYFUNCTION("""COMPUTED_VALUE"""),"PowerTrade Fuel")</f>
        <v>PowerTrade Fuel</v>
      </c>
    </row>
    <row r="9287">
      <c r="A9287" s="3" t="str">
        <f>IFERROR(__xludf.DUMMYFUNCTION("""COMPUTED_VALUE"""),"power-vault")</f>
        <v>power-vault</v>
      </c>
      <c r="B9287" s="3" t="str">
        <f>IFERROR(__xludf.DUMMYFUNCTION("""COMPUTED_VALUE"""),"powv")</f>
        <v>powv</v>
      </c>
      <c r="C9287" s="3" t="str">
        <f>IFERROR(__xludf.DUMMYFUNCTION("""COMPUTED_VALUE"""),"Power Vault")</f>
        <v>Power Vault</v>
      </c>
    </row>
    <row r="9288">
      <c r="A9288" s="3" t="str">
        <f>IFERROR(__xludf.DUMMYFUNCTION("""COMPUTED_VALUE"""),"powerzilla")</f>
        <v>powerzilla</v>
      </c>
      <c r="B9288" s="3" t="str">
        <f>IFERROR(__xludf.DUMMYFUNCTION("""COMPUTED_VALUE"""),"powerzilla")</f>
        <v>powerzilla</v>
      </c>
      <c r="C9288" s="3" t="str">
        <f>IFERROR(__xludf.DUMMYFUNCTION("""COMPUTED_VALUE"""),"PowerZilla")</f>
        <v>PowerZilla</v>
      </c>
    </row>
    <row r="9289">
      <c r="A9289" s="3" t="str">
        <f>IFERROR(__xludf.DUMMYFUNCTION("""COMPUTED_VALUE"""),"powpad")</f>
        <v>powpad</v>
      </c>
      <c r="B9289" s="3" t="str">
        <f>IFERROR(__xludf.DUMMYFUNCTION("""COMPUTED_VALUE"""),"pp")</f>
        <v>pp</v>
      </c>
      <c r="C9289" s="3" t="str">
        <f>IFERROR(__xludf.DUMMYFUNCTION("""COMPUTED_VALUE"""),"Powpad")</f>
        <v>Powpad</v>
      </c>
    </row>
    <row r="9290">
      <c r="A9290" s="3" t="str">
        <f>IFERROR(__xludf.DUMMYFUNCTION("""COMPUTED_VALUE"""),"powsea")</f>
        <v>powsea</v>
      </c>
      <c r="B9290" s="3" t="str">
        <f>IFERROR(__xludf.DUMMYFUNCTION("""COMPUTED_VALUE"""),"sea")</f>
        <v>sea</v>
      </c>
      <c r="C9290" s="3" t="str">
        <f>IFERROR(__xludf.DUMMYFUNCTION("""COMPUTED_VALUE"""),"PowSea")</f>
        <v>PowSea</v>
      </c>
    </row>
    <row r="9291">
      <c r="A9291" s="3" t="str">
        <f>IFERROR(__xludf.DUMMYFUNCTION("""COMPUTED_VALUE"""),"powswap")</f>
        <v>powswap</v>
      </c>
      <c r="B9291" s="3" t="str">
        <f>IFERROR(__xludf.DUMMYFUNCTION("""COMPUTED_VALUE"""),"pow")</f>
        <v>pow</v>
      </c>
      <c r="C9291" s="3" t="str">
        <f>IFERROR(__xludf.DUMMYFUNCTION("""COMPUTED_VALUE"""),"Powswap")</f>
        <v>Powswap</v>
      </c>
    </row>
    <row r="9292">
      <c r="A9292" s="3" t="str">
        <f>IFERROR(__xludf.DUMMYFUNCTION("""COMPUTED_VALUE"""),"pqbert")</f>
        <v>pqbert</v>
      </c>
      <c r="B9292" s="3" t="str">
        <f>IFERROR(__xludf.DUMMYFUNCTION("""COMPUTED_VALUE"""),"pqbert")</f>
        <v>pqbert</v>
      </c>
      <c r="C9292" s="3" t="str">
        <f>IFERROR(__xludf.DUMMYFUNCTION("""COMPUTED_VALUE"""),"pQBERT")</f>
        <v>pQBERT</v>
      </c>
    </row>
    <row r="9293">
      <c r="A9293" s="3" t="str">
        <f>IFERROR(__xludf.DUMMYFUNCTION("""COMPUTED_VALUE"""),"pray")</f>
        <v>pray</v>
      </c>
      <c r="B9293" s="3" t="str">
        <f>IFERROR(__xludf.DUMMYFUNCTION("""COMPUTED_VALUE"""),"pray")</f>
        <v>pray</v>
      </c>
      <c r="C9293" s="3" t="str">
        <f>IFERROR(__xludf.DUMMYFUNCTION("""COMPUTED_VALUE"""),"PRAY TOKEN")</f>
        <v>PRAY TOKEN</v>
      </c>
    </row>
    <row r="9294">
      <c r="A9294" s="3" t="str">
        <f>IFERROR(__xludf.DUMMYFUNCTION("""COMPUTED_VALUE"""),"prcy-coin")</f>
        <v>prcy-coin</v>
      </c>
      <c r="B9294" s="3" t="str">
        <f>IFERROR(__xludf.DUMMYFUNCTION("""COMPUTED_VALUE"""),"prcy")</f>
        <v>prcy</v>
      </c>
      <c r="C9294" s="3" t="str">
        <f>IFERROR(__xludf.DUMMYFUNCTION("""COMPUTED_VALUE"""),"PRivaCY Coin")</f>
        <v>PRivaCY Coin</v>
      </c>
    </row>
    <row r="9295">
      <c r="A9295" s="3" t="str">
        <f>IFERROR(__xludf.DUMMYFUNCTION("""COMPUTED_VALUE"""),"predictcoin")</f>
        <v>predictcoin</v>
      </c>
      <c r="B9295" s="3" t="str">
        <f>IFERROR(__xludf.DUMMYFUNCTION("""COMPUTED_VALUE"""),"pred")</f>
        <v>pred</v>
      </c>
      <c r="C9295" s="3" t="str">
        <f>IFERROR(__xludf.DUMMYFUNCTION("""COMPUTED_VALUE"""),"Predictcoin")</f>
        <v>Predictcoin</v>
      </c>
    </row>
    <row r="9296">
      <c r="A9296" s="3" t="str">
        <f>IFERROR(__xludf.DUMMYFUNCTION("""COMPUTED_VALUE"""),"prediqt")</f>
        <v>prediqt</v>
      </c>
      <c r="B9296" s="3" t="str">
        <f>IFERROR(__xludf.DUMMYFUNCTION("""COMPUTED_VALUE"""),"pqt")</f>
        <v>pqt</v>
      </c>
      <c r="C9296" s="3" t="str">
        <f>IFERROR(__xludf.DUMMYFUNCTION("""COMPUTED_VALUE"""),"Prediqt")</f>
        <v>Prediqt</v>
      </c>
    </row>
    <row r="9297">
      <c r="A9297" s="3" t="str">
        <f>IFERROR(__xludf.DUMMYFUNCTION("""COMPUTED_VALUE"""),"predix-network")</f>
        <v>predix-network</v>
      </c>
      <c r="B9297" s="3" t="str">
        <f>IFERROR(__xludf.DUMMYFUNCTION("""COMPUTED_VALUE"""),"prdx")</f>
        <v>prdx</v>
      </c>
      <c r="C9297" s="3" t="str">
        <f>IFERROR(__xludf.DUMMYFUNCTION("""COMPUTED_VALUE"""),"Predix Network")</f>
        <v>Predix Network</v>
      </c>
    </row>
    <row r="9298">
      <c r="A9298" s="3" t="str">
        <f>IFERROR(__xludf.DUMMYFUNCTION("""COMPUTED_VALUE"""),"prelax")</f>
        <v>prelax</v>
      </c>
      <c r="B9298" s="3" t="str">
        <f>IFERROR(__xludf.DUMMYFUNCTION("""COMPUTED_VALUE"""),"peax")</f>
        <v>peax</v>
      </c>
      <c r="C9298" s="3" t="str">
        <f>IFERROR(__xludf.DUMMYFUNCTION("""COMPUTED_VALUE"""),"Prelax")</f>
        <v>Prelax</v>
      </c>
    </row>
    <row r="9299">
      <c r="A9299" s="3" t="str">
        <f>IFERROR(__xludf.DUMMYFUNCTION("""COMPUTED_VALUE"""),"prema")</f>
        <v>prema</v>
      </c>
      <c r="B9299" s="3" t="str">
        <f>IFERROR(__xludf.DUMMYFUNCTION("""COMPUTED_VALUE"""),"prmx")</f>
        <v>prmx</v>
      </c>
      <c r="C9299" s="3" t="str">
        <f>IFERROR(__xludf.DUMMYFUNCTION("""COMPUTED_VALUE"""),"PREMA")</f>
        <v>PREMA</v>
      </c>
    </row>
    <row r="9300">
      <c r="A9300" s="3" t="str">
        <f>IFERROR(__xludf.DUMMYFUNCTION("""COMPUTED_VALUE"""),"premia")</f>
        <v>premia</v>
      </c>
      <c r="B9300" s="3" t="str">
        <f>IFERROR(__xludf.DUMMYFUNCTION("""COMPUTED_VALUE"""),"premia")</f>
        <v>premia</v>
      </c>
      <c r="C9300" s="3" t="str">
        <f>IFERROR(__xludf.DUMMYFUNCTION("""COMPUTED_VALUE"""),"Premia")</f>
        <v>Premia</v>
      </c>
    </row>
    <row r="9301">
      <c r="A9301" s="3" t="str">
        <f>IFERROR(__xludf.DUMMYFUNCTION("""COMPUTED_VALUE"""),"premio")</f>
        <v>premio</v>
      </c>
      <c r="B9301" s="3" t="str">
        <f>IFERROR(__xludf.DUMMYFUNCTION("""COMPUTED_VALUE"""),"premio")</f>
        <v>premio</v>
      </c>
      <c r="C9301" s="3" t="str">
        <f>IFERROR(__xludf.DUMMYFUNCTION("""COMPUTED_VALUE"""),"Premio")</f>
        <v>Premio</v>
      </c>
    </row>
    <row r="9302">
      <c r="A9302" s="3" t="str">
        <f>IFERROR(__xludf.DUMMYFUNCTION("""COMPUTED_VALUE"""),"prepo")</f>
        <v>prepo</v>
      </c>
      <c r="B9302" s="3" t="str">
        <f>IFERROR(__xludf.DUMMYFUNCTION("""COMPUTED_VALUE"""),"ppo")</f>
        <v>ppo</v>
      </c>
      <c r="C9302" s="3" t="str">
        <f>IFERROR(__xludf.DUMMYFUNCTION("""COMPUTED_VALUE"""),"prePO")</f>
        <v>prePO</v>
      </c>
    </row>
    <row r="9303">
      <c r="A9303" s="3" t="str">
        <f>IFERROR(__xludf.DUMMYFUNCTION("""COMPUTED_VALUE"""),"pre-retogeum")</f>
        <v>pre-retogeum</v>
      </c>
      <c r="B9303" s="3" t="str">
        <f>IFERROR(__xludf.DUMMYFUNCTION("""COMPUTED_VALUE"""),"prtg")</f>
        <v>prtg</v>
      </c>
      <c r="C9303" s="3" t="str">
        <f>IFERROR(__xludf.DUMMYFUNCTION("""COMPUTED_VALUE"""),"Pre-Retogeum")</f>
        <v>Pre-Retogeum</v>
      </c>
    </row>
    <row r="9304">
      <c r="A9304" s="3" t="str">
        <f>IFERROR(__xludf.DUMMYFUNCTION("""COMPUTED_VALUE"""),"presaledao")</f>
        <v>presaledao</v>
      </c>
      <c r="B9304" s="3" t="str">
        <f>IFERROR(__xludf.DUMMYFUNCTION("""COMPUTED_VALUE"""),"af-presaledao")</f>
        <v>af-presaledao</v>
      </c>
      <c r="C9304" s="3" t="str">
        <f>IFERROR(__xludf.DUMMYFUNCTION("""COMPUTED_VALUE"""),"PresaleDAO")</f>
        <v>PresaleDAO</v>
      </c>
    </row>
    <row r="9305">
      <c r="A9305" s="3" t="str">
        <f>IFERROR(__xludf.DUMMYFUNCTION("""COMPUTED_VALUE"""),"presale-world")</f>
        <v>presale-world</v>
      </c>
      <c r="B9305" s="3" t="str">
        <f>IFERROR(__xludf.DUMMYFUNCTION("""COMPUTED_VALUE"""),"presale")</f>
        <v>presale</v>
      </c>
      <c r="C9305" s="3" t="str">
        <f>IFERROR(__xludf.DUMMYFUNCTION("""COMPUTED_VALUE"""),"Presale.World")</f>
        <v>Presale.World</v>
      </c>
    </row>
    <row r="9306">
      <c r="A9306" s="3" t="str">
        <f>IFERROR(__xludf.DUMMYFUNCTION("""COMPUTED_VALUE"""),"presearch")</f>
        <v>presearch</v>
      </c>
      <c r="B9306" s="3" t="str">
        <f>IFERROR(__xludf.DUMMYFUNCTION("""COMPUTED_VALUE"""),"pre")</f>
        <v>pre</v>
      </c>
      <c r="C9306" s="3" t="str">
        <f>IFERROR(__xludf.DUMMYFUNCTION("""COMPUTED_VALUE"""),"Presearch")</f>
        <v>Presearch</v>
      </c>
    </row>
    <row r="9307">
      <c r="A9307" s="3" t="str">
        <f>IFERROR(__xludf.DUMMYFUNCTION("""COMPUTED_VALUE"""),"primal")</f>
        <v>primal</v>
      </c>
      <c r="B9307" s="3" t="str">
        <f>IFERROR(__xludf.DUMMYFUNCTION("""COMPUTED_VALUE"""),"prm")</f>
        <v>prm</v>
      </c>
      <c r="C9307" s="3" t="str">
        <f>IFERROR(__xludf.DUMMYFUNCTION("""COMPUTED_VALUE"""),"Primal [OLD]")</f>
        <v>Primal [OLD]</v>
      </c>
    </row>
    <row r="9308">
      <c r="A9308" s="3" t="str">
        <f>IFERROR(__xludf.DUMMYFUNCTION("""COMPUTED_VALUE"""),"primal-2")</f>
        <v>primal-2</v>
      </c>
      <c r="B9308" s="3" t="str">
        <f>IFERROR(__xludf.DUMMYFUNCTION("""COMPUTED_VALUE"""),"prm")</f>
        <v>prm</v>
      </c>
      <c r="C9308" s="3" t="str">
        <f>IFERROR(__xludf.DUMMYFUNCTION("""COMPUTED_VALUE"""),"Primal")</f>
        <v>Primal</v>
      </c>
    </row>
    <row r="9309">
      <c r="A9309" s="3" t="str">
        <f>IFERROR(__xludf.DUMMYFUNCTION("""COMPUTED_VALUE"""),"primas")</f>
        <v>primas</v>
      </c>
      <c r="B9309" s="3" t="str">
        <f>IFERROR(__xludf.DUMMYFUNCTION("""COMPUTED_VALUE"""),"pst")</f>
        <v>pst</v>
      </c>
      <c r="C9309" s="3" t="str">
        <f>IFERROR(__xludf.DUMMYFUNCTION("""COMPUTED_VALUE"""),"Primas")</f>
        <v>Primas</v>
      </c>
    </row>
    <row r="9310">
      <c r="A9310" s="3" t="str">
        <f>IFERROR(__xludf.DUMMYFUNCTION("""COMPUTED_VALUE"""),"primate")</f>
        <v>primate</v>
      </c>
      <c r="B9310" s="3" t="str">
        <f>IFERROR(__xludf.DUMMYFUNCTION("""COMPUTED_VALUE"""),"primate")</f>
        <v>primate</v>
      </c>
      <c r="C9310" s="3" t="str">
        <f>IFERROR(__xludf.DUMMYFUNCTION("""COMPUTED_VALUE"""),"Primate")</f>
        <v>Primate</v>
      </c>
    </row>
    <row r="9311">
      <c r="A9311" s="3" t="str">
        <f>IFERROR(__xludf.DUMMYFUNCTION("""COMPUTED_VALUE"""),"prime")</f>
        <v>prime</v>
      </c>
      <c r="B9311" s="3" t="str">
        <f>IFERROR(__xludf.DUMMYFUNCTION("""COMPUTED_VALUE"""),"d2d")</f>
        <v>d2d</v>
      </c>
      <c r="C9311" s="3" t="str">
        <f>IFERROR(__xludf.DUMMYFUNCTION("""COMPUTED_VALUE"""),"Prime")</f>
        <v>Prime</v>
      </c>
    </row>
    <row r="9312">
      <c r="A9312" s="3" t="str">
        <f>IFERROR(__xludf.DUMMYFUNCTION("""COMPUTED_VALUE"""),"prime-chain")</f>
        <v>prime-chain</v>
      </c>
      <c r="B9312" s="3" t="str">
        <f>IFERROR(__xludf.DUMMYFUNCTION("""COMPUTED_VALUE"""),"pmc")</f>
        <v>pmc</v>
      </c>
      <c r="C9312" s="3" t="str">
        <f>IFERROR(__xludf.DUMMYFUNCTION("""COMPUTED_VALUE"""),"Prime Chain")</f>
        <v>Prime Chain</v>
      </c>
    </row>
    <row r="9313">
      <c r="A9313" s="3" t="str">
        <f>IFERROR(__xludf.DUMMYFUNCTION("""COMPUTED_VALUE"""),"primecoin")</f>
        <v>primecoin</v>
      </c>
      <c r="B9313" s="3" t="str">
        <f>IFERROR(__xludf.DUMMYFUNCTION("""COMPUTED_VALUE"""),"xpm")</f>
        <v>xpm</v>
      </c>
      <c r="C9313" s="3" t="str">
        <f>IFERROR(__xludf.DUMMYFUNCTION("""COMPUTED_VALUE"""),"Primecoin")</f>
        <v>Primecoin</v>
      </c>
    </row>
    <row r="9314">
      <c r="A9314" s="3" t="str">
        <f>IFERROR(__xludf.DUMMYFUNCTION("""COMPUTED_VALUE"""),"prime-dai")</f>
        <v>prime-dai</v>
      </c>
      <c r="B9314" s="3" t="str">
        <f>IFERROR(__xludf.DUMMYFUNCTION("""COMPUTED_VALUE"""),"pdai")</f>
        <v>pdai</v>
      </c>
      <c r="C9314" s="3" t="str">
        <f>IFERROR(__xludf.DUMMYFUNCTION("""COMPUTED_VALUE"""),"Prime DAI")</f>
        <v>Prime DAI</v>
      </c>
    </row>
    <row r="9315">
      <c r="A9315" s="3" t="str">
        <f>IFERROR(__xludf.DUMMYFUNCTION("""COMPUTED_VALUE"""),"prime-numbers")</f>
        <v>prime-numbers</v>
      </c>
      <c r="B9315" s="3" t="str">
        <f>IFERROR(__xludf.DUMMYFUNCTION("""COMPUTED_VALUE"""),"prnt")</f>
        <v>prnt</v>
      </c>
      <c r="C9315" s="3" t="str">
        <f>IFERROR(__xludf.DUMMYFUNCTION("""COMPUTED_VALUE"""),"Prime Numbers")</f>
        <v>Prime Numbers</v>
      </c>
    </row>
    <row r="9316">
      <c r="A9316" s="3" t="str">
        <f>IFERROR(__xludf.DUMMYFUNCTION("""COMPUTED_VALUE"""),"prime-xi")</f>
        <v>prime-xi</v>
      </c>
      <c r="B9316" s="3" t="str">
        <f>IFERROR(__xludf.DUMMYFUNCTION("""COMPUTED_VALUE"""),"pxi")</f>
        <v>pxi</v>
      </c>
      <c r="C9316" s="3" t="str">
        <f>IFERROR(__xludf.DUMMYFUNCTION("""COMPUTED_VALUE"""),"Prime-XI")</f>
        <v>Prime-XI</v>
      </c>
    </row>
    <row r="9317">
      <c r="A9317" s="3" t="str">
        <f>IFERROR(__xludf.DUMMYFUNCTION("""COMPUTED_VALUE"""),"primo-dao")</f>
        <v>primo-dao</v>
      </c>
      <c r="B9317" s="3" t="str">
        <f>IFERROR(__xludf.DUMMYFUNCTION("""COMPUTED_VALUE"""),"primo")</f>
        <v>primo</v>
      </c>
      <c r="C9317" s="3" t="str">
        <f>IFERROR(__xludf.DUMMYFUNCTION("""COMPUTED_VALUE"""),"Primo DAO")</f>
        <v>Primo DAO</v>
      </c>
    </row>
    <row r="9318">
      <c r="A9318" s="3" t="str">
        <f>IFERROR(__xludf.DUMMYFUNCTION("""COMPUTED_VALUE"""),"princess-striker-gem")</f>
        <v>princess-striker-gem</v>
      </c>
      <c r="B9318" s="3" t="str">
        <f>IFERROR(__xludf.DUMMYFUNCTION("""COMPUTED_VALUE"""),"prsg")</f>
        <v>prsg</v>
      </c>
      <c r="C9318" s="3" t="str">
        <f>IFERROR(__xludf.DUMMYFUNCTION("""COMPUTED_VALUE"""),"Princess Striker Gem")</f>
        <v>Princess Striker Gem</v>
      </c>
    </row>
    <row r="9319">
      <c r="A9319" s="3" t="str">
        <f>IFERROR(__xludf.DUMMYFUNCTION("""COMPUTED_VALUE"""),"prism")</f>
        <v>prism</v>
      </c>
      <c r="B9319" s="3" t="str">
        <f>IFERROR(__xludf.DUMMYFUNCTION("""COMPUTED_VALUE"""),"prism")</f>
        <v>prism</v>
      </c>
      <c r="C9319" s="3" t="str">
        <f>IFERROR(__xludf.DUMMYFUNCTION("""COMPUTED_VALUE"""),"Prism")</f>
        <v>Prism</v>
      </c>
    </row>
    <row r="9320">
      <c r="A9320" s="3" t="str">
        <f>IFERROR(__xludf.DUMMYFUNCTION("""COMPUTED_VALUE"""),"prism-cluna")</f>
        <v>prism-cluna</v>
      </c>
      <c r="B9320" s="3" t="str">
        <f>IFERROR(__xludf.DUMMYFUNCTION("""COMPUTED_VALUE"""),"cluna")</f>
        <v>cluna</v>
      </c>
      <c r="C9320" s="3" t="str">
        <f>IFERROR(__xludf.DUMMYFUNCTION("""COMPUTED_VALUE"""),"Prism cLUNA")</f>
        <v>Prism cLUNA</v>
      </c>
    </row>
    <row r="9321">
      <c r="A9321" s="3" t="str">
        <f>IFERROR(__xludf.DUMMYFUNCTION("""COMPUTED_VALUE"""),"prism-governance-token")</f>
        <v>prism-governance-token</v>
      </c>
      <c r="B9321" s="3" t="str">
        <f>IFERROR(__xludf.DUMMYFUNCTION("""COMPUTED_VALUE"""),"xprism")</f>
        <v>xprism</v>
      </c>
      <c r="C9321" s="3" t="str">
        <f>IFERROR(__xludf.DUMMYFUNCTION("""COMPUTED_VALUE"""),"Prism Governance")</f>
        <v>Prism Governance</v>
      </c>
    </row>
    <row r="9322">
      <c r="A9322" s="3" t="str">
        <f>IFERROR(__xludf.DUMMYFUNCTION("""COMPUTED_VALUE"""),"prism-protocol")</f>
        <v>prism-protocol</v>
      </c>
      <c r="B9322" s="3" t="str">
        <f>IFERROR(__xludf.DUMMYFUNCTION("""COMPUTED_VALUE"""),"prism")</f>
        <v>prism</v>
      </c>
      <c r="C9322" s="3" t="str">
        <f>IFERROR(__xludf.DUMMYFUNCTION("""COMPUTED_VALUE"""),"Prism Protocol")</f>
        <v>Prism Protocol</v>
      </c>
    </row>
    <row r="9323">
      <c r="A9323" s="3" t="str">
        <f>IFERROR(__xludf.DUMMYFUNCTION("""COMPUTED_VALUE"""),"prism-yluna")</f>
        <v>prism-yluna</v>
      </c>
      <c r="B9323" s="3" t="str">
        <f>IFERROR(__xludf.DUMMYFUNCTION("""COMPUTED_VALUE"""),"yluna")</f>
        <v>yluna</v>
      </c>
      <c r="C9323" s="3" t="str">
        <f>IFERROR(__xludf.DUMMYFUNCTION("""COMPUTED_VALUE"""),"Prism yLUNA")</f>
        <v>Prism yLUNA</v>
      </c>
    </row>
    <row r="9324">
      <c r="A9324" s="3" t="str">
        <f>IFERROR(__xludf.DUMMYFUNCTION("""COMPUTED_VALUE"""),"privacoin")</f>
        <v>privacoin</v>
      </c>
      <c r="B9324" s="3" t="str">
        <f>IFERROR(__xludf.DUMMYFUNCTION("""COMPUTED_VALUE"""),"prvc")</f>
        <v>prvc</v>
      </c>
      <c r="C9324" s="3" t="str">
        <f>IFERROR(__xludf.DUMMYFUNCTION("""COMPUTED_VALUE"""),"PrivaCoin")</f>
        <v>PrivaCoin</v>
      </c>
    </row>
    <row r="9325">
      <c r="A9325" s="3" t="str">
        <f>IFERROR(__xludf.DUMMYFUNCTION("""COMPUTED_VALUE"""),"privacyswap")</f>
        <v>privacyswap</v>
      </c>
      <c r="B9325" s="3" t="str">
        <f>IFERROR(__xludf.DUMMYFUNCTION("""COMPUTED_VALUE"""),"prv")</f>
        <v>prv</v>
      </c>
      <c r="C9325" s="3" t="str">
        <f>IFERROR(__xludf.DUMMYFUNCTION("""COMPUTED_VALUE"""),"PrivacySwap")</f>
        <v>PrivacySwap</v>
      </c>
    </row>
    <row r="9326">
      <c r="A9326" s="3" t="str">
        <f>IFERROR(__xludf.DUMMYFUNCTION("""COMPUTED_VALUE"""),"privapp-network")</f>
        <v>privapp-network</v>
      </c>
      <c r="B9326" s="3" t="str">
        <f>IFERROR(__xludf.DUMMYFUNCTION("""COMPUTED_VALUE"""),"bpriva")</f>
        <v>bpriva</v>
      </c>
      <c r="C9326" s="3" t="str">
        <f>IFERROR(__xludf.DUMMYFUNCTION("""COMPUTED_VALUE"""),"Privapp Network")</f>
        <v>Privapp Network</v>
      </c>
    </row>
    <row r="9327">
      <c r="A9327" s="3" t="str">
        <f>IFERROR(__xludf.DUMMYFUNCTION("""COMPUTED_VALUE"""),"privateum")</f>
        <v>privateum</v>
      </c>
      <c r="B9327" s="3" t="str">
        <f>IFERROR(__xludf.DUMMYFUNCTION("""COMPUTED_VALUE"""),"pri")</f>
        <v>pri</v>
      </c>
      <c r="C9327" s="3" t="str">
        <f>IFERROR(__xludf.DUMMYFUNCTION("""COMPUTED_VALUE"""),"Privateum")</f>
        <v>Privateum</v>
      </c>
    </row>
    <row r="9328">
      <c r="A9328" s="3" t="str">
        <f>IFERROR(__xludf.DUMMYFUNCTION("""COMPUTED_VALUE"""),"privatix")</f>
        <v>privatix</v>
      </c>
      <c r="B9328" s="3" t="str">
        <f>IFERROR(__xludf.DUMMYFUNCTION("""COMPUTED_VALUE"""),"prix")</f>
        <v>prix</v>
      </c>
      <c r="C9328" s="3" t="str">
        <f>IFERROR(__xludf.DUMMYFUNCTION("""COMPUTED_VALUE"""),"Privatix")</f>
        <v>Privatix</v>
      </c>
    </row>
    <row r="9329">
      <c r="A9329" s="3" t="str">
        <f>IFERROR(__xludf.DUMMYFUNCTION("""COMPUTED_VALUE"""),"privcy")</f>
        <v>privcy</v>
      </c>
      <c r="B9329" s="3" t="str">
        <f>IFERROR(__xludf.DUMMYFUNCTION("""COMPUTED_VALUE"""),"priv")</f>
        <v>priv</v>
      </c>
      <c r="C9329" s="3" t="str">
        <f>IFERROR(__xludf.DUMMYFUNCTION("""COMPUTED_VALUE"""),"PRiVCY")</f>
        <v>PRiVCY</v>
      </c>
    </row>
    <row r="9330">
      <c r="A9330" s="3" t="str">
        <f>IFERROR(__xludf.DUMMYFUNCTION("""COMPUTED_VALUE"""),"privilege")</f>
        <v>privilege</v>
      </c>
      <c r="B9330" s="3" t="str">
        <f>IFERROR(__xludf.DUMMYFUNCTION("""COMPUTED_VALUE"""),"prvg")</f>
        <v>prvg</v>
      </c>
      <c r="C9330" s="3" t="str">
        <f>IFERROR(__xludf.DUMMYFUNCTION("""COMPUTED_VALUE"""),"Privilege")</f>
        <v>Privilege</v>
      </c>
    </row>
    <row r="9331">
      <c r="A9331" s="3" t="str">
        <f>IFERROR(__xludf.DUMMYFUNCTION("""COMPUTED_VALUE"""),"privi-pix")</f>
        <v>privi-pix</v>
      </c>
      <c r="B9331" s="3" t="str">
        <f>IFERROR(__xludf.DUMMYFUNCTION("""COMPUTED_VALUE"""),"pix")</f>
        <v>pix</v>
      </c>
      <c r="C9331" s="3" t="str">
        <f>IFERROR(__xludf.DUMMYFUNCTION("""COMPUTED_VALUE"""),"Privi Pix")</f>
        <v>Privi Pix</v>
      </c>
    </row>
    <row r="9332">
      <c r="A9332" s="3" t="str">
        <f>IFERROR(__xludf.DUMMYFUNCTION("""COMPUTED_VALUE"""),"prizm")</f>
        <v>prizm</v>
      </c>
      <c r="B9332" s="3" t="str">
        <f>IFERROR(__xludf.DUMMYFUNCTION("""COMPUTED_VALUE"""),"pzm")</f>
        <v>pzm</v>
      </c>
      <c r="C9332" s="3" t="str">
        <f>IFERROR(__xludf.DUMMYFUNCTION("""COMPUTED_VALUE"""),"Prizm")</f>
        <v>Prizm</v>
      </c>
    </row>
    <row r="9333">
      <c r="A9333" s="3" t="str">
        <f>IFERROR(__xludf.DUMMYFUNCTION("""COMPUTED_VALUE"""),"prntr")</f>
        <v>prntr</v>
      </c>
      <c r="B9333" s="3" t="str">
        <f>IFERROR(__xludf.DUMMYFUNCTION("""COMPUTED_VALUE"""),"prntr")</f>
        <v>prntr</v>
      </c>
      <c r="C9333" s="3" t="str">
        <f>IFERROR(__xludf.DUMMYFUNCTION("""COMPUTED_VALUE"""),"PRNTR")</f>
        <v>PRNTR</v>
      </c>
    </row>
    <row r="9334">
      <c r="A9334" s="3" t="str">
        <f>IFERROR(__xludf.DUMMYFUNCTION("""COMPUTED_VALUE"""),"probably-nothing")</f>
        <v>probably-nothing</v>
      </c>
      <c r="B9334" s="3" t="str">
        <f>IFERROR(__xludf.DUMMYFUNCTION("""COMPUTED_VALUE"""),"prbly")</f>
        <v>prbly</v>
      </c>
      <c r="C9334" s="3" t="str">
        <f>IFERROR(__xludf.DUMMYFUNCTION("""COMPUTED_VALUE"""),"Probably Nothing")</f>
        <v>Probably Nothing</v>
      </c>
    </row>
    <row r="9335">
      <c r="A9335" s="3" t="str">
        <f>IFERROR(__xludf.DUMMYFUNCTION("""COMPUTED_VALUE"""),"probinex")</f>
        <v>probinex</v>
      </c>
      <c r="B9335" s="3" t="str">
        <f>IFERROR(__xludf.DUMMYFUNCTION("""COMPUTED_VALUE"""),"pbx")</f>
        <v>pbx</v>
      </c>
      <c r="C9335" s="3" t="str">
        <f>IFERROR(__xludf.DUMMYFUNCTION("""COMPUTED_VALUE"""),"Probinex")</f>
        <v>Probinex</v>
      </c>
    </row>
    <row r="9336">
      <c r="A9336" s="3" t="str">
        <f>IFERROR(__xludf.DUMMYFUNCTION("""COMPUTED_VALUE"""),"probit-exchange")</f>
        <v>probit-exchange</v>
      </c>
      <c r="B9336" s="3" t="str">
        <f>IFERROR(__xludf.DUMMYFUNCTION("""COMPUTED_VALUE"""),"prob")</f>
        <v>prob</v>
      </c>
      <c r="C9336" s="3" t="str">
        <f>IFERROR(__xludf.DUMMYFUNCTION("""COMPUTED_VALUE"""),"Probit")</f>
        <v>Probit</v>
      </c>
    </row>
    <row r="9337">
      <c r="A9337" s="3" t="str">
        <f>IFERROR(__xludf.DUMMYFUNCTION("""COMPUTED_VALUE"""),"professional-fighters-league-fan-token")</f>
        <v>professional-fighters-league-fan-token</v>
      </c>
      <c r="B9337" s="3" t="str">
        <f>IFERROR(__xludf.DUMMYFUNCTION("""COMPUTED_VALUE"""),"pfl")</f>
        <v>pfl</v>
      </c>
      <c r="C9337" s="3" t="str">
        <f>IFERROR(__xludf.DUMMYFUNCTION("""COMPUTED_VALUE"""),"Professional Fighters League Fan Token")</f>
        <v>Professional Fighters League Fan Token</v>
      </c>
    </row>
    <row r="9338">
      <c r="A9338" s="3" t="str">
        <f>IFERROR(__xludf.DUMMYFUNCTION("""COMPUTED_VALUE"""),"project202")</f>
        <v>project202</v>
      </c>
      <c r="B9338" s="3" t="str">
        <f>IFERROR(__xludf.DUMMYFUNCTION("""COMPUTED_VALUE"""),"p202")</f>
        <v>p202</v>
      </c>
      <c r="C9338" s="3" t="str">
        <f>IFERROR(__xludf.DUMMYFUNCTION("""COMPUTED_VALUE"""),"Project 202")</f>
        <v>Project 202</v>
      </c>
    </row>
    <row r="9339">
      <c r="A9339" s="3" t="str">
        <f>IFERROR(__xludf.DUMMYFUNCTION("""COMPUTED_VALUE"""),"project21")</f>
        <v>project21</v>
      </c>
      <c r="B9339" s="3" t="str">
        <f>IFERROR(__xludf.DUMMYFUNCTION("""COMPUTED_VALUE"""),"p21")</f>
        <v>p21</v>
      </c>
      <c r="C9339" s="3" t="str">
        <f>IFERROR(__xludf.DUMMYFUNCTION("""COMPUTED_VALUE"""),"Project21")</f>
        <v>Project21</v>
      </c>
    </row>
    <row r="9340">
      <c r="A9340" s="3" t="str">
        <f>IFERROR(__xludf.DUMMYFUNCTION("""COMPUTED_VALUE"""),"project-babel")</f>
        <v>project-babel</v>
      </c>
      <c r="B9340" s="3" t="str">
        <f>IFERROR(__xludf.DUMMYFUNCTION("""COMPUTED_VALUE"""),"pbt")</f>
        <v>pbt</v>
      </c>
      <c r="C9340" s="3" t="str">
        <f>IFERROR(__xludf.DUMMYFUNCTION("""COMPUTED_VALUE"""),"Project Babel")</f>
        <v>Project Babel</v>
      </c>
    </row>
    <row r="9341">
      <c r="A9341" s="3" t="str">
        <f>IFERROR(__xludf.DUMMYFUNCTION("""COMPUTED_VALUE"""),"project-carecoin")</f>
        <v>project-carecoin</v>
      </c>
      <c r="B9341" s="3" t="str">
        <f>IFERROR(__xludf.DUMMYFUNCTION("""COMPUTED_VALUE"""),"caresv2")</f>
        <v>caresv2</v>
      </c>
      <c r="C9341" s="3" t="str">
        <f>IFERROR(__xludf.DUMMYFUNCTION("""COMPUTED_VALUE"""),"Project CareCoin")</f>
        <v>Project CareCoin</v>
      </c>
    </row>
    <row r="9342">
      <c r="A9342" s="3" t="str">
        <f>IFERROR(__xludf.DUMMYFUNCTION("""COMPUTED_VALUE"""),"projectfeenixv2")</f>
        <v>projectfeenixv2</v>
      </c>
      <c r="B9342" s="3" t="str">
        <f>IFERROR(__xludf.DUMMYFUNCTION("""COMPUTED_VALUE"""),"feenixv2")</f>
        <v>feenixv2</v>
      </c>
      <c r="C9342" s="3" t="str">
        <f>IFERROR(__xludf.DUMMYFUNCTION("""COMPUTED_VALUE"""),"ProjectFeenixv2")</f>
        <v>ProjectFeenixv2</v>
      </c>
    </row>
    <row r="9343">
      <c r="A9343" s="3" t="str">
        <f>IFERROR(__xludf.DUMMYFUNCTION("""COMPUTED_VALUE"""),"project-galaxy")</f>
        <v>project-galaxy</v>
      </c>
      <c r="B9343" s="3" t="str">
        <f>IFERROR(__xludf.DUMMYFUNCTION("""COMPUTED_VALUE"""),"gal")</f>
        <v>gal</v>
      </c>
      <c r="C9343" s="3" t="str">
        <f>IFERROR(__xludf.DUMMYFUNCTION("""COMPUTED_VALUE"""),"Galxe")</f>
        <v>Galxe</v>
      </c>
    </row>
    <row r="9344">
      <c r="A9344" s="3" t="str">
        <f>IFERROR(__xludf.DUMMYFUNCTION("""COMPUTED_VALUE"""),"project-inverse")</f>
        <v>project-inverse</v>
      </c>
      <c r="B9344" s="3" t="str">
        <f>IFERROR(__xludf.DUMMYFUNCTION("""COMPUTED_VALUE"""),"xiv")</f>
        <v>xiv</v>
      </c>
      <c r="C9344" s="3" t="str">
        <f>IFERROR(__xludf.DUMMYFUNCTION("""COMPUTED_VALUE"""),"Planet Inverse")</f>
        <v>Planet Inverse</v>
      </c>
    </row>
    <row r="9345">
      <c r="A9345" s="3" t="str">
        <f>IFERROR(__xludf.DUMMYFUNCTION("""COMPUTED_VALUE"""),"projectmars")</f>
        <v>projectmars</v>
      </c>
      <c r="B9345" s="3" t="str">
        <f>IFERROR(__xludf.DUMMYFUNCTION("""COMPUTED_VALUE"""),"mars")</f>
        <v>mars</v>
      </c>
      <c r="C9345" s="3" t="str">
        <f>IFERROR(__xludf.DUMMYFUNCTION("""COMPUTED_VALUE"""),"ProjectMars")</f>
        <v>ProjectMars</v>
      </c>
    </row>
    <row r="9346">
      <c r="A9346" s="3" t="str">
        <f>IFERROR(__xludf.DUMMYFUNCTION("""COMPUTED_VALUE"""),"project-oasis")</f>
        <v>project-oasis</v>
      </c>
      <c r="B9346" s="3" t="str">
        <f>IFERROR(__xludf.DUMMYFUNCTION("""COMPUTED_VALUE"""),"oasis")</f>
        <v>oasis</v>
      </c>
      <c r="C9346" s="3" t="str">
        <f>IFERROR(__xludf.DUMMYFUNCTION("""COMPUTED_VALUE"""),"ProjectOasis")</f>
        <v>ProjectOasis</v>
      </c>
    </row>
    <row r="9347">
      <c r="A9347" s="3" t="str">
        <f>IFERROR(__xludf.DUMMYFUNCTION("""COMPUTED_VALUE"""),"project-one-whale")</f>
        <v>project-one-whale</v>
      </c>
      <c r="B9347" s="3" t="str">
        <f>IFERROR(__xludf.DUMMYFUNCTION("""COMPUTED_VALUE"""),"pow")</f>
        <v>pow</v>
      </c>
      <c r="C9347" s="3" t="str">
        <f>IFERROR(__xludf.DUMMYFUNCTION("""COMPUTED_VALUE"""),"Project: One Whale")</f>
        <v>Project: One Whale</v>
      </c>
    </row>
    <row r="9348">
      <c r="A9348" s="3" t="str">
        <f>IFERROR(__xludf.DUMMYFUNCTION("""COMPUTED_VALUE"""),"project-pai")</f>
        <v>project-pai</v>
      </c>
      <c r="B9348" s="3" t="str">
        <f>IFERROR(__xludf.DUMMYFUNCTION("""COMPUTED_VALUE"""),"pai")</f>
        <v>pai</v>
      </c>
      <c r="C9348" s="3" t="str">
        <f>IFERROR(__xludf.DUMMYFUNCTION("""COMPUTED_VALUE"""),"Project Pai")</f>
        <v>Project Pai</v>
      </c>
    </row>
    <row r="9349">
      <c r="A9349" s="3" t="str">
        <f>IFERROR(__xludf.DUMMYFUNCTION("""COMPUTED_VALUE"""),"project-quantum")</f>
        <v>project-quantum</v>
      </c>
      <c r="B9349" s="3" t="str">
        <f>IFERROR(__xludf.DUMMYFUNCTION("""COMPUTED_VALUE"""),"qbit")</f>
        <v>qbit</v>
      </c>
      <c r="C9349" s="3" t="str">
        <f>IFERROR(__xludf.DUMMYFUNCTION("""COMPUTED_VALUE"""),"Project Quantum")</f>
        <v>Project Quantum</v>
      </c>
    </row>
    <row r="9350">
      <c r="A9350" s="3" t="str">
        <f>IFERROR(__xludf.DUMMYFUNCTION("""COMPUTED_VALUE"""),"project-with")</f>
        <v>project-with</v>
      </c>
      <c r="B9350" s="3" t="str">
        <f>IFERROR(__xludf.DUMMYFUNCTION("""COMPUTED_VALUE"""),"wiken")</f>
        <v>wiken</v>
      </c>
      <c r="C9350" s="3" t="str">
        <f>IFERROR(__xludf.DUMMYFUNCTION("""COMPUTED_VALUE"""),"Project WITH")</f>
        <v>Project WITH</v>
      </c>
    </row>
    <row r="9351">
      <c r="A9351" s="3" t="str">
        <f>IFERROR(__xludf.DUMMYFUNCTION("""COMPUTED_VALUE"""),"projectx")</f>
        <v>projectx</v>
      </c>
      <c r="B9351" s="3" t="str">
        <f>IFERROR(__xludf.DUMMYFUNCTION("""COMPUTED_VALUE"""),"xil")</f>
        <v>xil</v>
      </c>
      <c r="C9351" s="3" t="str">
        <f>IFERROR(__xludf.DUMMYFUNCTION("""COMPUTED_VALUE"""),"Xillion")</f>
        <v>Xillion</v>
      </c>
    </row>
    <row r="9352">
      <c r="A9352" s="3" t="str">
        <f>IFERROR(__xludf.DUMMYFUNCTION("""COMPUTED_VALUE"""),"project-x")</f>
        <v>project-x</v>
      </c>
      <c r="B9352" s="3" t="str">
        <f>IFERROR(__xludf.DUMMYFUNCTION("""COMPUTED_VALUE"""),"nanox")</f>
        <v>nanox</v>
      </c>
      <c r="C9352" s="3" t="str">
        <f>IFERROR(__xludf.DUMMYFUNCTION("""COMPUTED_VALUE"""),"Project-X")</f>
        <v>Project-X</v>
      </c>
    </row>
    <row r="9353">
      <c r="A9353" s="3" t="str">
        <f>IFERROR(__xludf.DUMMYFUNCTION("""COMPUTED_VALUE"""),"projekt-gold")</f>
        <v>projekt-gold</v>
      </c>
      <c r="B9353" s="3" t="str">
        <f>IFERROR(__xludf.DUMMYFUNCTION("""COMPUTED_VALUE"""),"gold")</f>
        <v>gold</v>
      </c>
      <c r="C9353" s="3" t="str">
        <f>IFERROR(__xludf.DUMMYFUNCTION("""COMPUTED_VALUE"""),"Projekt Gold")</f>
        <v>Projekt Gold</v>
      </c>
    </row>
    <row r="9354">
      <c r="A9354" s="3" t="str">
        <f>IFERROR(__xludf.DUMMYFUNCTION("""COMPUTED_VALUE"""),"prometeus")</f>
        <v>prometeus</v>
      </c>
      <c r="B9354" s="3" t="str">
        <f>IFERROR(__xludf.DUMMYFUNCTION("""COMPUTED_VALUE"""),"prom")</f>
        <v>prom</v>
      </c>
      <c r="C9354" s="3" t="str">
        <f>IFERROR(__xludf.DUMMYFUNCTION("""COMPUTED_VALUE"""),"Prom")</f>
        <v>Prom</v>
      </c>
    </row>
    <row r="9355">
      <c r="A9355" s="3" t="str">
        <f>IFERROR(__xludf.DUMMYFUNCTION("""COMPUTED_VALUE"""),"prometheus")</f>
        <v>prometheus</v>
      </c>
      <c r="B9355" s="3" t="str">
        <f>IFERROR(__xludf.DUMMYFUNCTION("""COMPUTED_VALUE"""),"phi")</f>
        <v>phi</v>
      </c>
      <c r="C9355" s="3" t="str">
        <f>IFERROR(__xludf.DUMMYFUNCTION("""COMPUTED_VALUE"""),"Prometheus")</f>
        <v>Prometheus</v>
      </c>
    </row>
    <row r="9356">
      <c r="A9356" s="3" t="str">
        <f>IFERROR(__xludf.DUMMYFUNCTION("""COMPUTED_VALUE"""),"prometheus-token")</f>
        <v>prometheus-token</v>
      </c>
      <c r="B9356" s="3" t="str">
        <f>IFERROR(__xludf.DUMMYFUNCTION("""COMPUTED_VALUE"""),"pro")</f>
        <v>pro</v>
      </c>
      <c r="C9356" s="3" t="str">
        <f>IFERROR(__xludf.DUMMYFUNCTION("""COMPUTED_VALUE"""),"Peak Finance Prometheus")</f>
        <v>Peak Finance Prometheus</v>
      </c>
    </row>
    <row r="9357">
      <c r="A9357" s="3" t="str">
        <f>IFERROR(__xludf.DUMMYFUNCTION("""COMPUTED_VALUE"""),"promise-token")</f>
        <v>promise-token</v>
      </c>
      <c r="B9357" s="3" t="str">
        <f>IFERROR(__xludf.DUMMYFUNCTION("""COMPUTED_VALUE"""),"promise")</f>
        <v>promise</v>
      </c>
      <c r="C9357" s="3" t="str">
        <f>IFERROR(__xludf.DUMMYFUNCTION("""COMPUTED_VALUE"""),"Promise")</f>
        <v>Promise</v>
      </c>
    </row>
    <row r="9358">
      <c r="A9358" s="3" t="str">
        <f>IFERROR(__xludf.DUMMYFUNCTION("""COMPUTED_VALUE"""),"promodio")</f>
        <v>promodio</v>
      </c>
      <c r="B9358" s="3" t="str">
        <f>IFERROR(__xludf.DUMMYFUNCTION("""COMPUTED_VALUE"""),"pmd")</f>
        <v>pmd</v>
      </c>
      <c r="C9358" s="3" t="str">
        <f>IFERROR(__xludf.DUMMYFUNCTION("""COMPUTED_VALUE"""),"Promodio")</f>
        <v>Promodio</v>
      </c>
    </row>
    <row r="9359">
      <c r="A9359" s="3" t="str">
        <f>IFERROR(__xludf.DUMMYFUNCTION("""COMPUTED_VALUE"""),"promo-swipe-coin")</f>
        <v>promo-swipe-coin</v>
      </c>
      <c r="B9359" s="3" t="str">
        <f>IFERROR(__xludf.DUMMYFUNCTION("""COMPUTED_VALUE"""),"psc")</f>
        <v>psc</v>
      </c>
      <c r="C9359" s="3" t="str">
        <f>IFERROR(__xludf.DUMMYFUNCTION("""COMPUTED_VALUE"""),"Promo Swipe Coin")</f>
        <v>Promo Swipe Coin</v>
      </c>
    </row>
    <row r="9360">
      <c r="A9360" s="3" t="str">
        <f>IFERROR(__xludf.DUMMYFUNCTION("""COMPUTED_VALUE"""),"proof-of-apes")</f>
        <v>proof-of-apes</v>
      </c>
      <c r="B9360" s="3" t="str">
        <f>IFERROR(__xludf.DUMMYFUNCTION("""COMPUTED_VALUE"""),"poa")</f>
        <v>poa</v>
      </c>
      <c r="C9360" s="3" t="str">
        <f>IFERROR(__xludf.DUMMYFUNCTION("""COMPUTED_VALUE"""),"Proof Of Apes")</f>
        <v>Proof Of Apes</v>
      </c>
    </row>
    <row r="9361">
      <c r="A9361" s="3" t="str">
        <f>IFERROR(__xludf.DUMMYFUNCTION("""COMPUTED_VALUE"""),"proof-of-degen")</f>
        <v>proof-of-degen</v>
      </c>
      <c r="B9361" s="3" t="str">
        <f>IFERROR(__xludf.DUMMYFUNCTION("""COMPUTED_VALUE"""),"bnb2.0")</f>
        <v>bnb2.0</v>
      </c>
      <c r="C9361" s="3" t="str">
        <f>IFERROR(__xludf.DUMMYFUNCTION("""COMPUTED_VALUE"""),"Proof of Degen")</f>
        <v>Proof of Degen</v>
      </c>
    </row>
    <row r="9362">
      <c r="A9362" s="3" t="str">
        <f>IFERROR(__xludf.DUMMYFUNCTION("""COMPUTED_VALUE"""),"proof-of-liquidity")</f>
        <v>proof-of-liquidity</v>
      </c>
      <c r="B9362" s="3" t="str">
        <f>IFERROR(__xludf.DUMMYFUNCTION("""COMPUTED_VALUE"""),"pol")</f>
        <v>pol</v>
      </c>
      <c r="C9362" s="3" t="str">
        <f>IFERROR(__xludf.DUMMYFUNCTION("""COMPUTED_VALUE"""),"Proof Of Liquidity")</f>
        <v>Proof Of Liquidity</v>
      </c>
    </row>
    <row r="9363">
      <c r="A9363" s="3" t="str">
        <f>IFERROR(__xludf.DUMMYFUNCTION("""COMPUTED_VALUE"""),"proof-of-memes")</f>
        <v>proof-of-memes</v>
      </c>
      <c r="B9363" s="3" t="str">
        <f>IFERROR(__xludf.DUMMYFUNCTION("""COMPUTED_VALUE"""),"eth2.0")</f>
        <v>eth2.0</v>
      </c>
      <c r="C9363" s="3" t="str">
        <f>IFERROR(__xludf.DUMMYFUNCTION("""COMPUTED_VALUE"""),"Proof Of Memes - Ethereum")</f>
        <v>Proof Of Memes - Ethereum</v>
      </c>
    </row>
    <row r="9364">
      <c r="A9364" s="3" t="str">
        <f>IFERROR(__xludf.DUMMYFUNCTION("""COMPUTED_VALUE"""),"proof-of-memes-pomchain")</f>
        <v>proof-of-memes-pomchain</v>
      </c>
      <c r="B9364" s="3" t="str">
        <f>IFERROR(__xludf.DUMMYFUNCTION("""COMPUTED_VALUE"""),"pom")</f>
        <v>pom</v>
      </c>
      <c r="C9364" s="3" t="str">
        <f>IFERROR(__xludf.DUMMYFUNCTION("""COMPUTED_VALUE"""),"Proof Of Memes")</f>
        <v>Proof Of Memes</v>
      </c>
    </row>
    <row r="9365">
      <c r="A9365" s="3" t="str">
        <f>IFERROR(__xludf.DUMMYFUNCTION("""COMPUTED_VALUE"""),"propel-token")</f>
        <v>propel-token</v>
      </c>
      <c r="B9365" s="3" t="str">
        <f>IFERROR(__xludf.DUMMYFUNCTION("""COMPUTED_VALUE"""),"pel")</f>
        <v>pel</v>
      </c>
      <c r="C9365" s="3" t="str">
        <f>IFERROR(__xludf.DUMMYFUNCTION("""COMPUTED_VALUE"""),"Propel PEL")</f>
        <v>Propel PEL</v>
      </c>
    </row>
    <row r="9366">
      <c r="A9366" s="3" t="str">
        <f>IFERROR(__xludf.DUMMYFUNCTION("""COMPUTED_VALUE"""),"property-blockchain-trade")</f>
        <v>property-blockchain-trade</v>
      </c>
      <c r="B9366" s="3" t="str">
        <f>IFERROR(__xludf.DUMMYFUNCTION("""COMPUTED_VALUE"""),"pbt")</f>
        <v>pbt</v>
      </c>
      <c r="C9366" s="3" t="str">
        <f>IFERROR(__xludf.DUMMYFUNCTION("""COMPUTED_VALUE"""),"PROPERTY BLOCKCHAIN TRADE")</f>
        <v>PROPERTY BLOCKCHAIN TRADE</v>
      </c>
    </row>
    <row r="9367">
      <c r="A9367" s="3" t="str">
        <f>IFERROR(__xludf.DUMMYFUNCTION("""COMPUTED_VALUE"""),"prophet")</f>
        <v>prophet</v>
      </c>
      <c r="B9367" s="3" t="str">
        <f>IFERROR(__xludf.DUMMYFUNCTION("""COMPUTED_VALUE"""),"pro")</f>
        <v>pro</v>
      </c>
      <c r="C9367" s="3" t="str">
        <f>IFERROR(__xludf.DUMMYFUNCTION("""COMPUTED_VALUE"""),"Prophet")</f>
        <v>Prophet</v>
      </c>
    </row>
    <row r="9368">
      <c r="A9368" s="3" t="str">
        <f>IFERROR(__xludf.DUMMYFUNCTION("""COMPUTED_VALUE"""),"props")</f>
        <v>props</v>
      </c>
      <c r="B9368" s="3" t="str">
        <f>IFERROR(__xludf.DUMMYFUNCTION("""COMPUTED_VALUE"""),"props")</f>
        <v>props</v>
      </c>
      <c r="C9368" s="3" t="str">
        <f>IFERROR(__xludf.DUMMYFUNCTION("""COMPUTED_VALUE"""),"Props")</f>
        <v>Props</v>
      </c>
    </row>
    <row r="9369">
      <c r="A9369" s="3" t="str">
        <f>IFERROR(__xludf.DUMMYFUNCTION("""COMPUTED_VALUE"""),"propy")</f>
        <v>propy</v>
      </c>
      <c r="B9369" s="3" t="str">
        <f>IFERROR(__xludf.DUMMYFUNCTION("""COMPUTED_VALUE"""),"pro")</f>
        <v>pro</v>
      </c>
      <c r="C9369" s="3" t="str">
        <f>IFERROR(__xludf.DUMMYFUNCTION("""COMPUTED_VALUE"""),"Propy")</f>
        <v>Propy</v>
      </c>
    </row>
    <row r="9370">
      <c r="A9370" s="3" t="str">
        <f>IFERROR(__xludf.DUMMYFUNCTION("""COMPUTED_VALUE"""),"proshares-bitcoin-strategy-etf")</f>
        <v>proshares-bitcoin-strategy-etf</v>
      </c>
      <c r="B9370" s="3" t="str">
        <f>IFERROR(__xludf.DUMMYFUNCTION("""COMPUTED_VALUE"""),"bito")</f>
        <v>bito</v>
      </c>
      <c r="C9370" s="3" t="str">
        <f>IFERROR(__xludf.DUMMYFUNCTION("""COMPUTED_VALUE"""),"ProShares Bitcoin Strategy ETF")</f>
        <v>ProShares Bitcoin Strategy ETF</v>
      </c>
    </row>
    <row r="9371">
      <c r="A9371" s="3" t="str">
        <f>IFERROR(__xludf.DUMMYFUNCTION("""COMPUTED_VALUE"""),"prosper")</f>
        <v>prosper</v>
      </c>
      <c r="B9371" s="3" t="str">
        <f>IFERROR(__xludf.DUMMYFUNCTION("""COMPUTED_VALUE"""),"pros")</f>
        <v>pros</v>
      </c>
      <c r="C9371" s="3" t="str">
        <f>IFERROR(__xludf.DUMMYFUNCTION("""COMPUTED_VALUE"""),"Prosper")</f>
        <v>Prosper</v>
      </c>
    </row>
    <row r="9372">
      <c r="A9372" s="3" t="str">
        <f>IFERROR(__xludf.DUMMYFUNCTION("""COMPUTED_VALUE"""),"prosperity-gold")</f>
        <v>prosperity-gold</v>
      </c>
      <c r="B9372" s="3" t="str">
        <f>IFERROR(__xludf.DUMMYFUNCTION("""COMPUTED_VALUE"""),"prgd")</f>
        <v>prgd</v>
      </c>
      <c r="C9372" s="3" t="str">
        <f>IFERROR(__xludf.DUMMYFUNCTION("""COMPUTED_VALUE"""),"Prosperity Gold")</f>
        <v>Prosperity Gold</v>
      </c>
    </row>
    <row r="9373">
      <c r="A9373" s="3" t="str">
        <f>IFERROR(__xludf.DUMMYFUNCTION("""COMPUTED_VALUE"""),"prostarter-token")</f>
        <v>prostarter-token</v>
      </c>
      <c r="B9373" s="3" t="str">
        <f>IFERROR(__xludf.DUMMYFUNCTION("""COMPUTED_VALUE"""),"prot")</f>
        <v>prot</v>
      </c>
      <c r="C9373" s="3" t="str">
        <f>IFERROR(__xludf.DUMMYFUNCTION("""COMPUTED_VALUE"""),"ProStarter")</f>
        <v>ProStarter</v>
      </c>
    </row>
    <row r="9374">
      <c r="A9374" s="3" t="str">
        <f>IFERROR(__xludf.DUMMYFUNCTION("""COMPUTED_VALUE"""),"protector-roge")</f>
        <v>protector-roge</v>
      </c>
      <c r="B9374" s="3" t="str">
        <f>IFERROR(__xludf.DUMMYFUNCTION("""COMPUTED_VALUE"""),"proge")</f>
        <v>proge</v>
      </c>
      <c r="C9374" s="3" t="str">
        <f>IFERROR(__xludf.DUMMYFUNCTION("""COMPUTED_VALUE"""),"Protector Roge")</f>
        <v>Protector Roge</v>
      </c>
    </row>
    <row r="9375">
      <c r="A9375" s="3" t="str">
        <f>IFERROR(__xludf.DUMMYFUNCTION("""COMPUTED_VALUE"""),"protectors-of-the-realm")</f>
        <v>protectors-of-the-realm</v>
      </c>
      <c r="B9375" s="3" t="str">
        <f>IFERROR(__xludf.DUMMYFUNCTION("""COMPUTED_VALUE"""),"wer1")</f>
        <v>wer1</v>
      </c>
      <c r="C9375" s="3" t="str">
        <f>IFERROR(__xludf.DUMMYFUNCTION("""COMPUTED_VALUE"""),"Protectors of the Realm")</f>
        <v>Protectors of the Realm</v>
      </c>
    </row>
    <row r="9376">
      <c r="A9376" s="3" t="str">
        <f>IFERROR(__xludf.DUMMYFUNCTION("""COMPUTED_VALUE"""),"proteo")</f>
        <v>proteo</v>
      </c>
      <c r="B9376" s="3" t="str">
        <f>IFERROR(__xludf.DUMMYFUNCTION("""COMPUTED_VALUE"""),"proteo")</f>
        <v>proteo</v>
      </c>
      <c r="C9376" s="3" t="str">
        <f>IFERROR(__xludf.DUMMYFUNCTION("""COMPUTED_VALUE"""),"Proteo")</f>
        <v>Proteo</v>
      </c>
    </row>
    <row r="9377">
      <c r="A9377" s="3" t="str">
        <f>IFERROR(__xludf.DUMMYFUNCTION("""COMPUTED_VALUE"""),"proteo-defi")</f>
        <v>proteo-defi</v>
      </c>
      <c r="B9377" s="3" t="str">
        <f>IFERROR(__xludf.DUMMYFUNCTION("""COMPUTED_VALUE"""),"proteo")</f>
        <v>proteo</v>
      </c>
      <c r="C9377" s="3" t="str">
        <f>IFERROR(__xludf.DUMMYFUNCTION("""COMPUTED_VALUE"""),"Proteo DeFi")</f>
        <v>Proteo DeFi</v>
      </c>
    </row>
    <row r="9378">
      <c r="A9378" s="3" t="str">
        <f>IFERROR(__xludf.DUMMYFUNCTION("""COMPUTED_VALUE"""),"protocol-finance")</f>
        <v>protocol-finance</v>
      </c>
      <c r="B9378" s="3" t="str">
        <f>IFERROR(__xludf.DUMMYFUNCTION("""COMPUTED_VALUE"""),"pfi")</f>
        <v>pfi</v>
      </c>
      <c r="C9378" s="3" t="str">
        <f>IFERROR(__xludf.DUMMYFUNCTION("""COMPUTED_VALUE"""),"Protocol Finance")</f>
        <v>Protocol Finance</v>
      </c>
    </row>
    <row r="9379">
      <c r="A9379" s="3" t="str">
        <f>IFERROR(__xludf.DUMMYFUNCTION("""COMPUTED_VALUE"""),"protocon")</f>
        <v>protocon</v>
      </c>
      <c r="B9379" s="3" t="str">
        <f>IFERROR(__xludf.DUMMYFUNCTION("""COMPUTED_VALUE"""),"pen")</f>
        <v>pen</v>
      </c>
      <c r="C9379" s="3" t="str">
        <f>IFERROR(__xludf.DUMMYFUNCTION("""COMPUTED_VALUE"""),"Protocon")</f>
        <v>Protocon</v>
      </c>
    </row>
    <row r="9380">
      <c r="A9380" s="3" t="str">
        <f>IFERROR(__xludf.DUMMYFUNCTION("""COMPUTED_VALUE"""),"protofi")</f>
        <v>protofi</v>
      </c>
      <c r="B9380" s="3" t="str">
        <f>IFERROR(__xludf.DUMMYFUNCTION("""COMPUTED_VALUE"""),"proto")</f>
        <v>proto</v>
      </c>
      <c r="C9380" s="3" t="str">
        <f>IFERROR(__xludf.DUMMYFUNCTION("""COMPUTED_VALUE"""),"Protofi")</f>
        <v>Protofi</v>
      </c>
    </row>
    <row r="9381">
      <c r="A9381" s="3" t="str">
        <f>IFERROR(__xludf.DUMMYFUNCTION("""COMPUTED_VALUE"""),"proton")</f>
        <v>proton</v>
      </c>
      <c r="B9381" s="3" t="str">
        <f>IFERROR(__xludf.DUMMYFUNCTION("""COMPUTED_VALUE"""),"xpr")</f>
        <v>xpr</v>
      </c>
      <c r="C9381" s="3" t="str">
        <f>IFERROR(__xludf.DUMMYFUNCTION("""COMPUTED_VALUE"""),"Proton")</f>
        <v>Proton</v>
      </c>
    </row>
    <row r="9382">
      <c r="A9382" s="3" t="str">
        <f>IFERROR(__xludf.DUMMYFUNCTION("""COMPUTED_VALUE"""),"proton-coin")</f>
        <v>proton-coin</v>
      </c>
      <c r="B9382" s="3" t="str">
        <f>IFERROR(__xludf.DUMMYFUNCTION("""COMPUTED_VALUE"""),"pro")</f>
        <v>pro</v>
      </c>
      <c r="C9382" s="3" t="str">
        <f>IFERROR(__xludf.DUMMYFUNCTION("""COMPUTED_VALUE"""),"Proton Coin")</f>
        <v>Proton Coin</v>
      </c>
    </row>
    <row r="9383">
      <c r="A9383" s="3" t="str">
        <f>IFERROR(__xludf.DUMMYFUNCTION("""COMPUTED_VALUE"""),"proton-loan")</f>
        <v>proton-loan</v>
      </c>
      <c r="B9383" s="3" t="str">
        <f>IFERROR(__xludf.DUMMYFUNCTION("""COMPUTED_VALUE"""),"loan")</f>
        <v>loan</v>
      </c>
      <c r="C9383" s="3" t="str">
        <f>IFERROR(__xludf.DUMMYFUNCTION("""COMPUTED_VALUE"""),"Proton Loan")</f>
        <v>Proton Loan</v>
      </c>
    </row>
    <row r="9384">
      <c r="A9384" s="3" t="str">
        <f>IFERROR(__xludf.DUMMYFUNCTION("""COMPUTED_VALUE"""),"protoreality-games")</f>
        <v>protoreality-games</v>
      </c>
      <c r="B9384" s="3" t="str">
        <f>IFERROR(__xludf.DUMMYFUNCTION("""COMPUTED_VALUE"""),"prgc")</f>
        <v>prgc</v>
      </c>
      <c r="C9384" s="3" t="str">
        <f>IFERROR(__xludf.DUMMYFUNCTION("""COMPUTED_VALUE"""),"ProtoReality Games")</f>
        <v>ProtoReality Games</v>
      </c>
    </row>
    <row r="9385">
      <c r="A9385" s="3" t="str">
        <f>IFERROR(__xludf.DUMMYFUNCTION("""COMPUTED_VALUE"""),"provenance-blockchain")</f>
        <v>provenance-blockchain</v>
      </c>
      <c r="B9385" s="3" t="str">
        <f>IFERROR(__xludf.DUMMYFUNCTION("""COMPUTED_VALUE"""),"hash")</f>
        <v>hash</v>
      </c>
      <c r="C9385" s="3" t="str">
        <f>IFERROR(__xludf.DUMMYFUNCTION("""COMPUTED_VALUE"""),"Provenance Blockchain")</f>
        <v>Provenance Blockchain</v>
      </c>
    </row>
    <row r="9386">
      <c r="A9386" s="3" t="str">
        <f>IFERROR(__xludf.DUMMYFUNCTION("""COMPUTED_VALUE"""),"province")</f>
        <v>province</v>
      </c>
      <c r="B9386" s="3" t="str">
        <f>IFERROR(__xludf.DUMMYFUNCTION("""COMPUTED_VALUE"""),"maple")</f>
        <v>maple</v>
      </c>
      <c r="C9386" s="3" t="str">
        <f>IFERROR(__xludf.DUMMYFUNCTION("""COMPUTED_VALUE"""),"Province")</f>
        <v>Province</v>
      </c>
    </row>
    <row r="9387">
      <c r="A9387" s="3" t="str">
        <f>IFERROR(__xludf.DUMMYFUNCTION("""COMPUTED_VALUE"""),"proximax")</f>
        <v>proximax</v>
      </c>
      <c r="B9387" s="3" t="str">
        <f>IFERROR(__xludf.DUMMYFUNCTION("""COMPUTED_VALUE"""),"xpx")</f>
        <v>xpx</v>
      </c>
      <c r="C9387" s="3" t="str">
        <f>IFERROR(__xludf.DUMMYFUNCTION("""COMPUTED_VALUE"""),"ProximaX")</f>
        <v>ProximaX</v>
      </c>
    </row>
    <row r="9388">
      <c r="A9388" s="3" t="str">
        <f>IFERROR(__xludf.DUMMYFUNCTION("""COMPUTED_VALUE"""),"proxy")</f>
        <v>proxy</v>
      </c>
      <c r="B9388" s="3" t="str">
        <f>IFERROR(__xludf.DUMMYFUNCTION("""COMPUTED_VALUE"""),"prxy")</f>
        <v>prxy</v>
      </c>
      <c r="C9388" s="3" t="str">
        <f>IFERROR(__xludf.DUMMYFUNCTION("""COMPUTED_VALUE"""),"Proxy")</f>
        <v>Proxy</v>
      </c>
    </row>
    <row r="9389">
      <c r="A9389" s="3" t="str">
        <f>IFERROR(__xludf.DUMMYFUNCTION("""COMPUTED_VALUE"""),"proxynode")</f>
        <v>proxynode</v>
      </c>
      <c r="B9389" s="3" t="str">
        <f>IFERROR(__xludf.DUMMYFUNCTION("""COMPUTED_VALUE"""),"prx")</f>
        <v>prx</v>
      </c>
      <c r="C9389" s="3" t="str">
        <f>IFERROR(__xludf.DUMMYFUNCTION("""COMPUTED_VALUE"""),"ProxyNode")</f>
        <v>ProxyNode</v>
      </c>
    </row>
    <row r="9390">
      <c r="A9390" s="3" t="str">
        <f>IFERROR(__xludf.DUMMYFUNCTION("""COMPUTED_VALUE"""),"pruf-protocol")</f>
        <v>pruf-protocol</v>
      </c>
      <c r="B9390" s="3" t="str">
        <f>IFERROR(__xludf.DUMMYFUNCTION("""COMPUTED_VALUE"""),"pruf")</f>
        <v>pruf</v>
      </c>
      <c r="C9390" s="3" t="str">
        <f>IFERROR(__xludf.DUMMYFUNCTION("""COMPUTED_VALUE"""),"PRüF Protocol")</f>
        <v>PRüF Protocol</v>
      </c>
    </row>
    <row r="9391">
      <c r="A9391" s="3" t="str">
        <f>IFERROR(__xludf.DUMMYFUNCTION("""COMPUTED_VALUE"""),"pryz")</f>
        <v>pryz</v>
      </c>
      <c r="B9391" s="3" t="str">
        <f>IFERROR(__xludf.DUMMYFUNCTION("""COMPUTED_VALUE"""),"pryz")</f>
        <v>pryz</v>
      </c>
      <c r="C9391" s="3" t="str">
        <f>IFERROR(__xludf.DUMMYFUNCTION("""COMPUTED_VALUE"""),"Pryz")</f>
        <v>Pryz</v>
      </c>
    </row>
    <row r="9392">
      <c r="A9392" s="3" t="str">
        <f>IFERROR(__xludf.DUMMYFUNCTION("""COMPUTED_VALUE"""),"pspace")</f>
        <v>pspace</v>
      </c>
      <c r="B9392" s="3" t="str">
        <f>IFERROR(__xludf.DUMMYFUNCTION("""COMPUTED_VALUE"""),"pspace")</f>
        <v>pspace</v>
      </c>
      <c r="C9392" s="3" t="str">
        <f>IFERROR(__xludf.DUMMYFUNCTION("""COMPUTED_VALUE"""),"pSPACE")</f>
        <v>pSPACE</v>
      </c>
    </row>
    <row r="9393">
      <c r="A9393" s="3" t="str">
        <f>IFERROR(__xludf.DUMMYFUNCTION("""COMPUTED_VALUE"""),"pstake-finance")</f>
        <v>pstake-finance</v>
      </c>
      <c r="B9393" s="3" t="str">
        <f>IFERROR(__xludf.DUMMYFUNCTION("""COMPUTED_VALUE"""),"pstake")</f>
        <v>pstake</v>
      </c>
      <c r="C9393" s="3" t="str">
        <f>IFERROR(__xludf.DUMMYFUNCTION("""COMPUTED_VALUE"""),"pSTAKE Finance")</f>
        <v>pSTAKE Finance</v>
      </c>
    </row>
    <row r="9394">
      <c r="A9394" s="3" t="str">
        <f>IFERROR(__xludf.DUMMYFUNCTION("""COMPUTED_VALUE"""),"pstake-staked-atom")</f>
        <v>pstake-staked-atom</v>
      </c>
      <c r="B9394" s="3" t="str">
        <f>IFERROR(__xludf.DUMMYFUNCTION("""COMPUTED_VALUE"""),"stkatom")</f>
        <v>stkatom</v>
      </c>
      <c r="C9394" s="3" t="str">
        <f>IFERROR(__xludf.DUMMYFUNCTION("""COMPUTED_VALUE"""),"pSTAKE Staked ATOM")</f>
        <v>pSTAKE Staked ATOM</v>
      </c>
    </row>
    <row r="9395">
      <c r="A9395" s="3" t="str">
        <f>IFERROR(__xludf.DUMMYFUNCTION("""COMPUTED_VALUE"""),"pstake-staked-bnb")</f>
        <v>pstake-staked-bnb</v>
      </c>
      <c r="B9395" s="3" t="str">
        <f>IFERROR(__xludf.DUMMYFUNCTION("""COMPUTED_VALUE"""),"stkbnb")</f>
        <v>stkbnb</v>
      </c>
      <c r="C9395" s="3" t="str">
        <f>IFERROR(__xludf.DUMMYFUNCTION("""COMPUTED_VALUE"""),"pSTAKE Staked BNB")</f>
        <v>pSTAKE Staked BNB</v>
      </c>
    </row>
    <row r="9396">
      <c r="A9396" s="3" t="str">
        <f>IFERROR(__xludf.DUMMYFUNCTION("""COMPUTED_VALUE"""),"pstake-staked-eth")</f>
        <v>pstake-staked-eth</v>
      </c>
      <c r="B9396" s="3" t="str">
        <f>IFERROR(__xludf.DUMMYFUNCTION("""COMPUTED_VALUE"""),"stketh")</f>
        <v>stketh</v>
      </c>
      <c r="C9396" s="3" t="str">
        <f>IFERROR(__xludf.DUMMYFUNCTION("""COMPUTED_VALUE"""),"pSTAKE Staked ETH")</f>
        <v>pSTAKE Staked ETH</v>
      </c>
    </row>
    <row r="9397">
      <c r="A9397" s="3" t="str">
        <f>IFERROR(__xludf.DUMMYFUNCTION("""COMPUTED_VALUE"""),"psule")</f>
        <v>psule</v>
      </c>
      <c r="B9397" s="3" t="str">
        <f>IFERROR(__xludf.DUMMYFUNCTION("""COMPUTED_VALUE"""),"sule")</f>
        <v>sule</v>
      </c>
      <c r="C9397" s="3" t="str">
        <f>IFERROR(__xludf.DUMMYFUNCTION("""COMPUTED_VALUE"""),"Sule")</f>
        <v>Sule</v>
      </c>
    </row>
    <row r="9398">
      <c r="A9398" s="3" t="str">
        <f>IFERROR(__xludf.DUMMYFUNCTION("""COMPUTED_VALUE"""),"psyche")</f>
        <v>psyche</v>
      </c>
      <c r="B9398" s="3" t="str">
        <f>IFERROR(__xludf.DUMMYFUNCTION("""COMPUTED_VALUE"""),"usd1")</f>
        <v>usd1</v>
      </c>
      <c r="C9398" s="3" t="str">
        <f>IFERROR(__xludf.DUMMYFUNCTION("""COMPUTED_VALUE"""),"Psyche")</f>
        <v>Psyche</v>
      </c>
    </row>
    <row r="9399">
      <c r="A9399" s="3" t="str">
        <f>IFERROR(__xludf.DUMMYFUNCTION("""COMPUTED_VALUE"""),"psycho-doge")</f>
        <v>psycho-doge</v>
      </c>
      <c r="B9399" s="3" t="str">
        <f>IFERROR(__xludf.DUMMYFUNCTION("""COMPUTED_VALUE"""),"psychodoge")</f>
        <v>psychodoge</v>
      </c>
      <c r="C9399" s="3" t="str">
        <f>IFERROR(__xludf.DUMMYFUNCTION("""COMPUTED_VALUE"""),"Psycho Doge")</f>
        <v>Psycho Doge</v>
      </c>
    </row>
    <row r="9400">
      <c r="A9400" s="3" t="str">
        <f>IFERROR(__xludf.DUMMYFUNCTION("""COMPUTED_VALUE"""),"psy-coin")</f>
        <v>psy-coin</v>
      </c>
      <c r="B9400" s="3" t="str">
        <f>IFERROR(__xludf.DUMMYFUNCTION("""COMPUTED_VALUE"""),"psy")</f>
        <v>psy</v>
      </c>
      <c r="C9400" s="3" t="str">
        <f>IFERROR(__xludf.DUMMYFUNCTION("""COMPUTED_VALUE"""),"PSY Coin")</f>
        <v>PSY Coin</v>
      </c>
    </row>
    <row r="9401">
      <c r="A9401" s="3" t="str">
        <f>IFERROR(__xludf.DUMMYFUNCTION("""COMPUTED_VALUE"""),"psyoptions")</f>
        <v>psyoptions</v>
      </c>
      <c r="B9401" s="3" t="str">
        <f>IFERROR(__xludf.DUMMYFUNCTION("""COMPUTED_VALUE"""),"psy")</f>
        <v>psy</v>
      </c>
      <c r="C9401" s="3" t="str">
        <f>IFERROR(__xludf.DUMMYFUNCTION("""COMPUTED_VALUE"""),"PsyOptions")</f>
        <v>PsyOptions</v>
      </c>
    </row>
    <row r="9402">
      <c r="A9402" s="3" t="str">
        <f>IFERROR(__xludf.DUMMYFUNCTION("""COMPUTED_VALUE"""),"ptokens-btc")</f>
        <v>ptokens-btc</v>
      </c>
      <c r="B9402" s="3" t="str">
        <f>IFERROR(__xludf.DUMMYFUNCTION("""COMPUTED_VALUE"""),"pbtc")</f>
        <v>pbtc</v>
      </c>
      <c r="C9402" s="3" t="str">
        <f>IFERROR(__xludf.DUMMYFUNCTION("""COMPUTED_VALUE"""),"pTokens BTC [OLD]")</f>
        <v>pTokens BTC [OLD]</v>
      </c>
    </row>
    <row r="9403">
      <c r="A9403" s="3" t="str">
        <f>IFERROR(__xludf.DUMMYFUNCTION("""COMPUTED_VALUE"""),"ptokens-btc-2")</f>
        <v>ptokens-btc-2</v>
      </c>
      <c r="B9403" s="3" t="str">
        <f>IFERROR(__xludf.DUMMYFUNCTION("""COMPUTED_VALUE"""),"pbtc")</f>
        <v>pbtc</v>
      </c>
      <c r="C9403" s="3" t="str">
        <f>IFERROR(__xludf.DUMMYFUNCTION("""COMPUTED_VALUE"""),"pTokens BTC")</f>
        <v>pTokens BTC</v>
      </c>
    </row>
    <row r="9404">
      <c r="A9404" s="3" t="str">
        <f>IFERROR(__xludf.DUMMYFUNCTION("""COMPUTED_VALUE"""),"ptokens-ore")</f>
        <v>ptokens-ore</v>
      </c>
      <c r="B9404" s="3" t="str">
        <f>IFERROR(__xludf.DUMMYFUNCTION("""COMPUTED_VALUE"""),"ore")</f>
        <v>ore</v>
      </c>
      <c r="C9404" s="3" t="str">
        <f>IFERROR(__xludf.DUMMYFUNCTION("""COMPUTED_VALUE"""),"ORE Network")</f>
        <v>ORE Network</v>
      </c>
    </row>
    <row r="9405">
      <c r="A9405" s="3" t="str">
        <f>IFERROR(__xludf.DUMMYFUNCTION("""COMPUTED_VALUE"""),"ptx")</f>
        <v>ptx</v>
      </c>
      <c r="B9405" s="3" t="str">
        <f>IFERROR(__xludf.DUMMYFUNCTION("""COMPUTED_VALUE"""),"ptx")</f>
        <v>ptx</v>
      </c>
      <c r="C9405" s="3" t="str">
        <f>IFERROR(__xludf.DUMMYFUNCTION("""COMPUTED_VALUE"""),"ProtocolX")</f>
        <v>ProtocolX</v>
      </c>
    </row>
    <row r="9406">
      <c r="A9406" s="3" t="str">
        <f>IFERROR(__xludf.DUMMYFUNCTION("""COMPUTED_VALUE"""),"pube-finance")</f>
        <v>pube-finance</v>
      </c>
      <c r="B9406" s="3" t="str">
        <f>IFERROR(__xludf.DUMMYFUNCTION("""COMPUTED_VALUE"""),"pube")</f>
        <v>pube</v>
      </c>
      <c r="C9406" s="3" t="str">
        <f>IFERROR(__xludf.DUMMYFUNCTION("""COMPUTED_VALUE"""),"Pube Finance")</f>
        <v>Pube Finance</v>
      </c>
    </row>
    <row r="9407">
      <c r="A9407" s="3" t="str">
        <f>IFERROR(__xludf.DUMMYFUNCTION("""COMPUTED_VALUE"""),"pub-finance")</f>
        <v>pub-finance</v>
      </c>
      <c r="B9407" s="3" t="str">
        <f>IFERROR(__xludf.DUMMYFUNCTION("""COMPUTED_VALUE"""),"pint")</f>
        <v>pint</v>
      </c>
      <c r="C9407" s="3" t="str">
        <f>IFERROR(__xludf.DUMMYFUNCTION("""COMPUTED_VALUE"""),"Pub Finance")</f>
        <v>Pub Finance</v>
      </c>
    </row>
    <row r="9408">
      <c r="A9408" s="3" t="str">
        <f>IFERROR(__xludf.DUMMYFUNCTION("""COMPUTED_VALUE"""),"public-index-network")</f>
        <v>public-index-network</v>
      </c>
      <c r="B9408" s="3" t="str">
        <f>IFERROR(__xludf.DUMMYFUNCTION("""COMPUTED_VALUE"""),"pin")</f>
        <v>pin</v>
      </c>
      <c r="C9408" s="3" t="str">
        <f>IFERROR(__xludf.DUMMYFUNCTION("""COMPUTED_VALUE"""),"Public Index Network")</f>
        <v>Public Index Network</v>
      </c>
    </row>
    <row r="9409">
      <c r="A9409" s="3" t="str">
        <f>IFERROR(__xludf.DUMMYFUNCTION("""COMPUTED_VALUE"""),"public-mint")</f>
        <v>public-mint</v>
      </c>
      <c r="B9409" s="3" t="str">
        <f>IFERROR(__xludf.DUMMYFUNCTION("""COMPUTED_VALUE"""),"mint")</f>
        <v>mint</v>
      </c>
      <c r="C9409" s="3" t="str">
        <f>IFERROR(__xludf.DUMMYFUNCTION("""COMPUTED_VALUE"""),"Public Mint")</f>
        <v>Public Mint</v>
      </c>
    </row>
    <row r="9410">
      <c r="A9410" s="3" t="str">
        <f>IFERROR(__xludf.DUMMYFUNCTION("""COMPUTED_VALUE"""),"publish")</f>
        <v>publish</v>
      </c>
      <c r="B9410" s="3" t="str">
        <f>IFERROR(__xludf.DUMMYFUNCTION("""COMPUTED_VALUE"""),"news")</f>
        <v>news</v>
      </c>
      <c r="C9410" s="3" t="str">
        <f>IFERROR(__xludf.DUMMYFUNCTION("""COMPUTED_VALUE"""),"PUBLISH")</f>
        <v>PUBLISH</v>
      </c>
    </row>
    <row r="9411">
      <c r="A9411" s="3" t="str">
        <f>IFERROR(__xludf.DUMMYFUNCTION("""COMPUTED_VALUE"""),"puddingswap")</f>
        <v>puddingswap</v>
      </c>
      <c r="B9411" s="3" t="str">
        <f>IFERROR(__xludf.DUMMYFUNCTION("""COMPUTED_VALUE"""),"pud")</f>
        <v>pud</v>
      </c>
      <c r="C9411" s="3" t="str">
        <f>IFERROR(__xludf.DUMMYFUNCTION("""COMPUTED_VALUE"""),"PuddingSwap")</f>
        <v>PuddingSwap</v>
      </c>
    </row>
    <row r="9412">
      <c r="A9412" s="3" t="str">
        <f>IFERROR(__xludf.DUMMYFUNCTION("""COMPUTED_VALUE"""),"pudgy-vault-nftx")</f>
        <v>pudgy-vault-nftx</v>
      </c>
      <c r="B9412" s="3" t="str">
        <f>IFERROR(__xludf.DUMMYFUNCTION("""COMPUTED_VALUE"""),"pudgy")</f>
        <v>pudgy</v>
      </c>
      <c r="C9412" s="3" t="str">
        <f>IFERROR(__xludf.DUMMYFUNCTION("""COMPUTED_VALUE"""),"PUDGY Vault (NFTX)")</f>
        <v>PUDGY Vault (NFTX)</v>
      </c>
    </row>
    <row r="9413">
      <c r="A9413" s="3" t="str">
        <f>IFERROR(__xludf.DUMMYFUNCTION("""COMPUTED_VALUE"""),"puff")</f>
        <v>puff</v>
      </c>
      <c r="B9413" s="3" t="str">
        <f>IFERROR(__xludf.DUMMYFUNCTION("""COMPUTED_VALUE"""),"puff")</f>
        <v>puff</v>
      </c>
      <c r="C9413" s="3" t="str">
        <f>IFERROR(__xludf.DUMMYFUNCTION("""COMPUTED_VALUE"""),"PUFF")</f>
        <v>PUFF</v>
      </c>
    </row>
    <row r="9414">
      <c r="A9414" s="3" t="str">
        <f>IFERROR(__xludf.DUMMYFUNCTION("""COMPUTED_VALUE"""),"puglife")</f>
        <v>puglife</v>
      </c>
      <c r="B9414" s="3" t="str">
        <f>IFERROR(__xludf.DUMMYFUNCTION("""COMPUTED_VALUE"""),"pugl")</f>
        <v>pugl</v>
      </c>
      <c r="C9414" s="3" t="str">
        <f>IFERROR(__xludf.DUMMYFUNCTION("""COMPUTED_VALUE"""),"PugLife")</f>
        <v>PugLife</v>
      </c>
    </row>
    <row r="9415">
      <c r="A9415" s="3" t="str">
        <f>IFERROR(__xludf.DUMMYFUNCTION("""COMPUTED_VALUE"""),"puli-inu")</f>
        <v>puli-inu</v>
      </c>
      <c r="B9415" s="3" t="str">
        <f>IFERROR(__xludf.DUMMYFUNCTION("""COMPUTED_VALUE"""),"puli")</f>
        <v>puli</v>
      </c>
      <c r="C9415" s="3" t="str">
        <f>IFERROR(__xludf.DUMMYFUNCTION("""COMPUTED_VALUE"""),"Puli")</f>
        <v>Puli</v>
      </c>
    </row>
    <row r="9416">
      <c r="A9416" s="3" t="str">
        <f>IFERROR(__xludf.DUMMYFUNCTION("""COMPUTED_VALUE"""),"pulsar-coin")</f>
        <v>pulsar-coin</v>
      </c>
      <c r="B9416" s="3" t="str">
        <f>IFERROR(__xludf.DUMMYFUNCTION("""COMPUTED_VALUE"""),"plsr")</f>
        <v>plsr</v>
      </c>
      <c r="C9416" s="3" t="str">
        <f>IFERROR(__xludf.DUMMYFUNCTION("""COMPUTED_VALUE"""),"Pulsar Coin")</f>
        <v>Pulsar Coin</v>
      </c>
    </row>
    <row r="9417">
      <c r="A9417" s="3" t="str">
        <f>IFERROR(__xludf.DUMMYFUNCTION("""COMPUTED_VALUE"""),"pulseapecoin")</f>
        <v>pulseapecoin</v>
      </c>
      <c r="B9417" s="3" t="str">
        <f>IFERROR(__xludf.DUMMYFUNCTION("""COMPUTED_VALUE"""),"$plsa")</f>
        <v>$plsa</v>
      </c>
      <c r="C9417" s="3" t="str">
        <f>IFERROR(__xludf.DUMMYFUNCTION("""COMPUTED_VALUE"""),"PulseApeCoin")</f>
        <v>PulseApeCoin</v>
      </c>
    </row>
    <row r="9418">
      <c r="A9418" s="3" t="str">
        <f>IFERROR(__xludf.DUMMYFUNCTION("""COMPUTED_VALUE"""),"pulsechain")</f>
        <v>pulsechain</v>
      </c>
      <c r="B9418" s="3" t="str">
        <f>IFERROR(__xludf.DUMMYFUNCTION("""COMPUTED_VALUE"""),"pls")</f>
        <v>pls</v>
      </c>
      <c r="C9418" s="3" t="str">
        <f>IFERROR(__xludf.DUMMYFUNCTION("""COMPUTED_VALUE"""),"Pulsechain")</f>
        <v>Pulsechain</v>
      </c>
    </row>
    <row r="9419">
      <c r="A9419" s="3" t="str">
        <f>IFERROR(__xludf.DUMMYFUNCTION("""COMPUTED_VALUE"""),"pulsedoge")</f>
        <v>pulsedoge</v>
      </c>
      <c r="B9419" s="3" t="str">
        <f>IFERROR(__xludf.DUMMYFUNCTION("""COMPUTED_VALUE"""),"pulsedoge")</f>
        <v>pulsedoge</v>
      </c>
      <c r="C9419" s="3" t="str">
        <f>IFERROR(__xludf.DUMMYFUNCTION("""COMPUTED_VALUE"""),"PulseDoge")</f>
        <v>PulseDoge</v>
      </c>
    </row>
    <row r="9420">
      <c r="A9420" s="3" t="str">
        <f>IFERROR(__xludf.DUMMYFUNCTION("""COMPUTED_VALUE"""),"pulsedogecoin")</f>
        <v>pulsedogecoin</v>
      </c>
      <c r="B9420" s="3" t="str">
        <f>IFERROR(__xludf.DUMMYFUNCTION("""COMPUTED_VALUE"""),"plsd")</f>
        <v>plsd</v>
      </c>
      <c r="C9420" s="3" t="str">
        <f>IFERROR(__xludf.DUMMYFUNCTION("""COMPUTED_VALUE"""),"PulseDogecoin")</f>
        <v>PulseDogecoin</v>
      </c>
    </row>
    <row r="9421">
      <c r="A9421" s="3" t="str">
        <f>IFERROR(__xludf.DUMMYFUNCTION("""COMPUTED_VALUE"""),"pulsefloki")</f>
        <v>pulsefloki</v>
      </c>
      <c r="B9421" s="3" t="str">
        <f>IFERROR(__xludf.DUMMYFUNCTION("""COMPUTED_VALUE"""),"plsf")</f>
        <v>plsf</v>
      </c>
      <c r="C9421" s="3" t="str">
        <f>IFERROR(__xludf.DUMMYFUNCTION("""COMPUTED_VALUE"""),"PulseFloki")</f>
        <v>PulseFloki</v>
      </c>
    </row>
    <row r="9422">
      <c r="A9422" s="3" t="str">
        <f>IFERROR(__xludf.DUMMYFUNCTION("""COMPUTED_VALUE"""),"pulsemoon")</f>
        <v>pulsemoon</v>
      </c>
      <c r="B9422" s="3" t="str">
        <f>IFERROR(__xludf.DUMMYFUNCTION("""COMPUTED_VALUE"""),"pulsemoon")</f>
        <v>pulsemoon</v>
      </c>
      <c r="C9422" s="3" t="str">
        <f>IFERROR(__xludf.DUMMYFUNCTION("""COMPUTED_VALUE"""),"PulseMoon")</f>
        <v>PulseMoon</v>
      </c>
    </row>
    <row r="9423">
      <c r="A9423" s="3" t="str">
        <f>IFERROR(__xludf.DUMMYFUNCTION("""COMPUTED_VALUE"""),"pulsepad")</f>
        <v>pulsepad</v>
      </c>
      <c r="B9423" s="3" t="str">
        <f>IFERROR(__xludf.DUMMYFUNCTION("""COMPUTED_VALUE"""),"plspad")</f>
        <v>plspad</v>
      </c>
      <c r="C9423" s="3" t="str">
        <f>IFERROR(__xludf.DUMMYFUNCTION("""COMPUTED_VALUE"""),"PulsePad")</f>
        <v>PulsePad</v>
      </c>
    </row>
    <row r="9424">
      <c r="A9424" s="3" t="str">
        <f>IFERROR(__xludf.DUMMYFUNCTION("""COMPUTED_VALUE"""),"pulse-token")</f>
        <v>pulse-token</v>
      </c>
      <c r="B9424" s="3" t="str">
        <f>IFERROR(__xludf.DUMMYFUNCTION("""COMPUTED_VALUE"""),"pulse")</f>
        <v>pulse</v>
      </c>
      <c r="C9424" s="3" t="str">
        <f>IFERROR(__xludf.DUMMYFUNCTION("""COMPUTED_VALUE"""),"PulseMarkets")</f>
        <v>PulseMarkets</v>
      </c>
    </row>
    <row r="9425">
      <c r="A9425" s="3" t="str">
        <f>IFERROR(__xludf.DUMMYFUNCTION("""COMPUTED_VALUE"""),"pumapay")</f>
        <v>pumapay</v>
      </c>
      <c r="B9425" s="3" t="str">
        <f>IFERROR(__xludf.DUMMYFUNCTION("""COMPUTED_VALUE"""),"pma")</f>
        <v>pma</v>
      </c>
      <c r="C9425" s="3" t="str">
        <f>IFERROR(__xludf.DUMMYFUNCTION("""COMPUTED_VALUE"""),"PumaPay")</f>
        <v>PumaPay</v>
      </c>
    </row>
    <row r="9426">
      <c r="A9426" s="3" t="str">
        <f>IFERROR(__xludf.DUMMYFUNCTION("""COMPUTED_VALUE"""),"puml-better-health")</f>
        <v>puml-better-health</v>
      </c>
      <c r="B9426" s="3" t="str">
        <f>IFERROR(__xludf.DUMMYFUNCTION("""COMPUTED_VALUE"""),"puml")</f>
        <v>puml</v>
      </c>
      <c r="C9426" s="3" t="str">
        <f>IFERROR(__xludf.DUMMYFUNCTION("""COMPUTED_VALUE"""),"PUML Better Health")</f>
        <v>PUML Better Health</v>
      </c>
    </row>
    <row r="9427">
      <c r="A9427" s="3" t="str">
        <f>IFERROR(__xludf.DUMMYFUNCTION("""COMPUTED_VALUE"""),"pumlx")</f>
        <v>pumlx</v>
      </c>
      <c r="B9427" s="3" t="str">
        <f>IFERROR(__xludf.DUMMYFUNCTION("""COMPUTED_VALUE"""),"pumlx")</f>
        <v>pumlx</v>
      </c>
      <c r="C9427" s="3" t="str">
        <f>IFERROR(__xludf.DUMMYFUNCTION("""COMPUTED_VALUE"""),"PUMLx")</f>
        <v>PUMLx</v>
      </c>
    </row>
    <row r="9428">
      <c r="A9428" s="3" t="str">
        <f>IFERROR(__xludf.DUMMYFUNCTION("""COMPUTED_VALUE"""),"pumpkin-inu")</f>
        <v>pumpkin-inu</v>
      </c>
      <c r="B9428" s="3" t="str">
        <f>IFERROR(__xludf.DUMMYFUNCTION("""COMPUTED_VALUE"""),"pumpkin")</f>
        <v>pumpkin</v>
      </c>
      <c r="C9428" s="3" t="str">
        <f>IFERROR(__xludf.DUMMYFUNCTION("""COMPUTED_VALUE"""),"Pumpkin Inu")</f>
        <v>Pumpkin Inu</v>
      </c>
    </row>
    <row r="9429">
      <c r="A9429" s="3" t="str">
        <f>IFERROR(__xludf.DUMMYFUNCTION("""COMPUTED_VALUE"""),"pumpopoly")</f>
        <v>pumpopoly</v>
      </c>
      <c r="B9429" s="3" t="str">
        <f>IFERROR(__xludf.DUMMYFUNCTION("""COMPUTED_VALUE"""),"pumpopoly")</f>
        <v>pumpopoly</v>
      </c>
      <c r="C9429" s="3" t="str">
        <f>IFERROR(__xludf.DUMMYFUNCTION("""COMPUTED_VALUE"""),"Pumpopoly")</f>
        <v>Pumpopoly</v>
      </c>
    </row>
    <row r="9430">
      <c r="A9430" s="3" t="str">
        <f>IFERROR(__xludf.DUMMYFUNCTION("""COMPUTED_VALUE"""),"pumptopia")</f>
        <v>pumptopia</v>
      </c>
      <c r="B9430" s="3" t="str">
        <f>IFERROR(__xludf.DUMMYFUNCTION("""COMPUTED_VALUE"""),"ptpa")</f>
        <v>ptpa</v>
      </c>
      <c r="C9430" s="3" t="str">
        <f>IFERROR(__xludf.DUMMYFUNCTION("""COMPUTED_VALUE"""),"Pumptopia")</f>
        <v>Pumptopia</v>
      </c>
    </row>
    <row r="9431">
      <c r="A9431" s="3" t="str">
        <f>IFERROR(__xludf.DUMMYFUNCTION("""COMPUTED_VALUE"""),"punch")</f>
        <v>punch</v>
      </c>
      <c r="B9431" s="3" t="str">
        <f>IFERROR(__xludf.DUMMYFUNCTION("""COMPUTED_VALUE"""),"punch")</f>
        <v>punch</v>
      </c>
      <c r="C9431" s="3" t="str">
        <f>IFERROR(__xludf.DUMMYFUNCTION("""COMPUTED_VALUE"""),"Punch")</f>
        <v>Punch</v>
      </c>
    </row>
    <row r="9432">
      <c r="A9432" s="3" t="str">
        <f>IFERROR(__xludf.DUMMYFUNCTION("""COMPUTED_VALUE"""),"pundi-x")</f>
        <v>pundi-x</v>
      </c>
      <c r="B9432" s="3" t="str">
        <f>IFERROR(__xludf.DUMMYFUNCTION("""COMPUTED_VALUE"""),"npxs")</f>
        <v>npxs</v>
      </c>
      <c r="C9432" s="3" t="str">
        <f>IFERROR(__xludf.DUMMYFUNCTION("""COMPUTED_VALUE"""),"Pundi X [OLD]")</f>
        <v>Pundi X [OLD]</v>
      </c>
    </row>
    <row r="9433">
      <c r="A9433" s="3" t="str">
        <f>IFERROR(__xludf.DUMMYFUNCTION("""COMPUTED_VALUE"""),"pundi-x-2")</f>
        <v>pundi-x-2</v>
      </c>
      <c r="B9433" s="3" t="str">
        <f>IFERROR(__xludf.DUMMYFUNCTION("""COMPUTED_VALUE"""),"pundix")</f>
        <v>pundix</v>
      </c>
      <c r="C9433" s="3" t="str">
        <f>IFERROR(__xludf.DUMMYFUNCTION("""COMPUTED_VALUE"""),"Pundi X")</f>
        <v>Pundi X</v>
      </c>
    </row>
    <row r="9434">
      <c r="A9434" s="3" t="str">
        <f>IFERROR(__xludf.DUMMYFUNCTION("""COMPUTED_VALUE"""),"pundi-x-nem")</f>
        <v>pundi-x-nem</v>
      </c>
      <c r="B9434" s="3" t="str">
        <f>IFERROR(__xludf.DUMMYFUNCTION("""COMPUTED_VALUE"""),"npxsxem")</f>
        <v>npxsxem</v>
      </c>
      <c r="C9434" s="3" t="str">
        <f>IFERROR(__xludf.DUMMYFUNCTION("""COMPUTED_VALUE"""),"Pundi X NEM")</f>
        <v>Pundi X NEM</v>
      </c>
    </row>
    <row r="9435">
      <c r="A9435" s="3" t="str">
        <f>IFERROR(__xludf.DUMMYFUNCTION("""COMPUTED_VALUE"""),"pundi-x-purse")</f>
        <v>pundi-x-purse</v>
      </c>
      <c r="B9435" s="3" t="str">
        <f>IFERROR(__xludf.DUMMYFUNCTION("""COMPUTED_VALUE"""),"purse")</f>
        <v>purse</v>
      </c>
      <c r="C9435" s="3" t="str">
        <f>IFERROR(__xludf.DUMMYFUNCTION("""COMPUTED_VALUE"""),"Pundi X PURSE")</f>
        <v>Pundi X PURSE</v>
      </c>
    </row>
    <row r="9436">
      <c r="A9436" s="3" t="str">
        <f>IFERROR(__xludf.DUMMYFUNCTION("""COMPUTED_VALUE"""),"punk-panda-messenger")</f>
        <v>punk-panda-messenger</v>
      </c>
      <c r="B9436" s="3" t="str">
        <f>IFERROR(__xludf.DUMMYFUNCTION("""COMPUTED_VALUE"""),"ppm")</f>
        <v>ppm</v>
      </c>
      <c r="C9436" s="3" t="str">
        <f>IFERROR(__xludf.DUMMYFUNCTION("""COMPUTED_VALUE"""),"Punk Panda Messenger")</f>
        <v>Punk Panda Messenger</v>
      </c>
    </row>
    <row r="9437">
      <c r="A9437" s="3" t="str">
        <f>IFERROR(__xludf.DUMMYFUNCTION("""COMPUTED_VALUE"""),"punks-comic")</f>
        <v>punks-comic</v>
      </c>
      <c r="B9437" s="3" t="str">
        <f>IFERROR(__xludf.DUMMYFUNCTION("""COMPUTED_VALUE"""),"punks")</f>
        <v>punks</v>
      </c>
      <c r="C9437" s="3" t="str">
        <f>IFERROR(__xludf.DUMMYFUNCTION("""COMPUTED_VALUE"""),"PUNKS Comic")</f>
        <v>PUNKS Comic</v>
      </c>
    </row>
    <row r="9438">
      <c r="A9438" s="3" t="str">
        <f>IFERROR(__xludf.DUMMYFUNCTION("""COMPUTED_VALUE"""),"punks-comic-pow")</f>
        <v>punks-comic-pow</v>
      </c>
      <c r="B9438" s="3" t="str">
        <f>IFERROR(__xludf.DUMMYFUNCTION("""COMPUTED_VALUE"""),"pow")</f>
        <v>pow</v>
      </c>
      <c r="C9438" s="3" t="str">
        <f>IFERROR(__xludf.DUMMYFUNCTION("""COMPUTED_VALUE"""),"POW")</f>
        <v>POW</v>
      </c>
    </row>
    <row r="9439">
      <c r="A9439" s="3" t="str">
        <f>IFERROR(__xludf.DUMMYFUNCTION("""COMPUTED_VALUE"""),"punk-shiba")</f>
        <v>punk-shiba</v>
      </c>
      <c r="B9439" s="3" t="str">
        <f>IFERROR(__xludf.DUMMYFUNCTION("""COMPUTED_VALUE"""),"punks")</f>
        <v>punks</v>
      </c>
      <c r="C9439" s="3" t="str">
        <f>IFERROR(__xludf.DUMMYFUNCTION("""COMPUTED_VALUE"""),"Punk Shiba")</f>
        <v>Punk Shiba</v>
      </c>
    </row>
    <row r="9440">
      <c r="A9440" s="3" t="str">
        <f>IFERROR(__xludf.DUMMYFUNCTION("""COMPUTED_VALUE"""),"punk-vault-nftx")</f>
        <v>punk-vault-nftx</v>
      </c>
      <c r="B9440" s="3" t="str">
        <f>IFERROR(__xludf.DUMMYFUNCTION("""COMPUTED_VALUE"""),"punk")</f>
        <v>punk</v>
      </c>
      <c r="C9440" s="3" t="str">
        <f>IFERROR(__xludf.DUMMYFUNCTION("""COMPUTED_VALUE"""),"Punk Vault (NFTX)")</f>
        <v>Punk Vault (NFTX)</v>
      </c>
    </row>
    <row r="9441">
      <c r="A9441" s="3" t="str">
        <f>IFERROR(__xludf.DUMMYFUNCTION("""COMPUTED_VALUE"""),"pupazzi-punk-brise-of-sun")</f>
        <v>pupazzi-punk-brise-of-sun</v>
      </c>
      <c r="B9441" s="3" t="str">
        <f>IFERROR(__xludf.DUMMYFUNCTION("""COMPUTED_VALUE"""),"pps")</f>
        <v>pps</v>
      </c>
      <c r="C9441" s="3" t="str">
        <f>IFERROR(__xludf.DUMMYFUNCTION("""COMPUTED_VALUE"""),"Pupazzi Punk Brise Of Sun")</f>
        <v>Pupazzi Punk Brise Of Sun</v>
      </c>
    </row>
    <row r="9442">
      <c r="A9442" s="3" t="str">
        <f>IFERROR(__xludf.DUMMYFUNCTION("""COMPUTED_VALUE"""),"pup-doge")</f>
        <v>pup-doge</v>
      </c>
      <c r="B9442" s="3" t="str">
        <f>IFERROR(__xludf.DUMMYFUNCTION("""COMPUTED_VALUE"""),"pupdoge")</f>
        <v>pupdoge</v>
      </c>
      <c r="C9442" s="3" t="str">
        <f>IFERROR(__xludf.DUMMYFUNCTION("""COMPUTED_VALUE"""),"Pup Doge")</f>
        <v>Pup Doge</v>
      </c>
    </row>
    <row r="9443">
      <c r="A9443" s="3" t="str">
        <f>IFERROR(__xludf.DUMMYFUNCTION("""COMPUTED_VALUE"""),"pupper")</f>
        <v>pupper</v>
      </c>
      <c r="B9443" s="3" t="str">
        <f>IFERROR(__xludf.DUMMYFUNCTION("""COMPUTED_VALUE"""),"pup")</f>
        <v>pup</v>
      </c>
      <c r="C9443" s="3" t="str">
        <f>IFERROR(__xludf.DUMMYFUNCTION("""COMPUTED_VALUE"""),"Pupper")</f>
        <v>Pupper</v>
      </c>
    </row>
    <row r="9444">
      <c r="A9444" s="3" t="str">
        <f>IFERROR(__xludf.DUMMYFUNCTION("""COMPUTED_VALUE"""),"puppets-arts")</f>
        <v>puppets-arts</v>
      </c>
      <c r="B9444" s="3" t="str">
        <f>IFERROR(__xludf.DUMMYFUNCTION("""COMPUTED_VALUE"""),"puppets")</f>
        <v>puppets</v>
      </c>
      <c r="C9444" s="3" t="str">
        <f>IFERROR(__xludf.DUMMYFUNCTION("""COMPUTED_VALUE"""),"Puppets Arts")</f>
        <v>Puppets Arts</v>
      </c>
    </row>
    <row r="9445">
      <c r="A9445" s="3" t="str">
        <f>IFERROR(__xludf.DUMMYFUNCTION("""COMPUTED_VALUE"""),"purefi")</f>
        <v>purefi</v>
      </c>
      <c r="B9445" s="3" t="str">
        <f>IFERROR(__xludf.DUMMYFUNCTION("""COMPUTED_VALUE"""),"ufi")</f>
        <v>ufi</v>
      </c>
      <c r="C9445" s="3" t="str">
        <f>IFERROR(__xludf.DUMMYFUNCTION("""COMPUTED_VALUE"""),"PureFi")</f>
        <v>PureFi</v>
      </c>
    </row>
    <row r="9446">
      <c r="A9446" s="3" t="str">
        <f>IFERROR(__xludf.DUMMYFUNCTION("""COMPUTED_VALUE"""),"puregold-token")</f>
        <v>puregold-token</v>
      </c>
      <c r="B9446" s="3" t="str">
        <f>IFERROR(__xludf.DUMMYFUNCTION("""COMPUTED_VALUE"""),"pgpay")</f>
        <v>pgpay</v>
      </c>
      <c r="C9446" s="3" t="str">
        <f>IFERROR(__xludf.DUMMYFUNCTION("""COMPUTED_VALUE"""),"PGPay")</f>
        <v>PGPay</v>
      </c>
    </row>
    <row r="9447">
      <c r="A9447" s="3" t="str">
        <f>IFERROR(__xludf.DUMMYFUNCTION("""COMPUTED_VALUE"""),"puriever")</f>
        <v>puriever</v>
      </c>
      <c r="B9447" s="3" t="str">
        <f>IFERROR(__xludf.DUMMYFUNCTION("""COMPUTED_VALUE"""),"pure")</f>
        <v>pure</v>
      </c>
      <c r="C9447" s="3" t="str">
        <f>IFERROR(__xludf.DUMMYFUNCTION("""COMPUTED_VALUE"""),"Puriever")</f>
        <v>Puriever</v>
      </c>
    </row>
    <row r="9448">
      <c r="A9448" s="3" t="str">
        <f>IFERROR(__xludf.DUMMYFUNCTION("""COMPUTED_VALUE"""),"purple-butterfly-trading")</f>
        <v>purple-butterfly-trading</v>
      </c>
      <c r="B9448" s="3" t="str">
        <f>IFERROR(__xludf.DUMMYFUNCTION("""COMPUTED_VALUE"""),"pbtt")</f>
        <v>pbtt</v>
      </c>
      <c r="C9448" s="3" t="str">
        <f>IFERROR(__xludf.DUMMYFUNCTION("""COMPUTED_VALUE"""),"Purple Butterfly Trading")</f>
        <v>Purple Butterfly Trading</v>
      </c>
    </row>
    <row r="9449">
      <c r="A9449" s="3" t="str">
        <f>IFERROR(__xludf.DUMMYFUNCTION("""COMPUTED_VALUE"""),"purple-floki-inu")</f>
        <v>purple-floki-inu</v>
      </c>
      <c r="B9449" s="3" t="str">
        <f>IFERROR(__xludf.DUMMYFUNCTION("""COMPUTED_VALUE"""),"purplefloki")</f>
        <v>purplefloki</v>
      </c>
      <c r="C9449" s="3" t="str">
        <f>IFERROR(__xludf.DUMMYFUNCTION("""COMPUTED_VALUE"""),"Purple Floki Inu")</f>
        <v>Purple Floki Inu</v>
      </c>
    </row>
    <row r="9450">
      <c r="A9450" s="3" t="str">
        <f>IFERROR(__xludf.DUMMYFUNCTION("""COMPUTED_VALUE"""),"purpose")</f>
        <v>purpose</v>
      </c>
      <c r="B9450" s="3" t="str">
        <f>IFERROR(__xludf.DUMMYFUNCTION("""COMPUTED_VALUE"""),"prps")</f>
        <v>prps</v>
      </c>
      <c r="C9450" s="3" t="str">
        <f>IFERROR(__xludf.DUMMYFUNCTION("""COMPUTED_VALUE"""),"Purpose")</f>
        <v>Purpose</v>
      </c>
    </row>
    <row r="9451">
      <c r="A9451" s="3" t="str">
        <f>IFERROR(__xludf.DUMMYFUNCTION("""COMPUTED_VALUE"""),"purr-vault-nftx")</f>
        <v>purr-vault-nftx</v>
      </c>
      <c r="B9451" s="3" t="str">
        <f>IFERROR(__xludf.DUMMYFUNCTION("""COMPUTED_VALUE"""),"purr")</f>
        <v>purr</v>
      </c>
      <c r="C9451" s="3" t="str">
        <f>IFERROR(__xludf.DUMMYFUNCTION("""COMPUTED_VALUE"""),"PURR Vault (NFTX)")</f>
        <v>PURR Vault (NFTX)</v>
      </c>
    </row>
    <row r="9452">
      <c r="A9452" s="3" t="str">
        <f>IFERROR(__xludf.DUMMYFUNCTION("""COMPUTED_VALUE"""),"pusd")</f>
        <v>pusd</v>
      </c>
      <c r="B9452" s="3" t="str">
        <f>IFERROR(__xludf.DUMMYFUNCTION("""COMPUTED_VALUE"""),"pusd")</f>
        <v>pusd</v>
      </c>
      <c r="C9452" s="3" t="str">
        <f>IFERROR(__xludf.DUMMYFUNCTION("""COMPUTED_VALUE"""),"PUSD_Polyquity")</f>
        <v>PUSD_Polyquity</v>
      </c>
    </row>
    <row r="9453">
      <c r="A9453" s="3" t="str">
        <f>IFERROR(__xludf.DUMMYFUNCTION("""COMPUTED_VALUE"""),"pusd-2")</f>
        <v>pusd-2</v>
      </c>
      <c r="B9453" s="3" t="str">
        <f>IFERROR(__xludf.DUMMYFUNCTION("""COMPUTED_VALUE"""),"pusd")</f>
        <v>pusd</v>
      </c>
      <c r="C9453" s="3" t="str">
        <f>IFERROR(__xludf.DUMMYFUNCTION("""COMPUTED_VALUE"""),"PUSd")</f>
        <v>PUSd</v>
      </c>
    </row>
    <row r="9454">
      <c r="A9454" s="3" t="str">
        <f>IFERROR(__xludf.DUMMYFUNCTION("""COMPUTED_VALUE"""),"pussy-financial")</f>
        <v>pussy-financial</v>
      </c>
      <c r="B9454" s="3" t="str">
        <f>IFERROR(__xludf.DUMMYFUNCTION("""COMPUTED_VALUE"""),"pussy")</f>
        <v>pussy</v>
      </c>
      <c r="C9454" s="3" t="str">
        <f>IFERROR(__xludf.DUMMYFUNCTION("""COMPUTED_VALUE"""),"Pussy Financial")</f>
        <v>Pussy Financial</v>
      </c>
    </row>
    <row r="9455">
      <c r="A9455" s="3" t="str">
        <f>IFERROR(__xludf.DUMMYFUNCTION("""COMPUTED_VALUE"""),"putincoin")</f>
        <v>putincoin</v>
      </c>
      <c r="B9455" s="3" t="str">
        <f>IFERROR(__xludf.DUMMYFUNCTION("""COMPUTED_VALUE"""),"put")</f>
        <v>put</v>
      </c>
      <c r="C9455" s="3" t="str">
        <f>IFERROR(__xludf.DUMMYFUNCTION("""COMPUTED_VALUE"""),"PUTinCoin")</f>
        <v>PUTinCoin</v>
      </c>
    </row>
    <row r="9456">
      <c r="A9456" s="3" t="str">
        <f>IFERROR(__xludf.DUMMYFUNCTION("""COMPUTED_VALUE"""),"puzzle-and-dragons-x")</f>
        <v>puzzle-and-dragons-x</v>
      </c>
      <c r="B9456" s="3" t="str">
        <f>IFERROR(__xludf.DUMMYFUNCTION("""COMPUTED_VALUE"""),"padx")</f>
        <v>padx</v>
      </c>
      <c r="C9456" s="3" t="str">
        <f>IFERROR(__xludf.DUMMYFUNCTION("""COMPUTED_VALUE"""),"Puzzle And Dragons X")</f>
        <v>Puzzle And Dragons X</v>
      </c>
    </row>
    <row r="9457">
      <c r="A9457" s="3" t="str">
        <f>IFERROR(__xludf.DUMMYFUNCTION("""COMPUTED_VALUE"""),"puzzle-swap")</f>
        <v>puzzle-swap</v>
      </c>
      <c r="B9457" s="3" t="str">
        <f>IFERROR(__xludf.DUMMYFUNCTION("""COMPUTED_VALUE"""),"puzzle")</f>
        <v>puzzle</v>
      </c>
      <c r="C9457" s="3" t="str">
        <f>IFERROR(__xludf.DUMMYFUNCTION("""COMPUTED_VALUE"""),"Puzzle Swap")</f>
        <v>Puzzle Swap</v>
      </c>
    </row>
    <row r="9458">
      <c r="A9458" s="3" t="str">
        <f>IFERROR(__xludf.DUMMYFUNCTION("""COMPUTED_VALUE"""),"pw-gold")</f>
        <v>pw-gold</v>
      </c>
      <c r="B9458" s="3" t="str">
        <f>IFERROR(__xludf.DUMMYFUNCTION("""COMPUTED_VALUE"""),"pwg")</f>
        <v>pwg</v>
      </c>
      <c r="C9458" s="3" t="str">
        <f>IFERROR(__xludf.DUMMYFUNCTION("""COMPUTED_VALUE"""),"PW-GOLD")</f>
        <v>PW-GOLD</v>
      </c>
    </row>
    <row r="9459">
      <c r="A9459" s="3" t="str">
        <f>IFERROR(__xludf.DUMMYFUNCTION("""COMPUTED_VALUE"""),"pye-2")</f>
        <v>pye-2</v>
      </c>
      <c r="B9459" s="3" t="str">
        <f>IFERROR(__xludf.DUMMYFUNCTION("""COMPUTED_VALUE"""),"pye")</f>
        <v>pye</v>
      </c>
      <c r="C9459" s="3" t="str">
        <f>IFERROR(__xludf.DUMMYFUNCTION("""COMPUTED_VALUE"""),"PYE")</f>
        <v>PYE</v>
      </c>
    </row>
    <row r="9460">
      <c r="A9460" s="3" t="str">
        <f>IFERROR(__xludf.DUMMYFUNCTION("""COMPUTED_VALUE"""),"pylon-eco-token")</f>
        <v>pylon-eco-token</v>
      </c>
      <c r="B9460" s="3" t="str">
        <f>IFERROR(__xludf.DUMMYFUNCTION("""COMPUTED_VALUE"""),"petn")</f>
        <v>petn</v>
      </c>
      <c r="C9460" s="3" t="str">
        <f>IFERROR(__xludf.DUMMYFUNCTION("""COMPUTED_VALUE"""),"Pylon Eco")</f>
        <v>Pylon Eco</v>
      </c>
    </row>
    <row r="9461">
      <c r="A9461" s="3" t="str">
        <f>IFERROR(__xludf.DUMMYFUNCTION("""COMPUTED_VALUE"""),"pylon-protocol")</f>
        <v>pylon-protocol</v>
      </c>
      <c r="B9461" s="3" t="str">
        <f>IFERROR(__xludf.DUMMYFUNCTION("""COMPUTED_VALUE"""),"mine")</f>
        <v>mine</v>
      </c>
      <c r="C9461" s="3" t="str">
        <f>IFERROR(__xludf.DUMMYFUNCTION("""COMPUTED_VALUE"""),"Pylon Protocol")</f>
        <v>Pylon Protocol</v>
      </c>
    </row>
    <row r="9462">
      <c r="A9462" s="3" t="str">
        <f>IFERROR(__xludf.DUMMYFUNCTION("""COMPUTED_VALUE"""),"pyram-token")</f>
        <v>pyram-token</v>
      </c>
      <c r="B9462" s="3" t="str">
        <f>IFERROR(__xludf.DUMMYFUNCTION("""COMPUTED_VALUE"""),"pyram")</f>
        <v>pyram</v>
      </c>
      <c r="C9462" s="3" t="str">
        <f>IFERROR(__xludf.DUMMYFUNCTION("""COMPUTED_VALUE"""),"Pyram")</f>
        <v>Pyram</v>
      </c>
    </row>
    <row r="9463">
      <c r="A9463" s="3" t="str">
        <f>IFERROR(__xludf.DUMMYFUNCTION("""COMPUTED_VALUE"""),"pyrexcoin")</f>
        <v>pyrexcoin</v>
      </c>
      <c r="B9463" s="3" t="str">
        <f>IFERROR(__xludf.DUMMYFUNCTION("""COMPUTED_VALUE"""),"gpyx")</f>
        <v>gpyx</v>
      </c>
      <c r="C9463" s="3" t="str">
        <f>IFERROR(__xludf.DUMMYFUNCTION("""COMPUTED_VALUE"""),"GoldenPyrex")</f>
        <v>GoldenPyrex</v>
      </c>
    </row>
    <row r="9464">
      <c r="A9464" s="3" t="str">
        <f>IFERROR(__xludf.DUMMYFUNCTION("""COMPUTED_VALUE"""),"pyrk")</f>
        <v>pyrk</v>
      </c>
      <c r="B9464" s="3" t="str">
        <f>IFERROR(__xludf.DUMMYFUNCTION("""COMPUTED_VALUE"""),"pyrk")</f>
        <v>pyrk</v>
      </c>
      <c r="C9464" s="3" t="str">
        <f>IFERROR(__xludf.DUMMYFUNCTION("""COMPUTED_VALUE"""),"Pyrk")</f>
        <v>Pyrk</v>
      </c>
    </row>
    <row r="9465">
      <c r="A9465" s="3" t="str">
        <f>IFERROR(__xludf.DUMMYFUNCTION("""COMPUTED_VALUE"""),"pyromatic")</f>
        <v>pyromatic</v>
      </c>
      <c r="B9465" s="3" t="str">
        <f>IFERROR(__xludf.DUMMYFUNCTION("""COMPUTED_VALUE"""),"pyro")</f>
        <v>pyro</v>
      </c>
      <c r="C9465" s="3" t="str">
        <f>IFERROR(__xludf.DUMMYFUNCTION("""COMPUTED_VALUE"""),"PYROMATIC")</f>
        <v>PYROMATIC</v>
      </c>
    </row>
    <row r="9466">
      <c r="A9466" s="3" t="str">
        <f>IFERROR(__xludf.DUMMYFUNCTION("""COMPUTED_VALUE"""),"pyrrho-defi")</f>
        <v>pyrrho-defi</v>
      </c>
      <c r="B9466" s="3" t="str">
        <f>IFERROR(__xludf.DUMMYFUNCTION("""COMPUTED_VALUE"""),"pyo")</f>
        <v>pyo</v>
      </c>
      <c r="C9466" s="3" t="str">
        <f>IFERROR(__xludf.DUMMYFUNCTION("""COMPUTED_VALUE"""),"Pyrrho")</f>
        <v>Pyrrho</v>
      </c>
    </row>
    <row r="9467">
      <c r="A9467" s="3" t="str">
        <f>IFERROR(__xludf.DUMMYFUNCTION("""COMPUTED_VALUE"""),"q2")</f>
        <v>q2</v>
      </c>
      <c r="B9467" s="3" t="str">
        <f>IFERROR(__xludf.DUMMYFUNCTION("""COMPUTED_VALUE"""),"q2")</f>
        <v>q2</v>
      </c>
      <c r="C9467" s="3" t="str">
        <f>IFERROR(__xludf.DUMMYFUNCTION("""COMPUTED_VALUE"""),"Pocketful of Quarters")</f>
        <v>Pocketful of Quarters</v>
      </c>
    </row>
    <row r="9468">
      <c r="A9468" s="3" t="str">
        <f>IFERROR(__xludf.DUMMYFUNCTION("""COMPUTED_VALUE"""),"q8e20-token")</f>
        <v>q8e20-token</v>
      </c>
      <c r="B9468" s="3" t="str">
        <f>IFERROR(__xludf.DUMMYFUNCTION("""COMPUTED_VALUE"""),"q8e20")</f>
        <v>q8e20</v>
      </c>
      <c r="C9468" s="3" t="str">
        <f>IFERROR(__xludf.DUMMYFUNCTION("""COMPUTED_VALUE"""),"Q8E20 Token")</f>
        <v>Q8E20 Token</v>
      </c>
    </row>
    <row r="9469">
      <c r="A9469" s="3" t="str">
        <f>IFERROR(__xludf.DUMMYFUNCTION("""COMPUTED_VALUE"""),"qanplatform")</f>
        <v>qanplatform</v>
      </c>
      <c r="B9469" s="3" t="str">
        <f>IFERROR(__xludf.DUMMYFUNCTION("""COMPUTED_VALUE"""),"qanx")</f>
        <v>qanx</v>
      </c>
      <c r="C9469" s="3" t="str">
        <f>IFERROR(__xludf.DUMMYFUNCTION("""COMPUTED_VALUE"""),"QANplatform")</f>
        <v>QANplatform</v>
      </c>
    </row>
    <row r="9470">
      <c r="A9470" s="3" t="str">
        <f>IFERROR(__xludf.DUMMYFUNCTION("""COMPUTED_VALUE"""),"qao")</f>
        <v>qao</v>
      </c>
      <c r="B9470" s="3" t="str">
        <f>IFERROR(__xludf.DUMMYFUNCTION("""COMPUTED_VALUE"""),"&amp;#127760;")</f>
        <v>&amp;#127760;</v>
      </c>
      <c r="C9470" s="3" t="str">
        <f>IFERROR(__xludf.DUMMYFUNCTION("""COMPUTED_VALUE"""),"QAO")</f>
        <v>QAO</v>
      </c>
    </row>
    <row r="9471">
      <c r="A9471" s="3" t="str">
        <f>IFERROR(__xludf.DUMMYFUNCTION("""COMPUTED_VALUE"""),"qash")</f>
        <v>qash</v>
      </c>
      <c r="B9471" s="3" t="str">
        <f>IFERROR(__xludf.DUMMYFUNCTION("""COMPUTED_VALUE"""),"qash")</f>
        <v>qash</v>
      </c>
      <c r="C9471" s="3" t="str">
        <f>IFERROR(__xludf.DUMMYFUNCTION("""COMPUTED_VALUE"""),"QASH")</f>
        <v>QASH</v>
      </c>
    </row>
    <row r="9472">
      <c r="A9472" s="3" t="str">
        <f>IFERROR(__xludf.DUMMYFUNCTION("""COMPUTED_VALUE"""),"qatar-2022")</f>
        <v>qatar-2022</v>
      </c>
      <c r="B9472" s="3" t="str">
        <f>IFERROR(__xludf.DUMMYFUNCTION("""COMPUTED_VALUE"""),"fwc")</f>
        <v>fwc</v>
      </c>
      <c r="C9472" s="3" t="str">
        <f>IFERROR(__xludf.DUMMYFUNCTION("""COMPUTED_VALUE"""),"Qatar 2022")</f>
        <v>Qatar 2022</v>
      </c>
    </row>
    <row r="9473">
      <c r="A9473" s="3" t="str">
        <f>IFERROR(__xludf.DUMMYFUNCTION("""COMPUTED_VALUE"""),"qatar-inu")</f>
        <v>qatar-inu</v>
      </c>
      <c r="B9473" s="3" t="str">
        <f>IFERROR(__xludf.DUMMYFUNCTION("""COMPUTED_VALUE"""),"qatar")</f>
        <v>qatar</v>
      </c>
      <c r="C9473" s="3" t="str">
        <f>IFERROR(__xludf.DUMMYFUNCTION("""COMPUTED_VALUE"""),"Qatar Inu")</f>
        <v>Qatar Inu</v>
      </c>
    </row>
    <row r="9474">
      <c r="A9474" s="3" t="str">
        <f>IFERROR(__xludf.DUMMYFUNCTION("""COMPUTED_VALUE"""),"qatar-inu-token")</f>
        <v>qatar-inu-token</v>
      </c>
      <c r="B9474" s="3" t="str">
        <f>IFERROR(__xludf.DUMMYFUNCTION("""COMPUTED_VALUE"""),"qatar")</f>
        <v>qatar</v>
      </c>
      <c r="C9474" s="3" t="str">
        <f>IFERROR(__xludf.DUMMYFUNCTION("""COMPUTED_VALUE"""),"Qatar Inu Token")</f>
        <v>Qatar Inu Token</v>
      </c>
    </row>
    <row r="9475">
      <c r="A9475" s="3" t="str">
        <f>IFERROR(__xludf.DUMMYFUNCTION("""COMPUTED_VALUE"""),"qawalla")</f>
        <v>qawalla</v>
      </c>
      <c r="B9475" s="3" t="str">
        <f>IFERROR(__xludf.DUMMYFUNCTION("""COMPUTED_VALUE"""),"qwla")</f>
        <v>qwla</v>
      </c>
      <c r="C9475" s="3" t="str">
        <f>IFERROR(__xludf.DUMMYFUNCTION("""COMPUTED_VALUE"""),"Qawalla")</f>
        <v>Qawalla</v>
      </c>
    </row>
    <row r="9476">
      <c r="A9476" s="3" t="str">
        <f>IFERROR(__xludf.DUMMYFUNCTION("""COMPUTED_VALUE"""),"qbao")</f>
        <v>qbao</v>
      </c>
      <c r="B9476" s="3" t="str">
        <f>IFERROR(__xludf.DUMMYFUNCTION("""COMPUTED_VALUE"""),"qbt")</f>
        <v>qbt</v>
      </c>
      <c r="C9476" s="3" t="str">
        <f>IFERROR(__xludf.DUMMYFUNCTION("""COMPUTED_VALUE"""),"Qbao")</f>
        <v>Qbao</v>
      </c>
    </row>
    <row r="9477">
      <c r="A9477" s="3" t="str">
        <f>IFERROR(__xludf.DUMMYFUNCTION("""COMPUTED_VALUE"""),"qchain-qdt")</f>
        <v>qchain-qdt</v>
      </c>
      <c r="B9477" s="3" t="str">
        <f>IFERROR(__xludf.DUMMYFUNCTION("""COMPUTED_VALUE"""),"qdt")</f>
        <v>qdt</v>
      </c>
      <c r="C9477" s="3" t="str">
        <f>IFERROR(__xludf.DUMMYFUNCTION("""COMPUTED_VALUE"""),"QChain QDT")</f>
        <v>QChain QDT</v>
      </c>
    </row>
    <row r="9478">
      <c r="A9478" s="3" t="str">
        <f>IFERROR(__xludf.DUMMYFUNCTION("""COMPUTED_VALUE"""),"qchi")</f>
        <v>qchi</v>
      </c>
      <c r="B9478" s="3" t="str">
        <f>IFERROR(__xludf.DUMMYFUNCTION("""COMPUTED_VALUE"""),"qch")</f>
        <v>qch</v>
      </c>
      <c r="C9478" s="3" t="str">
        <f>IFERROR(__xludf.DUMMYFUNCTION("""COMPUTED_VALUE"""),"QChi")</f>
        <v>QChi</v>
      </c>
    </row>
    <row r="9479">
      <c r="A9479" s="3" t="str">
        <f>IFERROR(__xludf.DUMMYFUNCTION("""COMPUTED_VALUE"""),"q-dao-governance-token-v1-0")</f>
        <v>q-dao-governance-token-v1-0</v>
      </c>
      <c r="B9479" s="3" t="str">
        <f>IFERROR(__xludf.DUMMYFUNCTION("""COMPUTED_VALUE"""),"qdao")</f>
        <v>qdao</v>
      </c>
      <c r="C9479" s="3" t="str">
        <f>IFERROR(__xludf.DUMMYFUNCTION("""COMPUTED_VALUE"""),"Q DAO Governance v1.0")</f>
        <v>Q DAO Governance v1.0</v>
      </c>
    </row>
    <row r="9480">
      <c r="A9480" s="3" t="str">
        <f>IFERROR(__xludf.DUMMYFUNCTION("""COMPUTED_VALUE"""),"qfora")</f>
        <v>qfora</v>
      </c>
      <c r="B9480" s="3" t="str">
        <f>IFERROR(__xludf.DUMMYFUNCTION("""COMPUTED_VALUE"""),"quroz")</f>
        <v>quroz</v>
      </c>
      <c r="C9480" s="3" t="str">
        <f>IFERROR(__xludf.DUMMYFUNCTION("""COMPUTED_VALUE"""),"Qfora")</f>
        <v>Qfora</v>
      </c>
    </row>
    <row r="9481">
      <c r="A9481" s="3" t="str">
        <f>IFERROR(__xludf.DUMMYFUNCTION("""COMPUTED_VALUE"""),"qian-second-generation-dollar")</f>
        <v>qian-second-generation-dollar</v>
      </c>
      <c r="B9481" s="3" t="str">
        <f>IFERROR(__xludf.DUMMYFUNCTION("""COMPUTED_VALUE"""),"qsd")</f>
        <v>qsd</v>
      </c>
      <c r="C9481" s="3" t="str">
        <f>IFERROR(__xludf.DUMMYFUNCTION("""COMPUTED_VALUE"""),"QIAN Second Generation Dollar")</f>
        <v>QIAN Second Generation Dollar</v>
      </c>
    </row>
    <row r="9482">
      <c r="A9482" s="3" t="str">
        <f>IFERROR(__xludf.DUMMYFUNCTION("""COMPUTED_VALUE"""),"qi-dao")</f>
        <v>qi-dao</v>
      </c>
      <c r="B9482" s="3" t="str">
        <f>IFERROR(__xludf.DUMMYFUNCTION("""COMPUTED_VALUE"""),"qi")</f>
        <v>qi</v>
      </c>
      <c r="C9482" s="3" t="str">
        <f>IFERROR(__xludf.DUMMYFUNCTION("""COMPUTED_VALUE"""),"Qi Dao")</f>
        <v>Qi Dao</v>
      </c>
    </row>
    <row r="9483">
      <c r="A9483" s="3" t="str">
        <f>IFERROR(__xludf.DUMMYFUNCTION("""COMPUTED_VALUE"""),"qie")</f>
        <v>qie</v>
      </c>
      <c r="B9483" s="3" t="str">
        <f>IFERROR(__xludf.DUMMYFUNCTION("""COMPUTED_VALUE"""),"qie")</f>
        <v>qie</v>
      </c>
      <c r="C9483" s="3" t="str">
        <f>IFERROR(__xludf.DUMMYFUNCTION("""COMPUTED_VALUE"""),"QI Blockchain")</f>
        <v>QI Blockchain</v>
      </c>
    </row>
    <row r="9484">
      <c r="A9484" s="3" t="str">
        <f>IFERROR(__xludf.DUMMYFUNCTION("""COMPUTED_VALUE"""),"qiswap")</f>
        <v>qiswap</v>
      </c>
      <c r="B9484" s="3" t="str">
        <f>IFERROR(__xludf.DUMMYFUNCTION("""COMPUTED_VALUE"""),"qi")</f>
        <v>qi</v>
      </c>
      <c r="C9484" s="3" t="str">
        <f>IFERROR(__xludf.DUMMYFUNCTION("""COMPUTED_VALUE"""),"QiSwap")</f>
        <v>QiSwap</v>
      </c>
    </row>
    <row r="9485">
      <c r="A9485" s="3" t="str">
        <f>IFERROR(__xludf.DUMMYFUNCTION("""COMPUTED_VALUE"""),"qitchain-network")</f>
        <v>qitchain-network</v>
      </c>
      <c r="B9485" s="3" t="str">
        <f>IFERROR(__xludf.DUMMYFUNCTION("""COMPUTED_VALUE"""),"qtc")</f>
        <v>qtc</v>
      </c>
      <c r="C9485" s="3" t="str">
        <f>IFERROR(__xludf.DUMMYFUNCTION("""COMPUTED_VALUE"""),"Qitcoin")</f>
        <v>Qitcoin</v>
      </c>
    </row>
    <row r="9486">
      <c r="A9486" s="3" t="str">
        <f>IFERROR(__xludf.DUMMYFUNCTION("""COMPUTED_VALUE"""),"qitmeer-network")</f>
        <v>qitmeer-network</v>
      </c>
      <c r="B9486" s="3" t="str">
        <f>IFERROR(__xludf.DUMMYFUNCTION("""COMPUTED_VALUE"""),"meer")</f>
        <v>meer</v>
      </c>
      <c r="C9486" s="3" t="str">
        <f>IFERROR(__xludf.DUMMYFUNCTION("""COMPUTED_VALUE"""),"Qitmeer Network")</f>
        <v>Qitmeer Network</v>
      </c>
    </row>
    <row r="9487">
      <c r="A9487" s="3" t="str">
        <f>IFERROR(__xludf.DUMMYFUNCTION("""COMPUTED_VALUE"""),"qlindo")</f>
        <v>qlindo</v>
      </c>
      <c r="B9487" s="3" t="str">
        <f>IFERROR(__xludf.DUMMYFUNCTION("""COMPUTED_VALUE"""),"qlindo")</f>
        <v>qlindo</v>
      </c>
      <c r="C9487" s="3" t="str">
        <f>IFERROR(__xludf.DUMMYFUNCTION("""COMPUTED_VALUE"""),"QLINDO")</f>
        <v>QLINDO</v>
      </c>
    </row>
    <row r="9488">
      <c r="A9488" s="3" t="str">
        <f>IFERROR(__xludf.DUMMYFUNCTION("""COMPUTED_VALUE"""),"qlink")</f>
        <v>qlink</v>
      </c>
      <c r="B9488" s="3" t="str">
        <f>IFERROR(__xludf.DUMMYFUNCTION("""COMPUTED_VALUE"""),"qlc")</f>
        <v>qlc</v>
      </c>
      <c r="C9488" s="3" t="str">
        <f>IFERROR(__xludf.DUMMYFUNCTION("""COMPUTED_VALUE"""),"QLC Chain")</f>
        <v>QLC Chain</v>
      </c>
    </row>
    <row r="9489">
      <c r="A9489" s="3" t="str">
        <f>IFERROR(__xludf.DUMMYFUNCTION("""COMPUTED_VALUE"""),"qmall")</f>
        <v>qmall</v>
      </c>
      <c r="B9489" s="3" t="str">
        <f>IFERROR(__xludf.DUMMYFUNCTION("""COMPUTED_VALUE"""),"qmall")</f>
        <v>qmall</v>
      </c>
      <c r="C9489" s="3" t="str">
        <f>IFERROR(__xludf.DUMMYFUNCTION("""COMPUTED_VALUE"""),"Qmall")</f>
        <v>Qmall</v>
      </c>
    </row>
    <row r="9490">
      <c r="A9490" s="3" t="str">
        <f>IFERROR(__xludf.DUMMYFUNCTION("""COMPUTED_VALUE"""),"qmcoin")</f>
        <v>qmcoin</v>
      </c>
      <c r="B9490" s="3" t="str">
        <f>IFERROR(__xludf.DUMMYFUNCTION("""COMPUTED_VALUE"""),"qmc")</f>
        <v>qmc</v>
      </c>
      <c r="C9490" s="3" t="str">
        <f>IFERROR(__xludf.DUMMYFUNCTION("""COMPUTED_VALUE"""),"QMCoin")</f>
        <v>QMCoin</v>
      </c>
    </row>
    <row r="9491">
      <c r="A9491" s="3" t="str">
        <f>IFERROR(__xludf.DUMMYFUNCTION("""COMPUTED_VALUE"""),"qobit")</f>
        <v>qobit</v>
      </c>
      <c r="B9491" s="3" t="str">
        <f>IFERROR(__xludf.DUMMYFUNCTION("""COMPUTED_VALUE"""),"qob")</f>
        <v>qob</v>
      </c>
      <c r="C9491" s="3" t="str">
        <f>IFERROR(__xludf.DUMMYFUNCTION("""COMPUTED_VALUE"""),"Qobit")</f>
        <v>Qobit</v>
      </c>
    </row>
    <row r="9492">
      <c r="A9492" s="3" t="str">
        <f>IFERROR(__xludf.DUMMYFUNCTION("""COMPUTED_VALUE"""),"qoiniq")</f>
        <v>qoiniq</v>
      </c>
      <c r="B9492" s="3" t="str">
        <f>IFERROR(__xludf.DUMMYFUNCTION("""COMPUTED_VALUE"""),"qiq")</f>
        <v>qiq</v>
      </c>
      <c r="C9492" s="3" t="str">
        <f>IFERROR(__xludf.DUMMYFUNCTION("""COMPUTED_VALUE"""),"QoinIQ")</f>
        <v>QoinIQ</v>
      </c>
    </row>
    <row r="9493">
      <c r="A9493" s="3" t="str">
        <f>IFERROR(__xludf.DUMMYFUNCTION("""COMPUTED_VALUE"""),"qommoditya")</f>
        <v>qommoditya</v>
      </c>
      <c r="B9493" s="3" t="str">
        <f>IFERROR(__xludf.DUMMYFUNCTION("""COMPUTED_VALUE"""),"qaa")</f>
        <v>qaa</v>
      </c>
      <c r="C9493" s="3" t="str">
        <f>IFERROR(__xludf.DUMMYFUNCTION("""COMPUTED_VALUE"""),"Qommodity")</f>
        <v>Qommodity</v>
      </c>
    </row>
    <row r="9494">
      <c r="A9494" s="3" t="str">
        <f>IFERROR(__xludf.DUMMYFUNCTION("""COMPUTED_VALUE"""),"qowatt")</f>
        <v>qowatt</v>
      </c>
      <c r="B9494" s="3" t="str">
        <f>IFERROR(__xludf.DUMMYFUNCTION("""COMPUTED_VALUE"""),"qwt")</f>
        <v>qwt</v>
      </c>
      <c r="C9494" s="3" t="str">
        <f>IFERROR(__xludf.DUMMYFUNCTION("""COMPUTED_VALUE"""),"QoWatt")</f>
        <v>QoWatt</v>
      </c>
    </row>
    <row r="9495">
      <c r="A9495" s="3" t="str">
        <f>IFERROR(__xludf.DUMMYFUNCTION("""COMPUTED_VALUE"""),"qqq-token")</f>
        <v>qqq-token</v>
      </c>
      <c r="B9495" s="3" t="str">
        <f>IFERROR(__xludf.DUMMYFUNCTION("""COMPUTED_VALUE"""),"qqq")</f>
        <v>qqq</v>
      </c>
      <c r="C9495" s="3" t="str">
        <f>IFERROR(__xludf.DUMMYFUNCTION("""COMPUTED_VALUE"""),"Poseidon Network")</f>
        <v>Poseidon Network</v>
      </c>
    </row>
    <row r="9496">
      <c r="A9496" s="3" t="str">
        <f>IFERROR(__xludf.DUMMYFUNCTION("""COMPUTED_VALUE"""),"qqq-tokenized-stock-defichain")</f>
        <v>qqq-tokenized-stock-defichain</v>
      </c>
      <c r="B9496" s="3" t="str">
        <f>IFERROR(__xludf.DUMMYFUNCTION("""COMPUTED_VALUE"""),"dqqq")</f>
        <v>dqqq</v>
      </c>
      <c r="C9496" s="3" t="str">
        <f>IFERROR(__xludf.DUMMYFUNCTION("""COMPUTED_VALUE"""),"Invesco QQQ Trust Defichain")</f>
        <v>Invesco QQQ Trust Defichain</v>
      </c>
    </row>
    <row r="9497">
      <c r="A9497" s="3" t="str">
        <f>IFERROR(__xludf.DUMMYFUNCTION("""COMPUTED_VALUE"""),"qredit")</f>
        <v>qredit</v>
      </c>
      <c r="B9497" s="3" t="str">
        <f>IFERROR(__xludf.DUMMYFUNCTION("""COMPUTED_VALUE"""),"xqr")</f>
        <v>xqr</v>
      </c>
      <c r="C9497" s="3" t="str">
        <f>IFERROR(__xludf.DUMMYFUNCTION("""COMPUTED_VALUE"""),"Qredit")</f>
        <v>Qredit</v>
      </c>
    </row>
    <row r="9498">
      <c r="A9498" s="3" t="str">
        <f>IFERROR(__xludf.DUMMYFUNCTION("""COMPUTED_VALUE"""),"qredo")</f>
        <v>qredo</v>
      </c>
      <c r="B9498" s="3" t="str">
        <f>IFERROR(__xludf.DUMMYFUNCTION("""COMPUTED_VALUE"""),"qrdo")</f>
        <v>qrdo</v>
      </c>
      <c r="C9498" s="3" t="str">
        <f>IFERROR(__xludf.DUMMYFUNCTION("""COMPUTED_VALUE"""),"Qredo")</f>
        <v>Qredo</v>
      </c>
    </row>
    <row r="9499">
      <c r="A9499" s="3" t="str">
        <f>IFERROR(__xludf.DUMMYFUNCTION("""COMPUTED_VALUE"""),"qrkita-token")</f>
        <v>qrkita-token</v>
      </c>
      <c r="B9499" s="3" t="str">
        <f>IFERROR(__xludf.DUMMYFUNCTION("""COMPUTED_VALUE"""),"qrt")</f>
        <v>qrt</v>
      </c>
      <c r="C9499" s="3" t="str">
        <f>IFERROR(__xludf.DUMMYFUNCTION("""COMPUTED_VALUE"""),"Qrkita")</f>
        <v>Qrkita</v>
      </c>
    </row>
    <row r="9500">
      <c r="A9500" s="3" t="str">
        <f>IFERROR(__xludf.DUMMYFUNCTION("""COMPUTED_VALUE"""),"qroni")</f>
        <v>qroni</v>
      </c>
      <c r="B9500" s="3" t="str">
        <f>IFERROR(__xludf.DUMMYFUNCTION("""COMPUTED_VALUE"""),"qni")</f>
        <v>qni</v>
      </c>
      <c r="C9500" s="3" t="str">
        <f>IFERROR(__xludf.DUMMYFUNCTION("""COMPUTED_VALUE"""),"Qroni")</f>
        <v>Qroni</v>
      </c>
    </row>
    <row r="9501">
      <c r="A9501" s="3" t="str">
        <f>IFERROR(__xludf.DUMMYFUNCTION("""COMPUTED_VALUE"""),"qtoken")</f>
        <v>qtoken</v>
      </c>
      <c r="B9501" s="3" t="str">
        <f>IFERROR(__xludf.DUMMYFUNCTION("""COMPUTED_VALUE"""),"qto")</f>
        <v>qto</v>
      </c>
      <c r="C9501" s="3" t="str">
        <f>IFERROR(__xludf.DUMMYFUNCTION("""COMPUTED_VALUE"""),"Qtoken")</f>
        <v>Qtoken</v>
      </c>
    </row>
    <row r="9502">
      <c r="A9502" s="3" t="str">
        <f>IFERROR(__xludf.DUMMYFUNCTION("""COMPUTED_VALUE"""),"qtum")</f>
        <v>qtum</v>
      </c>
      <c r="B9502" s="3" t="str">
        <f>IFERROR(__xludf.DUMMYFUNCTION("""COMPUTED_VALUE"""),"qtum")</f>
        <v>qtum</v>
      </c>
      <c r="C9502" s="3" t="str">
        <f>IFERROR(__xludf.DUMMYFUNCTION("""COMPUTED_VALUE"""),"Qtum")</f>
        <v>Qtum</v>
      </c>
    </row>
    <row r="9503">
      <c r="A9503" s="3" t="str">
        <f>IFERROR(__xludf.DUMMYFUNCTION("""COMPUTED_VALUE"""),"quackinu")</f>
        <v>quackinu</v>
      </c>
      <c r="B9503" s="3" t="str">
        <f>IFERROR(__xludf.DUMMYFUNCTION("""COMPUTED_VALUE"""),"quack")</f>
        <v>quack</v>
      </c>
      <c r="C9503" s="3" t="str">
        <f>IFERROR(__xludf.DUMMYFUNCTION("""COMPUTED_VALUE"""),"QuackInu")</f>
        <v>QuackInu</v>
      </c>
    </row>
    <row r="9504">
      <c r="A9504" s="3" t="str">
        <f>IFERROR(__xludf.DUMMYFUNCTION("""COMPUTED_VALUE"""),"quadency")</f>
        <v>quadency</v>
      </c>
      <c r="B9504" s="3" t="str">
        <f>IFERROR(__xludf.DUMMYFUNCTION("""COMPUTED_VALUE"""),"quad")</f>
        <v>quad</v>
      </c>
      <c r="C9504" s="3" t="str">
        <f>IFERROR(__xludf.DUMMYFUNCTION("""COMPUTED_VALUE"""),"Quadency")</f>
        <v>Quadency</v>
      </c>
    </row>
    <row r="9505">
      <c r="A9505" s="3" t="str">
        <f>IFERROR(__xludf.DUMMYFUNCTION("""COMPUTED_VALUE"""),"quadrans")</f>
        <v>quadrans</v>
      </c>
      <c r="B9505" s="3" t="str">
        <f>IFERROR(__xludf.DUMMYFUNCTION("""COMPUTED_VALUE"""),"qdt")</f>
        <v>qdt</v>
      </c>
      <c r="C9505" s="3" t="str">
        <f>IFERROR(__xludf.DUMMYFUNCTION("""COMPUTED_VALUE"""),"Quadrans")</f>
        <v>Quadrans</v>
      </c>
    </row>
    <row r="9506">
      <c r="A9506" s="3" t="str">
        <f>IFERROR(__xludf.DUMMYFUNCTION("""COMPUTED_VALUE"""),"quadrant-protocol")</f>
        <v>quadrant-protocol</v>
      </c>
      <c r="B9506" s="3" t="str">
        <f>IFERROR(__xludf.DUMMYFUNCTION("""COMPUTED_VALUE"""),"equad")</f>
        <v>equad</v>
      </c>
      <c r="C9506" s="3" t="str">
        <f>IFERROR(__xludf.DUMMYFUNCTION("""COMPUTED_VALUE"""),"Quadrant Protocol")</f>
        <v>Quadrant Protocol</v>
      </c>
    </row>
    <row r="9507">
      <c r="A9507" s="3" t="str">
        <f>IFERROR(__xludf.DUMMYFUNCTION("""COMPUTED_VALUE"""),"quai-dao")</f>
        <v>quai-dao</v>
      </c>
      <c r="B9507" s="3" t="str">
        <f>IFERROR(__xludf.DUMMYFUNCTION("""COMPUTED_VALUE"""),"quai")</f>
        <v>quai</v>
      </c>
      <c r="C9507" s="3" t="str">
        <f>IFERROR(__xludf.DUMMYFUNCTION("""COMPUTED_VALUE"""),"Quai Dao")</f>
        <v>Quai Dao</v>
      </c>
    </row>
    <row r="9508">
      <c r="A9508" s="3" t="str">
        <f>IFERROR(__xludf.DUMMYFUNCTION("""COMPUTED_VALUE"""),"quai-network")</f>
        <v>quai-network</v>
      </c>
      <c r="B9508" s="3" t="str">
        <f>IFERROR(__xludf.DUMMYFUNCTION("""COMPUTED_VALUE"""),"quai")</f>
        <v>quai</v>
      </c>
      <c r="C9508" s="3" t="str">
        <f>IFERROR(__xludf.DUMMYFUNCTION("""COMPUTED_VALUE"""),"Quai Network")</f>
        <v>Quai Network</v>
      </c>
    </row>
    <row r="9509">
      <c r="A9509" s="3" t="str">
        <f>IFERROR(__xludf.DUMMYFUNCTION("""COMPUTED_VALUE"""),"quam-network")</f>
        <v>quam-network</v>
      </c>
      <c r="B9509" s="3" t="str">
        <f>IFERROR(__xludf.DUMMYFUNCTION("""COMPUTED_VALUE"""),"quam")</f>
        <v>quam</v>
      </c>
      <c r="C9509" s="3" t="str">
        <f>IFERROR(__xludf.DUMMYFUNCTION("""COMPUTED_VALUE"""),"Quam Network")</f>
        <v>Quam Network</v>
      </c>
    </row>
    <row r="9510">
      <c r="A9510" s="3" t="str">
        <f>IFERROR(__xludf.DUMMYFUNCTION("""COMPUTED_VALUE"""),"quannabu")</f>
        <v>quannabu</v>
      </c>
      <c r="B9510" s="3" t="str">
        <f>IFERROR(__xludf.DUMMYFUNCTION("""COMPUTED_VALUE"""),"qbu")</f>
        <v>qbu</v>
      </c>
      <c r="C9510" s="3" t="str">
        <f>IFERROR(__xludf.DUMMYFUNCTION("""COMPUTED_VALUE"""),"Quannabu")</f>
        <v>Quannabu</v>
      </c>
    </row>
    <row r="9511">
      <c r="A9511" s="3" t="str">
        <f>IFERROR(__xludf.DUMMYFUNCTION("""COMPUTED_VALUE"""),"quantfury")</f>
        <v>quantfury</v>
      </c>
      <c r="B9511" s="3" t="str">
        <f>IFERROR(__xludf.DUMMYFUNCTION("""COMPUTED_VALUE"""),"qtf")</f>
        <v>qtf</v>
      </c>
      <c r="C9511" s="3" t="str">
        <f>IFERROR(__xludf.DUMMYFUNCTION("""COMPUTED_VALUE"""),"Quantfury")</f>
        <v>Quantfury</v>
      </c>
    </row>
    <row r="9512">
      <c r="A9512" s="3" t="str">
        <f>IFERROR(__xludf.DUMMYFUNCTION("""COMPUTED_VALUE"""),"quantic")</f>
        <v>quantic</v>
      </c>
      <c r="B9512" s="3" t="str">
        <f>IFERROR(__xludf.DUMMYFUNCTION("""COMPUTED_VALUE"""),"quantic")</f>
        <v>quantic</v>
      </c>
      <c r="C9512" s="3" t="str">
        <f>IFERROR(__xludf.DUMMYFUNCTION("""COMPUTED_VALUE"""),"Quantic")</f>
        <v>Quantic</v>
      </c>
    </row>
    <row r="9513">
      <c r="A9513" s="3" t="str">
        <f>IFERROR(__xludf.DUMMYFUNCTION("""COMPUTED_VALUE"""),"quantis")</f>
        <v>quantis</v>
      </c>
      <c r="B9513" s="3" t="str">
        <f>IFERROR(__xludf.DUMMYFUNCTION("""COMPUTED_VALUE"""),"quan")</f>
        <v>quan</v>
      </c>
      <c r="C9513" s="3" t="str">
        <f>IFERROR(__xludf.DUMMYFUNCTION("""COMPUTED_VALUE"""),"Quantis")</f>
        <v>Quantis</v>
      </c>
    </row>
    <row r="9514">
      <c r="A9514" s="3" t="str">
        <f>IFERROR(__xludf.DUMMYFUNCTION("""COMPUTED_VALUE"""),"quantland")</f>
        <v>quantland</v>
      </c>
      <c r="B9514" s="3" t="str">
        <f>IFERROR(__xludf.DUMMYFUNCTION("""COMPUTED_VALUE"""),"qlt")</f>
        <v>qlt</v>
      </c>
      <c r="C9514" s="3" t="str">
        <f>IFERROR(__xludf.DUMMYFUNCTION("""COMPUTED_VALUE"""),"Quantland")</f>
        <v>Quantland</v>
      </c>
    </row>
    <row r="9515">
      <c r="A9515" s="3" t="str">
        <f>IFERROR(__xludf.DUMMYFUNCTION("""COMPUTED_VALUE"""),"quant-network")</f>
        <v>quant-network</v>
      </c>
      <c r="B9515" s="3" t="str">
        <f>IFERROR(__xludf.DUMMYFUNCTION("""COMPUTED_VALUE"""),"qnt")</f>
        <v>qnt</v>
      </c>
      <c r="C9515" s="3" t="str">
        <f>IFERROR(__xludf.DUMMYFUNCTION("""COMPUTED_VALUE"""),"Quant")</f>
        <v>Quant</v>
      </c>
    </row>
    <row r="9516">
      <c r="A9516" s="3" t="str">
        <f>IFERROR(__xludf.DUMMYFUNCTION("""COMPUTED_VALUE"""),"quantstamp")</f>
        <v>quantstamp</v>
      </c>
      <c r="B9516" s="3" t="str">
        <f>IFERROR(__xludf.DUMMYFUNCTION("""COMPUTED_VALUE"""),"qsp")</f>
        <v>qsp</v>
      </c>
      <c r="C9516" s="3" t="str">
        <f>IFERROR(__xludf.DUMMYFUNCTION("""COMPUTED_VALUE"""),"Quantstamp")</f>
        <v>Quantstamp</v>
      </c>
    </row>
    <row r="9517">
      <c r="A9517" s="3" t="str">
        <f>IFERROR(__xludf.DUMMYFUNCTION("""COMPUTED_VALUE"""),"quantum-assets")</f>
        <v>quantum-assets</v>
      </c>
      <c r="B9517" s="3" t="str">
        <f>IFERROR(__xludf.DUMMYFUNCTION("""COMPUTED_VALUE"""),"qa")</f>
        <v>qa</v>
      </c>
      <c r="C9517" s="3" t="str">
        <f>IFERROR(__xludf.DUMMYFUNCTION("""COMPUTED_VALUE"""),"Quantum Assets")</f>
        <v>Quantum Assets</v>
      </c>
    </row>
    <row r="9518">
      <c r="A9518" s="3" t="str">
        <f>IFERROR(__xludf.DUMMYFUNCTION("""COMPUTED_VALUE"""),"quantum-resistant-ledger")</f>
        <v>quantum-resistant-ledger</v>
      </c>
      <c r="B9518" s="3" t="str">
        <f>IFERROR(__xludf.DUMMYFUNCTION("""COMPUTED_VALUE"""),"qrl")</f>
        <v>qrl</v>
      </c>
      <c r="C9518" s="3" t="str">
        <f>IFERROR(__xludf.DUMMYFUNCTION("""COMPUTED_VALUE"""),"Quantum Resistant Ledger")</f>
        <v>Quantum Resistant Ledger</v>
      </c>
    </row>
    <row r="9519">
      <c r="A9519" s="3" t="str">
        <f>IFERROR(__xludf.DUMMYFUNCTION("""COMPUTED_VALUE"""),"quantum-tech")</f>
        <v>quantum-tech</v>
      </c>
      <c r="B9519" s="3" t="str">
        <f>IFERROR(__xludf.DUMMYFUNCTION("""COMPUTED_VALUE"""),"qua")</f>
        <v>qua</v>
      </c>
      <c r="C9519" s="3" t="str">
        <f>IFERROR(__xludf.DUMMYFUNCTION("""COMPUTED_VALUE"""),"Quantum Tech")</f>
        <v>Quantum Tech</v>
      </c>
    </row>
    <row r="9520">
      <c r="A9520" s="3" t="str">
        <f>IFERROR(__xludf.DUMMYFUNCTION("""COMPUTED_VALUE"""),"quarashi")</f>
        <v>quarashi</v>
      </c>
      <c r="B9520" s="3" t="str">
        <f>IFERROR(__xludf.DUMMYFUNCTION("""COMPUTED_VALUE"""),"qua")</f>
        <v>qua</v>
      </c>
      <c r="C9520" s="3" t="str">
        <f>IFERROR(__xludf.DUMMYFUNCTION("""COMPUTED_VALUE"""),"Quarashi")</f>
        <v>Quarashi</v>
      </c>
    </row>
    <row r="9521">
      <c r="A9521" s="3" t="str">
        <f>IFERROR(__xludf.DUMMYFUNCTION("""COMPUTED_VALUE"""),"quark")</f>
        <v>quark</v>
      </c>
      <c r="B9521" s="3" t="str">
        <f>IFERROR(__xludf.DUMMYFUNCTION("""COMPUTED_VALUE"""),"qrk")</f>
        <v>qrk</v>
      </c>
      <c r="C9521" s="3" t="str">
        <f>IFERROR(__xludf.DUMMYFUNCTION("""COMPUTED_VALUE"""),"Quark")</f>
        <v>Quark</v>
      </c>
    </row>
    <row r="9522">
      <c r="A9522" s="3" t="str">
        <f>IFERROR(__xludf.DUMMYFUNCTION("""COMPUTED_VALUE"""),"quark-chain")</f>
        <v>quark-chain</v>
      </c>
      <c r="B9522" s="3" t="str">
        <f>IFERROR(__xludf.DUMMYFUNCTION("""COMPUTED_VALUE"""),"qkc")</f>
        <v>qkc</v>
      </c>
      <c r="C9522" s="3" t="str">
        <f>IFERROR(__xludf.DUMMYFUNCTION("""COMPUTED_VALUE"""),"QuarkChain")</f>
        <v>QuarkChain</v>
      </c>
    </row>
    <row r="9523">
      <c r="A9523" s="3" t="str">
        <f>IFERROR(__xludf.DUMMYFUNCTION("""COMPUTED_VALUE"""),"quartz")</f>
        <v>quartz</v>
      </c>
      <c r="B9523" s="3" t="str">
        <f>IFERROR(__xludf.DUMMYFUNCTION("""COMPUTED_VALUE"""),"qtz")</f>
        <v>qtz</v>
      </c>
      <c r="C9523" s="3" t="str">
        <f>IFERROR(__xludf.DUMMYFUNCTION("""COMPUTED_VALUE"""),"Quartz")</f>
        <v>Quartz</v>
      </c>
    </row>
    <row r="9524">
      <c r="A9524" s="3" t="str">
        <f>IFERROR(__xludf.DUMMYFUNCTION("""COMPUTED_VALUE"""),"quasacoin")</f>
        <v>quasacoin</v>
      </c>
      <c r="B9524" s="3" t="str">
        <f>IFERROR(__xludf.DUMMYFUNCTION("""COMPUTED_VALUE"""),"qua")</f>
        <v>qua</v>
      </c>
      <c r="C9524" s="3" t="str">
        <f>IFERROR(__xludf.DUMMYFUNCTION("""COMPUTED_VALUE"""),"Quasacoin")</f>
        <v>Quasacoin</v>
      </c>
    </row>
    <row r="9525">
      <c r="A9525" s="3" t="str">
        <f>IFERROR(__xludf.DUMMYFUNCTION("""COMPUTED_VALUE"""),"qube-2")</f>
        <v>qube-2</v>
      </c>
      <c r="B9525" s="3" t="str">
        <f>IFERROR(__xludf.DUMMYFUNCTION("""COMPUTED_VALUE"""),"qube")</f>
        <v>qube</v>
      </c>
      <c r="C9525" s="3" t="str">
        <f>IFERROR(__xludf.DUMMYFUNCTION("""COMPUTED_VALUE"""),"Qube")</f>
        <v>Qube</v>
      </c>
    </row>
    <row r="9526">
      <c r="A9526" s="3" t="str">
        <f>IFERROR(__xludf.DUMMYFUNCTION("""COMPUTED_VALUE"""),"qubit")</f>
        <v>qubit</v>
      </c>
      <c r="B9526" s="3" t="str">
        <f>IFERROR(__xludf.DUMMYFUNCTION("""COMPUTED_VALUE"""),"qbt")</f>
        <v>qbt</v>
      </c>
      <c r="C9526" s="3" t="str">
        <f>IFERROR(__xludf.DUMMYFUNCTION("""COMPUTED_VALUE"""),"Qubit")</f>
        <v>Qubit</v>
      </c>
    </row>
    <row r="9527">
      <c r="A9527" s="3" t="str">
        <f>IFERROR(__xludf.DUMMYFUNCTION("""COMPUTED_VALUE"""),"quebecoin")</f>
        <v>quebecoin</v>
      </c>
      <c r="B9527" s="3" t="str">
        <f>IFERROR(__xludf.DUMMYFUNCTION("""COMPUTED_VALUE"""),"qbc")</f>
        <v>qbc</v>
      </c>
      <c r="C9527" s="3" t="str">
        <f>IFERROR(__xludf.DUMMYFUNCTION("""COMPUTED_VALUE"""),"Quebecoin")</f>
        <v>Quebecoin</v>
      </c>
    </row>
    <row r="9528">
      <c r="A9528" s="3" t="str">
        <f>IFERROR(__xludf.DUMMYFUNCTION("""COMPUTED_VALUE"""),"questra-finance")</f>
        <v>questra-finance</v>
      </c>
      <c r="B9528" s="3" t="str">
        <f>IFERROR(__xludf.DUMMYFUNCTION("""COMPUTED_VALUE"""),"qfi")</f>
        <v>qfi</v>
      </c>
      <c r="C9528" s="3" t="str">
        <f>IFERROR(__xludf.DUMMYFUNCTION("""COMPUTED_VALUE"""),"QUESTRA FINANCE")</f>
        <v>QUESTRA FINANCE</v>
      </c>
    </row>
    <row r="9529">
      <c r="A9529" s="3" t="str">
        <f>IFERROR(__xludf.DUMMYFUNCTION("""COMPUTED_VALUE"""),"quick")</f>
        <v>quick</v>
      </c>
      <c r="B9529" s="3" t="str">
        <f>IFERROR(__xludf.DUMMYFUNCTION("""COMPUTED_VALUE"""),"quick")</f>
        <v>quick</v>
      </c>
      <c r="C9529" s="3" t="str">
        <f>IFERROR(__xludf.DUMMYFUNCTION("""COMPUTED_VALUE"""),"Quickswap [OLD]")</f>
        <v>Quickswap [OLD]</v>
      </c>
    </row>
    <row r="9530">
      <c r="A9530" s="3" t="str">
        <f>IFERROR(__xludf.DUMMYFUNCTION("""COMPUTED_VALUE"""),"quickchart")</f>
        <v>quickchart</v>
      </c>
      <c r="B9530" s="3" t="str">
        <f>IFERROR(__xludf.DUMMYFUNCTION("""COMPUTED_VALUE"""),"quickchart")</f>
        <v>quickchart</v>
      </c>
      <c r="C9530" s="3" t="str">
        <f>IFERROR(__xludf.DUMMYFUNCTION("""COMPUTED_VALUE"""),"QuickChart")</f>
        <v>QuickChart</v>
      </c>
    </row>
    <row r="9531">
      <c r="A9531" s="3" t="str">
        <f>IFERROR(__xludf.DUMMYFUNCTION("""COMPUTED_VALUE"""),"quick-mining")</f>
        <v>quick-mining</v>
      </c>
      <c r="B9531" s="3" t="str">
        <f>IFERROR(__xludf.DUMMYFUNCTION("""COMPUTED_VALUE"""),"qm")</f>
        <v>qm</v>
      </c>
      <c r="C9531" s="3" t="str">
        <f>IFERROR(__xludf.DUMMYFUNCTION("""COMPUTED_VALUE"""),"Quick Mining")</f>
        <v>Quick Mining</v>
      </c>
    </row>
    <row r="9532">
      <c r="A9532" s="3" t="str">
        <f>IFERROR(__xludf.DUMMYFUNCTION("""COMPUTED_VALUE"""),"quicksilver")</f>
        <v>quicksilver</v>
      </c>
      <c r="B9532" s="3" t="str">
        <f>IFERROR(__xludf.DUMMYFUNCTION("""COMPUTED_VALUE"""),"qck")</f>
        <v>qck</v>
      </c>
      <c r="C9532" s="3" t="str">
        <f>IFERROR(__xludf.DUMMYFUNCTION("""COMPUTED_VALUE"""),"Quicksilver")</f>
        <v>Quicksilver</v>
      </c>
    </row>
    <row r="9533">
      <c r="A9533" s="3" t="str">
        <f>IFERROR(__xludf.DUMMYFUNCTION("""COMPUTED_VALUE"""),"quickswap")</f>
        <v>quickswap</v>
      </c>
      <c r="B9533" s="3" t="str">
        <f>IFERROR(__xludf.DUMMYFUNCTION("""COMPUTED_VALUE"""),"quick")</f>
        <v>quick</v>
      </c>
      <c r="C9533" s="3" t="str">
        <f>IFERROR(__xludf.DUMMYFUNCTION("""COMPUTED_VALUE"""),"Quickswap")</f>
        <v>Quickswap</v>
      </c>
    </row>
    <row r="9534">
      <c r="A9534" s="3" t="str">
        <f>IFERROR(__xludf.DUMMYFUNCTION("""COMPUTED_VALUE"""),"quick-transfer-coin")</f>
        <v>quick-transfer-coin</v>
      </c>
      <c r="B9534" s="3" t="str">
        <f>IFERROR(__xludf.DUMMYFUNCTION("""COMPUTED_VALUE"""),"qtc")</f>
        <v>qtc</v>
      </c>
      <c r="C9534" s="3" t="str">
        <f>IFERROR(__xludf.DUMMYFUNCTION("""COMPUTED_VALUE"""),"Quick Transfer Coin")</f>
        <v>Quick Transfer Coin</v>
      </c>
    </row>
    <row r="9535">
      <c r="A9535" s="3" t="str">
        <f>IFERROR(__xludf.DUMMYFUNCTION("""COMPUTED_VALUE"""),"quickx-protocol")</f>
        <v>quickx-protocol</v>
      </c>
      <c r="B9535" s="3" t="str">
        <f>IFERROR(__xludf.DUMMYFUNCTION("""COMPUTED_VALUE"""),"qcx")</f>
        <v>qcx</v>
      </c>
      <c r="C9535" s="3" t="str">
        <f>IFERROR(__xludf.DUMMYFUNCTION("""COMPUTED_VALUE"""),"QuickX Protocol")</f>
        <v>QuickX Protocol</v>
      </c>
    </row>
    <row r="9536">
      <c r="A9536" s="3" t="str">
        <f>IFERROR(__xludf.DUMMYFUNCTION("""COMPUTED_VALUE"""),"quidax")</f>
        <v>quidax</v>
      </c>
      <c r="B9536" s="3" t="str">
        <f>IFERROR(__xludf.DUMMYFUNCTION("""COMPUTED_VALUE"""),"qdx")</f>
        <v>qdx</v>
      </c>
      <c r="C9536" s="3" t="str">
        <f>IFERROR(__xludf.DUMMYFUNCTION("""COMPUTED_VALUE"""),"Quidax")</f>
        <v>Quidax</v>
      </c>
    </row>
    <row r="9537">
      <c r="A9537" s="3" t="str">
        <f>IFERROR(__xludf.DUMMYFUNCTION("""COMPUTED_VALUE"""),"quidd")</f>
        <v>quidd</v>
      </c>
      <c r="B9537" s="3" t="str">
        <f>IFERROR(__xludf.DUMMYFUNCTION("""COMPUTED_VALUE"""),"quidd")</f>
        <v>quidd</v>
      </c>
      <c r="C9537" s="3" t="str">
        <f>IFERROR(__xludf.DUMMYFUNCTION("""COMPUTED_VALUE"""),"Quidd")</f>
        <v>Quidd</v>
      </c>
    </row>
    <row r="9538">
      <c r="A9538" s="3" t="str">
        <f>IFERROR(__xludf.DUMMYFUNCTION("""COMPUTED_VALUE"""),"quid-ika")</f>
        <v>quid-ika</v>
      </c>
      <c r="B9538" s="3" t="str">
        <f>IFERROR(__xludf.DUMMYFUNCTION("""COMPUTED_VALUE"""),"quid")</f>
        <v>quid</v>
      </c>
      <c r="C9538" s="3" t="str">
        <f>IFERROR(__xludf.DUMMYFUNCTION("""COMPUTED_VALUE"""),"Quid Ika")</f>
        <v>Quid Ika</v>
      </c>
    </row>
    <row r="9539">
      <c r="A9539" s="3" t="str">
        <f>IFERROR(__xludf.DUMMYFUNCTION("""COMPUTED_VALUE"""),"quid-token")</f>
        <v>quid-token</v>
      </c>
      <c r="B9539" s="3" t="str">
        <f>IFERROR(__xludf.DUMMYFUNCTION("""COMPUTED_VALUE"""),"quid")</f>
        <v>quid</v>
      </c>
      <c r="C9539" s="3" t="str">
        <f>IFERROR(__xludf.DUMMYFUNCTION("""COMPUTED_VALUE"""),"Quid")</f>
        <v>Quid</v>
      </c>
    </row>
    <row r="9540">
      <c r="A9540" s="3" t="str">
        <f>IFERROR(__xludf.DUMMYFUNCTION("""COMPUTED_VALUE"""),"quinads")</f>
        <v>quinads</v>
      </c>
      <c r="B9540" s="3" t="str">
        <f>IFERROR(__xludf.DUMMYFUNCTION("""COMPUTED_VALUE"""),"quin")</f>
        <v>quin</v>
      </c>
      <c r="C9540" s="3" t="str">
        <f>IFERROR(__xludf.DUMMYFUNCTION("""COMPUTED_VALUE"""),"QUINADS")</f>
        <v>QUINADS</v>
      </c>
    </row>
    <row r="9541">
      <c r="A9541" s="3" t="str">
        <f>IFERROR(__xludf.DUMMYFUNCTION("""COMPUTED_VALUE"""),"quincoin")</f>
        <v>quincoin</v>
      </c>
      <c r="B9541" s="3" t="str">
        <f>IFERROR(__xludf.DUMMYFUNCTION("""COMPUTED_VALUE"""),"qin")</f>
        <v>qin</v>
      </c>
      <c r="C9541" s="3" t="str">
        <f>IFERROR(__xludf.DUMMYFUNCTION("""COMPUTED_VALUE"""),"QUINCOIN")</f>
        <v>QUINCOIN</v>
      </c>
    </row>
    <row r="9542">
      <c r="A9542" s="3" t="str">
        <f>IFERROR(__xludf.DUMMYFUNCTION("""COMPUTED_VALUE"""),"quint")</f>
        <v>quint</v>
      </c>
      <c r="B9542" s="3" t="str">
        <f>IFERROR(__xludf.DUMMYFUNCTION("""COMPUTED_VALUE"""),"quint")</f>
        <v>quint</v>
      </c>
      <c r="C9542" s="3" t="str">
        <f>IFERROR(__xludf.DUMMYFUNCTION("""COMPUTED_VALUE"""),"Quint")</f>
        <v>Quint</v>
      </c>
    </row>
    <row r="9543">
      <c r="A9543" s="3" t="str">
        <f>IFERROR(__xludf.DUMMYFUNCTION("""COMPUTED_VALUE"""),"quipuswap-governance-token")</f>
        <v>quipuswap-governance-token</v>
      </c>
      <c r="B9543" s="3" t="str">
        <f>IFERROR(__xludf.DUMMYFUNCTION("""COMPUTED_VALUE"""),"quipu")</f>
        <v>quipu</v>
      </c>
      <c r="C9543" s="3" t="str">
        <f>IFERROR(__xludf.DUMMYFUNCTION("""COMPUTED_VALUE"""),"QuipuSwap Governance")</f>
        <v>QuipuSwap Governance</v>
      </c>
    </row>
    <row r="9544">
      <c r="A9544" s="3" t="str">
        <f>IFERROR(__xludf.DUMMYFUNCTION("""COMPUTED_VALUE"""),"quiverx")</f>
        <v>quiverx</v>
      </c>
      <c r="B9544" s="3" t="str">
        <f>IFERROR(__xludf.DUMMYFUNCTION("""COMPUTED_VALUE"""),"qrx")</f>
        <v>qrx</v>
      </c>
      <c r="C9544" s="3" t="str">
        <f>IFERROR(__xludf.DUMMYFUNCTION("""COMPUTED_VALUE"""),"QuiverX")</f>
        <v>QuiverX</v>
      </c>
    </row>
    <row r="9545">
      <c r="A9545" s="3" t="str">
        <f>IFERROR(__xludf.DUMMYFUNCTION("""COMPUTED_VALUE"""),"quizdrop")</f>
        <v>quizdrop</v>
      </c>
      <c r="B9545" s="3" t="str">
        <f>IFERROR(__xludf.DUMMYFUNCTION("""COMPUTED_VALUE"""),"qdrop")</f>
        <v>qdrop</v>
      </c>
      <c r="C9545" s="3" t="str">
        <f>IFERROR(__xludf.DUMMYFUNCTION("""COMPUTED_VALUE"""),"QuizDrop")</f>
        <v>QuizDrop</v>
      </c>
    </row>
    <row r="9546">
      <c r="A9546" s="3" t="str">
        <f>IFERROR(__xludf.DUMMYFUNCTION("""COMPUTED_VALUE"""),"quiztok")</f>
        <v>quiztok</v>
      </c>
      <c r="B9546" s="3" t="str">
        <f>IFERROR(__xludf.DUMMYFUNCTION("""COMPUTED_VALUE"""),"qtcon")</f>
        <v>qtcon</v>
      </c>
      <c r="C9546" s="3" t="str">
        <f>IFERROR(__xludf.DUMMYFUNCTION("""COMPUTED_VALUE"""),"Quiztok")</f>
        <v>Quiztok</v>
      </c>
    </row>
    <row r="9547">
      <c r="A9547" s="3" t="str">
        <f>IFERROR(__xludf.DUMMYFUNCTION("""COMPUTED_VALUE"""),"quo")</f>
        <v>quo</v>
      </c>
      <c r="B9547" s="3" t="str">
        <f>IFERROR(__xludf.DUMMYFUNCTION("""COMPUTED_VALUE"""),"quo")</f>
        <v>quo</v>
      </c>
      <c r="C9547" s="3" t="str">
        <f>IFERROR(__xludf.DUMMYFUNCTION("""COMPUTED_VALUE"""),"Quoll Finance")</f>
        <v>Quoll Finance</v>
      </c>
    </row>
    <row r="9548">
      <c r="A9548" s="3" t="str">
        <f>IFERROR(__xludf.DUMMYFUNCTION("""COMPUTED_VALUE"""),"quorum")</f>
        <v>quorum</v>
      </c>
      <c r="B9548" s="3" t="str">
        <f>IFERROR(__xludf.DUMMYFUNCTION("""COMPUTED_VALUE"""),"rum")</f>
        <v>rum</v>
      </c>
      <c r="C9548" s="3" t="str">
        <f>IFERROR(__xludf.DUMMYFUNCTION("""COMPUTED_VALUE"""),"Quorum")</f>
        <v>Quorum</v>
      </c>
    </row>
    <row r="9549">
      <c r="A9549" s="3" t="str">
        <f>IFERROR(__xludf.DUMMYFUNCTION("""COMPUTED_VALUE"""),"quota")</f>
        <v>quota</v>
      </c>
      <c r="B9549" s="3" t="str">
        <f>IFERROR(__xludf.DUMMYFUNCTION("""COMPUTED_VALUE"""),"qta")</f>
        <v>qta</v>
      </c>
      <c r="C9549" s="3" t="str">
        <f>IFERROR(__xludf.DUMMYFUNCTION("""COMPUTED_VALUE"""),"QUOTA")</f>
        <v>QUOTA</v>
      </c>
    </row>
    <row r="9550">
      <c r="A9550" s="3" t="str">
        <f>IFERROR(__xludf.DUMMYFUNCTION("""COMPUTED_VALUE"""),"quoth")</f>
        <v>quoth</v>
      </c>
      <c r="B9550" s="3" t="str">
        <f>IFERROR(__xludf.DUMMYFUNCTION("""COMPUTED_VALUE"""),"quoth")</f>
        <v>quoth</v>
      </c>
      <c r="C9550" s="3" t="str">
        <f>IFERROR(__xludf.DUMMYFUNCTION("""COMPUTED_VALUE"""),"Quoth")</f>
        <v>Quoth</v>
      </c>
    </row>
    <row r="9551">
      <c r="A9551" s="3" t="str">
        <f>IFERROR(__xludf.DUMMYFUNCTION("""COMPUTED_VALUE"""),"quotient")</f>
        <v>quotient</v>
      </c>
      <c r="B9551" s="3" t="str">
        <f>IFERROR(__xludf.DUMMYFUNCTION("""COMPUTED_VALUE"""),"xqn")</f>
        <v>xqn</v>
      </c>
      <c r="C9551" s="3" t="str">
        <f>IFERROR(__xludf.DUMMYFUNCTION("""COMPUTED_VALUE"""),"Quotient")</f>
        <v>Quotient</v>
      </c>
    </row>
    <row r="9552">
      <c r="A9552" s="3" t="str">
        <f>IFERROR(__xludf.DUMMYFUNCTION("""COMPUTED_VALUE"""),"quras-token")</f>
        <v>quras-token</v>
      </c>
      <c r="B9552" s="3" t="str">
        <f>IFERROR(__xludf.DUMMYFUNCTION("""COMPUTED_VALUE"""),"xqc")</f>
        <v>xqc</v>
      </c>
      <c r="C9552" s="3" t="str">
        <f>IFERROR(__xludf.DUMMYFUNCTION("""COMPUTED_VALUE"""),"Quras")</f>
        <v>Quras</v>
      </c>
    </row>
    <row r="9553">
      <c r="A9553" s="3" t="str">
        <f>IFERROR(__xludf.DUMMYFUNCTION("""COMPUTED_VALUE"""),"r34p")</f>
        <v>r34p</v>
      </c>
      <c r="B9553" s="3" t="str">
        <f>IFERROR(__xludf.DUMMYFUNCTION("""COMPUTED_VALUE"""),"r34p")</f>
        <v>r34p</v>
      </c>
      <c r="C9553" s="3" t="str">
        <f>IFERROR(__xludf.DUMMYFUNCTION("""COMPUTED_VALUE"""),"R34P")</f>
        <v>R34P</v>
      </c>
    </row>
    <row r="9554">
      <c r="A9554" s="3" t="str">
        <f>IFERROR(__xludf.DUMMYFUNCTION("""COMPUTED_VALUE"""),"rabbit-finance")</f>
        <v>rabbit-finance</v>
      </c>
      <c r="B9554" s="3" t="str">
        <f>IFERROR(__xludf.DUMMYFUNCTION("""COMPUTED_VALUE"""),"rabbit")</f>
        <v>rabbit</v>
      </c>
      <c r="C9554" s="3" t="str">
        <f>IFERROR(__xludf.DUMMYFUNCTION("""COMPUTED_VALUE"""),"Rabbit Finance")</f>
        <v>Rabbit Finance</v>
      </c>
    </row>
    <row r="9555">
      <c r="A9555" s="3" t="str">
        <f>IFERROR(__xludf.DUMMYFUNCTION("""COMPUTED_VALUE"""),"rabbit-halloween")</f>
        <v>rabbit-halloween</v>
      </c>
      <c r="B9555" s="3" t="str">
        <f>IFERROR(__xludf.DUMMYFUNCTION("""COMPUTED_VALUE"""),"rh31")</f>
        <v>rh31</v>
      </c>
      <c r="C9555" s="3" t="str">
        <f>IFERROR(__xludf.DUMMYFUNCTION("""COMPUTED_VALUE"""),"Rabbit Halloween")</f>
        <v>Rabbit Halloween</v>
      </c>
    </row>
    <row r="9556">
      <c r="A9556" s="3" t="str">
        <f>IFERROR(__xludf.DUMMYFUNCTION("""COMPUTED_VALUE"""),"rabet")</f>
        <v>rabet</v>
      </c>
      <c r="B9556" s="3" t="str">
        <f>IFERROR(__xludf.DUMMYFUNCTION("""COMPUTED_VALUE"""),"rbt")</f>
        <v>rbt</v>
      </c>
      <c r="C9556" s="3" t="str">
        <f>IFERROR(__xludf.DUMMYFUNCTION("""COMPUTED_VALUE"""),"Rabet")</f>
        <v>Rabet</v>
      </c>
    </row>
    <row r="9557">
      <c r="A9557" s="3" t="str">
        <f>IFERROR(__xludf.DUMMYFUNCTION("""COMPUTED_VALUE"""),"rabona")</f>
        <v>rabona</v>
      </c>
      <c r="B9557" s="3" t="str">
        <f>IFERROR(__xludf.DUMMYFUNCTION("""COMPUTED_VALUE"""),"ra")</f>
        <v>ra</v>
      </c>
      <c r="C9557" s="3" t="str">
        <f>IFERROR(__xludf.DUMMYFUNCTION("""COMPUTED_VALUE"""),"Rabona")</f>
        <v>Rabona</v>
      </c>
    </row>
    <row r="9558">
      <c r="A9558" s="3" t="str">
        <f>IFERROR(__xludf.DUMMYFUNCTION("""COMPUTED_VALUE"""),"rac")</f>
        <v>rac</v>
      </c>
      <c r="B9558" s="3" t="str">
        <f>IFERROR(__xludf.DUMMYFUNCTION("""COMPUTED_VALUE"""),"rac")</f>
        <v>rac</v>
      </c>
      <c r="C9558" s="3" t="str">
        <f>IFERROR(__xludf.DUMMYFUNCTION("""COMPUTED_VALUE"""),"RAC")</f>
        <v>RAC</v>
      </c>
    </row>
    <row r="9559">
      <c r="A9559" s="3" t="str">
        <f>IFERROR(__xludf.DUMMYFUNCTION("""COMPUTED_VALUE"""),"race")</f>
        <v>race</v>
      </c>
      <c r="B9559" s="3" t="str">
        <f>IFERROR(__xludf.DUMMYFUNCTION("""COMPUTED_VALUE"""),"race")</f>
        <v>race</v>
      </c>
      <c r="C9559" s="3" t="str">
        <f>IFERROR(__xludf.DUMMYFUNCTION("""COMPUTED_VALUE"""),"Race")</f>
        <v>Race</v>
      </c>
    </row>
    <row r="9560">
      <c r="A9560" s="3" t="str">
        <f>IFERROR(__xludf.DUMMYFUNCTION("""COMPUTED_VALUE"""),"racefi")</f>
        <v>racefi</v>
      </c>
      <c r="B9560" s="3" t="str">
        <f>IFERROR(__xludf.DUMMYFUNCTION("""COMPUTED_VALUE"""),"racefi")</f>
        <v>racefi</v>
      </c>
      <c r="C9560" s="3" t="str">
        <f>IFERROR(__xludf.DUMMYFUNCTION("""COMPUTED_VALUE"""),"RaceFi")</f>
        <v>RaceFi</v>
      </c>
    </row>
    <row r="9561">
      <c r="A9561" s="3" t="str">
        <f>IFERROR(__xludf.DUMMYFUNCTION("""COMPUTED_VALUE"""),"race-kingdom")</f>
        <v>race-kingdom</v>
      </c>
      <c r="B9561" s="3" t="str">
        <f>IFERROR(__xludf.DUMMYFUNCTION("""COMPUTED_VALUE"""),"atoz")</f>
        <v>atoz</v>
      </c>
      <c r="C9561" s="3" t="str">
        <f>IFERROR(__xludf.DUMMYFUNCTION("""COMPUTED_VALUE"""),"Race Kingdom")</f>
        <v>Race Kingdom</v>
      </c>
    </row>
    <row r="9562">
      <c r="A9562" s="3" t="str">
        <f>IFERROR(__xludf.DUMMYFUNCTION("""COMPUTED_VALUE"""),"racex")</f>
        <v>racex</v>
      </c>
      <c r="B9562" s="3" t="str">
        <f>IFERROR(__xludf.DUMMYFUNCTION("""COMPUTED_VALUE"""),"racex")</f>
        <v>racex</v>
      </c>
      <c r="C9562" s="3" t="str">
        <f>IFERROR(__xludf.DUMMYFUNCTION("""COMPUTED_VALUE"""),"RaceX")</f>
        <v>RaceX</v>
      </c>
    </row>
    <row r="9563">
      <c r="A9563" s="3" t="str">
        <f>IFERROR(__xludf.DUMMYFUNCTION("""COMPUTED_VALUE"""),"racing-club-fan-token")</f>
        <v>racing-club-fan-token</v>
      </c>
      <c r="B9563" s="3" t="str">
        <f>IFERROR(__xludf.DUMMYFUNCTION("""COMPUTED_VALUE"""),"racing")</f>
        <v>racing</v>
      </c>
      <c r="C9563" s="3" t="str">
        <f>IFERROR(__xludf.DUMMYFUNCTION("""COMPUTED_VALUE"""),"Racing Club Fan Token")</f>
        <v>Racing Club Fan Token</v>
      </c>
    </row>
    <row r="9564">
      <c r="A9564" s="3" t="str">
        <f>IFERROR(__xludf.DUMMYFUNCTION("""COMPUTED_VALUE"""),"racoon")</f>
        <v>racoon</v>
      </c>
      <c r="B9564" s="3" t="str">
        <f>IFERROR(__xludf.DUMMYFUNCTION("""COMPUTED_VALUE"""),"rac")</f>
        <v>rac</v>
      </c>
      <c r="C9564" s="3" t="str">
        <f>IFERROR(__xludf.DUMMYFUNCTION("""COMPUTED_VALUE"""),"Racøøn")</f>
        <v>Racøøn</v>
      </c>
    </row>
    <row r="9565">
      <c r="A9565" s="3" t="str">
        <f>IFERROR(__xludf.DUMMYFUNCTION("""COMPUTED_VALUE"""),"rad")</f>
        <v>rad</v>
      </c>
      <c r="B9565" s="3" t="str">
        <f>IFERROR(__xludf.DUMMYFUNCTION("""COMPUTED_VALUE"""),"rad")</f>
        <v>rad</v>
      </c>
      <c r="C9565" s="3" t="str">
        <f>IFERROR(__xludf.DUMMYFUNCTION("""COMPUTED_VALUE"""),"RAD")</f>
        <v>RAD</v>
      </c>
    </row>
    <row r="9566">
      <c r="A9566" s="3" t="str">
        <f>IFERROR(__xludf.DUMMYFUNCTION("""COMPUTED_VALUE"""),"radar")</f>
        <v>radar</v>
      </c>
      <c r="B9566" s="3" t="str">
        <f>IFERROR(__xludf.DUMMYFUNCTION("""COMPUTED_VALUE"""),"radar")</f>
        <v>radar</v>
      </c>
      <c r="C9566" s="3" t="str">
        <f>IFERROR(__xludf.DUMMYFUNCTION("""COMPUTED_VALUE"""),"Radar")</f>
        <v>Radar</v>
      </c>
    </row>
    <row r="9567">
      <c r="A9567" s="3" t="str">
        <f>IFERROR(__xludf.DUMMYFUNCTION("""COMPUTED_VALUE"""),"radial-finance")</f>
        <v>radial-finance</v>
      </c>
      <c r="B9567" s="3" t="str">
        <f>IFERROR(__xludf.DUMMYFUNCTION("""COMPUTED_VALUE"""),"rdl")</f>
        <v>rdl</v>
      </c>
      <c r="C9567" s="3" t="str">
        <f>IFERROR(__xludf.DUMMYFUNCTION("""COMPUTED_VALUE"""),"Radial Finance")</f>
        <v>Radial Finance</v>
      </c>
    </row>
    <row r="9568">
      <c r="A9568" s="3" t="str">
        <f>IFERROR(__xludf.DUMMYFUNCTION("""COMPUTED_VALUE"""),"radiant")</f>
        <v>radiant</v>
      </c>
      <c r="B9568" s="3" t="str">
        <f>IFERROR(__xludf.DUMMYFUNCTION("""COMPUTED_VALUE"""),"rxd")</f>
        <v>rxd</v>
      </c>
      <c r="C9568" s="3" t="str">
        <f>IFERROR(__xludf.DUMMYFUNCTION("""COMPUTED_VALUE"""),"Radiant")</f>
        <v>Radiant</v>
      </c>
    </row>
    <row r="9569">
      <c r="A9569" s="3" t="str">
        <f>IFERROR(__xludf.DUMMYFUNCTION("""COMPUTED_VALUE"""),"radiant-capital")</f>
        <v>radiant-capital</v>
      </c>
      <c r="B9569" s="3" t="str">
        <f>IFERROR(__xludf.DUMMYFUNCTION("""COMPUTED_VALUE"""),"rdnt")</f>
        <v>rdnt</v>
      </c>
      <c r="C9569" s="3" t="str">
        <f>IFERROR(__xludf.DUMMYFUNCTION("""COMPUTED_VALUE"""),"Radiant Capital")</f>
        <v>Radiant Capital</v>
      </c>
    </row>
    <row r="9570">
      <c r="A9570" s="3" t="str">
        <f>IFERROR(__xludf.DUMMYFUNCTION("""COMPUTED_VALUE"""),"radicle")</f>
        <v>radicle</v>
      </c>
      <c r="B9570" s="3" t="str">
        <f>IFERROR(__xludf.DUMMYFUNCTION("""COMPUTED_VALUE"""),"rad")</f>
        <v>rad</v>
      </c>
      <c r="C9570" s="3" t="str">
        <f>IFERROR(__xludf.DUMMYFUNCTION("""COMPUTED_VALUE"""),"Radicle")</f>
        <v>Radicle</v>
      </c>
    </row>
    <row r="9571">
      <c r="A9571" s="3" t="str">
        <f>IFERROR(__xludf.DUMMYFUNCTION("""COMPUTED_VALUE"""),"radio-caca")</f>
        <v>radio-caca</v>
      </c>
      <c r="B9571" s="3" t="str">
        <f>IFERROR(__xludf.DUMMYFUNCTION("""COMPUTED_VALUE"""),"raca")</f>
        <v>raca</v>
      </c>
      <c r="C9571" s="3" t="str">
        <f>IFERROR(__xludf.DUMMYFUNCTION("""COMPUTED_VALUE"""),"Radio Caca")</f>
        <v>Radio Caca</v>
      </c>
    </row>
    <row r="9572">
      <c r="A9572" s="3" t="str">
        <f>IFERROR(__xludf.DUMMYFUNCTION("""COMPUTED_VALUE"""),"radio-hero")</f>
        <v>radio-hero</v>
      </c>
      <c r="B9572" s="3" t="str">
        <f>IFERROR(__xludf.DUMMYFUNCTION("""COMPUTED_VALUE"""),"raho")</f>
        <v>raho</v>
      </c>
      <c r="C9572" s="3" t="str">
        <f>IFERROR(__xludf.DUMMYFUNCTION("""COMPUTED_VALUE"""),"Radio Hero")</f>
        <v>Radio Hero</v>
      </c>
    </row>
    <row r="9573">
      <c r="A9573" s="3" t="str">
        <f>IFERROR(__xludf.DUMMYFUNCTION("""COMPUTED_VALUE"""),"radioshack")</f>
        <v>radioshack</v>
      </c>
      <c r="B9573" s="3" t="str">
        <f>IFERROR(__xludf.DUMMYFUNCTION("""COMPUTED_VALUE"""),"radio")</f>
        <v>radio</v>
      </c>
      <c r="C9573" s="3" t="str">
        <f>IFERROR(__xludf.DUMMYFUNCTION("""COMPUTED_VALUE"""),"RadioShack")</f>
        <v>RadioShack</v>
      </c>
    </row>
    <row r="9574">
      <c r="A9574" s="3" t="str">
        <f>IFERROR(__xludf.DUMMYFUNCTION("""COMPUTED_VALUE"""),"radium")</f>
        <v>radium</v>
      </c>
      <c r="B9574" s="3" t="str">
        <f>IFERROR(__xludf.DUMMYFUNCTION("""COMPUTED_VALUE"""),"val")</f>
        <v>val</v>
      </c>
      <c r="C9574" s="3" t="str">
        <f>IFERROR(__xludf.DUMMYFUNCTION("""COMPUTED_VALUE"""),"Validity")</f>
        <v>Validity</v>
      </c>
    </row>
    <row r="9575">
      <c r="A9575" s="3" t="str">
        <f>IFERROR(__xludf.DUMMYFUNCTION("""COMPUTED_VALUE"""),"radix")</f>
        <v>radix</v>
      </c>
      <c r="B9575" s="3" t="str">
        <f>IFERROR(__xludf.DUMMYFUNCTION("""COMPUTED_VALUE"""),"xrd")</f>
        <v>xrd</v>
      </c>
      <c r="C9575" s="3" t="str">
        <f>IFERROR(__xludf.DUMMYFUNCTION("""COMPUTED_VALUE"""),"Radix")</f>
        <v>Radix</v>
      </c>
    </row>
    <row r="9576">
      <c r="A9576" s="3" t="str">
        <f>IFERROR(__xludf.DUMMYFUNCTION("""COMPUTED_VALUE"""),"rae-token")</f>
        <v>rae-token</v>
      </c>
      <c r="B9576" s="3" t="str">
        <f>IFERROR(__xludf.DUMMYFUNCTION("""COMPUTED_VALUE"""),"rae")</f>
        <v>rae</v>
      </c>
      <c r="C9576" s="3" t="str">
        <f>IFERROR(__xludf.DUMMYFUNCTION("""COMPUTED_VALUE"""),"Receive Access Ecosystem")</f>
        <v>Receive Access Ecosystem</v>
      </c>
    </row>
    <row r="9577">
      <c r="A9577" s="3" t="str">
        <f>IFERROR(__xludf.DUMMYFUNCTION("""COMPUTED_VALUE"""),"rafflet")</f>
        <v>rafflet</v>
      </c>
      <c r="B9577" s="3" t="str">
        <f>IFERROR(__xludf.DUMMYFUNCTION("""COMPUTED_VALUE"""),"raf")</f>
        <v>raf</v>
      </c>
      <c r="C9577" s="3" t="str">
        <f>IFERROR(__xludf.DUMMYFUNCTION("""COMPUTED_VALUE"""),"Rafflet")</f>
        <v>Rafflet</v>
      </c>
    </row>
    <row r="9578">
      <c r="A9578" s="3" t="str">
        <f>IFERROR(__xludf.DUMMYFUNCTION("""COMPUTED_VALUE"""),"rage-fan")</f>
        <v>rage-fan</v>
      </c>
      <c r="B9578" s="3" t="str">
        <f>IFERROR(__xludf.DUMMYFUNCTION("""COMPUTED_VALUE"""),"rage")</f>
        <v>rage</v>
      </c>
      <c r="C9578" s="3" t="str">
        <f>IFERROR(__xludf.DUMMYFUNCTION("""COMPUTED_VALUE"""),"Rage.Fan")</f>
        <v>Rage.Fan</v>
      </c>
    </row>
    <row r="9579">
      <c r="A9579" s="3" t="str">
        <f>IFERROR(__xludf.DUMMYFUNCTION("""COMPUTED_VALUE"""),"raggiecoin")</f>
        <v>raggiecoin</v>
      </c>
      <c r="B9579" s="3" t="str">
        <f>IFERROR(__xludf.DUMMYFUNCTION("""COMPUTED_VALUE"""),"rag")</f>
        <v>rag</v>
      </c>
      <c r="C9579" s="3" t="str">
        <f>IFERROR(__xludf.DUMMYFUNCTION("""COMPUTED_VALUE"""),"RaggieCoin")</f>
        <v>RaggieCoin</v>
      </c>
    </row>
    <row r="9580">
      <c r="A9580" s="3" t="str">
        <f>IFERROR(__xludf.DUMMYFUNCTION("""COMPUTED_VALUE"""),"rai")</f>
        <v>rai</v>
      </c>
      <c r="B9580" s="3" t="str">
        <f>IFERROR(__xludf.DUMMYFUNCTION("""COMPUTED_VALUE"""),"rai")</f>
        <v>rai</v>
      </c>
      <c r="C9580" s="3" t="str">
        <f>IFERROR(__xludf.DUMMYFUNCTION("""COMPUTED_VALUE"""),"Rai Reflex Index")</f>
        <v>Rai Reflex Index</v>
      </c>
    </row>
    <row r="9581">
      <c r="A9581" s="3" t="str">
        <f>IFERROR(__xludf.DUMMYFUNCTION("""COMPUTED_VALUE"""),"raicoin")</f>
        <v>raicoin</v>
      </c>
      <c r="B9581" s="3" t="str">
        <f>IFERROR(__xludf.DUMMYFUNCTION("""COMPUTED_VALUE"""),"rai")</f>
        <v>rai</v>
      </c>
      <c r="C9581" s="3" t="str">
        <f>IFERROR(__xludf.DUMMYFUNCTION("""COMPUTED_VALUE"""),"Raicoin")</f>
        <v>Raicoin</v>
      </c>
    </row>
    <row r="9582">
      <c r="A9582" s="3" t="str">
        <f>IFERROR(__xludf.DUMMYFUNCTION("""COMPUTED_VALUE"""),"raiden-network")</f>
        <v>raiden-network</v>
      </c>
      <c r="B9582" s="3" t="str">
        <f>IFERROR(__xludf.DUMMYFUNCTION("""COMPUTED_VALUE"""),"rdn")</f>
        <v>rdn</v>
      </c>
      <c r="C9582" s="3" t="str">
        <f>IFERROR(__xludf.DUMMYFUNCTION("""COMPUTED_VALUE"""),"Raiden Network")</f>
        <v>Raiden Network</v>
      </c>
    </row>
    <row r="9583">
      <c r="A9583" s="3" t="str">
        <f>IFERROR(__xludf.DUMMYFUNCTION("""COMPUTED_VALUE"""),"raider-aurum")</f>
        <v>raider-aurum</v>
      </c>
      <c r="B9583" s="3" t="str">
        <f>IFERROR(__xludf.DUMMYFUNCTION("""COMPUTED_VALUE"""),"aurum")</f>
        <v>aurum</v>
      </c>
      <c r="C9583" s="3" t="str">
        <f>IFERROR(__xludf.DUMMYFUNCTION("""COMPUTED_VALUE"""),"Raider Aurum")</f>
        <v>Raider Aurum</v>
      </c>
    </row>
    <row r="9584">
      <c r="A9584" s="3" t="str">
        <f>IFERROR(__xludf.DUMMYFUNCTION("""COMPUTED_VALUE"""),"raid-token")</f>
        <v>raid-token</v>
      </c>
      <c r="B9584" s="3" t="str">
        <f>IFERROR(__xludf.DUMMYFUNCTION("""COMPUTED_VALUE"""),"raid")</f>
        <v>raid</v>
      </c>
      <c r="C9584" s="3" t="str">
        <f>IFERROR(__xludf.DUMMYFUNCTION("""COMPUTED_VALUE"""),"Raid")</f>
        <v>Raid</v>
      </c>
    </row>
    <row r="9585">
      <c r="A9585" s="3" t="str">
        <f>IFERROR(__xludf.DUMMYFUNCTION("""COMPUTED_VALUE"""),"rai-finance")</f>
        <v>rai-finance</v>
      </c>
      <c r="B9585" s="3" t="str">
        <f>IFERROR(__xludf.DUMMYFUNCTION("""COMPUTED_VALUE"""),"sofi")</f>
        <v>sofi</v>
      </c>
      <c r="C9585" s="3" t="str">
        <f>IFERROR(__xludf.DUMMYFUNCTION("""COMPUTED_VALUE"""),"RAI Finance")</f>
        <v>RAI Finance</v>
      </c>
    </row>
    <row r="9586">
      <c r="A9586" s="3" t="str">
        <f>IFERROR(__xludf.DUMMYFUNCTION("""COMPUTED_VALUE"""),"railgun")</f>
        <v>railgun</v>
      </c>
      <c r="B9586" s="3" t="str">
        <f>IFERROR(__xludf.DUMMYFUNCTION("""COMPUTED_VALUE"""),"rail")</f>
        <v>rail</v>
      </c>
      <c r="C9586" s="3" t="str">
        <f>IFERROR(__xludf.DUMMYFUNCTION("""COMPUTED_VALUE"""),"Railgun")</f>
        <v>Railgun</v>
      </c>
    </row>
    <row r="9587">
      <c r="A9587" s="3" t="str">
        <f>IFERROR(__xludf.DUMMYFUNCTION("""COMPUTED_VALUE"""),"rail-polygon")</f>
        <v>rail-polygon</v>
      </c>
      <c r="B9587" s="3" t="str">
        <f>IFERROR(__xludf.DUMMYFUNCTION("""COMPUTED_VALUE"""),"railpoly")</f>
        <v>railpoly</v>
      </c>
      <c r="C9587" s="3" t="str">
        <f>IFERROR(__xludf.DUMMYFUNCTION("""COMPUTED_VALUE"""),"Rail Polygon")</f>
        <v>Rail Polygon</v>
      </c>
    </row>
    <row r="9588">
      <c r="A9588" s="3" t="str">
        <f>IFERROR(__xludf.DUMMYFUNCTION("""COMPUTED_VALUE"""),"rainbowtoken")</f>
        <v>rainbowtoken</v>
      </c>
      <c r="B9588" s="3" t="str">
        <f>IFERROR(__xludf.DUMMYFUNCTION("""COMPUTED_VALUE"""),"rainbowtoken")</f>
        <v>rainbowtoken</v>
      </c>
      <c r="C9588" s="3" t="str">
        <f>IFERROR(__xludf.DUMMYFUNCTION("""COMPUTED_VALUE"""),"RainbowToken")</f>
        <v>RainbowToken</v>
      </c>
    </row>
    <row r="9589">
      <c r="A9589" s="3" t="str">
        <f>IFERROR(__xludf.DUMMYFUNCTION("""COMPUTED_VALUE"""),"rainbow-token")</f>
        <v>rainbow-token</v>
      </c>
      <c r="B9589" s="3" t="str">
        <f>IFERROR(__xludf.DUMMYFUNCTION("""COMPUTED_VALUE"""),"rnbw")</f>
        <v>rnbw</v>
      </c>
      <c r="C9589" s="3" t="str">
        <f>IFERROR(__xludf.DUMMYFUNCTION("""COMPUTED_VALUE"""),"HaloDAO")</f>
        <v>HaloDAO</v>
      </c>
    </row>
    <row r="9590">
      <c r="A9590" s="3" t="str">
        <f>IFERROR(__xludf.DUMMYFUNCTION("""COMPUTED_VALUE"""),"rainbow-token-2")</f>
        <v>rainbow-token-2</v>
      </c>
      <c r="B9590" s="3" t="str">
        <f>IFERROR(__xludf.DUMMYFUNCTION("""COMPUTED_VALUE"""),"rbw")</f>
        <v>rbw</v>
      </c>
      <c r="C9590" s="3" t="str">
        <f>IFERROR(__xludf.DUMMYFUNCTION("""COMPUTED_VALUE"""),"Crypto Unicorns Rainbow")</f>
        <v>Crypto Unicorns Rainbow</v>
      </c>
    </row>
    <row r="9591">
      <c r="A9591" s="3" t="str">
        <f>IFERROR(__xludf.DUMMYFUNCTION("""COMPUTED_VALUE"""),"rainicorn")</f>
        <v>rainicorn</v>
      </c>
      <c r="B9591" s="3" t="str">
        <f>IFERROR(__xludf.DUMMYFUNCTION("""COMPUTED_VALUE"""),"raini")</f>
        <v>raini</v>
      </c>
      <c r="C9591" s="3" t="str">
        <f>IFERROR(__xludf.DUMMYFUNCTION("""COMPUTED_VALUE"""),"Rainicorn")</f>
        <v>Rainicorn</v>
      </c>
    </row>
    <row r="9592">
      <c r="A9592" s="3" t="str">
        <f>IFERROR(__xludf.DUMMYFUNCTION("""COMPUTED_VALUE"""),"rainmaker-games")</f>
        <v>rainmaker-games</v>
      </c>
      <c r="B9592" s="3" t="str">
        <f>IFERROR(__xludf.DUMMYFUNCTION("""COMPUTED_VALUE"""),"rain")</f>
        <v>rain</v>
      </c>
      <c r="C9592" s="3" t="str">
        <f>IFERROR(__xludf.DUMMYFUNCTION("""COMPUTED_VALUE"""),"Rainmaker Games")</f>
        <v>Rainmaker Games</v>
      </c>
    </row>
    <row r="9593">
      <c r="A9593" s="3" t="str">
        <f>IFERROR(__xludf.DUMMYFUNCTION("""COMPUTED_VALUE"""),"rainspirit")</f>
        <v>rainspirit</v>
      </c>
      <c r="B9593" s="3" t="str">
        <f>IFERROR(__xludf.DUMMYFUNCTION("""COMPUTED_VALUE"""),"rainspirit")</f>
        <v>rainspirit</v>
      </c>
      <c r="C9593" s="3" t="str">
        <f>IFERROR(__xludf.DUMMYFUNCTION("""COMPUTED_VALUE"""),"rainSPIRIT")</f>
        <v>rainSPIRIT</v>
      </c>
    </row>
    <row r="9594">
      <c r="A9594" s="3" t="str">
        <f>IFERROR(__xludf.DUMMYFUNCTION("""COMPUTED_VALUE"""),"raise-finance")</f>
        <v>raise-finance</v>
      </c>
      <c r="B9594" s="3" t="str">
        <f>IFERROR(__xludf.DUMMYFUNCTION("""COMPUTED_VALUE"""),"raise")</f>
        <v>raise</v>
      </c>
      <c r="C9594" s="3" t="str">
        <f>IFERROR(__xludf.DUMMYFUNCTION("""COMPUTED_VALUE"""),"Raise Finance")</f>
        <v>Raise Finance</v>
      </c>
    </row>
    <row r="9595">
      <c r="A9595" s="3" t="str">
        <f>IFERROR(__xludf.DUMMYFUNCTION("""COMPUTED_VALUE"""),"rake-finance")</f>
        <v>rake-finance</v>
      </c>
      <c r="B9595" s="3" t="str">
        <f>IFERROR(__xludf.DUMMYFUNCTION("""COMPUTED_VALUE"""),"rak")</f>
        <v>rak</v>
      </c>
      <c r="C9595" s="3" t="str">
        <f>IFERROR(__xludf.DUMMYFUNCTION("""COMPUTED_VALUE"""),"Rake Finance")</f>
        <v>Rake Finance</v>
      </c>
    </row>
    <row r="9596">
      <c r="A9596" s="3" t="str">
        <f>IFERROR(__xludf.DUMMYFUNCTION("""COMPUTED_VALUE"""),"rally-2")</f>
        <v>rally-2</v>
      </c>
      <c r="B9596" s="3" t="str">
        <f>IFERROR(__xludf.DUMMYFUNCTION("""COMPUTED_VALUE"""),"rly")</f>
        <v>rly</v>
      </c>
      <c r="C9596" s="3" t="str">
        <f>IFERROR(__xludf.DUMMYFUNCTION("""COMPUTED_VALUE"""),"Rally")</f>
        <v>Rally</v>
      </c>
    </row>
    <row r="9597">
      <c r="A9597" s="3" t="str">
        <f>IFERROR(__xludf.DUMMYFUNCTION("""COMPUTED_VALUE"""),"rally-solana")</f>
        <v>rally-solana</v>
      </c>
      <c r="B9597" s="3" t="str">
        <f>IFERROR(__xludf.DUMMYFUNCTION("""COMPUTED_VALUE"""),"srly")</f>
        <v>srly</v>
      </c>
      <c r="C9597" s="3" t="str">
        <f>IFERROR(__xludf.DUMMYFUNCTION("""COMPUTED_VALUE"""),"Rally (Solana)")</f>
        <v>Rally (Solana)</v>
      </c>
    </row>
    <row r="9598">
      <c r="A9598" s="3" t="str">
        <f>IFERROR(__xludf.DUMMYFUNCTION("""COMPUTED_VALUE"""),"ramcoin")</f>
        <v>ramcoin</v>
      </c>
      <c r="B9598" s="3" t="str">
        <f>IFERROR(__xludf.DUMMYFUNCTION("""COMPUTED_VALUE"""),"ram")</f>
        <v>ram</v>
      </c>
      <c r="C9598" s="3" t="str">
        <f>IFERROR(__xludf.DUMMYFUNCTION("""COMPUTED_VALUE"""),"Ramcoin")</f>
        <v>Ramcoin</v>
      </c>
    </row>
    <row r="9599">
      <c r="A9599" s="3" t="str">
        <f>IFERROR(__xludf.DUMMYFUNCTION("""COMPUTED_VALUE"""),"ramenswap")</f>
        <v>ramenswap</v>
      </c>
      <c r="B9599" s="3" t="str">
        <f>IFERROR(__xludf.DUMMYFUNCTION("""COMPUTED_VALUE"""),"ramen")</f>
        <v>ramen</v>
      </c>
      <c r="C9599" s="3" t="str">
        <f>IFERROR(__xludf.DUMMYFUNCTION("""COMPUTED_VALUE"""),"RamenSwap")</f>
        <v>RamenSwap</v>
      </c>
    </row>
    <row r="9600">
      <c r="A9600" s="3" t="str">
        <f>IFERROR(__xludf.DUMMYFUNCTION("""COMPUTED_VALUE"""),"ramestta")</f>
        <v>ramestta</v>
      </c>
      <c r="B9600" s="3" t="str">
        <f>IFERROR(__xludf.DUMMYFUNCTION("""COMPUTED_VALUE"""),"rama")</f>
        <v>rama</v>
      </c>
      <c r="C9600" s="3" t="str">
        <f>IFERROR(__xludf.DUMMYFUNCTION("""COMPUTED_VALUE"""),"Ramestta")</f>
        <v>Ramestta</v>
      </c>
    </row>
    <row r="9601">
      <c r="A9601" s="3" t="str">
        <f>IFERROR(__xludf.DUMMYFUNCTION("""COMPUTED_VALUE"""),"ramifi")</f>
        <v>ramifi</v>
      </c>
      <c r="B9601" s="3" t="str">
        <f>IFERROR(__xludf.DUMMYFUNCTION("""COMPUTED_VALUE"""),"ram")</f>
        <v>ram</v>
      </c>
      <c r="C9601" s="3" t="str">
        <f>IFERROR(__xludf.DUMMYFUNCTION("""COMPUTED_VALUE"""),"Ramifi Protocol")</f>
        <v>Ramifi Protocol</v>
      </c>
    </row>
    <row r="9602">
      <c r="A9602" s="3" t="str">
        <f>IFERROR(__xludf.DUMMYFUNCTION("""COMPUTED_VALUE"""),"ramp")</f>
        <v>ramp</v>
      </c>
      <c r="B9602" s="3" t="str">
        <f>IFERROR(__xludf.DUMMYFUNCTION("""COMPUTED_VALUE"""),"ramp")</f>
        <v>ramp</v>
      </c>
      <c r="C9602" s="3" t="str">
        <f>IFERROR(__xludf.DUMMYFUNCTION("""COMPUTED_VALUE"""),"RAMP [OLD]")</f>
        <v>RAMP [OLD]</v>
      </c>
    </row>
    <row r="9603">
      <c r="A9603" s="3" t="str">
        <f>IFERROR(__xludf.DUMMYFUNCTION("""COMPUTED_VALUE"""),"random")</f>
        <v>random</v>
      </c>
      <c r="B9603" s="3" t="str">
        <f>IFERROR(__xludf.DUMMYFUNCTION("""COMPUTED_VALUE"""),"rndm")</f>
        <v>rndm</v>
      </c>
      <c r="C9603" s="3" t="str">
        <f>IFERROR(__xludf.DUMMYFUNCTION("""COMPUTED_VALUE"""),"Random")</f>
        <v>Random</v>
      </c>
    </row>
    <row r="9604">
      <c r="A9604" s="3" t="str">
        <f>IFERROR(__xludf.DUMMYFUNCTION("""COMPUTED_VALUE"""),"rangers-fan-token")</f>
        <v>rangers-fan-token</v>
      </c>
      <c r="B9604" s="3" t="str">
        <f>IFERROR(__xludf.DUMMYFUNCTION("""COMPUTED_VALUE"""),"rft")</f>
        <v>rft</v>
      </c>
      <c r="C9604" s="3" t="str">
        <f>IFERROR(__xludf.DUMMYFUNCTION("""COMPUTED_VALUE"""),"Rangers Fan Token")</f>
        <v>Rangers Fan Token</v>
      </c>
    </row>
    <row r="9605">
      <c r="A9605" s="3" t="str">
        <f>IFERROR(__xludf.DUMMYFUNCTION("""COMPUTED_VALUE"""),"rangers-protocol-gas")</f>
        <v>rangers-protocol-gas</v>
      </c>
      <c r="B9605" s="3" t="str">
        <f>IFERROR(__xludf.DUMMYFUNCTION("""COMPUTED_VALUE"""),"rpg")</f>
        <v>rpg</v>
      </c>
      <c r="C9605" s="3" t="str">
        <f>IFERROR(__xludf.DUMMYFUNCTION("""COMPUTED_VALUE"""),"Rangers Protocol")</f>
        <v>Rangers Protocol</v>
      </c>
    </row>
    <row r="9606">
      <c r="A9606" s="3" t="str">
        <f>IFERROR(__xludf.DUMMYFUNCTION("""COMPUTED_VALUE"""),"rankerdao")</f>
        <v>rankerdao</v>
      </c>
      <c r="B9606" s="3" t="str">
        <f>IFERROR(__xludf.DUMMYFUNCTION("""COMPUTED_VALUE"""),"ranker")</f>
        <v>ranker</v>
      </c>
      <c r="C9606" s="3" t="str">
        <f>IFERROR(__xludf.DUMMYFUNCTION("""COMPUTED_VALUE"""),"RankerDao")</f>
        <v>RankerDao</v>
      </c>
    </row>
    <row r="9607">
      <c r="A9607" s="3" t="str">
        <f>IFERROR(__xludf.DUMMYFUNCTION("""COMPUTED_VALUE"""),"ran-x-crypto")</f>
        <v>ran-x-crypto</v>
      </c>
      <c r="B9607" s="3" t="str">
        <f>IFERROR(__xludf.DUMMYFUNCTION("""COMPUTED_VALUE"""),"rxc")</f>
        <v>rxc</v>
      </c>
      <c r="C9607" s="3" t="str">
        <f>IFERROR(__xludf.DUMMYFUNCTION("""COMPUTED_VALUE"""),"Ran x Crypto")</f>
        <v>Ran x Crypto</v>
      </c>
    </row>
    <row r="9608">
      <c r="A9608" s="3" t="str">
        <f>IFERROR(__xludf.DUMMYFUNCTION("""COMPUTED_VALUE"""),"rapids")</f>
        <v>rapids</v>
      </c>
      <c r="B9608" s="3" t="str">
        <f>IFERROR(__xludf.DUMMYFUNCTION("""COMPUTED_VALUE"""),"rpd")</f>
        <v>rpd</v>
      </c>
      <c r="C9608" s="3" t="str">
        <f>IFERROR(__xludf.DUMMYFUNCTION("""COMPUTED_VALUE"""),"Rapids")</f>
        <v>Rapids</v>
      </c>
    </row>
    <row r="9609">
      <c r="A9609" s="3" t="str">
        <f>IFERROR(__xludf.DUMMYFUNCTION("""COMPUTED_VALUE"""),"rapidz")</f>
        <v>rapidz</v>
      </c>
      <c r="B9609" s="3" t="str">
        <f>IFERROR(__xludf.DUMMYFUNCTION("""COMPUTED_VALUE"""),"rpzx")</f>
        <v>rpzx</v>
      </c>
      <c r="C9609" s="3" t="str">
        <f>IFERROR(__xludf.DUMMYFUNCTION("""COMPUTED_VALUE"""),"Rapidz")</f>
        <v>Rapidz</v>
      </c>
    </row>
    <row r="9610">
      <c r="A9610" s="3" t="str">
        <f>IFERROR(__xludf.DUMMYFUNCTION("""COMPUTED_VALUE"""),"raptoreum")</f>
        <v>raptoreum</v>
      </c>
      <c r="B9610" s="3" t="str">
        <f>IFERROR(__xludf.DUMMYFUNCTION("""COMPUTED_VALUE"""),"rtm")</f>
        <v>rtm</v>
      </c>
      <c r="C9610" s="3" t="str">
        <f>IFERROR(__xludf.DUMMYFUNCTION("""COMPUTED_VALUE"""),"Raptoreum")</f>
        <v>Raptoreum</v>
      </c>
    </row>
    <row r="9611">
      <c r="A9611" s="3" t="str">
        <f>IFERROR(__xludf.DUMMYFUNCTION("""COMPUTED_VALUE"""),"raptor-finance-2")</f>
        <v>raptor-finance-2</v>
      </c>
      <c r="B9611" s="3" t="str">
        <f>IFERROR(__xludf.DUMMYFUNCTION("""COMPUTED_VALUE"""),"rptr")</f>
        <v>rptr</v>
      </c>
      <c r="C9611" s="3" t="str">
        <f>IFERROR(__xludf.DUMMYFUNCTION("""COMPUTED_VALUE"""),"Raptor Finance")</f>
        <v>Raptor Finance</v>
      </c>
    </row>
    <row r="9612">
      <c r="A9612" s="3" t="str">
        <f>IFERROR(__xludf.DUMMYFUNCTION("""COMPUTED_VALUE"""),"rare")</f>
        <v>rare</v>
      </c>
      <c r="B9612" s="3" t="str">
        <f>IFERROR(__xludf.DUMMYFUNCTION("""COMPUTED_VALUE"""),"rare")</f>
        <v>rare</v>
      </c>
      <c r="C9612" s="3" t="str">
        <f>IFERROR(__xludf.DUMMYFUNCTION("""COMPUTED_VALUE"""),"Rare")</f>
        <v>Rare</v>
      </c>
    </row>
    <row r="9613">
      <c r="A9613" s="3" t="str">
        <f>IFERROR(__xludf.DUMMYFUNCTION("""COMPUTED_VALUE"""),"rare-ball-shares")</f>
        <v>rare-ball-shares</v>
      </c>
      <c r="B9613" s="3" t="str">
        <f>IFERROR(__xludf.DUMMYFUNCTION("""COMPUTED_VALUE"""),"rbp")</f>
        <v>rbp</v>
      </c>
      <c r="C9613" s="3" t="str">
        <f>IFERROR(__xludf.DUMMYFUNCTION("""COMPUTED_VALUE"""),"Rare Ball Potion")</f>
        <v>Rare Ball Potion</v>
      </c>
    </row>
    <row r="9614">
      <c r="A9614" s="3" t="str">
        <f>IFERROR(__xludf.DUMMYFUNCTION("""COMPUTED_VALUE"""),"rare-fnd")</f>
        <v>rare-fnd</v>
      </c>
      <c r="B9614" s="3" t="str">
        <f>IFERROR(__xludf.DUMMYFUNCTION("""COMPUTED_VALUE"""),"fnd")</f>
        <v>fnd</v>
      </c>
      <c r="C9614" s="3" t="str">
        <f>IFERROR(__xludf.DUMMYFUNCTION("""COMPUTED_VALUE"""),"Rare FND")</f>
        <v>Rare FND</v>
      </c>
    </row>
    <row r="9615">
      <c r="A9615" s="3" t="str">
        <f>IFERROR(__xludf.DUMMYFUNCTION("""COMPUTED_VALUE"""),"raresama")</f>
        <v>raresama</v>
      </c>
      <c r="B9615" s="3" t="str">
        <f>IFERROR(__xludf.DUMMYFUNCTION("""COMPUTED_VALUE"""),"poop")</f>
        <v>poop</v>
      </c>
      <c r="C9615" s="3" t="str">
        <f>IFERROR(__xludf.DUMMYFUNCTION("""COMPUTED_VALUE"""),"Raresama")</f>
        <v>Raresama</v>
      </c>
    </row>
    <row r="9616">
      <c r="A9616" s="3" t="str">
        <f>IFERROR(__xludf.DUMMYFUNCTION("""COMPUTED_VALUE"""),"rarible")</f>
        <v>rarible</v>
      </c>
      <c r="B9616" s="3" t="str">
        <f>IFERROR(__xludf.DUMMYFUNCTION("""COMPUTED_VALUE"""),"rari")</f>
        <v>rari</v>
      </c>
      <c r="C9616" s="3" t="str">
        <f>IFERROR(__xludf.DUMMYFUNCTION("""COMPUTED_VALUE"""),"Rarible")</f>
        <v>Rarible</v>
      </c>
    </row>
    <row r="9617">
      <c r="A9617" s="3" t="str">
        <f>IFERROR(__xludf.DUMMYFUNCTION("""COMPUTED_VALUE"""),"rari-governance-token")</f>
        <v>rari-governance-token</v>
      </c>
      <c r="B9617" s="3" t="str">
        <f>IFERROR(__xludf.DUMMYFUNCTION("""COMPUTED_VALUE"""),"rgt")</f>
        <v>rgt</v>
      </c>
      <c r="C9617" s="3" t="str">
        <f>IFERROR(__xludf.DUMMYFUNCTION("""COMPUTED_VALUE"""),"Rari Governance")</f>
        <v>Rari Governance</v>
      </c>
    </row>
    <row r="9618">
      <c r="A9618" s="3" t="str">
        <f>IFERROR(__xludf.DUMMYFUNCTION("""COMPUTED_VALUE"""),"rasko")</f>
        <v>rasko</v>
      </c>
      <c r="B9618" s="3" t="str">
        <f>IFERROR(__xludf.DUMMYFUNCTION("""COMPUTED_VALUE"""),"rasko")</f>
        <v>rasko</v>
      </c>
      <c r="C9618" s="3" t="str">
        <f>IFERROR(__xludf.DUMMYFUNCTION("""COMPUTED_VALUE"""),"rASKO")</f>
        <v>rASKO</v>
      </c>
    </row>
    <row r="9619">
      <c r="A9619" s="3" t="str">
        <f>IFERROR(__xludf.DUMMYFUNCTION("""COMPUTED_VALUE"""),"rasta-finance")</f>
        <v>rasta-finance</v>
      </c>
      <c r="B9619" s="3" t="str">
        <f>IFERROR(__xludf.DUMMYFUNCTION("""COMPUTED_VALUE"""),"rasta")</f>
        <v>rasta</v>
      </c>
      <c r="C9619" s="3" t="str">
        <f>IFERROR(__xludf.DUMMYFUNCTION("""COMPUTED_VALUE"""),"Rasta Finance")</f>
        <v>Rasta Finance</v>
      </c>
    </row>
    <row r="9620">
      <c r="A9620" s="3" t="str">
        <f>IFERROR(__xludf.DUMMYFUNCTION("""COMPUTED_VALUE"""),"ratalert-casual-food")</f>
        <v>ratalert-casual-food</v>
      </c>
      <c r="B9620" s="3" t="str">
        <f>IFERROR(__xludf.DUMMYFUNCTION("""COMPUTED_VALUE"""),"cfood")</f>
        <v>cfood</v>
      </c>
      <c r="C9620" s="3" t="str">
        <f>IFERROR(__xludf.DUMMYFUNCTION("""COMPUTED_VALUE"""),"RatAlert Casual FOOD")</f>
        <v>RatAlert Casual FOOD</v>
      </c>
    </row>
    <row r="9621">
      <c r="A9621" s="3" t="str">
        <f>IFERROR(__xludf.DUMMYFUNCTION("""COMPUTED_VALUE"""),"ratalert-fastfood")</f>
        <v>ratalert-fastfood</v>
      </c>
      <c r="B9621" s="3" t="str">
        <f>IFERROR(__xludf.DUMMYFUNCTION("""COMPUTED_VALUE"""),"ffood")</f>
        <v>ffood</v>
      </c>
      <c r="C9621" s="3" t="str">
        <f>IFERROR(__xludf.DUMMYFUNCTION("""COMPUTED_VALUE"""),"RatAlert FastFood")</f>
        <v>RatAlert FastFood</v>
      </c>
    </row>
    <row r="9622">
      <c r="A9622" s="3" t="str">
        <f>IFERROR(__xludf.DUMMYFUNCTION("""COMPUTED_VALUE"""),"ratalert-gourmet-food")</f>
        <v>ratalert-gourmet-food</v>
      </c>
      <c r="B9622" s="3" t="str">
        <f>IFERROR(__xludf.DUMMYFUNCTION("""COMPUTED_VALUE"""),"gfood")</f>
        <v>gfood</v>
      </c>
      <c r="C9622" s="3" t="str">
        <f>IFERROR(__xludf.DUMMYFUNCTION("""COMPUTED_VALUE"""),"RatAlert Gourmet Food")</f>
        <v>RatAlert Gourmet Food</v>
      </c>
    </row>
    <row r="9623">
      <c r="A9623" s="3" t="str">
        <f>IFERROR(__xludf.DUMMYFUNCTION("""COMPUTED_VALUE"""),"ratboy-bsc")</f>
        <v>ratboy-bsc</v>
      </c>
      <c r="B9623" s="3" t="str">
        <f>IFERROR(__xludf.DUMMYFUNCTION("""COMPUTED_VALUE"""),"wentxn")</f>
        <v>wentxn</v>
      </c>
      <c r="C9623" s="3" t="str">
        <f>IFERROR(__xludf.DUMMYFUNCTION("""COMPUTED_VALUE"""),"RatBoy BSC")</f>
        <v>RatBoy BSC</v>
      </c>
    </row>
    <row r="9624">
      <c r="A9624" s="3" t="str">
        <f>IFERROR(__xludf.DUMMYFUNCTION("""COMPUTED_VALUE"""),"rate3")</f>
        <v>rate3</v>
      </c>
      <c r="B9624" s="3" t="str">
        <f>IFERROR(__xludf.DUMMYFUNCTION("""COMPUTED_VALUE"""),"rte")</f>
        <v>rte</v>
      </c>
      <c r="C9624" s="3" t="str">
        <f>IFERROR(__xludf.DUMMYFUNCTION("""COMPUTED_VALUE"""),"Rate3")</f>
        <v>Rate3</v>
      </c>
    </row>
    <row r="9625">
      <c r="A9625" s="3" t="str">
        <f>IFERROR(__xludf.DUMMYFUNCTION("""COMPUTED_VALUE"""),"ratecoin")</f>
        <v>ratecoin</v>
      </c>
      <c r="B9625" s="3" t="str">
        <f>IFERROR(__xludf.DUMMYFUNCTION("""COMPUTED_VALUE"""),"xra")</f>
        <v>xra</v>
      </c>
      <c r="C9625" s="3" t="str">
        <f>IFERROR(__xludf.DUMMYFUNCTION("""COMPUTED_VALUE"""),"Ratecoin")</f>
        <v>Ratecoin</v>
      </c>
    </row>
    <row r="9626">
      <c r="A9626" s="3" t="str">
        <f>IFERROR(__xludf.DUMMYFUNCTION("""COMPUTED_VALUE"""),"ratio-finance")</f>
        <v>ratio-finance</v>
      </c>
      <c r="B9626" s="3" t="str">
        <f>IFERROR(__xludf.DUMMYFUNCTION("""COMPUTED_VALUE"""),"ratio")</f>
        <v>ratio</v>
      </c>
      <c r="C9626" s="3" t="str">
        <f>IFERROR(__xludf.DUMMYFUNCTION("""COMPUTED_VALUE"""),"Ratio Protocol")</f>
        <v>Ratio Protocol</v>
      </c>
    </row>
    <row r="9627">
      <c r="A9627" s="3" t="str">
        <f>IFERROR(__xludf.DUMMYFUNCTION("""COMPUTED_VALUE"""),"ratio-stable-coin")</f>
        <v>ratio-stable-coin</v>
      </c>
      <c r="B9627" s="3" t="str">
        <f>IFERROR(__xludf.DUMMYFUNCTION("""COMPUTED_VALUE"""),"usdr")</f>
        <v>usdr</v>
      </c>
      <c r="C9627" s="3" t="str">
        <f>IFERROR(__xludf.DUMMYFUNCTION("""COMPUTED_VALUE"""),"Ratio Stable Coin")</f>
        <v>Ratio Stable Coin</v>
      </c>
    </row>
    <row r="9628">
      <c r="A9628" s="3" t="str">
        <f>IFERROR(__xludf.DUMMYFUNCTION("""COMPUTED_VALUE"""),"ratscoin")</f>
        <v>ratscoin</v>
      </c>
      <c r="B9628" s="3" t="str">
        <f>IFERROR(__xludf.DUMMYFUNCTION("""COMPUTED_VALUE"""),"rats")</f>
        <v>rats</v>
      </c>
      <c r="C9628" s="3" t="str">
        <f>IFERROR(__xludf.DUMMYFUNCTION("""COMPUTED_VALUE"""),"Ratscoin")</f>
        <v>Ratscoin</v>
      </c>
    </row>
    <row r="9629">
      <c r="A9629" s="3" t="str">
        <f>IFERROR(__xludf.DUMMYFUNCTION("""COMPUTED_VALUE"""),"ratscoin-team-dao")</f>
        <v>ratscoin-team-dao</v>
      </c>
      <c r="B9629" s="3" t="str">
        <f>IFERROR(__xludf.DUMMYFUNCTION("""COMPUTED_VALUE"""),"ratsdao")</f>
        <v>ratsdao</v>
      </c>
      <c r="C9629" s="3" t="str">
        <f>IFERROR(__xludf.DUMMYFUNCTION("""COMPUTED_VALUE"""),"Ratscoin Team Dao")</f>
        <v>Ratscoin Team Dao</v>
      </c>
    </row>
    <row r="9630">
      <c r="A9630" s="3" t="str">
        <f>IFERROR(__xludf.DUMMYFUNCTION("""COMPUTED_VALUE"""),"ravelin-finance")</f>
        <v>ravelin-finance</v>
      </c>
      <c r="B9630" s="3" t="str">
        <f>IFERROR(__xludf.DUMMYFUNCTION("""COMPUTED_VALUE"""),"rav")</f>
        <v>rav</v>
      </c>
      <c r="C9630" s="3" t="str">
        <f>IFERROR(__xludf.DUMMYFUNCTION("""COMPUTED_VALUE"""),"Ravelin Finance")</f>
        <v>Ravelin Finance</v>
      </c>
    </row>
    <row r="9631">
      <c r="A9631" s="3" t="str">
        <f>IFERROR(__xludf.DUMMYFUNCTION("""COMPUTED_VALUE"""),"ravencoin")</f>
        <v>ravencoin</v>
      </c>
      <c r="B9631" s="3" t="str">
        <f>IFERROR(__xludf.DUMMYFUNCTION("""COMPUTED_VALUE"""),"rvn")</f>
        <v>rvn</v>
      </c>
      <c r="C9631" s="3" t="str">
        <f>IFERROR(__xludf.DUMMYFUNCTION("""COMPUTED_VALUE"""),"Ravencoin")</f>
        <v>Ravencoin</v>
      </c>
    </row>
    <row r="9632">
      <c r="A9632" s="3" t="str">
        <f>IFERROR(__xludf.DUMMYFUNCTION("""COMPUTED_VALUE"""),"ravencoin-classic")</f>
        <v>ravencoin-classic</v>
      </c>
      <c r="B9632" s="3" t="str">
        <f>IFERROR(__xludf.DUMMYFUNCTION("""COMPUTED_VALUE"""),"rvc")</f>
        <v>rvc</v>
      </c>
      <c r="C9632" s="3" t="str">
        <f>IFERROR(__xludf.DUMMYFUNCTION("""COMPUTED_VALUE"""),"Ravencoin Classic")</f>
        <v>Ravencoin Classic</v>
      </c>
    </row>
    <row r="9633">
      <c r="A9633" s="3" t="str">
        <f>IFERROR(__xludf.DUMMYFUNCTION("""COMPUTED_VALUE"""),"raven-dark")</f>
        <v>raven-dark</v>
      </c>
      <c r="B9633" s="3" t="str">
        <f>IFERROR(__xludf.DUMMYFUNCTION("""COMPUTED_VALUE"""),"xrd")</f>
        <v>xrd</v>
      </c>
      <c r="C9633" s="3" t="str">
        <f>IFERROR(__xludf.DUMMYFUNCTION("""COMPUTED_VALUE"""),"Raven Dark")</f>
        <v>Raven Dark</v>
      </c>
    </row>
    <row r="9634">
      <c r="A9634" s="3" t="str">
        <f>IFERROR(__xludf.DUMMYFUNCTION("""COMPUTED_VALUE"""),"ravendex")</f>
        <v>ravendex</v>
      </c>
      <c r="B9634" s="3" t="str">
        <f>IFERROR(__xludf.DUMMYFUNCTION("""COMPUTED_VALUE"""),"rave")</f>
        <v>rave</v>
      </c>
      <c r="C9634" s="3" t="str">
        <f>IFERROR(__xludf.DUMMYFUNCTION("""COMPUTED_VALUE"""),"Ravendex")</f>
        <v>Ravendex</v>
      </c>
    </row>
    <row r="9635">
      <c r="A9635" s="3" t="str">
        <f>IFERROR(__xludf.DUMMYFUNCTION("""COMPUTED_VALUE"""),"ravenmoon")</f>
        <v>ravenmoon</v>
      </c>
      <c r="B9635" s="3" t="str">
        <f>IFERROR(__xludf.DUMMYFUNCTION("""COMPUTED_VALUE"""),"rvm")</f>
        <v>rvm</v>
      </c>
      <c r="C9635" s="3" t="str">
        <f>IFERROR(__xludf.DUMMYFUNCTION("""COMPUTED_VALUE"""),"RavenMoon")</f>
        <v>RavenMoon</v>
      </c>
    </row>
    <row r="9636">
      <c r="A9636" s="3" t="str">
        <f>IFERROR(__xludf.DUMMYFUNCTION("""COMPUTED_VALUE"""),"raven-protocol")</f>
        <v>raven-protocol</v>
      </c>
      <c r="B9636" s="3" t="str">
        <f>IFERROR(__xludf.DUMMYFUNCTION("""COMPUTED_VALUE"""),"raven")</f>
        <v>raven</v>
      </c>
      <c r="C9636" s="3" t="str">
        <f>IFERROR(__xludf.DUMMYFUNCTION("""COMPUTED_VALUE"""),"Raven Protocol")</f>
        <v>Raven Protocol</v>
      </c>
    </row>
    <row r="9637">
      <c r="A9637" s="3" t="str">
        <f>IFERROR(__xludf.DUMMYFUNCTION("""COMPUTED_VALUE"""),"rax")</f>
        <v>rax</v>
      </c>
      <c r="B9637" s="3" t="str">
        <f>IFERROR(__xludf.DUMMYFUNCTION("""COMPUTED_VALUE"""),"rax")</f>
        <v>rax</v>
      </c>
      <c r="C9637" s="3" t="str">
        <f>IFERROR(__xludf.DUMMYFUNCTION("""COMPUTED_VALUE"""),"RAX")</f>
        <v>RAX</v>
      </c>
    </row>
    <row r="9638">
      <c r="A9638" s="3" t="str">
        <f>IFERROR(__xludf.DUMMYFUNCTION("""COMPUTED_VALUE"""),"raydium")</f>
        <v>raydium</v>
      </c>
      <c r="B9638" s="3" t="str">
        <f>IFERROR(__xludf.DUMMYFUNCTION("""COMPUTED_VALUE"""),"ray")</f>
        <v>ray</v>
      </c>
      <c r="C9638" s="3" t="str">
        <f>IFERROR(__xludf.DUMMYFUNCTION("""COMPUTED_VALUE"""),"Raydium")</f>
        <v>Raydium</v>
      </c>
    </row>
    <row r="9639">
      <c r="A9639" s="3" t="str">
        <f>IFERROR(__xludf.DUMMYFUNCTION("""COMPUTED_VALUE"""),"ray-network")</f>
        <v>ray-network</v>
      </c>
      <c r="B9639" s="3" t="str">
        <f>IFERROR(__xludf.DUMMYFUNCTION("""COMPUTED_VALUE"""),"xray")</f>
        <v>xray</v>
      </c>
      <c r="C9639" s="3" t="str">
        <f>IFERROR(__xludf.DUMMYFUNCTION("""COMPUTED_VALUE"""),"Ray Network")</f>
        <v>Ray Network</v>
      </c>
    </row>
    <row r="9640">
      <c r="A9640" s="3" t="str">
        <f>IFERROR(__xludf.DUMMYFUNCTION("""COMPUTED_VALUE"""),"rays")</f>
        <v>rays</v>
      </c>
      <c r="B9640" s="3" t="str">
        <f>IFERROR(__xludf.DUMMYFUNCTION("""COMPUTED_VALUE"""),"rays")</f>
        <v>rays</v>
      </c>
      <c r="C9640" s="3" t="str">
        <f>IFERROR(__xludf.DUMMYFUNCTION("""COMPUTED_VALUE"""),"RAYS")</f>
        <v>RAYS</v>
      </c>
    </row>
    <row r="9641">
      <c r="A9641" s="3" t="str">
        <f>IFERROR(__xludf.DUMMYFUNCTION("""COMPUTED_VALUE"""),"raze-network")</f>
        <v>raze-network</v>
      </c>
      <c r="B9641" s="3" t="str">
        <f>IFERROR(__xludf.DUMMYFUNCTION("""COMPUTED_VALUE"""),"raze")</f>
        <v>raze</v>
      </c>
      <c r="C9641" s="3" t="str">
        <f>IFERROR(__xludf.DUMMYFUNCTION("""COMPUTED_VALUE"""),"Raze Network")</f>
        <v>Raze Network</v>
      </c>
    </row>
    <row r="9642">
      <c r="A9642" s="3" t="str">
        <f>IFERROR(__xludf.DUMMYFUNCTION("""COMPUTED_VALUE"""),"razor-network")</f>
        <v>razor-network</v>
      </c>
      <c r="B9642" s="3" t="str">
        <f>IFERROR(__xludf.DUMMYFUNCTION("""COMPUTED_VALUE"""),"razor")</f>
        <v>razor</v>
      </c>
      <c r="C9642" s="3" t="str">
        <f>IFERROR(__xludf.DUMMYFUNCTION("""COMPUTED_VALUE"""),"Razor Network")</f>
        <v>Razor Network</v>
      </c>
    </row>
    <row r="9643">
      <c r="A9643" s="3" t="str">
        <f>IFERROR(__xludf.DUMMYFUNCTION("""COMPUTED_VALUE"""),"rbxsamurai")</f>
        <v>rbxsamurai</v>
      </c>
      <c r="B9643" s="3" t="str">
        <f>IFERROR(__xludf.DUMMYFUNCTION("""COMPUTED_VALUE"""),"rbxs")</f>
        <v>rbxs</v>
      </c>
      <c r="C9643" s="3" t="str">
        <f>IFERROR(__xludf.DUMMYFUNCTION("""COMPUTED_VALUE"""),"RBXSamurai")</f>
        <v>RBXSamurai</v>
      </c>
    </row>
    <row r="9644">
      <c r="A9644" s="3" t="str">
        <f>IFERROR(__xludf.DUMMYFUNCTION("""COMPUTED_VALUE"""),"rbx-token")</f>
        <v>rbx-token</v>
      </c>
      <c r="B9644" s="3" t="str">
        <f>IFERROR(__xludf.DUMMYFUNCTION("""COMPUTED_VALUE"""),"rbx")</f>
        <v>rbx</v>
      </c>
      <c r="C9644" s="3" t="str">
        <f>IFERROR(__xludf.DUMMYFUNCTION("""COMPUTED_VALUE"""),"RBX")</f>
        <v>RBX</v>
      </c>
    </row>
    <row r="9645">
      <c r="A9645" s="3" t="str">
        <f>IFERROR(__xludf.DUMMYFUNCTION("""COMPUTED_VALUE"""),"rccc")</f>
        <v>rccc</v>
      </c>
      <c r="B9645" s="3" t="str">
        <f>IFERROR(__xludf.DUMMYFUNCTION("""COMPUTED_VALUE"""),"rccc")</f>
        <v>rccc</v>
      </c>
      <c r="C9645" s="3" t="str">
        <f>IFERROR(__xludf.DUMMYFUNCTION("""COMPUTED_VALUE"""),"RCCC")</f>
        <v>RCCC</v>
      </c>
    </row>
    <row r="9646">
      <c r="A9646" s="3" t="str">
        <f>IFERROR(__xludf.DUMMYFUNCTION("""COMPUTED_VALUE"""),"rc-celta-de-vigo-fan-token")</f>
        <v>rc-celta-de-vigo-fan-token</v>
      </c>
      <c r="B9646" s="3" t="str">
        <f>IFERROR(__xludf.DUMMYFUNCTION("""COMPUTED_VALUE"""),"cft")</f>
        <v>cft</v>
      </c>
      <c r="C9646" s="3" t="str">
        <f>IFERROR(__xludf.DUMMYFUNCTION("""COMPUTED_VALUE"""),"RC Celta de Vigo Fan Token")</f>
        <v>RC Celta de Vigo Fan Token</v>
      </c>
    </row>
    <row r="9647">
      <c r="A9647" s="3" t="str">
        <f>IFERROR(__xludf.DUMMYFUNCTION("""COMPUTED_VALUE"""),"rcd-espanyol-fan-token")</f>
        <v>rcd-espanyol-fan-token</v>
      </c>
      <c r="B9647" s="3" t="str">
        <f>IFERROR(__xludf.DUMMYFUNCTION("""COMPUTED_VALUE"""),"enft")</f>
        <v>enft</v>
      </c>
      <c r="C9647" s="3" t="str">
        <f>IFERROR(__xludf.DUMMYFUNCTION("""COMPUTED_VALUE"""),"RCD Espanyol Fan Token")</f>
        <v>RCD Espanyol Fan Token</v>
      </c>
    </row>
    <row r="9648">
      <c r="A9648" s="3" t="str">
        <f>IFERROR(__xludf.DUMMYFUNCTION("""COMPUTED_VALUE"""),"rchain")</f>
        <v>rchain</v>
      </c>
      <c r="B9648" s="3" t="str">
        <f>IFERROR(__xludf.DUMMYFUNCTION("""COMPUTED_VALUE"""),"rev")</f>
        <v>rev</v>
      </c>
      <c r="C9648" s="3" t="str">
        <f>IFERROR(__xludf.DUMMYFUNCTION("""COMPUTED_VALUE"""),"RChain")</f>
        <v>RChain</v>
      </c>
    </row>
    <row r="9649">
      <c r="A9649" s="3" t="str">
        <f>IFERROR(__xludf.DUMMYFUNCTION("""COMPUTED_VALUE"""),"readfi")</f>
        <v>readfi</v>
      </c>
      <c r="B9649" s="3" t="str">
        <f>IFERROR(__xludf.DUMMYFUNCTION("""COMPUTED_VALUE"""),"rdf")</f>
        <v>rdf</v>
      </c>
      <c r="C9649" s="3" t="str">
        <f>IFERROR(__xludf.DUMMYFUNCTION("""COMPUTED_VALUE"""),"ReadFi")</f>
        <v>ReadFi</v>
      </c>
    </row>
    <row r="9650">
      <c r="A9650" s="3" t="str">
        <f>IFERROR(__xludf.DUMMYFUNCTION("""COMPUTED_VALUE"""),"readon")</f>
        <v>readon</v>
      </c>
      <c r="B9650" s="3" t="str">
        <f>IFERROR(__xludf.DUMMYFUNCTION("""COMPUTED_VALUE"""),"read")</f>
        <v>read</v>
      </c>
      <c r="C9650" s="3" t="str">
        <f>IFERROR(__xludf.DUMMYFUNCTION("""COMPUTED_VALUE"""),"ReadON")</f>
        <v>ReadON</v>
      </c>
    </row>
    <row r="9651">
      <c r="A9651" s="3" t="str">
        <f>IFERROR(__xludf.DUMMYFUNCTION("""COMPUTED_VALUE"""),"realfevr")</f>
        <v>realfevr</v>
      </c>
      <c r="B9651" s="3" t="str">
        <f>IFERROR(__xludf.DUMMYFUNCTION("""COMPUTED_VALUE"""),"fevr")</f>
        <v>fevr</v>
      </c>
      <c r="C9651" s="3" t="str">
        <f>IFERROR(__xludf.DUMMYFUNCTION("""COMPUTED_VALUE"""),"RealFevr")</f>
        <v>RealFevr</v>
      </c>
    </row>
    <row r="9652">
      <c r="A9652" s="3" t="str">
        <f>IFERROR(__xludf.DUMMYFUNCTION("""COMPUTED_VALUE"""),"realfinance-network")</f>
        <v>realfinance-network</v>
      </c>
      <c r="B9652" s="3" t="str">
        <f>IFERROR(__xludf.DUMMYFUNCTION("""COMPUTED_VALUE"""),"refi")</f>
        <v>refi</v>
      </c>
      <c r="C9652" s="3" t="str">
        <f>IFERROR(__xludf.DUMMYFUNCTION("""COMPUTED_VALUE"""),"Realfinance Network")</f>
        <v>Realfinance Network</v>
      </c>
    </row>
    <row r="9653">
      <c r="A9653" s="3" t="str">
        <f>IFERROR(__xludf.DUMMYFUNCTION("""COMPUTED_VALUE"""),"realio-network")</f>
        <v>realio-network</v>
      </c>
      <c r="B9653" s="3" t="str">
        <f>IFERROR(__xludf.DUMMYFUNCTION("""COMPUTED_VALUE"""),"rio")</f>
        <v>rio</v>
      </c>
      <c r="C9653" s="3" t="str">
        <f>IFERROR(__xludf.DUMMYFUNCTION("""COMPUTED_VALUE"""),"Realio Network")</f>
        <v>Realio Network</v>
      </c>
    </row>
    <row r="9654">
      <c r="A9654" s="3" t="str">
        <f>IFERROR(__xludf.DUMMYFUNCTION("""COMPUTED_VALUE"""),"realital-metaverse")</f>
        <v>realital-metaverse</v>
      </c>
      <c r="B9654" s="3" t="str">
        <f>IFERROR(__xludf.DUMMYFUNCTION("""COMPUTED_VALUE"""),"reta")</f>
        <v>reta</v>
      </c>
      <c r="C9654" s="3" t="str">
        <f>IFERROR(__xludf.DUMMYFUNCTION("""COMPUTED_VALUE"""),"Realital Metaverse")</f>
        <v>Realital Metaverse</v>
      </c>
    </row>
    <row r="9655">
      <c r="A9655" s="3" t="str">
        <f>IFERROR(__xludf.DUMMYFUNCTION("""COMPUTED_VALUE"""),"reallink")</f>
        <v>reallink</v>
      </c>
      <c r="B9655" s="3" t="str">
        <f>IFERROR(__xludf.DUMMYFUNCTION("""COMPUTED_VALUE"""),"real")</f>
        <v>real</v>
      </c>
      <c r="C9655" s="3" t="str">
        <f>IFERROR(__xludf.DUMMYFUNCTION("""COMPUTED_VALUE"""),"RealLink")</f>
        <v>RealLink</v>
      </c>
    </row>
    <row r="9656">
      <c r="A9656" s="3" t="str">
        <f>IFERROR(__xludf.DUMMYFUNCTION("""COMPUTED_VALUE"""),"realliq")</f>
        <v>realliq</v>
      </c>
      <c r="B9656" s="3" t="str">
        <f>IFERROR(__xludf.DUMMYFUNCTION("""COMPUTED_VALUE"""),"rlq")</f>
        <v>rlq</v>
      </c>
      <c r="C9656" s="3" t="str">
        <f>IFERROR(__xludf.DUMMYFUNCTION("""COMPUTED_VALUE"""),"Realliq")</f>
        <v>Realliq</v>
      </c>
    </row>
    <row r="9657">
      <c r="A9657" s="3" t="str">
        <f>IFERROR(__xludf.DUMMYFUNCTION("""COMPUTED_VALUE"""),"realm")</f>
        <v>realm</v>
      </c>
      <c r="B9657" s="3" t="str">
        <f>IFERROR(__xludf.DUMMYFUNCTION("""COMPUTED_VALUE"""),"realm")</f>
        <v>realm</v>
      </c>
      <c r="C9657" s="3" t="str">
        <f>IFERROR(__xludf.DUMMYFUNCTION("""COMPUTED_VALUE"""),"Realm")</f>
        <v>Realm</v>
      </c>
    </row>
    <row r="9658">
      <c r="A9658" s="3" t="str">
        <f>IFERROR(__xludf.DUMMYFUNCTION("""COMPUTED_VALUE"""),"realms-of-ethernity")</f>
        <v>realms-of-ethernity</v>
      </c>
      <c r="B9658" s="3" t="str">
        <f>IFERROR(__xludf.DUMMYFUNCTION("""COMPUTED_VALUE"""),"reth")</f>
        <v>reth</v>
      </c>
      <c r="C9658" s="3" t="str">
        <f>IFERROR(__xludf.DUMMYFUNCTION("""COMPUTED_VALUE"""),"Realms of Ethernity")</f>
        <v>Realms of Ethernity</v>
      </c>
    </row>
    <row r="9659">
      <c r="A9659" s="3" t="str">
        <f>IFERROR(__xludf.DUMMYFUNCTION("""COMPUTED_VALUE"""),"realms-of-ruby")</f>
        <v>realms-of-ruby</v>
      </c>
      <c r="B9659" s="3" t="str">
        <f>IFERROR(__xludf.DUMMYFUNCTION("""COMPUTED_VALUE"""),"ruby")</f>
        <v>ruby</v>
      </c>
      <c r="C9659" s="3" t="str">
        <f>IFERROR(__xludf.DUMMYFUNCTION("""COMPUTED_VALUE"""),"Realms of Ruby")</f>
        <v>Realms of Ruby</v>
      </c>
    </row>
    <row r="9660">
      <c r="A9660" s="3" t="str">
        <f>IFERROR(__xludf.DUMMYFUNCTION("""COMPUTED_VALUE"""),"real-realm")</f>
        <v>real-realm</v>
      </c>
      <c r="B9660" s="3" t="str">
        <f>IFERROR(__xludf.DUMMYFUNCTION("""COMPUTED_VALUE"""),"real")</f>
        <v>real</v>
      </c>
      <c r="C9660" s="3" t="str">
        <f>IFERROR(__xludf.DUMMYFUNCTION("""COMPUTED_VALUE"""),"Real Realm")</f>
        <v>Real Realm</v>
      </c>
    </row>
    <row r="9661">
      <c r="A9661" s="3" t="str">
        <f>IFERROR(__xludf.DUMMYFUNCTION("""COMPUTED_VALUE"""),"realtoken-s-13895-saratoga-st-detroit-mi")</f>
        <v>realtoken-s-13895-saratoga-st-detroit-mi</v>
      </c>
      <c r="B9661" s="3" t="str">
        <f>IFERROR(__xludf.DUMMYFUNCTION("""COMPUTED_VALUE"""),"realt-s-13895-saratoga-st-detroit-mi")</f>
        <v>realt-s-13895-saratoga-st-detroit-mi</v>
      </c>
      <c r="C9661" s="3" t="str">
        <f>IFERROR(__xludf.DUMMYFUNCTION("""COMPUTED_VALUE"""),"RealT - 13895 Saratoga St, Detroit, MI 48205")</f>
        <v>RealT - 13895 Saratoga St, Detroit, MI 48205</v>
      </c>
    </row>
    <row r="9662">
      <c r="A9662" s="3" t="str">
        <f>IFERROR(__xludf.DUMMYFUNCTION("""COMPUTED_VALUE"""),"realtract")</f>
        <v>realtract</v>
      </c>
      <c r="B9662" s="3" t="str">
        <f>IFERROR(__xludf.DUMMYFUNCTION("""COMPUTED_VALUE"""),"ret")</f>
        <v>ret</v>
      </c>
      <c r="C9662" s="3" t="str">
        <f>IFERROR(__xludf.DUMMYFUNCTION("""COMPUTED_VALUE"""),"RealTract")</f>
        <v>RealTract</v>
      </c>
    </row>
    <row r="9663">
      <c r="A9663" s="3" t="str">
        <f>IFERROR(__xludf.DUMMYFUNCTION("""COMPUTED_VALUE"""),"real-usd")</f>
        <v>real-usd</v>
      </c>
      <c r="B9663" s="3" t="str">
        <f>IFERROR(__xludf.DUMMYFUNCTION("""COMPUTED_VALUE"""),"usdr")</f>
        <v>usdr</v>
      </c>
      <c r="C9663" s="3" t="str">
        <f>IFERROR(__xludf.DUMMYFUNCTION("""COMPUTED_VALUE"""),"Real USD")</f>
        <v>Real USD</v>
      </c>
    </row>
    <row r="9664">
      <c r="A9664" s="3" t="str">
        <f>IFERROR(__xludf.DUMMYFUNCTION("""COMPUTED_VALUE"""),"realy-metaverse")</f>
        <v>realy-metaverse</v>
      </c>
      <c r="B9664" s="3" t="str">
        <f>IFERROR(__xludf.DUMMYFUNCTION("""COMPUTED_VALUE"""),"real")</f>
        <v>real</v>
      </c>
      <c r="C9664" s="3" t="str">
        <f>IFERROR(__xludf.DUMMYFUNCTION("""COMPUTED_VALUE"""),"Realy Metaverse")</f>
        <v>Realy Metaverse</v>
      </c>
    </row>
    <row r="9665">
      <c r="A9665" s="3" t="str">
        <f>IFERROR(__xludf.DUMMYFUNCTION("""COMPUTED_VALUE"""),"reapchain")</f>
        <v>reapchain</v>
      </c>
      <c r="B9665" s="3" t="str">
        <f>IFERROR(__xludf.DUMMYFUNCTION("""COMPUTED_VALUE"""),"reap")</f>
        <v>reap</v>
      </c>
      <c r="C9665" s="3" t="str">
        <f>IFERROR(__xludf.DUMMYFUNCTION("""COMPUTED_VALUE"""),"ReapChain")</f>
        <v>ReapChain</v>
      </c>
    </row>
    <row r="9666">
      <c r="A9666" s="3" t="str">
        <f>IFERROR(__xludf.DUMMYFUNCTION("""COMPUTED_VALUE"""),"reaper-token")</f>
        <v>reaper-token</v>
      </c>
      <c r="B9666" s="3" t="str">
        <f>IFERROR(__xludf.DUMMYFUNCTION("""COMPUTED_VALUE"""),"reaper")</f>
        <v>reaper</v>
      </c>
      <c r="C9666" s="3" t="str">
        <f>IFERROR(__xludf.DUMMYFUNCTION("""COMPUTED_VALUE"""),"Reaper")</f>
        <v>Reaper</v>
      </c>
    </row>
    <row r="9667">
      <c r="A9667" s="3" t="str">
        <f>IFERROR(__xludf.DUMMYFUNCTION("""COMPUTED_VALUE"""),"rebase-aggregator-capital")</f>
        <v>rebase-aggregator-capital</v>
      </c>
      <c r="B9667" s="3" t="str">
        <f>IFERROR(__xludf.DUMMYFUNCTION("""COMPUTED_VALUE"""),"$react")</f>
        <v>$react</v>
      </c>
      <c r="C9667" s="3" t="str">
        <f>IFERROR(__xludf.DUMMYFUNCTION("""COMPUTED_VALUE"""),"Rebase Aggregator Capital")</f>
        <v>Rebase Aggregator Capital</v>
      </c>
    </row>
    <row r="9668">
      <c r="A9668" s="3" t="str">
        <f>IFERROR(__xludf.DUMMYFUNCTION("""COMPUTED_VALUE"""),"rebaseapy")</f>
        <v>rebaseapy</v>
      </c>
      <c r="B9668" s="3" t="str">
        <f>IFERROR(__xludf.DUMMYFUNCTION("""COMPUTED_VALUE"""),"rebaseapy")</f>
        <v>rebaseapy</v>
      </c>
      <c r="C9668" s="3" t="str">
        <f>IFERROR(__xludf.DUMMYFUNCTION("""COMPUTED_VALUE"""),"RebaseAPY")</f>
        <v>RebaseAPY</v>
      </c>
    </row>
    <row r="9669">
      <c r="A9669" s="3" t="str">
        <f>IFERROR(__xludf.DUMMYFUNCTION("""COMPUTED_VALUE"""),"rebel-bots")</f>
        <v>rebel-bots</v>
      </c>
      <c r="B9669" s="3" t="str">
        <f>IFERROR(__xludf.DUMMYFUNCTION("""COMPUTED_VALUE"""),"rbls")</f>
        <v>rbls</v>
      </c>
      <c r="C9669" s="3" t="str">
        <f>IFERROR(__xludf.DUMMYFUNCTION("""COMPUTED_VALUE"""),"Rebel Bots")</f>
        <v>Rebel Bots</v>
      </c>
    </row>
    <row r="9670">
      <c r="A9670" s="3" t="str">
        <f>IFERROR(__xludf.DUMMYFUNCTION("""COMPUTED_VALUE"""),"rebellion-dao")</f>
        <v>rebellion-dao</v>
      </c>
      <c r="B9670" s="3" t="str">
        <f>IFERROR(__xludf.DUMMYFUNCTION("""COMPUTED_VALUE"""),"reb")</f>
        <v>reb</v>
      </c>
      <c r="C9670" s="3" t="str">
        <f>IFERROR(__xludf.DUMMYFUNCTION("""COMPUTED_VALUE"""),"Rebellion DAO")</f>
        <v>Rebellion DAO</v>
      </c>
    </row>
    <row r="9671">
      <c r="A9671" s="3" t="str">
        <f>IFERROR(__xludf.DUMMYFUNCTION("""COMPUTED_VALUE"""),"rebellion-protocol")</f>
        <v>rebellion-protocol</v>
      </c>
      <c r="B9671" s="3" t="str">
        <f>IFERROR(__xludf.DUMMYFUNCTION("""COMPUTED_VALUE"""),"rebl")</f>
        <v>rebl</v>
      </c>
      <c r="C9671" s="3" t="str">
        <f>IFERROR(__xludf.DUMMYFUNCTION("""COMPUTED_VALUE"""),"Rebellion Protocol")</f>
        <v>Rebellion Protocol</v>
      </c>
    </row>
    <row r="9672">
      <c r="A9672" s="3" t="str">
        <f>IFERROR(__xludf.DUMMYFUNCTION("""COMPUTED_VALUE"""),"rebeltradertoken")</f>
        <v>rebeltradertoken</v>
      </c>
      <c r="B9672" s="3" t="str">
        <f>IFERROR(__xludf.DUMMYFUNCTION("""COMPUTED_VALUE"""),"rtt")</f>
        <v>rtt</v>
      </c>
      <c r="C9672" s="3" t="str">
        <f>IFERROR(__xludf.DUMMYFUNCTION("""COMPUTED_VALUE"""),"RebelTrader")</f>
        <v>RebelTrader</v>
      </c>
    </row>
    <row r="9673">
      <c r="A9673" s="3" t="str">
        <f>IFERROR(__xludf.DUMMYFUNCTION("""COMPUTED_VALUE"""),"rebit")</f>
        <v>rebit</v>
      </c>
      <c r="B9673" s="3" t="str">
        <f>IFERROR(__xludf.DUMMYFUNCTION("""COMPUTED_VALUE"""),"keyt")</f>
        <v>keyt</v>
      </c>
      <c r="C9673" s="3" t="str">
        <f>IFERROR(__xludf.DUMMYFUNCTION("""COMPUTED_VALUE"""),"Rebit")</f>
        <v>Rebit</v>
      </c>
    </row>
    <row r="9674">
      <c r="A9674" s="3" t="str">
        <f>IFERROR(__xludf.DUMMYFUNCTION("""COMPUTED_VALUE"""),"reborn")</f>
        <v>reborn</v>
      </c>
      <c r="B9674" s="3" t="str">
        <f>IFERROR(__xludf.DUMMYFUNCTION("""COMPUTED_VALUE"""),"rb")</f>
        <v>rb</v>
      </c>
      <c r="C9674" s="3" t="str">
        <f>IFERROR(__xludf.DUMMYFUNCTION("""COMPUTED_VALUE"""),"REBorn")</f>
        <v>REBorn</v>
      </c>
    </row>
    <row r="9675">
      <c r="A9675" s="3" t="str">
        <f>IFERROR(__xludf.DUMMYFUNCTION("""COMPUTED_VALUE"""),"rebus")</f>
        <v>rebus</v>
      </c>
      <c r="B9675" s="3" t="str">
        <f>IFERROR(__xludf.DUMMYFUNCTION("""COMPUTED_VALUE"""),"rebus")</f>
        <v>rebus</v>
      </c>
      <c r="C9675" s="3" t="str">
        <f>IFERROR(__xludf.DUMMYFUNCTION("""COMPUTED_VALUE"""),"Rebus")</f>
        <v>Rebus</v>
      </c>
    </row>
    <row r="9676">
      <c r="A9676" s="3" t="str">
        <f>IFERROR(__xludf.DUMMYFUNCTION("""COMPUTED_VALUE"""),"recast1")</f>
        <v>recast1</v>
      </c>
      <c r="B9676" s="3" t="str">
        <f>IFERROR(__xludf.DUMMYFUNCTION("""COMPUTED_VALUE"""),"r1")</f>
        <v>r1</v>
      </c>
      <c r="C9676" s="3" t="str">
        <f>IFERROR(__xludf.DUMMYFUNCTION("""COMPUTED_VALUE"""),"Recast1")</f>
        <v>Recast1</v>
      </c>
    </row>
    <row r="9677">
      <c r="A9677" s="3" t="str">
        <f>IFERROR(__xludf.DUMMYFUNCTION("""COMPUTED_VALUE"""),"recession-coin")</f>
        <v>recession-coin</v>
      </c>
      <c r="B9677" s="3" t="str">
        <f>IFERROR(__xludf.DUMMYFUNCTION("""COMPUTED_VALUE"""),"econ")</f>
        <v>econ</v>
      </c>
      <c r="C9677" s="3" t="str">
        <f>IFERROR(__xludf.DUMMYFUNCTION("""COMPUTED_VALUE"""),"Recession Coin")</f>
        <v>Recession Coin</v>
      </c>
    </row>
    <row r="9678">
      <c r="A9678" s="3" t="str">
        <f>IFERROR(__xludf.DUMMYFUNCTION("""COMPUTED_VALUE"""),"recharge")</f>
        <v>recharge</v>
      </c>
      <c r="B9678" s="3" t="str">
        <f>IFERROR(__xludf.DUMMYFUNCTION("""COMPUTED_VALUE"""),"rcg")</f>
        <v>rcg</v>
      </c>
      <c r="C9678" s="3" t="str">
        <f>IFERROR(__xludf.DUMMYFUNCTION("""COMPUTED_VALUE"""),"Recharge")</f>
        <v>Recharge</v>
      </c>
    </row>
    <row r="9679">
      <c r="A9679" s="3" t="str">
        <f>IFERROR(__xludf.DUMMYFUNCTION("""COMPUTED_VALUE"""),"recharge-finance")</f>
        <v>recharge-finance</v>
      </c>
      <c r="B9679" s="3" t="str">
        <f>IFERROR(__xludf.DUMMYFUNCTION("""COMPUTED_VALUE"""),"r3fi")</f>
        <v>r3fi</v>
      </c>
      <c r="C9679" s="3" t="str">
        <f>IFERROR(__xludf.DUMMYFUNCTION("""COMPUTED_VALUE"""),"Recharge Finance")</f>
        <v>Recharge Finance</v>
      </c>
    </row>
    <row r="9680">
      <c r="A9680" s="3" t="str">
        <f>IFERROR(__xludf.DUMMYFUNCTION("""COMPUTED_VALUE"""),"recovery-right-token")</f>
        <v>recovery-right-token</v>
      </c>
      <c r="B9680" s="3" t="str">
        <f>IFERROR(__xludf.DUMMYFUNCTION("""COMPUTED_VALUE"""),"rrt")</f>
        <v>rrt</v>
      </c>
      <c r="C9680" s="3" t="str">
        <f>IFERROR(__xludf.DUMMYFUNCTION("""COMPUTED_VALUE"""),"Recovery Right")</f>
        <v>Recovery Right</v>
      </c>
    </row>
    <row r="9681">
      <c r="A9681" s="3" t="str">
        <f>IFERROR(__xludf.DUMMYFUNCTION("""COMPUTED_VALUE"""),"recycling-cyc")</f>
        <v>recycling-cyc</v>
      </c>
      <c r="B9681" s="3" t="str">
        <f>IFERROR(__xludf.DUMMYFUNCTION("""COMPUTED_VALUE"""),"cyc")</f>
        <v>cyc</v>
      </c>
      <c r="C9681" s="3" t="str">
        <f>IFERROR(__xludf.DUMMYFUNCTION("""COMPUTED_VALUE"""),"Recycling CYC")</f>
        <v>Recycling CYC</v>
      </c>
    </row>
    <row r="9682">
      <c r="A9682" s="3" t="str">
        <f>IFERROR(__xludf.DUMMYFUNCTION("""COMPUTED_VALUE"""),"red")</f>
        <v>red</v>
      </c>
      <c r="B9682" s="3" t="str">
        <f>IFERROR(__xludf.DUMMYFUNCTION("""COMPUTED_VALUE"""),"red")</f>
        <v>red</v>
      </c>
      <c r="C9682" s="3" t="str">
        <f>IFERROR(__xludf.DUMMYFUNCTION("""COMPUTED_VALUE"""),"Red")</f>
        <v>Red</v>
      </c>
    </row>
    <row r="9683">
      <c r="A9683" s="3" t="str">
        <f>IFERROR(__xludf.DUMMYFUNCTION("""COMPUTED_VALUE"""),"redacted")</f>
        <v>redacted</v>
      </c>
      <c r="B9683" s="3" t="str">
        <f>IFERROR(__xludf.DUMMYFUNCTION("""COMPUTED_VALUE"""),"btrfly")</f>
        <v>btrfly</v>
      </c>
      <c r="C9683" s="3" t="str">
        <f>IFERROR(__xludf.DUMMYFUNCTION("""COMPUTED_VALUE"""),"Redacted")</f>
        <v>Redacted</v>
      </c>
    </row>
    <row r="9684">
      <c r="A9684" s="3" t="str">
        <f>IFERROR(__xludf.DUMMYFUNCTION("""COMPUTED_VALUE"""),"redacted-money")</f>
        <v>redacted-money</v>
      </c>
      <c r="B9684" s="3" t="str">
        <f>IFERROR(__xludf.DUMMYFUNCTION("""COMPUTED_VALUE"""),"red")</f>
        <v>red</v>
      </c>
      <c r="C9684" s="3" t="str">
        <f>IFERROR(__xludf.DUMMYFUNCTION("""COMPUTED_VALUE"""),"Redacted Money")</f>
        <v>Redacted Money</v>
      </c>
    </row>
    <row r="9685">
      <c r="A9685" s="3" t="str">
        <f>IFERROR(__xludf.DUMMYFUNCTION("""COMPUTED_VALUE"""),"reddcoin")</f>
        <v>reddcoin</v>
      </c>
      <c r="B9685" s="3" t="str">
        <f>IFERROR(__xludf.DUMMYFUNCTION("""COMPUTED_VALUE"""),"rdd")</f>
        <v>rdd</v>
      </c>
      <c r="C9685" s="3" t="str">
        <f>IFERROR(__xludf.DUMMYFUNCTION("""COMPUTED_VALUE"""),"Reddcoin")</f>
        <v>Reddcoin</v>
      </c>
    </row>
    <row r="9686">
      <c r="A9686" s="3" t="str">
        <f>IFERROR(__xludf.DUMMYFUNCTION("""COMPUTED_VALUE"""),"redfeg")</f>
        <v>redfeg</v>
      </c>
      <c r="B9686" s="3" t="str">
        <f>IFERROR(__xludf.DUMMYFUNCTION("""COMPUTED_VALUE"""),"redfeg")</f>
        <v>redfeg</v>
      </c>
      <c r="C9686" s="3" t="str">
        <f>IFERROR(__xludf.DUMMYFUNCTION("""COMPUTED_VALUE"""),"RedFeg")</f>
        <v>RedFeg</v>
      </c>
    </row>
    <row r="9687">
      <c r="A9687" s="3" t="str">
        <f>IFERROR(__xludf.DUMMYFUNCTION("""COMPUTED_VALUE"""),"redfireants")</f>
        <v>redfireants</v>
      </c>
      <c r="B9687" s="3" t="str">
        <f>IFERROR(__xludf.DUMMYFUNCTION("""COMPUTED_VALUE"""),"rants")</f>
        <v>rants</v>
      </c>
      <c r="C9687" s="3" t="str">
        <f>IFERROR(__xludf.DUMMYFUNCTION("""COMPUTED_VALUE"""),"redFireAnts")</f>
        <v>redFireAnts</v>
      </c>
    </row>
    <row r="9688">
      <c r="A9688" s="3" t="str">
        <f>IFERROR(__xludf.DUMMYFUNCTION("""COMPUTED_VALUE"""),"redfox-labs-2")</f>
        <v>redfox-labs-2</v>
      </c>
      <c r="B9688" s="3" t="str">
        <f>IFERROR(__xludf.DUMMYFUNCTION("""COMPUTED_VALUE"""),"rfox")</f>
        <v>rfox</v>
      </c>
      <c r="C9688" s="3" t="str">
        <f>IFERROR(__xludf.DUMMYFUNCTION("""COMPUTED_VALUE"""),"RFOX")</f>
        <v>RFOX</v>
      </c>
    </row>
    <row r="9689">
      <c r="A9689" s="3" t="str">
        <f>IFERROR(__xludf.DUMMYFUNCTION("""COMPUTED_VALUE"""),"redi")</f>
        <v>redi</v>
      </c>
      <c r="B9689" s="3" t="str">
        <f>IFERROR(__xludf.DUMMYFUNCTION("""COMPUTED_VALUE"""),"redi")</f>
        <v>redi</v>
      </c>
      <c r="C9689" s="3" t="str">
        <f>IFERROR(__xludf.DUMMYFUNCTION("""COMPUTED_VALUE"""),"REDi")</f>
        <v>REDi</v>
      </c>
    </row>
    <row r="9690">
      <c r="A9690" s="3" t="str">
        <f>IFERROR(__xludf.DUMMYFUNCTION("""COMPUTED_VALUE"""),"red-kishu")</f>
        <v>red-kishu</v>
      </c>
      <c r="B9690" s="3" t="str">
        <f>IFERROR(__xludf.DUMMYFUNCTION("""COMPUTED_VALUE"""),"redkishu")</f>
        <v>redkishu</v>
      </c>
      <c r="C9690" s="3" t="str">
        <f>IFERROR(__xludf.DUMMYFUNCTION("""COMPUTED_VALUE"""),"Red Kishu")</f>
        <v>Red Kishu</v>
      </c>
    </row>
    <row r="9691">
      <c r="A9691" s="3" t="str">
        <f>IFERROR(__xludf.DUMMYFUNCTION("""COMPUTED_VALUE"""),"redlight-chain")</f>
        <v>redlight-chain</v>
      </c>
      <c r="B9691" s="3" t="str">
        <f>IFERROR(__xludf.DUMMYFUNCTION("""COMPUTED_VALUE"""),"redlc")</f>
        <v>redlc</v>
      </c>
      <c r="C9691" s="3" t="str">
        <f>IFERROR(__xludf.DUMMYFUNCTION("""COMPUTED_VALUE"""),"Redlight Chain")</f>
        <v>Redlight Chain</v>
      </c>
    </row>
    <row r="9692">
      <c r="A9692" s="3" t="str">
        <f>IFERROR(__xludf.DUMMYFUNCTION("""COMPUTED_VALUE"""),"redlight-node-district")</f>
        <v>redlight-node-district</v>
      </c>
      <c r="B9692" s="3" t="str">
        <f>IFERROR(__xludf.DUMMYFUNCTION("""COMPUTED_VALUE"""),"playmates")</f>
        <v>playmates</v>
      </c>
      <c r="C9692" s="3" t="str">
        <f>IFERROR(__xludf.DUMMYFUNCTION("""COMPUTED_VALUE"""),"Redlight Node District")</f>
        <v>Redlight Node District</v>
      </c>
    </row>
    <row r="9693">
      <c r="A9693" s="3" t="str">
        <f>IFERROR(__xludf.DUMMYFUNCTION("""COMPUTED_VALUE"""),"redluna")</f>
        <v>redluna</v>
      </c>
      <c r="B9693" s="3" t="str">
        <f>IFERROR(__xludf.DUMMYFUNCTION("""COMPUTED_VALUE"""),"redluna")</f>
        <v>redluna</v>
      </c>
      <c r="C9693" s="3" t="str">
        <f>IFERROR(__xludf.DUMMYFUNCTION("""COMPUTED_VALUE"""),"Redluna")</f>
        <v>Redluna</v>
      </c>
    </row>
    <row r="9694">
      <c r="A9694" s="3" t="str">
        <f>IFERROR(__xludf.DUMMYFUNCTION("""COMPUTED_VALUE"""),"redmars")</f>
        <v>redmars</v>
      </c>
      <c r="B9694" s="3" t="str">
        <f>IFERROR(__xludf.DUMMYFUNCTION("""COMPUTED_VALUE"""),"rmars")</f>
        <v>rmars</v>
      </c>
      <c r="C9694" s="3" t="str">
        <f>IFERROR(__xludf.DUMMYFUNCTION("""COMPUTED_VALUE"""),"REDMARS")</f>
        <v>REDMARS</v>
      </c>
    </row>
    <row r="9695">
      <c r="A9695" s="3" t="str">
        <f>IFERROR(__xludf.DUMMYFUNCTION("""COMPUTED_VALUE"""),"redpanda-earth")</f>
        <v>redpanda-earth</v>
      </c>
      <c r="B9695" s="3" t="str">
        <f>IFERROR(__xludf.DUMMYFUNCTION("""COMPUTED_VALUE"""),"redpanda")</f>
        <v>redpanda</v>
      </c>
      <c r="C9695" s="3" t="str">
        <f>IFERROR(__xludf.DUMMYFUNCTION("""COMPUTED_VALUE"""),"RedPanda Earth")</f>
        <v>RedPanda Earth</v>
      </c>
    </row>
    <row r="9696">
      <c r="A9696" s="3" t="str">
        <f>IFERROR(__xludf.DUMMYFUNCTION("""COMPUTED_VALUE"""),"red-pill")</f>
        <v>red-pill</v>
      </c>
      <c r="B9696" s="3" t="str">
        <f>IFERROR(__xludf.DUMMYFUNCTION("""COMPUTED_VALUE"""),"rpp")</f>
        <v>rpp</v>
      </c>
      <c r="C9696" s="3" t="str">
        <f>IFERROR(__xludf.DUMMYFUNCTION("""COMPUTED_VALUE"""),"Red Pill")</f>
        <v>Red Pill</v>
      </c>
    </row>
    <row r="9697">
      <c r="A9697" s="3" t="str">
        <f>IFERROR(__xludf.DUMMYFUNCTION("""COMPUTED_VALUE"""),"redpill-2")</f>
        <v>redpill-2</v>
      </c>
      <c r="B9697" s="3" t="str">
        <f>IFERROR(__xludf.DUMMYFUNCTION("""COMPUTED_VALUE"""),"rpill")</f>
        <v>rpill</v>
      </c>
      <c r="C9697" s="3" t="str">
        <f>IFERROR(__xludf.DUMMYFUNCTION("""COMPUTED_VALUE"""),"RedPill")</f>
        <v>RedPill</v>
      </c>
    </row>
    <row r="9698">
      <c r="A9698" s="3" t="str">
        <f>IFERROR(__xludf.DUMMYFUNCTION("""COMPUTED_VALUE"""),"red-pulse")</f>
        <v>red-pulse</v>
      </c>
      <c r="B9698" s="3" t="str">
        <f>IFERROR(__xludf.DUMMYFUNCTION("""COMPUTED_VALUE"""),"phb")</f>
        <v>phb</v>
      </c>
      <c r="C9698" s="3" t="str">
        <f>IFERROR(__xludf.DUMMYFUNCTION("""COMPUTED_VALUE"""),"Phoenix Global [OLD]")</f>
        <v>Phoenix Global [OLD]</v>
      </c>
    </row>
    <row r="9699">
      <c r="A9699" s="3" t="str">
        <f>IFERROR(__xludf.DUMMYFUNCTION("""COMPUTED_VALUE"""),"red-shiba-token")</f>
        <v>red-shiba-token</v>
      </c>
      <c r="B9699" s="3" t="str">
        <f>IFERROR(__xludf.DUMMYFUNCTION("""COMPUTED_VALUE"""),"rst")</f>
        <v>rst</v>
      </c>
      <c r="C9699" s="3" t="str">
        <f>IFERROR(__xludf.DUMMYFUNCTION("""COMPUTED_VALUE"""),"Red Shiba")</f>
        <v>Red Shiba</v>
      </c>
    </row>
    <row r="9700">
      <c r="A9700" s="3" t="str">
        <f>IFERROR(__xludf.DUMMYFUNCTION("""COMPUTED_VALUE"""),"redstone")</f>
        <v>redstone</v>
      </c>
      <c r="B9700" s="3" t="str">
        <f>IFERROR(__xludf.DUMMYFUNCTION("""COMPUTED_VALUE"""),"redstone")</f>
        <v>redstone</v>
      </c>
      <c r="C9700" s="3" t="str">
        <f>IFERROR(__xludf.DUMMYFUNCTION("""COMPUTED_VALUE"""),"RedStone")</f>
        <v>RedStone</v>
      </c>
    </row>
    <row r="9701">
      <c r="A9701" s="3" t="str">
        <f>IFERROR(__xludf.DUMMYFUNCTION("""COMPUTED_VALUE"""),"red-token")</f>
        <v>red-token</v>
      </c>
      <c r="B9701" s="3" t="str">
        <f>IFERROR(__xludf.DUMMYFUNCTION("""COMPUTED_VALUE"""),"red")</f>
        <v>red</v>
      </c>
      <c r="C9701" s="3" t="str">
        <f>IFERROR(__xludf.DUMMYFUNCTION("""COMPUTED_VALUE"""),"RED TOKEN")</f>
        <v>RED TOKEN</v>
      </c>
    </row>
    <row r="9702">
      <c r="A9702" s="3" t="str">
        <f>IFERROR(__xludf.DUMMYFUNCTION("""COMPUTED_VALUE"""),"redux-protocol")</f>
        <v>redux-protocol</v>
      </c>
      <c r="B9702" s="3" t="str">
        <f>IFERROR(__xludf.DUMMYFUNCTION("""COMPUTED_VALUE"""),"rdx")</f>
        <v>rdx</v>
      </c>
      <c r="C9702" s="3" t="str">
        <f>IFERROR(__xludf.DUMMYFUNCTION("""COMPUTED_VALUE"""),"Redux Protocol")</f>
        <v>Redux Protocol</v>
      </c>
    </row>
    <row r="9703">
      <c r="A9703" s="3" t="str">
        <f>IFERROR(__xludf.DUMMYFUNCTION("""COMPUTED_VALUE"""),"reef")</f>
        <v>reef</v>
      </c>
      <c r="B9703" s="3" t="str">
        <f>IFERROR(__xludf.DUMMYFUNCTION("""COMPUTED_VALUE"""),"reef")</f>
        <v>reef</v>
      </c>
      <c r="C9703" s="3" t="str">
        <f>IFERROR(__xludf.DUMMYFUNCTION("""COMPUTED_VALUE"""),"Reef")</f>
        <v>Reef</v>
      </c>
    </row>
    <row r="9704">
      <c r="A9704" s="3" t="str">
        <f>IFERROR(__xludf.DUMMYFUNCTION("""COMPUTED_VALUE"""),"reesykle")</f>
        <v>reesykle</v>
      </c>
      <c r="B9704" s="3" t="str">
        <f>IFERROR(__xludf.DUMMYFUNCTION("""COMPUTED_VALUE"""),"sycle")</f>
        <v>sycle</v>
      </c>
      <c r="C9704" s="3" t="str">
        <f>IFERROR(__xludf.DUMMYFUNCTION("""COMPUTED_VALUE"""),"Reesykle")</f>
        <v>Reesykle</v>
      </c>
    </row>
    <row r="9705">
      <c r="A9705" s="3" t="str">
        <f>IFERROR(__xludf.DUMMYFUNCTION("""COMPUTED_VALUE"""),"refereum")</f>
        <v>refereum</v>
      </c>
      <c r="B9705" s="3" t="str">
        <f>IFERROR(__xludf.DUMMYFUNCTION("""COMPUTED_VALUE"""),"rfr")</f>
        <v>rfr</v>
      </c>
      <c r="C9705" s="3" t="str">
        <f>IFERROR(__xludf.DUMMYFUNCTION("""COMPUTED_VALUE"""),"Refereum")</f>
        <v>Refereum</v>
      </c>
    </row>
    <row r="9706">
      <c r="A9706" s="3" t="str">
        <f>IFERROR(__xludf.DUMMYFUNCTION("""COMPUTED_VALUE"""),"ref-finance")</f>
        <v>ref-finance</v>
      </c>
      <c r="B9706" s="3" t="str">
        <f>IFERROR(__xludf.DUMMYFUNCTION("""COMPUTED_VALUE"""),"ref")</f>
        <v>ref</v>
      </c>
      <c r="C9706" s="3" t="str">
        <f>IFERROR(__xludf.DUMMYFUNCTION("""COMPUTED_VALUE"""),"Ref Finance")</f>
        <v>Ref Finance</v>
      </c>
    </row>
    <row r="9707">
      <c r="A9707" s="3" t="str">
        <f>IFERROR(__xludf.DUMMYFUNCTION("""COMPUTED_VALUE"""),"refi")</f>
        <v>refi</v>
      </c>
      <c r="B9707" s="3" t="str">
        <f>IFERROR(__xludf.DUMMYFUNCTION("""COMPUTED_VALUE"""),"refi")</f>
        <v>refi</v>
      </c>
      <c r="C9707" s="3" t="str">
        <f>IFERROR(__xludf.DUMMYFUNCTION("""COMPUTED_VALUE"""),"Reimagined Finance")</f>
        <v>Reimagined Finance</v>
      </c>
    </row>
    <row r="9708">
      <c r="A9708" s="3" t="str">
        <f>IFERROR(__xludf.DUMMYFUNCTION("""COMPUTED_VALUE"""),"refinable")</f>
        <v>refinable</v>
      </c>
      <c r="B9708" s="3" t="str">
        <f>IFERROR(__xludf.DUMMYFUNCTION("""COMPUTED_VALUE"""),"fine")</f>
        <v>fine</v>
      </c>
      <c r="C9708" s="3" t="str">
        <f>IFERROR(__xludf.DUMMYFUNCTION("""COMPUTED_VALUE"""),"Refinable")</f>
        <v>Refinable</v>
      </c>
    </row>
    <row r="9709">
      <c r="A9709" s="3" t="str">
        <f>IFERROR(__xludf.DUMMYFUNCTION("""COMPUTED_VALUE"""),"reflect-finance")</f>
        <v>reflect-finance</v>
      </c>
      <c r="B9709" s="3" t="str">
        <f>IFERROR(__xludf.DUMMYFUNCTION("""COMPUTED_VALUE"""),"rfi")</f>
        <v>rfi</v>
      </c>
      <c r="C9709" s="3" t="str">
        <f>IFERROR(__xludf.DUMMYFUNCTION("""COMPUTED_VALUE"""),"reflect.finance")</f>
        <v>reflect.finance</v>
      </c>
    </row>
    <row r="9710">
      <c r="A9710" s="3" t="str">
        <f>IFERROR(__xludf.DUMMYFUNCTION("""COMPUTED_VALUE"""),"reflecto")</f>
        <v>reflecto</v>
      </c>
      <c r="B9710" s="3" t="str">
        <f>IFERROR(__xludf.DUMMYFUNCTION("""COMPUTED_VALUE"""),"rto")</f>
        <v>rto</v>
      </c>
      <c r="C9710" s="3" t="str">
        <f>IFERROR(__xludf.DUMMYFUNCTION("""COMPUTED_VALUE"""),"Reflecto")</f>
        <v>Reflecto</v>
      </c>
    </row>
    <row r="9711">
      <c r="A9711" s="3" t="str">
        <f>IFERROR(__xludf.DUMMYFUNCTION("""COMPUTED_VALUE"""),"reflecto-usd")</f>
        <v>reflecto-usd</v>
      </c>
      <c r="B9711" s="3" t="str">
        <f>IFERROR(__xludf.DUMMYFUNCTION("""COMPUTED_VALUE"""),"rusd")</f>
        <v>rusd</v>
      </c>
      <c r="C9711" s="3" t="str">
        <f>IFERROR(__xludf.DUMMYFUNCTION("""COMPUTED_VALUE"""),"Reflecto USD")</f>
        <v>Reflecto USD</v>
      </c>
    </row>
    <row r="9712">
      <c r="A9712" s="3" t="str">
        <f>IFERROR(__xludf.DUMMYFUNCTION("""COMPUTED_VALUE"""),"reflex")</f>
        <v>reflex</v>
      </c>
      <c r="B9712" s="3" t="str">
        <f>IFERROR(__xludf.DUMMYFUNCTION("""COMPUTED_VALUE"""),"rfx")</f>
        <v>rfx</v>
      </c>
      <c r="C9712" s="3" t="str">
        <f>IFERROR(__xludf.DUMMYFUNCTION("""COMPUTED_VALUE"""),"Reflex")</f>
        <v>Reflex</v>
      </c>
    </row>
    <row r="9713">
      <c r="A9713" s="3" t="str">
        <f>IFERROR(__xludf.DUMMYFUNCTION("""COMPUTED_VALUE"""),"reflexer-ungovernance-token")</f>
        <v>reflexer-ungovernance-token</v>
      </c>
      <c r="B9713" s="3" t="str">
        <f>IFERROR(__xludf.DUMMYFUNCTION("""COMPUTED_VALUE"""),"flx")</f>
        <v>flx</v>
      </c>
      <c r="C9713" s="3" t="str">
        <f>IFERROR(__xludf.DUMMYFUNCTION("""COMPUTED_VALUE"""),"Reflexer Ungovernance")</f>
        <v>Reflexer Ungovernance</v>
      </c>
    </row>
    <row r="9714">
      <c r="A9714" s="3" t="str">
        <f>IFERROR(__xludf.DUMMYFUNCTION("""COMPUTED_VALUE"""),"reflex-finance-v2")</f>
        <v>reflex-finance-v2</v>
      </c>
      <c r="B9714" s="3" t="str">
        <f>IFERROR(__xludf.DUMMYFUNCTION("""COMPUTED_VALUE"""),"reflex")</f>
        <v>reflex</v>
      </c>
      <c r="C9714" s="3" t="str">
        <f>IFERROR(__xludf.DUMMYFUNCTION("""COMPUTED_VALUE"""),"Reflex Finance V2")</f>
        <v>Reflex Finance V2</v>
      </c>
    </row>
    <row r="9715">
      <c r="A9715" s="3" t="str">
        <f>IFERROR(__xludf.DUMMYFUNCTION("""COMPUTED_VALUE"""),"reforestation-mahogany")</f>
        <v>reforestation-mahogany</v>
      </c>
      <c r="B9715" s="3" t="str">
        <f>IFERROR(__xludf.DUMMYFUNCTION("""COMPUTED_VALUE"""),"rmog")</f>
        <v>rmog</v>
      </c>
      <c r="C9715" s="3" t="str">
        <f>IFERROR(__xludf.DUMMYFUNCTION("""COMPUTED_VALUE"""),"Reforestation Mahogany")</f>
        <v>Reforestation Mahogany</v>
      </c>
    </row>
    <row r="9716">
      <c r="A9716" s="3" t="str">
        <f>IFERROR(__xludf.DUMMYFUNCTION("""COMPUTED_VALUE"""),"reftoken")</f>
        <v>reftoken</v>
      </c>
      <c r="B9716" s="3" t="str">
        <f>IFERROR(__xludf.DUMMYFUNCTION("""COMPUTED_VALUE"""),"ref")</f>
        <v>ref</v>
      </c>
      <c r="C9716" s="3" t="str">
        <f>IFERROR(__xludf.DUMMYFUNCTION("""COMPUTED_VALUE"""),"Ref")</f>
        <v>Ref</v>
      </c>
    </row>
    <row r="9717">
      <c r="A9717" s="3" t="str">
        <f>IFERROR(__xludf.DUMMYFUNCTION("""COMPUTED_VALUE"""),"refugees-token")</f>
        <v>refugees-token</v>
      </c>
      <c r="B9717" s="3" t="str">
        <f>IFERROR(__xludf.DUMMYFUNCTION("""COMPUTED_VALUE"""),"$rfg")</f>
        <v>$rfg</v>
      </c>
      <c r="C9717" s="3" t="str">
        <f>IFERROR(__xludf.DUMMYFUNCTION("""COMPUTED_VALUE"""),"Refugees")</f>
        <v>Refugees</v>
      </c>
    </row>
    <row r="9718">
      <c r="A9718" s="3" t="str">
        <f>IFERROR(__xludf.DUMMYFUNCTION("""COMPUTED_VALUE"""),"regen")</f>
        <v>regen</v>
      </c>
      <c r="B9718" s="3" t="str">
        <f>IFERROR(__xludf.DUMMYFUNCTION("""COMPUTED_VALUE"""),"regen")</f>
        <v>regen</v>
      </c>
      <c r="C9718" s="3" t="str">
        <f>IFERROR(__xludf.DUMMYFUNCTION("""COMPUTED_VALUE"""),"Regen")</f>
        <v>Regen</v>
      </c>
    </row>
    <row r="9719">
      <c r="A9719" s="3" t="str">
        <f>IFERROR(__xludf.DUMMYFUNCTION("""COMPUTED_VALUE"""),"regularpresale")</f>
        <v>regularpresale</v>
      </c>
      <c r="B9719" s="3" t="str">
        <f>IFERROR(__xludf.DUMMYFUNCTION("""COMPUTED_VALUE"""),"regu")</f>
        <v>regu</v>
      </c>
      <c r="C9719" s="3" t="str">
        <f>IFERROR(__xludf.DUMMYFUNCTION("""COMPUTED_VALUE"""),"RegularPresale")</f>
        <v>RegularPresale</v>
      </c>
    </row>
    <row r="9720">
      <c r="A9720" s="3" t="str">
        <f>IFERROR(__xludf.DUMMYFUNCTION("""COMPUTED_VALUE"""),"rei-network")</f>
        <v>rei-network</v>
      </c>
      <c r="B9720" s="3" t="str">
        <f>IFERROR(__xludf.DUMMYFUNCTION("""COMPUTED_VALUE"""),"rei")</f>
        <v>rei</v>
      </c>
      <c r="C9720" s="3" t="str">
        <f>IFERROR(__xludf.DUMMYFUNCTION("""COMPUTED_VALUE"""),"REI Network")</f>
        <v>REI Network</v>
      </c>
    </row>
    <row r="9721">
      <c r="A9721" s="3" t="str">
        <f>IFERROR(__xludf.DUMMYFUNCTION("""COMPUTED_VALUE"""),"relaxable")</f>
        <v>relaxable</v>
      </c>
      <c r="B9721" s="3" t="str">
        <f>IFERROR(__xludf.DUMMYFUNCTION("""COMPUTED_VALUE"""),"relax")</f>
        <v>relax</v>
      </c>
      <c r="C9721" s="3" t="str">
        <f>IFERROR(__xludf.DUMMYFUNCTION("""COMPUTED_VALUE"""),"Relaxable")</f>
        <v>Relaxable</v>
      </c>
    </row>
    <row r="9722">
      <c r="A9722" s="3" t="str">
        <f>IFERROR(__xludf.DUMMYFUNCTION("""COMPUTED_VALUE"""),"relay-token")</f>
        <v>relay-token</v>
      </c>
      <c r="B9722" s="3" t="str">
        <f>IFERROR(__xludf.DUMMYFUNCTION("""COMPUTED_VALUE"""),"relay")</f>
        <v>relay</v>
      </c>
      <c r="C9722" s="3" t="str">
        <f>IFERROR(__xludf.DUMMYFUNCTION("""COMPUTED_VALUE"""),"Relay Chain")</f>
        <v>Relay Chain</v>
      </c>
    </row>
    <row r="9723">
      <c r="A9723" s="3" t="str">
        <f>IFERROR(__xludf.DUMMYFUNCTION("""COMPUTED_VALUE"""),"release-ico-project")</f>
        <v>release-ico-project</v>
      </c>
      <c r="B9723" s="3" t="str">
        <f>IFERROR(__xludf.DUMMYFUNCTION("""COMPUTED_VALUE"""),"rel")</f>
        <v>rel</v>
      </c>
      <c r="C9723" s="3" t="str">
        <f>IFERROR(__xludf.DUMMYFUNCTION("""COMPUTED_VALUE"""),"RELEASE")</f>
        <v>RELEASE</v>
      </c>
    </row>
    <row r="9724">
      <c r="A9724" s="3" t="str">
        <f>IFERROR(__xludf.DUMMYFUNCTION("""COMPUTED_VALUE"""),"relevant")</f>
        <v>relevant</v>
      </c>
      <c r="B9724" s="3" t="str">
        <f>IFERROR(__xludf.DUMMYFUNCTION("""COMPUTED_VALUE"""),"rel")</f>
        <v>rel</v>
      </c>
      <c r="C9724" s="3" t="str">
        <f>IFERROR(__xludf.DUMMYFUNCTION("""COMPUTED_VALUE"""),"Relevant")</f>
        <v>Relevant</v>
      </c>
    </row>
    <row r="9725">
      <c r="A9725" s="3" t="str">
        <f>IFERROR(__xludf.DUMMYFUNCTION("""COMPUTED_VALUE"""),"relic")</f>
        <v>relic</v>
      </c>
      <c r="B9725" s="3" t="str">
        <f>IFERROR(__xludf.DUMMYFUNCTION("""COMPUTED_VALUE"""),"relic")</f>
        <v>relic</v>
      </c>
      <c r="C9725" s="3" t="str">
        <f>IFERROR(__xludf.DUMMYFUNCTION("""COMPUTED_VALUE"""),"Relic")</f>
        <v>Relic</v>
      </c>
    </row>
    <row r="9726">
      <c r="A9726" s="3" t="str">
        <f>IFERROR(__xludf.DUMMYFUNCTION("""COMPUTED_VALUE"""),"relictumpro-genesis-token")</f>
        <v>relictumpro-genesis-token</v>
      </c>
      <c r="B9726" s="3" t="str">
        <f>IFERROR(__xludf.DUMMYFUNCTION("""COMPUTED_VALUE"""),"gtn")</f>
        <v>gtn</v>
      </c>
      <c r="C9726" s="3" t="str">
        <f>IFERROR(__xludf.DUMMYFUNCTION("""COMPUTED_VALUE"""),"RelictumPro Genesis Token")</f>
        <v>RelictumPro Genesis Token</v>
      </c>
    </row>
    <row r="9727">
      <c r="A9727" s="3" t="str">
        <f>IFERROR(__xludf.DUMMYFUNCTION("""COMPUTED_VALUE"""),"relite-finance")</f>
        <v>relite-finance</v>
      </c>
      <c r="B9727" s="3" t="str">
        <f>IFERROR(__xludf.DUMMYFUNCTION("""COMPUTED_VALUE"""),"reli")</f>
        <v>reli</v>
      </c>
      <c r="C9727" s="3" t="str">
        <f>IFERROR(__xludf.DUMMYFUNCTION("""COMPUTED_VALUE"""),"Relite Finance")</f>
        <v>Relite Finance</v>
      </c>
    </row>
    <row r="9728">
      <c r="A9728" s="3" t="str">
        <f>IFERROR(__xludf.DUMMYFUNCTION("""COMPUTED_VALUE"""),"reltime")</f>
        <v>reltime</v>
      </c>
      <c r="B9728" s="3" t="str">
        <f>IFERROR(__xludf.DUMMYFUNCTION("""COMPUTED_VALUE"""),"rtc")</f>
        <v>rtc</v>
      </c>
      <c r="C9728" s="3" t="str">
        <f>IFERROR(__xludf.DUMMYFUNCTION("""COMPUTED_VALUE"""),"Reltime")</f>
        <v>Reltime</v>
      </c>
    </row>
    <row r="9729">
      <c r="A9729" s="3" t="str">
        <f>IFERROR(__xludf.DUMMYFUNCTION("""COMPUTED_VALUE"""),"rematicegc")</f>
        <v>rematicegc</v>
      </c>
      <c r="B9729" s="3" t="str">
        <f>IFERROR(__xludf.DUMMYFUNCTION("""COMPUTED_VALUE"""),"rmtx")</f>
        <v>rmtx</v>
      </c>
      <c r="C9729" s="3" t="str">
        <f>IFERROR(__xludf.DUMMYFUNCTION("""COMPUTED_VALUE"""),"RematicEGC")</f>
        <v>RematicEGC</v>
      </c>
    </row>
    <row r="9730">
      <c r="A9730" s="3" t="str">
        <f>IFERROR(__xludf.DUMMYFUNCTION("""COMPUTED_VALUE"""),"remex")</f>
        <v>remex</v>
      </c>
      <c r="B9730" s="3" t="str">
        <f>IFERROR(__xludf.DUMMYFUNCTION("""COMPUTED_VALUE"""),"rmx")</f>
        <v>rmx</v>
      </c>
      <c r="C9730" s="3" t="str">
        <f>IFERROR(__xludf.DUMMYFUNCTION("""COMPUTED_VALUE"""),"RemeX")</f>
        <v>RemeX</v>
      </c>
    </row>
    <row r="9731">
      <c r="A9731" s="3" t="str">
        <f>IFERROR(__xludf.DUMMYFUNCTION("""COMPUTED_VALUE"""),"remi")</f>
        <v>remi</v>
      </c>
      <c r="B9731" s="3" t="str">
        <f>IFERROR(__xludf.DUMMYFUNCTION("""COMPUTED_VALUE"""),"remi")</f>
        <v>remi</v>
      </c>
      <c r="C9731" s="3" t="str">
        <f>IFERROR(__xludf.DUMMYFUNCTION("""COMPUTED_VALUE"""),"REMI")</f>
        <v>REMI</v>
      </c>
    </row>
    <row r="9732">
      <c r="A9732" s="3" t="str">
        <f>IFERROR(__xludf.DUMMYFUNCTION("""COMPUTED_VALUE"""),"remme")</f>
        <v>remme</v>
      </c>
      <c r="B9732" s="3" t="str">
        <f>IFERROR(__xludf.DUMMYFUNCTION("""COMPUTED_VALUE"""),"rem")</f>
        <v>rem</v>
      </c>
      <c r="C9732" s="3" t="str">
        <f>IFERROR(__xludf.DUMMYFUNCTION("""COMPUTED_VALUE"""),"Remme")</f>
        <v>Remme</v>
      </c>
    </row>
    <row r="9733">
      <c r="A9733" s="3" t="str">
        <f>IFERROR(__xludf.DUMMYFUNCTION("""COMPUTED_VALUE"""),"rena-finance")</f>
        <v>rena-finance</v>
      </c>
      <c r="B9733" s="3" t="str">
        <f>IFERROR(__xludf.DUMMYFUNCTION("""COMPUTED_VALUE"""),"rena")</f>
        <v>rena</v>
      </c>
      <c r="C9733" s="3" t="str">
        <f>IFERROR(__xludf.DUMMYFUNCTION("""COMPUTED_VALUE"""),"RENA Finance")</f>
        <v>RENA Finance</v>
      </c>
    </row>
    <row r="9734">
      <c r="A9734" s="3" t="str">
        <f>IFERROR(__xludf.DUMMYFUNCTION("""COMPUTED_VALUE"""),"renbch")</f>
        <v>renbch</v>
      </c>
      <c r="B9734" s="3" t="str">
        <f>IFERROR(__xludf.DUMMYFUNCTION("""COMPUTED_VALUE"""),"renbch")</f>
        <v>renbch</v>
      </c>
      <c r="C9734" s="3" t="str">
        <f>IFERROR(__xludf.DUMMYFUNCTION("""COMPUTED_VALUE"""),"renBCH")</f>
        <v>renBCH</v>
      </c>
    </row>
    <row r="9735">
      <c r="A9735" s="3" t="str">
        <f>IFERROR(__xludf.DUMMYFUNCTION("""COMPUTED_VALUE"""),"renbtc")</f>
        <v>renbtc</v>
      </c>
      <c r="B9735" s="3" t="str">
        <f>IFERROR(__xludf.DUMMYFUNCTION("""COMPUTED_VALUE"""),"renbtc")</f>
        <v>renbtc</v>
      </c>
      <c r="C9735" s="3" t="str">
        <f>IFERROR(__xludf.DUMMYFUNCTION("""COMPUTED_VALUE"""),"renBTC")</f>
        <v>renBTC</v>
      </c>
    </row>
    <row r="9736">
      <c r="A9736" s="3" t="str">
        <f>IFERROR(__xludf.DUMMYFUNCTION("""COMPUTED_VALUE"""),"render-token")</f>
        <v>render-token</v>
      </c>
      <c r="B9736" s="3" t="str">
        <f>IFERROR(__xludf.DUMMYFUNCTION("""COMPUTED_VALUE"""),"rndr")</f>
        <v>rndr</v>
      </c>
      <c r="C9736" s="3" t="str">
        <f>IFERROR(__xludf.DUMMYFUNCTION("""COMPUTED_VALUE"""),"Render")</f>
        <v>Render</v>
      </c>
    </row>
    <row r="9737">
      <c r="A9737" s="3" t="str">
        <f>IFERROR(__xludf.DUMMYFUNCTION("""COMPUTED_VALUE"""),"rendoge")</f>
        <v>rendoge</v>
      </c>
      <c r="B9737" s="3" t="str">
        <f>IFERROR(__xludf.DUMMYFUNCTION("""COMPUTED_VALUE"""),"rendoge")</f>
        <v>rendoge</v>
      </c>
      <c r="C9737" s="3" t="str">
        <f>IFERROR(__xludf.DUMMYFUNCTION("""COMPUTED_VALUE"""),"renDOGE")</f>
        <v>renDOGE</v>
      </c>
    </row>
    <row r="9738">
      <c r="A9738" s="3" t="str">
        <f>IFERROR(__xludf.DUMMYFUNCTION("""COMPUTED_VALUE"""),"renewable-energy")</f>
        <v>renewable-energy</v>
      </c>
      <c r="B9738" s="3" t="str">
        <f>IFERROR(__xludf.DUMMYFUNCTION("""COMPUTED_VALUE"""),"ret")</f>
        <v>ret</v>
      </c>
      <c r="C9738" s="3" t="str">
        <f>IFERROR(__xludf.DUMMYFUNCTION("""COMPUTED_VALUE"""),"Renewable Energy")</f>
        <v>Renewable Energy</v>
      </c>
    </row>
    <row r="9739">
      <c r="A9739" s="3" t="str">
        <f>IFERROR(__xludf.DUMMYFUNCTION("""COMPUTED_VALUE"""),"renfil")</f>
        <v>renfil</v>
      </c>
      <c r="B9739" s="3" t="str">
        <f>IFERROR(__xludf.DUMMYFUNCTION("""COMPUTED_VALUE"""),"renfil")</f>
        <v>renfil</v>
      </c>
      <c r="C9739" s="3" t="str">
        <f>IFERROR(__xludf.DUMMYFUNCTION("""COMPUTED_VALUE"""),"renFIL")</f>
        <v>renFIL</v>
      </c>
    </row>
    <row r="9740">
      <c r="A9740" s="3" t="str">
        <f>IFERROR(__xludf.DUMMYFUNCTION("""COMPUTED_VALUE"""),"renrenbit")</f>
        <v>renrenbit</v>
      </c>
      <c r="B9740" s="3" t="str">
        <f>IFERROR(__xludf.DUMMYFUNCTION("""COMPUTED_VALUE"""),"rrb")</f>
        <v>rrb</v>
      </c>
      <c r="C9740" s="3" t="str">
        <f>IFERROR(__xludf.DUMMYFUNCTION("""COMPUTED_VALUE"""),"Renrenbit")</f>
        <v>Renrenbit</v>
      </c>
    </row>
    <row r="9741">
      <c r="A9741" s="3" t="str">
        <f>IFERROR(__xludf.DUMMYFUNCTION("""COMPUTED_VALUE"""),"rens")</f>
        <v>rens</v>
      </c>
      <c r="B9741" s="3" t="str">
        <f>IFERROR(__xludf.DUMMYFUNCTION("""COMPUTED_VALUE"""),"rens")</f>
        <v>rens</v>
      </c>
      <c r="C9741" s="3" t="str">
        <f>IFERROR(__xludf.DUMMYFUNCTION("""COMPUTED_VALUE"""),"Rens")</f>
        <v>Rens</v>
      </c>
    </row>
    <row r="9742">
      <c r="A9742" s="3" t="str">
        <f>IFERROR(__xludf.DUMMYFUNCTION("""COMPUTED_VALUE"""),"rentberry")</f>
        <v>rentberry</v>
      </c>
      <c r="B9742" s="3" t="str">
        <f>IFERROR(__xludf.DUMMYFUNCTION("""COMPUTED_VALUE"""),"berry")</f>
        <v>berry</v>
      </c>
      <c r="C9742" s="3" t="str">
        <f>IFERROR(__xludf.DUMMYFUNCTION("""COMPUTED_VALUE"""),"Rentberry")</f>
        <v>Rentberry</v>
      </c>
    </row>
    <row r="9743">
      <c r="A9743" s="3" t="str">
        <f>IFERROR(__xludf.DUMMYFUNCTION("""COMPUTED_VALUE"""),"rentible")</f>
        <v>rentible</v>
      </c>
      <c r="B9743" s="3" t="str">
        <f>IFERROR(__xludf.DUMMYFUNCTION("""COMPUTED_VALUE"""),"rnb")</f>
        <v>rnb</v>
      </c>
      <c r="C9743" s="3" t="str">
        <f>IFERROR(__xludf.DUMMYFUNCTION("""COMPUTED_VALUE"""),"Rentible")</f>
        <v>Rentible</v>
      </c>
    </row>
    <row r="9744">
      <c r="A9744" s="3" t="str">
        <f>IFERROR(__xludf.DUMMYFUNCTION("""COMPUTED_VALUE"""),"renzec")</f>
        <v>renzec</v>
      </c>
      <c r="B9744" s="3" t="str">
        <f>IFERROR(__xludf.DUMMYFUNCTION("""COMPUTED_VALUE"""),"renzec")</f>
        <v>renzec</v>
      </c>
      <c r="C9744" s="3" t="str">
        <f>IFERROR(__xludf.DUMMYFUNCTION("""COMPUTED_VALUE"""),"renZEC")</f>
        <v>renZEC</v>
      </c>
    </row>
    <row r="9745">
      <c r="A9745" s="3" t="str">
        <f>IFERROR(__xludf.DUMMYFUNCTION("""COMPUTED_VALUE"""),"repo")</f>
        <v>repo</v>
      </c>
      <c r="B9745" s="3" t="str">
        <f>IFERROR(__xludf.DUMMYFUNCTION("""COMPUTED_VALUE"""),"repo")</f>
        <v>repo</v>
      </c>
      <c r="C9745" s="3" t="str">
        <f>IFERROR(__xludf.DUMMYFUNCTION("""COMPUTED_VALUE"""),"Repo Coin")</f>
        <v>Repo Coin</v>
      </c>
    </row>
    <row r="9746">
      <c r="A9746" s="3" t="str">
        <f>IFERROR(__xludf.DUMMYFUNCTION("""COMPUTED_VALUE"""),"represent")</f>
        <v>represent</v>
      </c>
      <c r="B9746" s="3" t="str">
        <f>IFERROR(__xludf.DUMMYFUNCTION("""COMPUTED_VALUE"""),"rpt")</f>
        <v>rpt</v>
      </c>
      <c r="C9746" s="3" t="str">
        <f>IFERROR(__xludf.DUMMYFUNCTION("""COMPUTED_VALUE"""),"Represent")</f>
        <v>Represent</v>
      </c>
    </row>
    <row r="9747">
      <c r="A9747" s="3" t="str">
        <f>IFERROR(__xludf.DUMMYFUNCTION("""COMPUTED_VALUE"""),"reptilian")</f>
        <v>reptilian</v>
      </c>
      <c r="B9747" s="3" t="str">
        <f>IFERROR(__xludf.DUMMYFUNCTION("""COMPUTED_VALUE"""),"rptc")</f>
        <v>rptc</v>
      </c>
      <c r="C9747" s="3" t="str">
        <f>IFERROR(__xludf.DUMMYFUNCTION("""COMPUTED_VALUE"""),"Reptilian")</f>
        <v>Reptilian</v>
      </c>
    </row>
    <row r="9748">
      <c r="A9748" s="3" t="str">
        <f>IFERROR(__xludf.DUMMYFUNCTION("""COMPUTED_VALUE"""),"republic-credits")</f>
        <v>republic-credits</v>
      </c>
      <c r="B9748" s="3" t="str">
        <f>IFERROR(__xludf.DUMMYFUNCTION("""COMPUTED_VALUE"""),"rpc")</f>
        <v>rpc</v>
      </c>
      <c r="C9748" s="3" t="str">
        <f>IFERROR(__xludf.DUMMYFUNCTION("""COMPUTED_VALUE"""),"Republic Credits")</f>
        <v>Republic Credits</v>
      </c>
    </row>
    <row r="9749">
      <c r="A9749" s="3" t="str">
        <f>IFERROR(__xludf.DUMMYFUNCTION("""COMPUTED_VALUE"""),"republic-protocol")</f>
        <v>republic-protocol</v>
      </c>
      <c r="B9749" s="3" t="str">
        <f>IFERROR(__xludf.DUMMYFUNCTION("""COMPUTED_VALUE"""),"ren")</f>
        <v>ren</v>
      </c>
      <c r="C9749" s="3" t="str">
        <f>IFERROR(__xludf.DUMMYFUNCTION("""COMPUTED_VALUE"""),"REN")</f>
        <v>REN</v>
      </c>
    </row>
    <row r="9750">
      <c r="A9750" s="3" t="str">
        <f>IFERROR(__xludf.DUMMYFUNCTION("""COMPUTED_VALUE"""),"request-network")</f>
        <v>request-network</v>
      </c>
      <c r="B9750" s="3" t="str">
        <f>IFERROR(__xludf.DUMMYFUNCTION("""COMPUTED_VALUE"""),"req")</f>
        <v>req</v>
      </c>
      <c r="C9750" s="3" t="str">
        <f>IFERROR(__xludf.DUMMYFUNCTION("""COMPUTED_VALUE"""),"Request")</f>
        <v>Request</v>
      </c>
    </row>
    <row r="9751">
      <c r="A9751" s="3" t="str">
        <f>IFERROR(__xludf.DUMMYFUNCTION("""COMPUTED_VALUE"""),"researchcoin")</f>
        <v>researchcoin</v>
      </c>
      <c r="B9751" s="3" t="str">
        <f>IFERROR(__xludf.DUMMYFUNCTION("""COMPUTED_VALUE"""),"rsc")</f>
        <v>rsc</v>
      </c>
      <c r="C9751" s="3" t="str">
        <f>IFERROR(__xludf.DUMMYFUNCTION("""COMPUTED_VALUE"""),"ResearchCoin")</f>
        <v>ResearchCoin</v>
      </c>
    </row>
    <row r="9752">
      <c r="A9752" s="3" t="str">
        <f>IFERROR(__xludf.DUMMYFUNCTION("""COMPUTED_VALUE"""),"reserve")</f>
        <v>reserve</v>
      </c>
      <c r="B9752" s="3" t="str">
        <f>IFERROR(__xludf.DUMMYFUNCTION("""COMPUTED_VALUE"""),"rsv")</f>
        <v>rsv</v>
      </c>
      <c r="C9752" s="3" t="str">
        <f>IFERROR(__xludf.DUMMYFUNCTION("""COMPUTED_VALUE"""),"Reserve")</f>
        <v>Reserve</v>
      </c>
    </row>
    <row r="9753">
      <c r="A9753" s="3" t="str">
        <f>IFERROR(__xludf.DUMMYFUNCTION("""COMPUTED_VALUE"""),"reserve-rights-token")</f>
        <v>reserve-rights-token</v>
      </c>
      <c r="B9753" s="3" t="str">
        <f>IFERROR(__xludf.DUMMYFUNCTION("""COMPUTED_VALUE"""),"rsr")</f>
        <v>rsr</v>
      </c>
      <c r="C9753" s="3" t="str">
        <f>IFERROR(__xludf.DUMMYFUNCTION("""COMPUTED_VALUE"""),"Reserve Rights")</f>
        <v>Reserve Rights</v>
      </c>
    </row>
    <row r="9754">
      <c r="A9754" s="3" t="str">
        <f>IFERROR(__xludf.DUMMYFUNCTION("""COMPUTED_VALUE"""),"resfinex-token")</f>
        <v>resfinex-token</v>
      </c>
      <c r="B9754" s="3" t="str">
        <f>IFERROR(__xludf.DUMMYFUNCTION("""COMPUTED_VALUE"""),"res")</f>
        <v>res</v>
      </c>
      <c r="C9754" s="3" t="str">
        <f>IFERROR(__xludf.DUMMYFUNCTION("""COMPUTED_VALUE"""),"Resfinex Token")</f>
        <v>Resfinex Token</v>
      </c>
    </row>
    <row r="9755">
      <c r="A9755" s="3" t="str">
        <f>IFERROR(__xludf.DUMMYFUNCTION("""COMPUTED_VALUE"""),"resource-protocol")</f>
        <v>resource-protocol</v>
      </c>
      <c r="B9755" s="3" t="str">
        <f>IFERROR(__xludf.DUMMYFUNCTION("""COMPUTED_VALUE"""),"source")</f>
        <v>source</v>
      </c>
      <c r="C9755" s="3" t="str">
        <f>IFERROR(__xludf.DUMMYFUNCTION("""COMPUTED_VALUE"""),"ReSource Protocol")</f>
        <v>ReSource Protocol</v>
      </c>
    </row>
    <row r="9756">
      <c r="A9756" s="3" t="str">
        <f>IFERROR(__xludf.DUMMYFUNCTION("""COMPUTED_VALUE"""),"restore-truth-token")</f>
        <v>restore-truth-token</v>
      </c>
      <c r="B9756" s="3" t="str">
        <f>IFERROR(__xludf.DUMMYFUNCTION("""COMPUTED_VALUE"""),"rtt")</f>
        <v>rtt</v>
      </c>
      <c r="C9756" s="3" t="str">
        <f>IFERROR(__xludf.DUMMYFUNCTION("""COMPUTED_VALUE"""),"Restore Truth")</f>
        <v>Restore Truth</v>
      </c>
    </row>
    <row r="9757">
      <c r="A9757" s="3" t="str">
        <f>IFERROR(__xludf.DUMMYFUNCTION("""COMPUTED_VALUE"""),"retawars-goldrose-token")</f>
        <v>retawars-goldrose-token</v>
      </c>
      <c r="B9757" s="3" t="str">
        <f>IFERROR(__xludf.DUMMYFUNCTION("""COMPUTED_VALUE"""),"grt")</f>
        <v>grt</v>
      </c>
      <c r="C9757" s="3" t="str">
        <f>IFERROR(__xludf.DUMMYFUNCTION("""COMPUTED_VALUE"""),"Retawars GoldRose Token")</f>
        <v>Retawars GoldRose Token</v>
      </c>
    </row>
    <row r="9758">
      <c r="A9758" s="3" t="str">
        <f>IFERROR(__xludf.DUMMYFUNCTION("""COMPUTED_VALUE"""),"retawatch")</f>
        <v>retawatch</v>
      </c>
      <c r="B9758" s="3" t="str">
        <f>IFERROR(__xludf.DUMMYFUNCTION("""COMPUTED_VALUE"""),"rtw")</f>
        <v>rtw</v>
      </c>
      <c r="C9758" s="3" t="str">
        <f>IFERROR(__xludf.DUMMYFUNCTION("""COMPUTED_VALUE"""),"RETAWATCH")</f>
        <v>RETAWATCH</v>
      </c>
    </row>
    <row r="9759">
      <c r="A9759" s="3" t="str">
        <f>IFERROR(__xludf.DUMMYFUNCTION("""COMPUTED_VALUE"""),"reth")</f>
        <v>reth</v>
      </c>
      <c r="B9759" s="3" t="str">
        <f>IFERROR(__xludf.DUMMYFUNCTION("""COMPUTED_VALUE"""),"reth")</f>
        <v>reth</v>
      </c>
      <c r="C9759" s="3" t="str">
        <f>IFERROR(__xludf.DUMMYFUNCTION("""COMPUTED_VALUE"""),"rETH")</f>
        <v>rETH</v>
      </c>
    </row>
    <row r="9760">
      <c r="A9760" s="3" t="str">
        <f>IFERROR(__xludf.DUMMYFUNCTION("""COMPUTED_VALUE"""),"reth2")</f>
        <v>reth2</v>
      </c>
      <c r="B9760" s="3" t="str">
        <f>IFERROR(__xludf.DUMMYFUNCTION("""COMPUTED_VALUE"""),"reth2")</f>
        <v>reth2</v>
      </c>
      <c r="C9760" s="3" t="str">
        <f>IFERROR(__xludf.DUMMYFUNCTION("""COMPUTED_VALUE"""),"rETH2")</f>
        <v>rETH2</v>
      </c>
    </row>
    <row r="9761">
      <c r="A9761" s="3" t="str">
        <f>IFERROR(__xludf.DUMMYFUNCTION("""COMPUTED_VALUE"""),"retire-token")</f>
        <v>retire-token</v>
      </c>
      <c r="B9761" s="3" t="str">
        <f>IFERROR(__xludf.DUMMYFUNCTION("""COMPUTED_VALUE"""),"retire")</f>
        <v>retire</v>
      </c>
      <c r="C9761" s="3" t="str">
        <f>IFERROR(__xludf.DUMMYFUNCTION("""COMPUTED_VALUE"""),"Retire")</f>
        <v>Retire</v>
      </c>
    </row>
    <row r="9762">
      <c r="A9762" s="3" t="str">
        <f>IFERROR(__xludf.DUMMYFUNCTION("""COMPUTED_VALUE"""),"retrocade")</f>
        <v>retrocade</v>
      </c>
      <c r="B9762" s="3" t="str">
        <f>IFERROR(__xludf.DUMMYFUNCTION("""COMPUTED_VALUE"""),"rc")</f>
        <v>rc</v>
      </c>
      <c r="C9762" s="3" t="str">
        <f>IFERROR(__xludf.DUMMYFUNCTION("""COMPUTED_VALUE"""),"RetroCade")</f>
        <v>RetroCade</v>
      </c>
    </row>
    <row r="9763">
      <c r="A9763" s="3" t="str">
        <f>IFERROR(__xludf.DUMMYFUNCTION("""COMPUTED_VALUE"""),"retromoon")</f>
        <v>retromoon</v>
      </c>
      <c r="B9763" s="3" t="str">
        <f>IFERROR(__xludf.DUMMYFUNCTION("""COMPUTED_VALUE"""),"retro")</f>
        <v>retro</v>
      </c>
      <c r="C9763" s="3" t="str">
        <f>IFERROR(__xludf.DUMMYFUNCTION("""COMPUTED_VALUE"""),"Retromoon")</f>
        <v>Retromoon</v>
      </c>
    </row>
    <row r="9764">
      <c r="A9764" s="3" t="str">
        <f>IFERROR(__xludf.DUMMYFUNCTION("""COMPUTED_VALUE"""),"reu-bsc")</f>
        <v>reu-bsc</v>
      </c>
      <c r="B9764" s="3" t="str">
        <f>IFERROR(__xludf.DUMMYFUNCTION("""COMPUTED_VALUE"""),"reu")</f>
        <v>reu</v>
      </c>
      <c r="C9764" s="3" t="str">
        <f>IFERROR(__xludf.DUMMYFUNCTION("""COMPUTED_VALUE"""),"REU (BSC)")</f>
        <v>REU (BSC)</v>
      </c>
    </row>
    <row r="9765">
      <c r="A9765" s="3" t="str">
        <f>IFERROR(__xludf.DUMMYFUNCTION("""COMPUTED_VALUE"""),"reucoin-2")</f>
        <v>reucoin-2</v>
      </c>
      <c r="B9765" s="3" t="str">
        <f>IFERROR(__xludf.DUMMYFUNCTION("""COMPUTED_VALUE"""),"reu")</f>
        <v>reu</v>
      </c>
      <c r="C9765" s="3" t="str">
        <f>IFERROR(__xludf.DUMMYFUNCTION("""COMPUTED_VALUE"""),"Reu")</f>
        <v>Reu</v>
      </c>
    </row>
    <row r="9766">
      <c r="A9766" s="3" t="str">
        <f>IFERROR(__xludf.DUMMYFUNCTION("""COMPUTED_VALUE"""),"rev3al")</f>
        <v>rev3al</v>
      </c>
      <c r="B9766" s="3" t="str">
        <f>IFERROR(__xludf.DUMMYFUNCTION("""COMPUTED_VALUE"""),"rev3l")</f>
        <v>rev3l</v>
      </c>
      <c r="C9766" s="3" t="str">
        <f>IFERROR(__xludf.DUMMYFUNCTION("""COMPUTED_VALUE"""),"REV3AL")</f>
        <v>REV3AL</v>
      </c>
    </row>
    <row r="9767">
      <c r="A9767" s="3" t="str">
        <f>IFERROR(__xludf.DUMMYFUNCTION("""COMPUTED_VALUE"""),"revain")</f>
        <v>revain</v>
      </c>
      <c r="B9767" s="3" t="str">
        <f>IFERROR(__xludf.DUMMYFUNCTION("""COMPUTED_VALUE"""),"rev")</f>
        <v>rev</v>
      </c>
      <c r="C9767" s="3" t="str">
        <f>IFERROR(__xludf.DUMMYFUNCTION("""COMPUTED_VALUE"""),"Revain")</f>
        <v>Revain</v>
      </c>
    </row>
    <row r="9768">
      <c r="A9768" s="3" t="str">
        <f>IFERROR(__xludf.DUMMYFUNCTION("""COMPUTED_VALUE"""),"revault-network")</f>
        <v>revault-network</v>
      </c>
      <c r="B9768" s="3" t="str">
        <f>IFERROR(__xludf.DUMMYFUNCTION("""COMPUTED_VALUE"""),"reva")</f>
        <v>reva</v>
      </c>
      <c r="C9768" s="3" t="str">
        <f>IFERROR(__xludf.DUMMYFUNCTION("""COMPUTED_VALUE"""),"Revault Network")</f>
        <v>Revault Network</v>
      </c>
    </row>
    <row r="9769">
      <c r="A9769" s="3" t="str">
        <f>IFERROR(__xludf.DUMMYFUNCTION("""COMPUTED_VALUE"""),"revenant")</f>
        <v>revenant</v>
      </c>
      <c r="B9769" s="3" t="str">
        <f>IFERROR(__xludf.DUMMYFUNCTION("""COMPUTED_VALUE"""),"gamefi")</f>
        <v>gamefi</v>
      </c>
      <c r="C9769" s="3" t="str">
        <f>IFERROR(__xludf.DUMMYFUNCTION("""COMPUTED_VALUE"""),"Revenant")</f>
        <v>Revenant</v>
      </c>
    </row>
    <row r="9770">
      <c r="A9770" s="3" t="str">
        <f>IFERROR(__xludf.DUMMYFUNCTION("""COMPUTED_VALUE"""),"revenue-coin")</f>
        <v>revenue-coin</v>
      </c>
      <c r="B9770" s="3" t="str">
        <f>IFERROR(__xludf.DUMMYFUNCTION("""COMPUTED_VALUE"""),"rvc")</f>
        <v>rvc</v>
      </c>
      <c r="C9770" s="3" t="str">
        <f>IFERROR(__xludf.DUMMYFUNCTION("""COMPUTED_VALUE"""),"Revenue Coin")</f>
        <v>Revenue Coin</v>
      </c>
    </row>
    <row r="9771">
      <c r="A9771" s="3" t="str">
        <f>IFERROR(__xludf.DUMMYFUNCTION("""COMPUTED_VALUE"""),"reverse")</f>
        <v>reverse</v>
      </c>
      <c r="B9771" s="3" t="str">
        <f>IFERROR(__xludf.DUMMYFUNCTION("""COMPUTED_VALUE"""),"rvrs")</f>
        <v>rvrs</v>
      </c>
      <c r="C9771" s="3" t="str">
        <f>IFERROR(__xludf.DUMMYFUNCTION("""COMPUTED_VALUE"""),"Reverse")</f>
        <v>Reverse</v>
      </c>
    </row>
    <row r="9772">
      <c r="A9772" s="3" t="str">
        <f>IFERROR(__xludf.DUMMYFUNCTION("""COMPUTED_VALUE"""),"revest-finance")</f>
        <v>revest-finance</v>
      </c>
      <c r="B9772" s="3" t="str">
        <f>IFERROR(__xludf.DUMMYFUNCTION("""COMPUTED_VALUE"""),"rvst")</f>
        <v>rvst</v>
      </c>
      <c r="C9772" s="3" t="str">
        <f>IFERROR(__xludf.DUMMYFUNCTION("""COMPUTED_VALUE"""),"Revest Finance")</f>
        <v>Revest Finance</v>
      </c>
    </row>
    <row r="9773">
      <c r="A9773" s="3" t="str">
        <f>IFERROR(__xludf.DUMMYFUNCTION("""COMPUTED_VALUE"""),"review-capital")</f>
        <v>review-capital</v>
      </c>
      <c r="B9773" s="3" t="str">
        <f>IFERROR(__xludf.DUMMYFUNCTION("""COMPUTED_VALUE"""),"recap")</f>
        <v>recap</v>
      </c>
      <c r="C9773" s="3" t="str">
        <f>IFERROR(__xludf.DUMMYFUNCTION("""COMPUTED_VALUE"""),"Review Capital")</f>
        <v>Review Capital</v>
      </c>
    </row>
    <row r="9774">
      <c r="A9774" s="3" t="str">
        <f>IFERROR(__xludf.DUMMYFUNCTION("""COMPUTED_VALUE"""),"revival")</f>
        <v>revival</v>
      </c>
      <c r="B9774" s="3" t="str">
        <f>IFERROR(__xludf.DUMMYFUNCTION("""COMPUTED_VALUE"""),"rvl")</f>
        <v>rvl</v>
      </c>
      <c r="C9774" s="3" t="str">
        <f>IFERROR(__xludf.DUMMYFUNCTION("""COMPUTED_VALUE"""),"REVIVAL")</f>
        <v>REVIVAL</v>
      </c>
    </row>
    <row r="9775">
      <c r="A9775" s="3" t="str">
        <f>IFERROR(__xludf.DUMMYFUNCTION("""COMPUTED_VALUE"""),"revivalx")</f>
        <v>revivalx</v>
      </c>
      <c r="B9775" s="3" t="str">
        <f>IFERROR(__xludf.DUMMYFUNCTION("""COMPUTED_VALUE"""),"rvlx")</f>
        <v>rvlx</v>
      </c>
      <c r="C9775" s="3" t="str">
        <f>IFERROR(__xludf.DUMMYFUNCTION("""COMPUTED_VALUE"""),"RevivalX")</f>
        <v>RevivalX</v>
      </c>
    </row>
    <row r="9776">
      <c r="A9776" s="3" t="str">
        <f>IFERROR(__xludf.DUMMYFUNCTION("""COMPUTED_VALUE"""),"revive")</f>
        <v>revive</v>
      </c>
      <c r="B9776" s="3" t="str">
        <f>IFERROR(__xludf.DUMMYFUNCTION("""COMPUTED_VALUE"""),"rve")</f>
        <v>rve</v>
      </c>
      <c r="C9776" s="3" t="str">
        <f>IFERROR(__xludf.DUMMYFUNCTION("""COMPUTED_VALUE"""),"Revive")</f>
        <v>Revive</v>
      </c>
    </row>
    <row r="9777">
      <c r="A9777" s="3" t="str">
        <f>IFERROR(__xludf.DUMMYFUNCTION("""COMPUTED_VALUE"""),"revoland")</f>
        <v>revoland</v>
      </c>
      <c r="B9777" s="3" t="str">
        <f>IFERROR(__xludf.DUMMYFUNCTION("""COMPUTED_VALUE"""),"revo")</f>
        <v>revo</v>
      </c>
      <c r="C9777" s="3" t="str">
        <f>IFERROR(__xludf.DUMMYFUNCTION("""COMPUTED_VALUE"""),"Revoland")</f>
        <v>Revoland</v>
      </c>
    </row>
    <row r="9778">
      <c r="A9778" s="3" t="str">
        <f>IFERROR(__xludf.DUMMYFUNCTION("""COMPUTED_VALUE"""),"revolotto")</f>
        <v>revolotto</v>
      </c>
      <c r="B9778" s="3" t="str">
        <f>IFERROR(__xludf.DUMMYFUNCTION("""COMPUTED_VALUE"""),"rvl")</f>
        <v>rvl</v>
      </c>
      <c r="C9778" s="3" t="str">
        <f>IFERROR(__xludf.DUMMYFUNCTION("""COMPUTED_VALUE"""),"Revolotto")</f>
        <v>Revolotto</v>
      </c>
    </row>
    <row r="9779">
      <c r="A9779" s="3" t="str">
        <f>IFERROR(__xludf.DUMMYFUNCTION("""COMPUTED_VALUE"""),"revolt")</f>
        <v>revolt</v>
      </c>
      <c r="B9779" s="3" t="str">
        <f>IFERROR(__xludf.DUMMYFUNCTION("""COMPUTED_VALUE"""),"revt")</f>
        <v>revt</v>
      </c>
      <c r="C9779" s="3" t="str">
        <f>IFERROR(__xludf.DUMMYFUNCTION("""COMPUTED_VALUE"""),"Revolt")</f>
        <v>Revolt</v>
      </c>
    </row>
    <row r="9780">
      <c r="A9780" s="3" t="str">
        <f>IFERROR(__xludf.DUMMYFUNCTION("""COMPUTED_VALUE"""),"revolt-2-earn")</f>
        <v>revolt-2-earn</v>
      </c>
      <c r="B9780" s="3" t="str">
        <f>IFERROR(__xludf.DUMMYFUNCTION("""COMPUTED_VALUE"""),"rvlt")</f>
        <v>rvlt</v>
      </c>
      <c r="C9780" s="3" t="str">
        <f>IFERROR(__xludf.DUMMYFUNCTION("""COMPUTED_VALUE"""),"Revolt 2 Earn")</f>
        <v>Revolt 2 Earn</v>
      </c>
    </row>
    <row r="9781">
      <c r="A9781" s="3" t="str">
        <f>IFERROR(__xludf.DUMMYFUNCTION("""COMPUTED_VALUE"""),"revolution")</f>
        <v>revolution</v>
      </c>
      <c r="B9781" s="3" t="str">
        <f>IFERROR(__xludf.DUMMYFUNCTION("""COMPUTED_VALUE"""),"rev")</f>
        <v>rev</v>
      </c>
      <c r="C9781" s="3" t="str">
        <f>IFERROR(__xludf.DUMMYFUNCTION("""COMPUTED_VALUE"""),"Revolution")</f>
        <v>Revolution</v>
      </c>
    </row>
    <row r="9782">
      <c r="A9782" s="3" t="str">
        <f>IFERROR(__xludf.DUMMYFUNCTION("""COMPUTED_VALUE"""),"revolutiongames")</f>
        <v>revolutiongames</v>
      </c>
      <c r="B9782" s="3" t="str">
        <f>IFERROR(__xludf.DUMMYFUNCTION("""COMPUTED_VALUE"""),"rvlng")</f>
        <v>rvlng</v>
      </c>
      <c r="C9782" s="3" t="str">
        <f>IFERROR(__xludf.DUMMYFUNCTION("""COMPUTED_VALUE"""),"RevolutionGames")</f>
        <v>RevolutionGames</v>
      </c>
    </row>
    <row r="9783">
      <c r="A9783" s="3" t="str">
        <f>IFERROR(__xludf.DUMMYFUNCTION("""COMPUTED_VALUE"""),"revolution-populi")</f>
        <v>revolution-populi</v>
      </c>
      <c r="B9783" s="3" t="str">
        <f>IFERROR(__xludf.DUMMYFUNCTION("""COMPUTED_VALUE"""),"rvp")</f>
        <v>rvp</v>
      </c>
      <c r="C9783" s="3" t="str">
        <f>IFERROR(__xludf.DUMMYFUNCTION("""COMPUTED_VALUE"""),"Revolution Populi")</f>
        <v>Revolution Populi</v>
      </c>
    </row>
    <row r="9784">
      <c r="A9784" s="3" t="str">
        <f>IFERROR(__xludf.DUMMYFUNCTION("""COMPUTED_VALUE"""),"revoluzion")</f>
        <v>revoluzion</v>
      </c>
      <c r="B9784" s="3" t="str">
        <f>IFERROR(__xludf.DUMMYFUNCTION("""COMPUTED_VALUE"""),"rvz")</f>
        <v>rvz</v>
      </c>
      <c r="C9784" s="3" t="str">
        <f>IFERROR(__xludf.DUMMYFUNCTION("""COMPUTED_VALUE"""),"Revoluzion")</f>
        <v>Revoluzion</v>
      </c>
    </row>
    <row r="9785">
      <c r="A9785" s="3" t="str">
        <f>IFERROR(__xludf.DUMMYFUNCTION("""COMPUTED_VALUE"""),"revolve-games")</f>
        <v>revolve-games</v>
      </c>
      <c r="B9785" s="3" t="str">
        <f>IFERROR(__xludf.DUMMYFUNCTION("""COMPUTED_VALUE"""),"rpg")</f>
        <v>rpg</v>
      </c>
      <c r="C9785" s="3" t="str">
        <f>IFERROR(__xludf.DUMMYFUNCTION("""COMPUTED_VALUE"""),"Revolve Games")</f>
        <v>Revolve Games</v>
      </c>
    </row>
    <row r="9786">
      <c r="A9786" s="3" t="str">
        <f>IFERROR(__xludf.DUMMYFUNCTION("""COMPUTED_VALUE"""),"revomon")</f>
        <v>revomon</v>
      </c>
      <c r="B9786" s="3" t="str">
        <f>IFERROR(__xludf.DUMMYFUNCTION("""COMPUTED_VALUE"""),"revo")</f>
        <v>revo</v>
      </c>
      <c r="C9786" s="3" t="str">
        <f>IFERROR(__xludf.DUMMYFUNCTION("""COMPUTED_VALUE"""),"Revomon")</f>
        <v>Revomon</v>
      </c>
    </row>
    <row r="9787">
      <c r="A9787" s="3" t="str">
        <f>IFERROR(__xludf.DUMMYFUNCTION("""COMPUTED_VALUE"""),"revuto")</f>
        <v>revuto</v>
      </c>
      <c r="B9787" s="3" t="str">
        <f>IFERROR(__xludf.DUMMYFUNCTION("""COMPUTED_VALUE"""),"revu")</f>
        <v>revu</v>
      </c>
      <c r="C9787" s="3" t="str">
        <f>IFERROR(__xludf.DUMMYFUNCTION("""COMPUTED_VALUE"""),"Revuto")</f>
        <v>Revuto</v>
      </c>
    </row>
    <row r="9788">
      <c r="A9788" s="3" t="str">
        <f>IFERROR(__xludf.DUMMYFUNCTION("""COMPUTED_VALUE"""),"revv")</f>
        <v>revv</v>
      </c>
      <c r="B9788" s="3" t="str">
        <f>IFERROR(__xludf.DUMMYFUNCTION("""COMPUTED_VALUE"""),"revv")</f>
        <v>revv</v>
      </c>
      <c r="C9788" s="3" t="str">
        <f>IFERROR(__xludf.DUMMYFUNCTION("""COMPUTED_VALUE"""),"REVV")</f>
        <v>REVV</v>
      </c>
    </row>
    <row r="9789">
      <c r="A9789" s="3" t="str">
        <f>IFERROR(__xludf.DUMMYFUNCTION("""COMPUTED_VALUE"""),"reward-cycle")</f>
        <v>reward-cycle</v>
      </c>
      <c r="B9789" s="3" t="str">
        <f>IFERROR(__xludf.DUMMYFUNCTION("""COMPUTED_VALUE"""),"rc")</f>
        <v>rc</v>
      </c>
      <c r="C9789" s="3" t="str">
        <f>IFERROR(__xludf.DUMMYFUNCTION("""COMPUTED_VALUE"""),"Reward Cycle")</f>
        <v>Reward Cycle</v>
      </c>
    </row>
    <row r="9790">
      <c r="A9790" s="3" t="str">
        <f>IFERROR(__xludf.DUMMYFUNCTION("""COMPUTED_VALUE"""),"reward-cycle-2")</f>
        <v>reward-cycle-2</v>
      </c>
      <c r="B9790" s="3" t="str">
        <f>IFERROR(__xludf.DUMMYFUNCTION("""COMPUTED_VALUE"""),"rc2")</f>
        <v>rc2</v>
      </c>
      <c r="C9790" s="3" t="str">
        <f>IFERROR(__xludf.DUMMYFUNCTION("""COMPUTED_VALUE"""),"Reward Cycle 2")</f>
        <v>Reward Cycle 2</v>
      </c>
    </row>
    <row r="9791">
      <c r="A9791" s="3" t="str">
        <f>IFERROR(__xludf.DUMMYFUNCTION("""COMPUTED_VALUE"""),"rewardeum")</f>
        <v>rewardeum</v>
      </c>
      <c r="B9791" s="3" t="str">
        <f>IFERROR(__xludf.DUMMYFUNCTION("""COMPUTED_VALUE"""),"reum")</f>
        <v>reum</v>
      </c>
      <c r="C9791" s="3" t="str">
        <f>IFERROR(__xludf.DUMMYFUNCTION("""COMPUTED_VALUE"""),"Rewardeum")</f>
        <v>Rewardeum</v>
      </c>
    </row>
    <row r="9792">
      <c r="A9792" s="3" t="str">
        <f>IFERROR(__xludf.DUMMYFUNCTION("""COMPUTED_VALUE"""),"reward-hunters-token")</f>
        <v>reward-hunters-token</v>
      </c>
      <c r="B9792" s="3" t="str">
        <f>IFERROR(__xludf.DUMMYFUNCTION("""COMPUTED_VALUE"""),"rht")</f>
        <v>rht</v>
      </c>
      <c r="C9792" s="3" t="str">
        <f>IFERROR(__xludf.DUMMYFUNCTION("""COMPUTED_VALUE"""),"Reward Hunters")</f>
        <v>Reward Hunters</v>
      </c>
    </row>
    <row r="9793">
      <c r="A9793" s="3" t="str">
        <f>IFERROR(__xludf.DUMMYFUNCTION("""COMPUTED_VALUE"""),"rewardiqa")</f>
        <v>rewardiqa</v>
      </c>
      <c r="B9793" s="3" t="str">
        <f>IFERROR(__xludf.DUMMYFUNCTION("""COMPUTED_VALUE"""),"rew")</f>
        <v>rew</v>
      </c>
      <c r="C9793" s="3" t="str">
        <f>IFERROR(__xludf.DUMMYFUNCTION("""COMPUTED_VALUE"""),"Rewardiqa")</f>
        <v>Rewardiqa</v>
      </c>
    </row>
    <row r="9794">
      <c r="A9794" s="3" t="str">
        <f>IFERROR(__xludf.DUMMYFUNCTION("""COMPUTED_VALUE"""),"rewardscoin")</f>
        <v>rewardscoin</v>
      </c>
      <c r="B9794" s="3" t="str">
        <f>IFERROR(__xludf.DUMMYFUNCTION("""COMPUTED_VALUE"""),"rwsc")</f>
        <v>rwsc</v>
      </c>
      <c r="C9794" s="3" t="str">
        <f>IFERROR(__xludf.DUMMYFUNCTION("""COMPUTED_VALUE"""),"RewardsCoin")</f>
        <v>RewardsCoin</v>
      </c>
    </row>
    <row r="9795">
      <c r="A9795" s="3" t="str">
        <f>IFERROR(__xludf.DUMMYFUNCTION("""COMPUTED_VALUE"""),"rewards-token")</f>
        <v>rewards-token</v>
      </c>
      <c r="B9795" s="3" t="str">
        <f>IFERROR(__xludf.DUMMYFUNCTION("""COMPUTED_VALUE"""),"rewards")</f>
        <v>rewards</v>
      </c>
      <c r="C9795" s="3" t="str">
        <f>IFERROR(__xludf.DUMMYFUNCTION("""COMPUTED_VALUE"""),"Rewards Token")</f>
        <v>Rewards Token</v>
      </c>
    </row>
    <row r="9796">
      <c r="A9796" s="3" t="str">
        <f>IFERROR(__xludf.DUMMYFUNCTION("""COMPUTED_VALUE"""),"re-water")</f>
        <v>re-water</v>
      </c>
      <c r="B9796" s="3" t="str">
        <f>IFERROR(__xludf.DUMMYFUNCTION("""COMPUTED_VALUE"""),"wtr")</f>
        <v>wtr</v>
      </c>
      <c r="C9796" s="3" t="str">
        <f>IFERROR(__xludf.DUMMYFUNCTION("""COMPUTED_VALUE"""),"re:water")</f>
        <v>re:water</v>
      </c>
    </row>
    <row r="9797">
      <c r="A9797" s="3" t="str">
        <f>IFERROR(__xludf.DUMMYFUNCTION("""COMPUTED_VALUE"""),"rex-token")</f>
        <v>rex-token</v>
      </c>
      <c r="B9797" s="3" t="str">
        <f>IFERROR(__xludf.DUMMYFUNCTION("""COMPUTED_VALUE"""),"xrx")</f>
        <v>xrx</v>
      </c>
      <c r="C9797" s="3" t="str">
        <f>IFERROR(__xludf.DUMMYFUNCTION("""COMPUTED_VALUE"""),"Rex")</f>
        <v>Rex</v>
      </c>
    </row>
    <row r="9798">
      <c r="A9798" s="3" t="str">
        <f>IFERROR(__xludf.DUMMYFUNCTION("""COMPUTED_VALUE"""),"rfust")</f>
        <v>rfust</v>
      </c>
      <c r="B9798" s="3" t="str">
        <f>IFERROR(__xludf.DUMMYFUNCTION("""COMPUTED_VALUE"""),"rfust")</f>
        <v>rfust</v>
      </c>
      <c r="C9798" s="3" t="str">
        <f>IFERROR(__xludf.DUMMYFUNCTION("""COMPUTED_VALUE"""),"rfUST")</f>
        <v>rfUST</v>
      </c>
    </row>
    <row r="9799">
      <c r="A9799" s="3" t="str">
        <f>IFERROR(__xludf.DUMMYFUNCTION("""COMPUTED_VALUE"""),"rhegic2")</f>
        <v>rhegic2</v>
      </c>
      <c r="B9799" s="3" t="str">
        <f>IFERROR(__xludf.DUMMYFUNCTION("""COMPUTED_VALUE"""),"rhegic2")</f>
        <v>rhegic2</v>
      </c>
      <c r="C9799" s="3" t="str">
        <f>IFERROR(__xludf.DUMMYFUNCTION("""COMPUTED_VALUE"""),"rHEGIC2")</f>
        <v>rHEGIC2</v>
      </c>
    </row>
    <row r="9800">
      <c r="A9800" s="3" t="str">
        <f>IFERROR(__xludf.DUMMYFUNCTION("""COMPUTED_VALUE"""),"rhinofi")</f>
        <v>rhinofi</v>
      </c>
      <c r="B9800" s="3" t="str">
        <f>IFERROR(__xludf.DUMMYFUNCTION("""COMPUTED_VALUE"""),"dvf")</f>
        <v>dvf</v>
      </c>
      <c r="C9800" s="4" t="str">
        <f>IFERROR(__xludf.DUMMYFUNCTION("""COMPUTED_VALUE"""),"Rhino.fi")</f>
        <v>Rhino.fi</v>
      </c>
    </row>
    <row r="9801">
      <c r="A9801" s="3" t="str">
        <f>IFERROR(__xludf.DUMMYFUNCTION("""COMPUTED_VALUE"""),"rhinos-finance")</f>
        <v>rhinos-finance</v>
      </c>
      <c r="B9801" s="3" t="str">
        <f>IFERROR(__xludf.DUMMYFUNCTION("""COMPUTED_VALUE"""),"rho")</f>
        <v>rho</v>
      </c>
      <c r="C9801" s="3" t="str">
        <f>IFERROR(__xludf.DUMMYFUNCTION("""COMPUTED_VALUE"""),"Rhinos Finance")</f>
        <v>Rhinos Finance</v>
      </c>
    </row>
    <row r="9802">
      <c r="A9802" s="3" t="str">
        <f>IFERROR(__xludf.DUMMYFUNCTION("""COMPUTED_VALUE"""),"rho-token")</f>
        <v>rho-token</v>
      </c>
      <c r="B9802" s="3" t="str">
        <f>IFERROR(__xludf.DUMMYFUNCTION("""COMPUTED_VALUE"""),"rho")</f>
        <v>rho</v>
      </c>
      <c r="C9802" s="3" t="str">
        <f>IFERROR(__xludf.DUMMYFUNCTION("""COMPUTED_VALUE"""),"Rho")</f>
        <v>Rho</v>
      </c>
    </row>
    <row r="9803">
      <c r="A9803" s="3" t="str">
        <f>IFERROR(__xludf.DUMMYFUNCTION("""COMPUTED_VALUE"""),"rhythm")</f>
        <v>rhythm</v>
      </c>
      <c r="B9803" s="3" t="str">
        <f>IFERROR(__xludf.DUMMYFUNCTION("""COMPUTED_VALUE"""),"rhythm")</f>
        <v>rhythm</v>
      </c>
      <c r="C9803" s="3" t="str">
        <f>IFERROR(__xludf.DUMMYFUNCTION("""COMPUTED_VALUE"""),"Rhythm")</f>
        <v>Rhythm</v>
      </c>
    </row>
    <row r="9804">
      <c r="A9804" s="3" t="str">
        <f>IFERROR(__xludf.DUMMYFUNCTION("""COMPUTED_VALUE"""),"ribbit")</f>
        <v>ribbit</v>
      </c>
      <c r="B9804" s="3" t="str">
        <f>IFERROR(__xludf.DUMMYFUNCTION("""COMPUTED_VALUE"""),"ribt")</f>
        <v>ribt</v>
      </c>
      <c r="C9804" s="3" t="str">
        <f>IFERROR(__xludf.DUMMYFUNCTION("""COMPUTED_VALUE"""),"Ribbit")</f>
        <v>Ribbit</v>
      </c>
    </row>
    <row r="9805">
      <c r="A9805" s="3" t="str">
        <f>IFERROR(__xludf.DUMMYFUNCTION("""COMPUTED_VALUE"""),"ribbon-finance")</f>
        <v>ribbon-finance</v>
      </c>
      <c r="B9805" s="3" t="str">
        <f>IFERROR(__xludf.DUMMYFUNCTION("""COMPUTED_VALUE"""),"rbn")</f>
        <v>rbn</v>
      </c>
      <c r="C9805" s="3" t="str">
        <f>IFERROR(__xludf.DUMMYFUNCTION("""COMPUTED_VALUE"""),"Ribbon Finance")</f>
        <v>Ribbon Finance</v>
      </c>
    </row>
    <row r="9806">
      <c r="A9806" s="3" t="str">
        <f>IFERROR(__xludf.DUMMYFUNCTION("""COMPUTED_VALUE"""),"rice")</f>
        <v>rice</v>
      </c>
      <c r="B9806" s="3" t="str">
        <f>IFERROR(__xludf.DUMMYFUNCTION("""COMPUTED_VALUE"""),"rice")</f>
        <v>rice</v>
      </c>
      <c r="C9806" s="3" t="str">
        <f>IFERROR(__xludf.DUMMYFUNCTION("""COMPUTED_VALUE"""),"Rice")</f>
        <v>Rice</v>
      </c>
    </row>
    <row r="9807">
      <c r="A9807" s="3" t="str">
        <f>IFERROR(__xludf.DUMMYFUNCTION("""COMPUTED_VALUE"""),"riceswap")</f>
        <v>riceswap</v>
      </c>
      <c r="B9807" s="3" t="str">
        <f>IFERROR(__xludf.DUMMYFUNCTION("""COMPUTED_VALUE"""),"rice")</f>
        <v>rice</v>
      </c>
      <c r="C9807" s="3" t="str">
        <f>IFERROR(__xludf.DUMMYFUNCTION("""COMPUTED_VALUE"""),"RiceSwap")</f>
        <v>RiceSwap</v>
      </c>
    </row>
    <row r="9808">
      <c r="A9808" s="3" t="str">
        <f>IFERROR(__xludf.DUMMYFUNCTION("""COMPUTED_VALUE"""),"rice-wallet")</f>
        <v>rice-wallet</v>
      </c>
      <c r="B9808" s="3" t="str">
        <f>IFERROR(__xludf.DUMMYFUNCTION("""COMPUTED_VALUE"""),"rice")</f>
        <v>rice</v>
      </c>
      <c r="C9808" s="3" t="str">
        <f>IFERROR(__xludf.DUMMYFUNCTION("""COMPUTED_VALUE"""),"Rice Wallet")</f>
        <v>Rice Wallet</v>
      </c>
    </row>
    <row r="9809">
      <c r="A9809" s="3" t="str">
        <f>IFERROR(__xludf.DUMMYFUNCTION("""COMPUTED_VALUE"""),"rich")</f>
        <v>rich</v>
      </c>
      <c r="B9809" s="3" t="str">
        <f>IFERROR(__xludf.DUMMYFUNCTION("""COMPUTED_VALUE"""),"rch")</f>
        <v>rch</v>
      </c>
      <c r="C9809" s="3" t="str">
        <f>IFERROR(__xludf.DUMMYFUNCTION("""COMPUTED_VALUE"""),"Rich")</f>
        <v>Rich</v>
      </c>
    </row>
    <row r="9810">
      <c r="A9810" s="3" t="str">
        <f>IFERROR(__xludf.DUMMYFUNCTION("""COMPUTED_VALUE"""),"richcity")</f>
        <v>richcity</v>
      </c>
      <c r="B9810" s="3" t="str">
        <f>IFERROR(__xludf.DUMMYFUNCTION("""COMPUTED_VALUE"""),"rich")</f>
        <v>rich</v>
      </c>
      <c r="C9810" s="3" t="str">
        <f>IFERROR(__xludf.DUMMYFUNCTION("""COMPUTED_VALUE"""),"RichCity")</f>
        <v>RichCity</v>
      </c>
    </row>
    <row r="9811">
      <c r="A9811" s="3" t="str">
        <f>IFERROR(__xludf.DUMMYFUNCTION("""COMPUTED_VALUE"""),"richcity-cash")</f>
        <v>richcity-cash</v>
      </c>
      <c r="B9811" s="3" t="str">
        <f>IFERROR(__xludf.DUMMYFUNCTION("""COMPUTED_VALUE"""),"cash")</f>
        <v>cash</v>
      </c>
      <c r="C9811" s="3" t="str">
        <f>IFERROR(__xludf.DUMMYFUNCTION("""COMPUTED_VALUE"""),"Gangster Legends Cash")</f>
        <v>Gangster Legends Cash</v>
      </c>
    </row>
    <row r="9812">
      <c r="A9812" s="3" t="str">
        <f>IFERROR(__xludf.DUMMYFUNCTION("""COMPUTED_VALUE"""),"rich-dao")</f>
        <v>rich-dao</v>
      </c>
      <c r="B9812" s="3" t="str">
        <f>IFERROR(__xludf.DUMMYFUNCTION("""COMPUTED_VALUE"""),"rich")</f>
        <v>rich</v>
      </c>
      <c r="C9812" s="3" t="str">
        <f>IFERROR(__xludf.DUMMYFUNCTION("""COMPUTED_VALUE"""),"Rich DAO")</f>
        <v>Rich DAO</v>
      </c>
    </row>
    <row r="9813">
      <c r="A9813" s="3" t="str">
        <f>IFERROR(__xludf.DUMMYFUNCTION("""COMPUTED_VALUE"""),"richie")</f>
        <v>richie</v>
      </c>
      <c r="B9813" s="3" t="str">
        <f>IFERROR(__xludf.DUMMYFUNCTION("""COMPUTED_VALUE"""),"rich")</f>
        <v>rich</v>
      </c>
      <c r="C9813" s="3" t="str">
        <f>IFERROR(__xludf.DUMMYFUNCTION("""COMPUTED_VALUE"""),"Richie 2.0")</f>
        <v>Richie 2.0</v>
      </c>
    </row>
    <row r="9814">
      <c r="A9814" s="3" t="str">
        <f>IFERROR(__xludf.DUMMYFUNCTION("""COMPUTED_VALUE"""),"richierich-coin")</f>
        <v>richierich-coin</v>
      </c>
      <c r="B9814" s="3" t="str">
        <f>IFERROR(__xludf.DUMMYFUNCTION("""COMPUTED_VALUE"""),"rich")</f>
        <v>rich</v>
      </c>
      <c r="C9814" s="3" t="str">
        <f>IFERROR(__xludf.DUMMYFUNCTION("""COMPUTED_VALUE"""),"RichieRich Coin")</f>
        <v>RichieRich Coin</v>
      </c>
    </row>
    <row r="9815">
      <c r="A9815" s="3" t="str">
        <f>IFERROR(__xludf.DUMMYFUNCTION("""COMPUTED_VALUE"""),"richochet")</f>
        <v>richochet</v>
      </c>
      <c r="B9815" s="3" t="str">
        <f>IFERROR(__xludf.DUMMYFUNCTION("""COMPUTED_VALUE"""),"ric")</f>
        <v>ric</v>
      </c>
      <c r="C9815" s="3" t="str">
        <f>IFERROR(__xludf.DUMMYFUNCTION("""COMPUTED_VALUE"""),"Ricochet")</f>
        <v>Ricochet</v>
      </c>
    </row>
    <row r="9816">
      <c r="A9816" s="3" t="str">
        <f>IFERROR(__xludf.DUMMYFUNCTION("""COMPUTED_VALUE"""),"richquack")</f>
        <v>richquack</v>
      </c>
      <c r="B9816" s="3" t="str">
        <f>IFERROR(__xludf.DUMMYFUNCTION("""COMPUTED_VALUE"""),"quack")</f>
        <v>quack</v>
      </c>
      <c r="C9816" s="3" t="str">
        <f>IFERROR(__xludf.DUMMYFUNCTION("""COMPUTED_VALUE"""),"Rich Quack")</f>
        <v>Rich Quack</v>
      </c>
    </row>
    <row r="9817">
      <c r="A9817" s="3" t="str">
        <f>IFERROR(__xludf.DUMMYFUNCTION("""COMPUTED_VALUE"""),"rich-santa")</f>
        <v>rich-santa</v>
      </c>
      <c r="B9817" s="3" t="str">
        <f>IFERROR(__xludf.DUMMYFUNCTION("""COMPUTED_VALUE"""),"santa")</f>
        <v>santa</v>
      </c>
      <c r="C9817" s="3" t="str">
        <f>IFERROR(__xludf.DUMMYFUNCTION("""COMPUTED_VALUE"""),"Rich Santa")</f>
        <v>Rich Santa</v>
      </c>
    </row>
    <row r="9818">
      <c r="A9818" s="3" t="str">
        <f>IFERROR(__xludf.DUMMYFUNCTION("""COMPUTED_VALUE"""),"richverse")</f>
        <v>richverse</v>
      </c>
      <c r="B9818" s="3" t="str">
        <f>IFERROR(__xludf.DUMMYFUNCTION("""COMPUTED_VALUE"""),"riv")</f>
        <v>riv</v>
      </c>
      <c r="C9818" s="3" t="str">
        <f>IFERROR(__xludf.DUMMYFUNCTION("""COMPUTED_VALUE"""),"Richverse")</f>
        <v>Richverse</v>
      </c>
    </row>
    <row r="9819">
      <c r="A9819" s="3" t="str">
        <f>IFERROR(__xludf.DUMMYFUNCTION("""COMPUTED_VALUE"""),"richway-finance")</f>
        <v>richway-finance</v>
      </c>
      <c r="B9819" s="3" t="str">
        <f>IFERROR(__xludf.DUMMYFUNCTION("""COMPUTED_VALUE"""),"rich")</f>
        <v>rich</v>
      </c>
      <c r="C9819" s="3" t="str">
        <f>IFERROR(__xludf.DUMMYFUNCTION("""COMPUTED_VALUE"""),"Richway.Finance")</f>
        <v>Richway.Finance</v>
      </c>
    </row>
    <row r="9820">
      <c r="A9820" s="3" t="str">
        <f>IFERROR(__xludf.DUMMYFUNCTION("""COMPUTED_VALUE"""),"rickmortydoxx")</f>
        <v>rickmortydoxx</v>
      </c>
      <c r="B9820" s="3" t="str">
        <f>IFERROR(__xludf.DUMMYFUNCTION("""COMPUTED_VALUE"""),"rickmortydoxx")</f>
        <v>rickmortydoxx</v>
      </c>
      <c r="C9820" s="3" t="str">
        <f>IFERROR(__xludf.DUMMYFUNCTION("""COMPUTED_VALUE"""),"RickMortyDoxx")</f>
        <v>RickMortyDoxx</v>
      </c>
    </row>
    <row r="9821">
      <c r="A9821" s="3" t="str">
        <f>IFERROR(__xludf.DUMMYFUNCTION("""COMPUTED_VALUE"""),"ricnatum")</f>
        <v>ricnatum</v>
      </c>
      <c r="B9821" s="3" t="str">
        <f>IFERROR(__xludf.DUMMYFUNCTION("""COMPUTED_VALUE"""),"rcnt")</f>
        <v>rcnt</v>
      </c>
      <c r="C9821" s="3" t="str">
        <f>IFERROR(__xludf.DUMMYFUNCTION("""COMPUTED_VALUE"""),"Ricnatum")</f>
        <v>Ricnatum</v>
      </c>
    </row>
    <row r="9822">
      <c r="A9822" s="3" t="str">
        <f>IFERROR(__xludf.DUMMYFUNCTION("""COMPUTED_VALUE"""),"ride2earn")</f>
        <v>ride2earn</v>
      </c>
      <c r="B9822" s="3" t="str">
        <f>IFERROR(__xludf.DUMMYFUNCTION("""COMPUTED_VALUE"""),"rdn")</f>
        <v>rdn</v>
      </c>
      <c r="C9822" s="3" t="str">
        <f>IFERROR(__xludf.DUMMYFUNCTION("""COMPUTED_VALUE"""),"Ride2Earn")</f>
        <v>Ride2Earn</v>
      </c>
    </row>
    <row r="9823">
      <c r="A9823" s="3" t="str">
        <f>IFERROR(__xludf.DUMMYFUNCTION("""COMPUTED_VALUE"""),"ride_finance")</f>
        <v>ride_finance</v>
      </c>
      <c r="B9823" s="3" t="str">
        <f>IFERROR(__xludf.DUMMYFUNCTION("""COMPUTED_VALUE"""),"rides")</f>
        <v>rides</v>
      </c>
      <c r="C9823" s="3" t="str">
        <f>IFERROR(__xludf.DUMMYFUNCTION("""COMPUTED_VALUE"""),"Rides Finance")</f>
        <v>Rides Finance</v>
      </c>
    </row>
    <row r="9824">
      <c r="A9824" s="3" t="str">
        <f>IFERROR(__xludf.DUMMYFUNCTION("""COMPUTED_VALUE"""),"ride-my-car")</f>
        <v>ride-my-car</v>
      </c>
      <c r="B9824" s="3" t="str">
        <f>IFERROR(__xludf.DUMMYFUNCTION("""COMPUTED_VALUE"""),"ride")</f>
        <v>ride</v>
      </c>
      <c r="C9824" s="3" t="str">
        <f>IFERROR(__xludf.DUMMYFUNCTION("""COMPUTED_VALUE"""),"Ride My Car")</f>
        <v>Ride My Car</v>
      </c>
    </row>
    <row r="9825">
      <c r="A9825" s="3" t="str">
        <f>IFERROR(__xludf.DUMMYFUNCTION("""COMPUTED_VALUE"""),"ride-to-earn")</f>
        <v>ride-to-earn</v>
      </c>
      <c r="B9825" s="3" t="str">
        <f>IFERROR(__xludf.DUMMYFUNCTION("""COMPUTED_VALUE"""),"rd2e")</f>
        <v>rd2e</v>
      </c>
      <c r="C9825" s="3" t="str">
        <f>IFERROR(__xludf.DUMMYFUNCTION("""COMPUTED_VALUE"""),"Ride To Earn")</f>
        <v>Ride To Earn</v>
      </c>
    </row>
    <row r="9826">
      <c r="A9826" s="3" t="str">
        <f>IFERROR(__xludf.DUMMYFUNCTION("""COMPUTED_VALUE"""),"ride-to-earn-rte")</f>
        <v>ride-to-earn-rte</v>
      </c>
      <c r="B9826" s="3" t="str">
        <f>IFERROR(__xludf.DUMMYFUNCTION("""COMPUTED_VALUE"""),"rte")</f>
        <v>rte</v>
      </c>
      <c r="C9826" s="3" t="str">
        <f>IFERROR(__xludf.DUMMYFUNCTION("""COMPUTED_VALUE"""),"Ride To Earn RTE")</f>
        <v>Ride To Earn RTE</v>
      </c>
    </row>
    <row r="9827">
      <c r="A9827" s="3" t="str">
        <f>IFERROR(__xludf.DUMMYFUNCTION("""COMPUTED_VALUE"""),"ridge")</f>
        <v>ridge</v>
      </c>
      <c r="B9827" s="3" t="str">
        <f>IFERROR(__xludf.DUMMYFUNCTION("""COMPUTED_VALUE"""),"ridge")</f>
        <v>ridge</v>
      </c>
      <c r="C9827" s="3" t="str">
        <f>IFERROR(__xludf.DUMMYFUNCTION("""COMPUTED_VALUE"""),"Ridge")</f>
        <v>Ridge</v>
      </c>
    </row>
    <row r="9828">
      <c r="A9828" s="3" t="str">
        <f>IFERROR(__xludf.DUMMYFUNCTION("""COMPUTED_VALUE"""),"ridotto")</f>
        <v>ridotto</v>
      </c>
      <c r="B9828" s="3" t="str">
        <f>IFERROR(__xludf.DUMMYFUNCTION("""COMPUTED_VALUE"""),"rdt")</f>
        <v>rdt</v>
      </c>
      <c r="C9828" s="3" t="str">
        <f>IFERROR(__xludf.DUMMYFUNCTION("""COMPUTED_VALUE"""),"Ridotto")</f>
        <v>Ridotto</v>
      </c>
    </row>
    <row r="9829">
      <c r="A9829" s="3" t="str">
        <f>IFERROR(__xludf.DUMMYFUNCTION("""COMPUTED_VALUE"""),"riecoin")</f>
        <v>riecoin</v>
      </c>
      <c r="B9829" s="3" t="str">
        <f>IFERROR(__xludf.DUMMYFUNCTION("""COMPUTED_VALUE"""),"ric")</f>
        <v>ric</v>
      </c>
      <c r="C9829" s="3" t="str">
        <f>IFERROR(__xludf.DUMMYFUNCTION("""COMPUTED_VALUE"""),"Riecoin")</f>
        <v>Riecoin</v>
      </c>
    </row>
    <row r="9830">
      <c r="A9830" s="3" t="str">
        <f>IFERROR(__xludf.DUMMYFUNCTION("""COMPUTED_VALUE"""),"rifi-united")</f>
        <v>rifi-united</v>
      </c>
      <c r="B9830" s="3" t="str">
        <f>IFERROR(__xludf.DUMMYFUNCTION("""COMPUTED_VALUE"""),"ru")</f>
        <v>ru</v>
      </c>
      <c r="C9830" s="3" t="str">
        <f>IFERROR(__xludf.DUMMYFUNCTION("""COMPUTED_VALUE"""),"RIFI United")</f>
        <v>RIFI United</v>
      </c>
    </row>
    <row r="9831">
      <c r="A9831" s="3" t="str">
        <f>IFERROR(__xludf.DUMMYFUNCTION("""COMPUTED_VALUE"""),"rif-token")</f>
        <v>rif-token</v>
      </c>
      <c r="B9831" s="3" t="str">
        <f>IFERROR(__xludf.DUMMYFUNCTION("""COMPUTED_VALUE"""),"rif")</f>
        <v>rif</v>
      </c>
      <c r="C9831" s="3" t="str">
        <f>IFERROR(__xludf.DUMMYFUNCTION("""COMPUTED_VALUE"""),"RSK Infrastructure Framework")</f>
        <v>RSK Infrastructure Framework</v>
      </c>
    </row>
    <row r="9832">
      <c r="A9832" s="3" t="str">
        <f>IFERROR(__xludf.DUMMYFUNCTION("""COMPUTED_VALUE"""),"rigel-finance")</f>
        <v>rigel-finance</v>
      </c>
      <c r="B9832" s="3" t="str">
        <f>IFERROR(__xludf.DUMMYFUNCTION("""COMPUTED_VALUE"""),"rigel")</f>
        <v>rigel</v>
      </c>
      <c r="C9832" s="3" t="str">
        <f>IFERROR(__xludf.DUMMYFUNCTION("""COMPUTED_VALUE"""),"Rigel Finance")</f>
        <v>Rigel Finance</v>
      </c>
    </row>
    <row r="9833">
      <c r="A9833" s="3" t="str">
        <f>IFERROR(__xludf.DUMMYFUNCTION("""COMPUTED_VALUE"""),"rigel-protocol")</f>
        <v>rigel-protocol</v>
      </c>
      <c r="B9833" s="3" t="str">
        <f>IFERROR(__xludf.DUMMYFUNCTION("""COMPUTED_VALUE"""),"rgp")</f>
        <v>rgp</v>
      </c>
      <c r="C9833" s="3" t="str">
        <f>IFERROR(__xludf.DUMMYFUNCTION("""COMPUTED_VALUE"""),"Rigel Protocol")</f>
        <v>Rigel Protocol</v>
      </c>
    </row>
    <row r="9834">
      <c r="A9834" s="3" t="str">
        <f>IFERROR(__xludf.DUMMYFUNCTION("""COMPUTED_VALUE"""),"rigoblock")</f>
        <v>rigoblock</v>
      </c>
      <c r="B9834" s="3" t="str">
        <f>IFERROR(__xludf.DUMMYFUNCTION("""COMPUTED_VALUE"""),"grg")</f>
        <v>grg</v>
      </c>
      <c r="C9834" s="3" t="str">
        <f>IFERROR(__xludf.DUMMYFUNCTION("""COMPUTED_VALUE"""),"RigoBlock")</f>
        <v>RigoBlock</v>
      </c>
    </row>
    <row r="9835">
      <c r="A9835" s="3" t="str">
        <f>IFERROR(__xludf.DUMMYFUNCTION("""COMPUTED_VALUE"""),"rijent-coin")</f>
        <v>rijent-coin</v>
      </c>
      <c r="B9835" s="3" t="str">
        <f>IFERROR(__xludf.DUMMYFUNCTION("""COMPUTED_VALUE"""),"rtc")</f>
        <v>rtc</v>
      </c>
      <c r="C9835" s="3" t="str">
        <f>IFERROR(__xludf.DUMMYFUNCTION("""COMPUTED_VALUE"""),"Rijent Coin")</f>
        <v>Rijent Coin</v>
      </c>
    </row>
    <row r="9836">
      <c r="A9836" s="3" t="str">
        <f>IFERROR(__xludf.DUMMYFUNCTION("""COMPUTED_VALUE"""),"rikkei-finance")</f>
        <v>rikkei-finance</v>
      </c>
      <c r="B9836" s="3" t="str">
        <f>IFERROR(__xludf.DUMMYFUNCTION("""COMPUTED_VALUE"""),"rifi")</f>
        <v>rifi</v>
      </c>
      <c r="C9836" s="3" t="str">
        <f>IFERROR(__xludf.DUMMYFUNCTION("""COMPUTED_VALUE"""),"Rikkei Finance")</f>
        <v>Rikkei Finance</v>
      </c>
    </row>
    <row r="9837">
      <c r="A9837" s="3" t="str">
        <f>IFERROR(__xludf.DUMMYFUNCTION("""COMPUTED_VALUE"""),"rimaunangis")</f>
        <v>rimaunangis</v>
      </c>
      <c r="B9837" s="3" t="str">
        <f>IFERROR(__xludf.DUMMYFUNCTION("""COMPUTED_VALUE"""),"rxt")</f>
        <v>rxt</v>
      </c>
      <c r="C9837" s="3" t="str">
        <f>IFERROR(__xludf.DUMMYFUNCTION("""COMPUTED_VALUE"""),"RIMAUNANGIS")</f>
        <v>RIMAUNANGIS</v>
      </c>
    </row>
    <row r="9838">
      <c r="A9838" s="3" t="str">
        <f>IFERROR(__xludf.DUMMYFUNCTION("""COMPUTED_VALUE"""),"rin-finance-coin")</f>
        <v>rin-finance-coin</v>
      </c>
      <c r="B9838" s="3" t="str">
        <f>IFERROR(__xludf.DUMMYFUNCTION("""COMPUTED_VALUE"""),"rifico")</f>
        <v>rifico</v>
      </c>
      <c r="C9838" s="3" t="str">
        <f>IFERROR(__xludf.DUMMYFUNCTION("""COMPUTED_VALUE"""),"Rin Finance Coin")</f>
        <v>Rin Finance Coin</v>
      </c>
    </row>
    <row r="9839">
      <c r="A9839" s="3" t="str">
        <f>IFERROR(__xludf.DUMMYFUNCTION("""COMPUTED_VALUE"""),"ring")</f>
        <v>ring</v>
      </c>
      <c r="B9839" s="3" t="str">
        <f>IFERROR(__xludf.DUMMYFUNCTION("""COMPUTED_VALUE"""),"ring")</f>
        <v>ring</v>
      </c>
      <c r="C9839" s="3" t="str">
        <f>IFERROR(__xludf.DUMMYFUNCTION("""COMPUTED_VALUE"""),"Ring")</f>
        <v>Ring</v>
      </c>
    </row>
    <row r="9840">
      <c r="A9840" s="3" t="str">
        <f>IFERROR(__xludf.DUMMYFUNCTION("""COMPUTED_VALUE"""),"ring-financial")</f>
        <v>ring-financial</v>
      </c>
      <c r="B9840" s="3" t="str">
        <f>IFERROR(__xludf.DUMMYFUNCTION("""COMPUTED_VALUE"""),"ring")</f>
        <v>ring</v>
      </c>
      <c r="C9840" s="3" t="str">
        <f>IFERROR(__xludf.DUMMYFUNCTION("""COMPUTED_VALUE"""),"RING Financial")</f>
        <v>RING Financial</v>
      </c>
    </row>
    <row r="9841">
      <c r="A9841" s="3" t="str">
        <f>IFERROR(__xludf.DUMMYFUNCTION("""COMPUTED_VALUE"""),"rio-defi")</f>
        <v>rio-defi</v>
      </c>
      <c r="B9841" s="3" t="str">
        <f>IFERROR(__xludf.DUMMYFUNCTION("""COMPUTED_VALUE"""),"rfuel")</f>
        <v>rfuel</v>
      </c>
      <c r="C9841" s="3" t="str">
        <f>IFERROR(__xludf.DUMMYFUNCTION("""COMPUTED_VALUE"""),"RioDeFi")</f>
        <v>RioDeFi</v>
      </c>
    </row>
    <row r="9842">
      <c r="A9842" s="3" t="str">
        <f>IFERROR(__xludf.DUMMYFUNCTION("""COMPUTED_VALUE"""),"riot-racers")</f>
        <v>riot-racers</v>
      </c>
      <c r="B9842" s="3" t="str">
        <f>IFERROR(__xludf.DUMMYFUNCTION("""COMPUTED_VALUE"""),"riot")</f>
        <v>riot</v>
      </c>
      <c r="C9842" s="3" t="str">
        <f>IFERROR(__xludf.DUMMYFUNCTION("""COMPUTED_VALUE"""),"Riot Racers")</f>
        <v>Riot Racers</v>
      </c>
    </row>
    <row r="9843">
      <c r="A9843" s="3" t="str">
        <f>IFERROR(__xludf.DUMMYFUNCTION("""COMPUTED_VALUE"""),"ripae")</f>
        <v>ripae</v>
      </c>
      <c r="B9843" s="3" t="str">
        <f>IFERROR(__xludf.DUMMYFUNCTION("""COMPUTED_VALUE"""),"pae")</f>
        <v>pae</v>
      </c>
      <c r="C9843" s="3" t="str">
        <f>IFERROR(__xludf.DUMMYFUNCTION("""COMPUTED_VALUE"""),"Ripae")</f>
        <v>Ripae</v>
      </c>
    </row>
    <row r="9844">
      <c r="A9844" s="3" t="str">
        <f>IFERROR(__xludf.DUMMYFUNCTION("""COMPUTED_VALUE"""),"ripae-avax")</f>
        <v>ripae-avax</v>
      </c>
      <c r="B9844" s="3" t="str">
        <f>IFERROR(__xludf.DUMMYFUNCTION("""COMPUTED_VALUE"""),"pavax")</f>
        <v>pavax</v>
      </c>
      <c r="C9844" s="3" t="str">
        <f>IFERROR(__xludf.DUMMYFUNCTION("""COMPUTED_VALUE"""),"Ripae AVAX")</f>
        <v>Ripae AVAX</v>
      </c>
    </row>
    <row r="9845">
      <c r="A9845" s="3" t="str">
        <f>IFERROR(__xludf.DUMMYFUNCTION("""COMPUTED_VALUE"""),"ripae-pbnb")</f>
        <v>ripae-pbnb</v>
      </c>
      <c r="B9845" s="3" t="str">
        <f>IFERROR(__xludf.DUMMYFUNCTION("""COMPUTED_VALUE"""),"pbnb")</f>
        <v>pbnb</v>
      </c>
      <c r="C9845" s="3" t="str">
        <f>IFERROR(__xludf.DUMMYFUNCTION("""COMPUTED_VALUE"""),"Ripae pBNB")</f>
        <v>Ripae pBNB</v>
      </c>
    </row>
    <row r="9846">
      <c r="A9846" s="3" t="str">
        <f>IFERROR(__xludf.DUMMYFUNCTION("""COMPUTED_VALUE"""),"ripae-pmatic")</f>
        <v>ripae-pmatic</v>
      </c>
      <c r="B9846" s="3" t="str">
        <f>IFERROR(__xludf.DUMMYFUNCTION("""COMPUTED_VALUE"""),"pmatic")</f>
        <v>pmatic</v>
      </c>
      <c r="C9846" s="3" t="str">
        <f>IFERROR(__xludf.DUMMYFUNCTION("""COMPUTED_VALUE"""),"Ripae pMATIC")</f>
        <v>Ripae pMATIC</v>
      </c>
    </row>
    <row r="9847">
      <c r="A9847" s="3" t="str">
        <f>IFERROR(__xludf.DUMMYFUNCTION("""COMPUTED_VALUE"""),"ripio-coin")</f>
        <v>ripio-coin</v>
      </c>
      <c r="B9847" s="3" t="str">
        <f>IFERROR(__xludf.DUMMYFUNCTION("""COMPUTED_VALUE"""),"rpc")</f>
        <v>rpc</v>
      </c>
      <c r="C9847" s="3" t="str">
        <f>IFERROR(__xludf.DUMMYFUNCTION("""COMPUTED_VALUE"""),"Ripio Coin")</f>
        <v>Ripio Coin</v>
      </c>
    </row>
    <row r="9848">
      <c r="A9848" s="3" t="str">
        <f>IFERROR(__xludf.DUMMYFUNCTION("""COMPUTED_VALUE"""),"ripio-credit-network")</f>
        <v>ripio-credit-network</v>
      </c>
      <c r="B9848" s="3" t="str">
        <f>IFERROR(__xludf.DUMMYFUNCTION("""COMPUTED_VALUE"""),"rcn")</f>
        <v>rcn</v>
      </c>
      <c r="C9848" s="3" t="str">
        <f>IFERROR(__xludf.DUMMYFUNCTION("""COMPUTED_VALUE"""),"Ripio Credit Network")</f>
        <v>Ripio Credit Network</v>
      </c>
    </row>
    <row r="9849">
      <c r="A9849" s="3" t="str">
        <f>IFERROR(__xludf.DUMMYFUNCTION("""COMPUTED_VALUE"""),"ripple")</f>
        <v>ripple</v>
      </c>
      <c r="B9849" s="3" t="str">
        <f>IFERROR(__xludf.DUMMYFUNCTION("""COMPUTED_VALUE"""),"xrp")</f>
        <v>xrp</v>
      </c>
      <c r="C9849" s="3" t="str">
        <f>IFERROR(__xludf.DUMMYFUNCTION("""COMPUTED_VALUE"""),"XRP")</f>
        <v>XRP</v>
      </c>
    </row>
    <row r="9850">
      <c r="A9850" s="3" t="str">
        <f>IFERROR(__xludf.DUMMYFUNCTION("""COMPUTED_VALUE"""),"ripple-alpha")</f>
        <v>ripple-alpha</v>
      </c>
      <c r="B9850" s="3" t="str">
        <f>IFERROR(__xludf.DUMMYFUNCTION("""COMPUTED_VALUE"""),"xla")</f>
        <v>xla</v>
      </c>
      <c r="C9850" s="3" t="str">
        <f>IFERROR(__xludf.DUMMYFUNCTION("""COMPUTED_VALUE"""),"Ripple Alpha")</f>
        <v>Ripple Alpha</v>
      </c>
    </row>
    <row r="9851">
      <c r="A9851" s="3" t="str">
        <f>IFERROR(__xludf.DUMMYFUNCTION("""COMPUTED_VALUE"""),"rise")</f>
        <v>rise</v>
      </c>
      <c r="B9851" s="3" t="str">
        <f>IFERROR(__xludf.DUMMYFUNCTION("""COMPUTED_VALUE"""),"rise")</f>
        <v>rise</v>
      </c>
      <c r="C9851" s="3" t="str">
        <f>IFERROR(__xludf.DUMMYFUNCTION("""COMPUTED_VALUE"""),"Rise")</f>
        <v>Rise</v>
      </c>
    </row>
    <row r="9852">
      <c r="A9852" s="3" t="str">
        <f>IFERROR(__xludf.DUMMYFUNCTION("""COMPUTED_VALUE"""),"risehero")</f>
        <v>risehero</v>
      </c>
      <c r="B9852" s="3" t="str">
        <f>IFERROR(__xludf.DUMMYFUNCTION("""COMPUTED_VALUE"""),"rise")</f>
        <v>rise</v>
      </c>
      <c r="C9852" s="3" t="str">
        <f>IFERROR(__xludf.DUMMYFUNCTION("""COMPUTED_VALUE"""),"RiseHero")</f>
        <v>RiseHero</v>
      </c>
    </row>
    <row r="9853">
      <c r="A9853" s="3" t="str">
        <f>IFERROR(__xludf.DUMMYFUNCTION("""COMPUTED_VALUE"""),"rise-of-defenders")</f>
        <v>rise-of-defenders</v>
      </c>
      <c r="B9853" s="3" t="str">
        <f>IFERROR(__xludf.DUMMYFUNCTION("""COMPUTED_VALUE"""),"rdr")</f>
        <v>rdr</v>
      </c>
      <c r="C9853" s="3" t="str">
        <f>IFERROR(__xludf.DUMMYFUNCTION("""COMPUTED_VALUE"""),"Rise of Defenders")</f>
        <v>Rise of Defenders</v>
      </c>
    </row>
    <row r="9854">
      <c r="A9854" s="3" t="str">
        <f>IFERROR(__xludf.DUMMYFUNCTION("""COMPUTED_VALUE"""),"rise-of-empire")</f>
        <v>rise-of-empire</v>
      </c>
      <c r="B9854" s="3" t="str">
        <f>IFERROR(__xludf.DUMMYFUNCTION("""COMPUTED_VALUE"""),"roemp")</f>
        <v>roemp</v>
      </c>
      <c r="C9854" s="3" t="str">
        <f>IFERROR(__xludf.DUMMYFUNCTION("""COMPUTED_VALUE"""),"Rise Of Empire")</f>
        <v>Rise Of Empire</v>
      </c>
    </row>
    <row r="9855">
      <c r="A9855" s="3" t="str">
        <f>IFERROR(__xludf.DUMMYFUNCTION("""COMPUTED_VALUE"""),"rise-of-nebula")</f>
        <v>rise-of-nebula</v>
      </c>
      <c r="B9855" s="3" t="str">
        <f>IFERROR(__xludf.DUMMYFUNCTION("""COMPUTED_VALUE"""),"ron")</f>
        <v>ron</v>
      </c>
      <c r="C9855" s="3" t="str">
        <f>IFERROR(__xludf.DUMMYFUNCTION("""COMPUTED_VALUE"""),"Rise Of Nebula")</f>
        <v>Rise Of Nebula</v>
      </c>
    </row>
    <row r="9856">
      <c r="A9856" s="3" t="str">
        <f>IFERROR(__xludf.DUMMYFUNCTION("""COMPUTED_VALUE"""),"riseupv2")</f>
        <v>riseupv2</v>
      </c>
      <c r="B9856" s="3" t="str">
        <f>IFERROR(__xludf.DUMMYFUNCTION("""COMPUTED_VALUE"""),"riv2")</f>
        <v>riv2</v>
      </c>
      <c r="C9856" s="3" t="str">
        <f>IFERROR(__xludf.DUMMYFUNCTION("""COMPUTED_VALUE"""),"RiseUpV2")</f>
        <v>RiseUpV2</v>
      </c>
    </row>
    <row r="9857">
      <c r="A9857" s="3" t="str">
        <f>IFERROR(__xludf.DUMMYFUNCTION("""COMPUTED_VALUE"""),"risu")</f>
        <v>risu</v>
      </c>
      <c r="B9857" s="3" t="str">
        <f>IFERROR(__xludf.DUMMYFUNCTION("""COMPUTED_VALUE"""),"risu")</f>
        <v>risu</v>
      </c>
      <c r="C9857" s="3" t="str">
        <f>IFERROR(__xludf.DUMMYFUNCTION("""COMPUTED_VALUE"""),"Risu")</f>
        <v>Risu</v>
      </c>
    </row>
    <row r="9858">
      <c r="A9858" s="3" t="str">
        <f>IFERROR(__xludf.DUMMYFUNCTION("""COMPUTED_VALUE"""),"risuchainswap")</f>
        <v>risuchainswap</v>
      </c>
      <c r="B9858" s="3" t="str">
        <f>IFERROR(__xludf.DUMMYFUNCTION("""COMPUTED_VALUE"""),"rcs")</f>
        <v>rcs</v>
      </c>
      <c r="C9858" s="3" t="str">
        <f>IFERROR(__xludf.DUMMYFUNCTION("""COMPUTED_VALUE"""),"RisuChainSwap")</f>
        <v>RisuChainSwap</v>
      </c>
    </row>
    <row r="9859">
      <c r="A9859" s="3" t="str">
        <f>IFERROR(__xludf.DUMMYFUNCTION("""COMPUTED_VALUE"""),"ritestream")</f>
        <v>ritestream</v>
      </c>
      <c r="B9859" s="3" t="str">
        <f>IFERROR(__xludf.DUMMYFUNCTION("""COMPUTED_VALUE"""),"rite")</f>
        <v>rite</v>
      </c>
      <c r="C9859" s="3" t="str">
        <f>IFERROR(__xludf.DUMMYFUNCTION("""COMPUTED_VALUE"""),"ritestream")</f>
        <v>ritestream</v>
      </c>
    </row>
    <row r="9860">
      <c r="A9860" s="3" t="str">
        <f>IFERROR(__xludf.DUMMYFUNCTION("""COMPUTED_VALUE"""),"rito")</f>
        <v>rito</v>
      </c>
      <c r="B9860" s="3" t="str">
        <f>IFERROR(__xludf.DUMMYFUNCTION("""COMPUTED_VALUE"""),"rito")</f>
        <v>rito</v>
      </c>
      <c r="C9860" s="3" t="str">
        <f>IFERROR(__xludf.DUMMYFUNCTION("""COMPUTED_VALUE"""),"Rito")</f>
        <v>Rito</v>
      </c>
    </row>
    <row r="9861">
      <c r="A9861" s="3" t="str">
        <f>IFERROR(__xludf.DUMMYFUNCTION("""COMPUTED_VALUE"""),"ri-token")</f>
        <v>ri-token</v>
      </c>
      <c r="B9861" s="3" t="str">
        <f>IFERROR(__xludf.DUMMYFUNCTION("""COMPUTED_VALUE"""),"ri")</f>
        <v>ri</v>
      </c>
      <c r="C9861" s="3" t="str">
        <f>IFERROR(__xludf.DUMMYFUNCTION("""COMPUTED_VALUE"""),"Xiotri RI")</f>
        <v>Xiotri RI</v>
      </c>
    </row>
    <row r="9862">
      <c r="A9862" s="3" t="str">
        <f>IFERROR(__xludf.DUMMYFUNCTION("""COMPUTED_VALUE"""),"riverboat")</f>
        <v>riverboat</v>
      </c>
      <c r="B9862" s="3" t="str">
        <f>IFERROR(__xludf.DUMMYFUNCTION("""COMPUTED_VALUE"""),"rib")</f>
        <v>rib</v>
      </c>
      <c r="C9862" s="3" t="str">
        <f>IFERROR(__xludf.DUMMYFUNCTION("""COMPUTED_VALUE"""),"RiverBoat")</f>
        <v>RiverBoat</v>
      </c>
    </row>
    <row r="9863">
      <c r="A9863" s="3" t="str">
        <f>IFERROR(__xludf.DUMMYFUNCTION("""COMPUTED_VALUE"""),"rivrdoge")</f>
        <v>rivrdoge</v>
      </c>
      <c r="B9863" s="3" t="str">
        <f>IFERROR(__xludf.DUMMYFUNCTION("""COMPUTED_VALUE"""),"rivrdoge")</f>
        <v>rivrdoge</v>
      </c>
      <c r="C9863" s="3" t="str">
        <f>IFERROR(__xludf.DUMMYFUNCTION("""COMPUTED_VALUE"""),"RivrDoge")</f>
        <v>RivrDoge</v>
      </c>
    </row>
    <row r="9864">
      <c r="A9864" s="3" t="str">
        <f>IFERROR(__xludf.DUMMYFUNCTION("""COMPUTED_VALUE"""),"rizen-coin")</f>
        <v>rizen-coin</v>
      </c>
      <c r="B9864" s="3" t="str">
        <f>IFERROR(__xludf.DUMMYFUNCTION("""COMPUTED_VALUE"""),"rzn")</f>
        <v>rzn</v>
      </c>
      <c r="C9864" s="3" t="str">
        <f>IFERROR(__xludf.DUMMYFUNCTION("""COMPUTED_VALUE"""),"Rizen Coin (Old)")</f>
        <v>Rizen Coin (Old)</v>
      </c>
    </row>
    <row r="9865">
      <c r="A9865" s="3" t="str">
        <f>IFERROR(__xludf.DUMMYFUNCTION("""COMPUTED_VALUE"""),"rizespor-token")</f>
        <v>rizespor-token</v>
      </c>
      <c r="B9865" s="3" t="str">
        <f>IFERROR(__xludf.DUMMYFUNCTION("""COMPUTED_VALUE"""),"rize")</f>
        <v>rize</v>
      </c>
      <c r="C9865" s="3" t="str">
        <f>IFERROR(__xludf.DUMMYFUNCTION("""COMPUTED_VALUE"""),"Rizespor Token")</f>
        <v>Rizespor Token</v>
      </c>
    </row>
    <row r="9866">
      <c r="A9866" s="3" t="str">
        <f>IFERROR(__xludf.DUMMYFUNCTION("""COMPUTED_VALUE"""),"rizon")</f>
        <v>rizon</v>
      </c>
      <c r="B9866" s="3" t="str">
        <f>IFERROR(__xludf.DUMMYFUNCTION("""COMPUTED_VALUE"""),"atolo")</f>
        <v>atolo</v>
      </c>
      <c r="C9866" s="3" t="str">
        <f>IFERROR(__xludf.DUMMYFUNCTION("""COMPUTED_VALUE"""),"RIZON")</f>
        <v>RIZON</v>
      </c>
    </row>
    <row r="9867">
      <c r="A9867" s="3" t="str">
        <f>IFERROR(__xludf.DUMMYFUNCTION("""COMPUTED_VALUE"""),"rloop")</f>
        <v>rloop</v>
      </c>
      <c r="B9867" s="3" t="str">
        <f>IFERROR(__xludf.DUMMYFUNCTION("""COMPUTED_VALUE"""),"rloop")</f>
        <v>rloop</v>
      </c>
      <c r="C9867" s="3" t="str">
        <f>IFERROR(__xludf.DUMMYFUNCTION("""COMPUTED_VALUE"""),"rLoop")</f>
        <v>rLoop</v>
      </c>
    </row>
    <row r="9868">
      <c r="A9868" s="3" t="str">
        <f>IFERROR(__xludf.DUMMYFUNCTION("""COMPUTED_VALUE"""),"rmrk")</f>
        <v>rmrk</v>
      </c>
      <c r="B9868" s="3" t="str">
        <f>IFERROR(__xludf.DUMMYFUNCTION("""COMPUTED_VALUE"""),"rmrk")</f>
        <v>rmrk</v>
      </c>
      <c r="C9868" s="3" t="str">
        <f>IFERROR(__xludf.DUMMYFUNCTION("""COMPUTED_VALUE"""),"RMRK")</f>
        <v>RMRK</v>
      </c>
    </row>
    <row r="9869">
      <c r="A9869" s="3" t="str">
        <f>IFERROR(__xludf.DUMMYFUNCTION("""COMPUTED_VALUE"""),"road")</f>
        <v>road</v>
      </c>
      <c r="B9869" s="3" t="str">
        <f>IFERROR(__xludf.DUMMYFUNCTION("""COMPUTED_VALUE"""),"road")</f>
        <v>road</v>
      </c>
      <c r="C9869" s="3" t="str">
        <f>IFERROR(__xludf.DUMMYFUNCTION("""COMPUTED_VALUE"""),"ROAD")</f>
        <v>ROAD</v>
      </c>
    </row>
    <row r="9870">
      <c r="A9870" s="3" t="str">
        <f>IFERROR(__xludf.DUMMYFUNCTION("""COMPUTED_VALUE"""),"roar-token")</f>
        <v>roar-token</v>
      </c>
      <c r="B9870" s="3" t="str">
        <f>IFERROR(__xludf.DUMMYFUNCTION("""COMPUTED_VALUE"""),"roar")</f>
        <v>roar</v>
      </c>
      <c r="C9870" s="3" t="str">
        <f>IFERROR(__xludf.DUMMYFUNCTION("""COMPUTED_VALUE"""),"SOL Tigers Roar")</f>
        <v>SOL Tigers Roar</v>
      </c>
    </row>
    <row r="9871">
      <c r="A9871" s="3" t="str">
        <f>IFERROR(__xludf.DUMMYFUNCTION("""COMPUTED_VALUE"""),"roarts")</f>
        <v>roarts</v>
      </c>
      <c r="B9871" s="3" t="str">
        <f>IFERROR(__xludf.DUMMYFUNCTION("""COMPUTED_VALUE"""),"roar")</f>
        <v>roar</v>
      </c>
      <c r="C9871" s="3" t="str">
        <f>IFERROR(__xludf.DUMMYFUNCTION("""COMPUTED_VALUE"""),"RoArts")</f>
        <v>RoArts</v>
      </c>
    </row>
    <row r="9872">
      <c r="A9872" s="3" t="str">
        <f>IFERROR(__xludf.DUMMYFUNCTION("""COMPUTED_VALUE"""),"robinos")</f>
        <v>robinos</v>
      </c>
      <c r="B9872" s="3" t="str">
        <f>IFERROR(__xludf.DUMMYFUNCTION("""COMPUTED_VALUE"""),"rbn")</f>
        <v>rbn</v>
      </c>
      <c r="C9872" s="3" t="str">
        <f>IFERROR(__xludf.DUMMYFUNCTION("""COMPUTED_VALUE"""),"Robinos")</f>
        <v>Robinos</v>
      </c>
    </row>
    <row r="9873">
      <c r="A9873" s="3" t="str">
        <f>IFERROR(__xludf.DUMMYFUNCTION("""COMPUTED_VALUE"""),"robocock-ultra-world")</f>
        <v>robocock-ultra-world</v>
      </c>
      <c r="B9873" s="3" t="str">
        <f>IFERROR(__xludf.DUMMYFUNCTION("""COMPUTED_VALUE"""),"gken")</f>
        <v>gken</v>
      </c>
      <c r="C9873" s="3" t="str">
        <f>IFERROR(__xludf.DUMMYFUNCTION("""COMPUTED_VALUE"""),"Robocock Ultra World")</f>
        <v>Robocock Ultra World</v>
      </c>
    </row>
    <row r="9874">
      <c r="A9874" s="3" t="str">
        <f>IFERROR(__xludf.DUMMYFUNCTION("""COMPUTED_VALUE"""),"robodoge-coin")</f>
        <v>robodoge-coin</v>
      </c>
      <c r="B9874" s="3" t="str">
        <f>IFERROR(__xludf.DUMMYFUNCTION("""COMPUTED_VALUE"""),"robodoge")</f>
        <v>robodoge</v>
      </c>
      <c r="C9874" s="3" t="str">
        <f>IFERROR(__xludf.DUMMYFUNCTION("""COMPUTED_VALUE"""),"RoboDoge Coin")</f>
        <v>RoboDoge Coin</v>
      </c>
    </row>
    <row r="9875">
      <c r="A9875" s="3" t="str">
        <f>IFERROR(__xludf.DUMMYFUNCTION("""COMPUTED_VALUE"""),"robofi-token")</f>
        <v>robofi-token</v>
      </c>
      <c r="B9875" s="3" t="str">
        <f>IFERROR(__xludf.DUMMYFUNCTION("""COMPUTED_VALUE"""),"vics")</f>
        <v>vics</v>
      </c>
      <c r="C9875" s="3" t="str">
        <f>IFERROR(__xludf.DUMMYFUNCTION("""COMPUTED_VALUE"""),"RoboFi")</f>
        <v>RoboFi</v>
      </c>
    </row>
    <row r="9876">
      <c r="A9876" s="3" t="str">
        <f>IFERROR(__xludf.DUMMYFUNCTION("""COMPUTED_VALUE"""),"robo-inu-finance")</f>
        <v>robo-inu-finance</v>
      </c>
      <c r="B9876" s="3" t="str">
        <f>IFERROR(__xludf.DUMMYFUNCTION("""COMPUTED_VALUE"""),"rbif")</f>
        <v>rbif</v>
      </c>
      <c r="C9876" s="3" t="str">
        <f>IFERROR(__xludf.DUMMYFUNCTION("""COMPUTED_VALUE"""),"Robo Inu Finance")</f>
        <v>Robo Inu Finance</v>
      </c>
    </row>
    <row r="9877">
      <c r="A9877" s="3" t="str">
        <f>IFERROR(__xludf.DUMMYFUNCTION("""COMPUTED_VALUE"""),"robonomics-network")</f>
        <v>robonomics-network</v>
      </c>
      <c r="B9877" s="3" t="str">
        <f>IFERROR(__xludf.DUMMYFUNCTION("""COMPUTED_VALUE"""),"xrt")</f>
        <v>xrt</v>
      </c>
      <c r="C9877" s="3" t="str">
        <f>IFERROR(__xludf.DUMMYFUNCTION("""COMPUTED_VALUE"""),"Robonomics Network")</f>
        <v>Robonomics Network</v>
      </c>
    </row>
    <row r="9878">
      <c r="A9878" s="3" t="str">
        <f>IFERROR(__xludf.DUMMYFUNCTION("""COMPUTED_VALUE"""),"robonomics-web-services")</f>
        <v>robonomics-web-services</v>
      </c>
      <c r="B9878" s="3" t="str">
        <f>IFERROR(__xludf.DUMMYFUNCTION("""COMPUTED_VALUE"""),"rws")</f>
        <v>rws</v>
      </c>
      <c r="C9878" s="3" t="str">
        <f>IFERROR(__xludf.DUMMYFUNCTION("""COMPUTED_VALUE"""),"Robonomics Web Services")</f>
        <v>Robonomics Web Services</v>
      </c>
    </row>
    <row r="9879">
      <c r="A9879" s="3" t="str">
        <f>IFERROR(__xludf.DUMMYFUNCTION("""COMPUTED_VALUE"""),"roboots")</f>
        <v>roboots</v>
      </c>
      <c r="B9879" s="3" t="str">
        <f>IFERROR(__xludf.DUMMYFUNCTION("""COMPUTED_VALUE"""),"rbo")</f>
        <v>rbo</v>
      </c>
      <c r="C9879" s="3" t="str">
        <f>IFERROR(__xludf.DUMMYFUNCTION("""COMPUTED_VALUE"""),"Roboots")</f>
        <v>Roboots</v>
      </c>
    </row>
    <row r="9880">
      <c r="A9880" s="3" t="str">
        <f>IFERROR(__xludf.DUMMYFUNCTION("""COMPUTED_VALUE"""),"robot")</f>
        <v>robot</v>
      </c>
      <c r="B9880" s="3" t="str">
        <f>IFERROR(__xludf.DUMMYFUNCTION("""COMPUTED_VALUE"""),"robot")</f>
        <v>robot</v>
      </c>
      <c r="C9880" s="3" t="str">
        <f>IFERROR(__xludf.DUMMYFUNCTION("""COMPUTED_VALUE"""),"Robot")</f>
        <v>Robot</v>
      </c>
    </row>
    <row r="9881">
      <c r="A9881" s="3" t="str">
        <f>IFERROR(__xludf.DUMMYFUNCTION("""COMPUTED_VALUE"""),"robotina")</f>
        <v>robotina</v>
      </c>
      <c r="B9881" s="3" t="str">
        <f>IFERROR(__xludf.DUMMYFUNCTION("""COMPUTED_VALUE"""),"rox")</f>
        <v>rox</v>
      </c>
      <c r="C9881" s="3" t="str">
        <f>IFERROR(__xludf.DUMMYFUNCTION("""COMPUTED_VALUE"""),"Robotina")</f>
        <v>Robotina</v>
      </c>
    </row>
    <row r="9882">
      <c r="A9882" s="3" t="str">
        <f>IFERROR(__xludf.DUMMYFUNCTION("""COMPUTED_VALUE"""),"robo-token")</f>
        <v>robo-token</v>
      </c>
      <c r="B9882" s="3" t="str">
        <f>IFERROR(__xludf.DUMMYFUNCTION("""COMPUTED_VALUE"""),"robo")</f>
        <v>robo</v>
      </c>
      <c r="C9882" s="3" t="str">
        <f>IFERROR(__xludf.DUMMYFUNCTION("""COMPUTED_VALUE"""),"Robo")</f>
        <v>Robo</v>
      </c>
    </row>
    <row r="9883">
      <c r="A9883" s="3" t="str">
        <f>IFERROR(__xludf.DUMMYFUNCTION("""COMPUTED_VALUE"""),"robot-warriors")</f>
        <v>robot-warriors</v>
      </c>
      <c r="B9883" s="3" t="str">
        <f>IFERROR(__xludf.DUMMYFUNCTION("""COMPUTED_VALUE"""),"metabot")</f>
        <v>metabot</v>
      </c>
      <c r="C9883" s="3" t="str">
        <f>IFERROR(__xludf.DUMMYFUNCTION("""COMPUTED_VALUE"""),"Robot Warriors")</f>
        <v>Robot Warriors</v>
      </c>
    </row>
    <row r="9884">
      <c r="A9884" s="3" t="str">
        <f>IFERROR(__xludf.DUMMYFUNCTION("""COMPUTED_VALUE"""),"robust-token")</f>
        <v>robust-token</v>
      </c>
      <c r="B9884" s="3" t="str">
        <f>IFERROR(__xludf.DUMMYFUNCTION("""COMPUTED_VALUE"""),"rbt")</f>
        <v>rbt</v>
      </c>
      <c r="C9884" s="3" t="str">
        <f>IFERROR(__xludf.DUMMYFUNCTION("""COMPUTED_VALUE"""),"Robust")</f>
        <v>Robust</v>
      </c>
    </row>
    <row r="9885">
      <c r="A9885" s="3" t="str">
        <f>IFERROR(__xludf.DUMMYFUNCTION("""COMPUTED_VALUE"""),"rocket-bunny")</f>
        <v>rocket-bunny</v>
      </c>
      <c r="B9885" s="3" t="str">
        <f>IFERROR(__xludf.DUMMYFUNCTION("""COMPUTED_VALUE"""),"bunny")</f>
        <v>bunny</v>
      </c>
      <c r="C9885" s="3" t="str">
        <f>IFERROR(__xludf.DUMMYFUNCTION("""COMPUTED_VALUE"""),"Rocket Bunny")</f>
        <v>Rocket Bunny</v>
      </c>
    </row>
    <row r="9886">
      <c r="A9886" s="3" t="str">
        <f>IFERROR(__xludf.DUMMYFUNCTION("""COMPUTED_VALUE"""),"rocketbusd")</f>
        <v>rocketbusd</v>
      </c>
      <c r="B9886" s="3" t="str">
        <f>IFERROR(__xludf.DUMMYFUNCTION("""COMPUTED_VALUE"""),"rocketbusd")</f>
        <v>rocketbusd</v>
      </c>
      <c r="C9886" s="3" t="str">
        <f>IFERROR(__xludf.DUMMYFUNCTION("""COMPUTED_VALUE"""),"RocketBUSD")</f>
        <v>RocketBUSD</v>
      </c>
    </row>
    <row r="9887">
      <c r="A9887" s="3" t="str">
        <f>IFERROR(__xludf.DUMMYFUNCTION("""COMPUTED_VALUE"""),"rocketcoin-2")</f>
        <v>rocketcoin-2</v>
      </c>
      <c r="B9887" s="3" t="str">
        <f>IFERROR(__xludf.DUMMYFUNCTION("""COMPUTED_VALUE"""),"rocket")</f>
        <v>rocket</v>
      </c>
      <c r="C9887" s="3" t="str">
        <f>IFERROR(__xludf.DUMMYFUNCTION("""COMPUTED_VALUE"""),"RocketCoin")</f>
        <v>RocketCoin</v>
      </c>
    </row>
    <row r="9888">
      <c r="A9888" s="3" t="str">
        <f>IFERROR(__xludf.DUMMYFUNCTION("""COMPUTED_VALUE"""),"rocketdoge")</f>
        <v>rocketdoge</v>
      </c>
      <c r="B9888" s="3" t="str">
        <f>IFERROR(__xludf.DUMMYFUNCTION("""COMPUTED_VALUE"""),"rd")</f>
        <v>rd</v>
      </c>
      <c r="C9888" s="3" t="str">
        <f>IFERROR(__xludf.DUMMYFUNCTION("""COMPUTED_VALUE"""),"RocketDoge")</f>
        <v>RocketDoge</v>
      </c>
    </row>
    <row r="9889">
      <c r="A9889" s="3" t="str">
        <f>IFERROR(__xludf.DUMMYFUNCTION("""COMPUTED_VALUE"""),"rocketfi")</f>
        <v>rocketfi</v>
      </c>
      <c r="B9889" s="3" t="str">
        <f>IFERROR(__xludf.DUMMYFUNCTION("""COMPUTED_VALUE"""),"rocketfi")</f>
        <v>rocketfi</v>
      </c>
      <c r="C9889" s="3" t="str">
        <f>IFERROR(__xludf.DUMMYFUNCTION("""COMPUTED_VALUE"""),"RocketFi")</f>
        <v>RocketFi</v>
      </c>
    </row>
    <row r="9890">
      <c r="A9890" s="3" t="str">
        <f>IFERROR(__xludf.DUMMYFUNCTION("""COMPUTED_VALUE"""),"rocket-fund")</f>
        <v>rocket-fund</v>
      </c>
      <c r="B9890" s="3" t="str">
        <f>IFERROR(__xludf.DUMMYFUNCTION("""COMPUTED_VALUE"""),"rkt")</f>
        <v>rkt</v>
      </c>
      <c r="C9890" s="3" t="str">
        <f>IFERROR(__xludf.DUMMYFUNCTION("""COMPUTED_VALUE"""),"Rocket Fund")</f>
        <v>Rocket Fund</v>
      </c>
    </row>
    <row r="9891">
      <c r="A9891" s="3" t="str">
        <f>IFERROR(__xludf.DUMMYFUNCTION("""COMPUTED_VALUE"""),"rocket-global-coin")</f>
        <v>rocket-global-coin</v>
      </c>
      <c r="B9891" s="3" t="str">
        <f>IFERROR(__xludf.DUMMYFUNCTION("""COMPUTED_VALUE"""),"rckc")</f>
        <v>rckc</v>
      </c>
      <c r="C9891" s="3" t="str">
        <f>IFERROR(__xludf.DUMMYFUNCTION("""COMPUTED_VALUE"""),"Rocket Global Coin")</f>
        <v>Rocket Global Coin</v>
      </c>
    </row>
    <row r="9892">
      <c r="A9892" s="3" t="str">
        <f>IFERROR(__xludf.DUMMYFUNCTION("""COMPUTED_VALUE"""),"rocket-pool")</f>
        <v>rocket-pool</v>
      </c>
      <c r="B9892" s="3" t="str">
        <f>IFERROR(__xludf.DUMMYFUNCTION("""COMPUTED_VALUE"""),"rpl")</f>
        <v>rpl</v>
      </c>
      <c r="C9892" s="3" t="str">
        <f>IFERROR(__xludf.DUMMYFUNCTION("""COMPUTED_VALUE"""),"Rocket Pool")</f>
        <v>Rocket Pool</v>
      </c>
    </row>
    <row r="9893">
      <c r="A9893" s="3" t="str">
        <f>IFERROR(__xludf.DUMMYFUNCTION("""COMPUTED_VALUE"""),"rocket-pool-eth")</f>
        <v>rocket-pool-eth</v>
      </c>
      <c r="B9893" s="3" t="str">
        <f>IFERROR(__xludf.DUMMYFUNCTION("""COMPUTED_VALUE"""),"reth")</f>
        <v>reth</v>
      </c>
      <c r="C9893" s="3" t="str">
        <f>IFERROR(__xludf.DUMMYFUNCTION("""COMPUTED_VALUE"""),"Rocket Pool ETH")</f>
        <v>Rocket Pool ETH</v>
      </c>
    </row>
    <row r="9894">
      <c r="A9894" s="3" t="str">
        <f>IFERROR(__xludf.DUMMYFUNCTION("""COMPUTED_VALUE"""),"rocket-raccoon")</f>
        <v>rocket-raccoon</v>
      </c>
      <c r="B9894" s="3" t="str">
        <f>IFERROR(__xludf.DUMMYFUNCTION("""COMPUTED_VALUE"""),"roc")</f>
        <v>roc</v>
      </c>
      <c r="C9894" s="3" t="str">
        <f>IFERROR(__xludf.DUMMYFUNCTION("""COMPUTED_VALUE"""),"Rocket Raccoon")</f>
        <v>Rocket Raccoon</v>
      </c>
    </row>
    <row r="9895">
      <c r="A9895" s="3" t="str">
        <f>IFERROR(__xludf.DUMMYFUNCTION("""COMPUTED_VALUE"""),"rocket-raccoon-v2")</f>
        <v>rocket-raccoon-v2</v>
      </c>
      <c r="B9895" s="3" t="str">
        <f>IFERROR(__xludf.DUMMYFUNCTION("""COMPUTED_VALUE"""),"roc")</f>
        <v>roc</v>
      </c>
      <c r="C9895" s="3" t="str">
        <f>IFERROR(__xludf.DUMMYFUNCTION("""COMPUTED_VALUE"""),"Rocket Raccoon V2")</f>
        <v>Rocket Raccoon V2</v>
      </c>
    </row>
    <row r="9896">
      <c r="A9896" s="3" t="str">
        <f>IFERROR(__xludf.DUMMYFUNCTION("""COMPUTED_VALUE"""),"rockettoken-2")</f>
        <v>rockettoken-2</v>
      </c>
      <c r="B9896" s="3" t="str">
        <f>IFERROR(__xludf.DUMMYFUNCTION("""COMPUTED_VALUE"""),"rktn")</f>
        <v>rktn</v>
      </c>
      <c r="C9896" s="3" t="str">
        <f>IFERROR(__xludf.DUMMYFUNCTION("""COMPUTED_VALUE"""),"RocketToken")</f>
        <v>RocketToken</v>
      </c>
    </row>
    <row r="9897">
      <c r="A9897" s="3" t="str">
        <f>IFERROR(__xludf.DUMMYFUNCTION("""COMPUTED_VALUE"""),"rocket-video")</f>
        <v>rocket-video</v>
      </c>
      <c r="B9897" s="3" t="str">
        <f>IFERROR(__xludf.DUMMYFUNCTION("""COMPUTED_VALUE"""),"rvt")</f>
        <v>rvt</v>
      </c>
      <c r="C9897" s="3" t="str">
        <f>IFERROR(__xludf.DUMMYFUNCTION("""COMPUTED_VALUE"""),"Rocket Video")</f>
        <v>Rocket Video</v>
      </c>
    </row>
    <row r="9898">
      <c r="A9898" s="3" t="str">
        <f>IFERROR(__xludf.DUMMYFUNCTION("""COMPUTED_VALUE"""),"rocketx")</f>
        <v>rocketx</v>
      </c>
      <c r="B9898" s="3" t="str">
        <f>IFERROR(__xludf.DUMMYFUNCTION("""COMPUTED_VALUE"""),"rvf")</f>
        <v>rvf</v>
      </c>
      <c r="C9898" s="3" t="str">
        <f>IFERROR(__xludf.DUMMYFUNCTION("""COMPUTED_VALUE"""),"RocketX exchange")</f>
        <v>RocketX exchange</v>
      </c>
    </row>
    <row r="9899">
      <c r="A9899" s="3" t="str">
        <f>IFERROR(__xludf.DUMMYFUNCTION("""COMPUTED_VALUE"""),"rocki")</f>
        <v>rocki</v>
      </c>
      <c r="B9899" s="3" t="str">
        <f>IFERROR(__xludf.DUMMYFUNCTION("""COMPUTED_VALUE"""),"rocki")</f>
        <v>rocki</v>
      </c>
      <c r="C9899" s="3" t="str">
        <f>IFERROR(__xludf.DUMMYFUNCTION("""COMPUTED_VALUE"""),"Rocki")</f>
        <v>Rocki</v>
      </c>
    </row>
    <row r="9900">
      <c r="A9900" s="3" t="str">
        <f>IFERROR(__xludf.DUMMYFUNCTION("""COMPUTED_VALUE"""),"rock-n-rain-coin")</f>
        <v>rock-n-rain-coin</v>
      </c>
      <c r="B9900" s="3" t="str">
        <f>IFERROR(__xludf.DUMMYFUNCTION("""COMPUTED_VALUE"""),"rnrc")</f>
        <v>rnrc</v>
      </c>
      <c r="C9900" s="3" t="str">
        <f>IFERROR(__xludf.DUMMYFUNCTION("""COMPUTED_VALUE"""),"Rock N Rain Coin")</f>
        <v>Rock N Rain Coin</v>
      </c>
    </row>
    <row r="9901">
      <c r="A9901" s="3" t="str">
        <f>IFERROR(__xludf.DUMMYFUNCTION("""COMPUTED_VALUE"""),"rocks-idle-game")</f>
        <v>rocks-idle-game</v>
      </c>
      <c r="B9901" s="3" t="str">
        <f>IFERROR(__xludf.DUMMYFUNCTION("""COMPUTED_VALUE"""),"rocks")</f>
        <v>rocks</v>
      </c>
      <c r="C9901" s="3" t="str">
        <f>IFERROR(__xludf.DUMMYFUNCTION("""COMPUTED_VALUE"""),"Rocks Idle Game")</f>
        <v>Rocks Idle Game</v>
      </c>
    </row>
    <row r="9902">
      <c r="A9902" s="3" t="str">
        <f>IFERROR(__xludf.DUMMYFUNCTION("""COMPUTED_VALUE"""),"rockstar-doge")</f>
        <v>rockstar-doge</v>
      </c>
      <c r="B9902" s="3" t="str">
        <f>IFERROR(__xludf.DUMMYFUNCTION("""COMPUTED_VALUE"""),"rockstar")</f>
        <v>rockstar</v>
      </c>
      <c r="C9902" s="3" t="str">
        <f>IFERROR(__xludf.DUMMYFUNCTION("""COMPUTED_VALUE"""),"Rockstar Doge")</f>
        <v>Rockstar Doge</v>
      </c>
    </row>
    <row r="9903">
      <c r="A9903" s="3" t="str">
        <f>IFERROR(__xludf.DUMMYFUNCTION("""COMPUTED_VALUE"""),"rocky-inu")</f>
        <v>rocky-inu</v>
      </c>
      <c r="B9903" s="3" t="str">
        <f>IFERROR(__xludf.DUMMYFUNCTION("""COMPUTED_VALUE"""),"rocky")</f>
        <v>rocky</v>
      </c>
      <c r="C9903" s="3" t="str">
        <f>IFERROR(__xludf.DUMMYFUNCTION("""COMPUTED_VALUE"""),"Rocky Inu")</f>
        <v>Rocky Inu</v>
      </c>
    </row>
    <row r="9904">
      <c r="A9904" s="3" t="str">
        <f>IFERROR(__xludf.DUMMYFUNCTION("""COMPUTED_VALUE"""),"roco-finance")</f>
        <v>roco-finance</v>
      </c>
      <c r="B9904" s="3" t="str">
        <f>IFERROR(__xludf.DUMMYFUNCTION("""COMPUTED_VALUE"""),"roco")</f>
        <v>roco</v>
      </c>
      <c r="C9904" s="3" t="str">
        <f>IFERROR(__xludf.DUMMYFUNCTION("""COMPUTED_VALUE"""),"Roco Finance")</f>
        <v>Roco Finance</v>
      </c>
    </row>
    <row r="9905">
      <c r="A9905" s="3" t="str">
        <f>IFERROR(__xludf.DUMMYFUNCTION("""COMPUTED_VALUE"""),"rodeo-coin")</f>
        <v>rodeo-coin</v>
      </c>
      <c r="B9905" s="3" t="str">
        <f>IFERROR(__xludf.DUMMYFUNCTION("""COMPUTED_VALUE"""),"rodeo")</f>
        <v>rodeo</v>
      </c>
      <c r="C9905" s="3" t="str">
        <f>IFERROR(__xludf.DUMMYFUNCTION("""COMPUTED_VALUE"""),"Rodeo Coin")</f>
        <v>Rodeo Coin</v>
      </c>
    </row>
    <row r="9906">
      <c r="A9906" s="3" t="str">
        <f>IFERROR(__xludf.DUMMYFUNCTION("""COMPUTED_VALUE"""),"rogan")</f>
        <v>rogan</v>
      </c>
      <c r="B9906" s="3" t="str">
        <f>IFERROR(__xludf.DUMMYFUNCTION("""COMPUTED_VALUE"""),"rogan")</f>
        <v>rogan</v>
      </c>
      <c r="C9906" s="3" t="str">
        <f>IFERROR(__xludf.DUMMYFUNCTION("""COMPUTED_VALUE"""),"Rogan")</f>
        <v>Rogan</v>
      </c>
    </row>
    <row r="9907">
      <c r="A9907" s="3" t="str">
        <f>IFERROR(__xludf.DUMMYFUNCTION("""COMPUTED_VALUE"""),"roge")</f>
        <v>roge</v>
      </c>
      <c r="B9907" s="3" t="str">
        <f>IFERROR(__xludf.DUMMYFUNCTION("""COMPUTED_VALUE"""),"roge")</f>
        <v>roge</v>
      </c>
      <c r="C9907" s="3" t="str">
        <f>IFERROR(__xludf.DUMMYFUNCTION("""COMPUTED_VALUE"""),"Rogue Doge")</f>
        <v>Rogue Doge</v>
      </c>
    </row>
    <row r="9908">
      <c r="A9908" s="3" t="str">
        <f>IFERROR(__xludf.DUMMYFUNCTION("""COMPUTED_VALUE"""),"rogin-ai")</f>
        <v>rogin-ai</v>
      </c>
      <c r="B9908" s="3" t="str">
        <f>IFERROR(__xludf.DUMMYFUNCTION("""COMPUTED_VALUE"""),"rog")</f>
        <v>rog</v>
      </c>
      <c r="C9908" s="3" t="str">
        <f>IFERROR(__xludf.DUMMYFUNCTION("""COMPUTED_VALUE"""),"ROGin AI")</f>
        <v>ROGin AI</v>
      </c>
    </row>
    <row r="9909">
      <c r="A9909" s="3" t="str">
        <f>IFERROR(__xludf.DUMMYFUNCTION("""COMPUTED_VALUE"""),"rogue-coin")</f>
        <v>rogue-coin</v>
      </c>
      <c r="B9909" s="3" t="str">
        <f>IFERROR(__xludf.DUMMYFUNCTION("""COMPUTED_VALUE"""),"rogue")</f>
        <v>rogue</v>
      </c>
      <c r="C9909" s="3" t="str">
        <f>IFERROR(__xludf.DUMMYFUNCTION("""COMPUTED_VALUE"""),"Rogue Coin")</f>
        <v>Rogue Coin</v>
      </c>
    </row>
    <row r="9910">
      <c r="A9910" s="3" t="str">
        <f>IFERROR(__xludf.DUMMYFUNCTION("""COMPUTED_VALUE"""),"roi")</f>
        <v>roi</v>
      </c>
      <c r="B9910" s="3" t="str">
        <f>IFERROR(__xludf.DUMMYFUNCTION("""COMPUTED_VALUE"""),"roi")</f>
        <v>roi</v>
      </c>
      <c r="C9910" s="3" t="str">
        <f>IFERROR(__xludf.DUMMYFUNCTION("""COMPUTED_VALUE"""),"5ROI")</f>
        <v>5ROI</v>
      </c>
    </row>
    <row r="9911">
      <c r="A9911" s="3" t="str">
        <f>IFERROR(__xludf.DUMMYFUNCTION("""COMPUTED_VALUE"""),"roima-inc")</f>
        <v>roima-inc</v>
      </c>
      <c r="B9911" s="3" t="str">
        <f>IFERROR(__xludf.DUMMYFUNCTION("""COMPUTED_VALUE"""),"rmai")</f>
        <v>rmai</v>
      </c>
      <c r="C9911" s="3" t="str">
        <f>IFERROR(__xludf.DUMMYFUNCTION("""COMPUTED_VALUE"""),"ROIMA INC")</f>
        <v>ROIMA INC</v>
      </c>
    </row>
    <row r="9912">
      <c r="A9912" s="3" t="str">
        <f>IFERROR(__xludf.DUMMYFUNCTION("""COMPUTED_VALUE"""),"rokkit-fuel")</f>
        <v>rokkit-fuel</v>
      </c>
      <c r="B9912" s="3" t="str">
        <f>IFERROR(__xludf.DUMMYFUNCTION("""COMPUTED_VALUE"""),"$rokk")</f>
        <v>$rokk</v>
      </c>
      <c r="C9912" s="3" t="str">
        <f>IFERROR(__xludf.DUMMYFUNCTION("""COMPUTED_VALUE"""),"Rokkit Fuel")</f>
        <v>Rokkit Fuel</v>
      </c>
    </row>
    <row r="9913">
      <c r="A9913" s="3" t="str">
        <f>IFERROR(__xludf.DUMMYFUNCTION("""COMPUTED_VALUE"""),"rolaz-gold")</f>
        <v>rolaz-gold</v>
      </c>
      <c r="B9913" s="3" t="str">
        <f>IFERROR(__xludf.DUMMYFUNCTION("""COMPUTED_VALUE"""),"rgld")</f>
        <v>rgld</v>
      </c>
      <c r="C9913" s="3" t="str">
        <f>IFERROR(__xludf.DUMMYFUNCTION("""COMPUTED_VALUE"""),"Rolaz Gold")</f>
        <v>Rolaz Gold</v>
      </c>
    </row>
    <row r="9914">
      <c r="A9914" s="3" t="str">
        <f>IFERROR(__xludf.DUMMYFUNCTION("""COMPUTED_VALUE"""),"rollbit-coin")</f>
        <v>rollbit-coin</v>
      </c>
      <c r="B9914" s="3" t="str">
        <f>IFERROR(__xludf.DUMMYFUNCTION("""COMPUTED_VALUE"""),"rlb")</f>
        <v>rlb</v>
      </c>
      <c r="C9914" s="3" t="str">
        <f>IFERROR(__xludf.DUMMYFUNCTION("""COMPUTED_VALUE"""),"Rollbit Coin")</f>
        <v>Rollbit Coin</v>
      </c>
    </row>
    <row r="9915">
      <c r="A9915" s="3" t="str">
        <f>IFERROR(__xludf.DUMMYFUNCTION("""COMPUTED_VALUE"""),"rollium")</f>
        <v>rollium</v>
      </c>
      <c r="B9915" s="3" t="str">
        <f>IFERROR(__xludf.DUMMYFUNCTION("""COMPUTED_VALUE"""),"rlm")</f>
        <v>rlm</v>
      </c>
      <c r="C9915" s="3" t="str">
        <f>IFERROR(__xludf.DUMMYFUNCTION("""COMPUTED_VALUE"""),"MarbleVerse")</f>
        <v>MarbleVerse</v>
      </c>
    </row>
    <row r="9916">
      <c r="A9916" s="3" t="str">
        <f>IFERROR(__xludf.DUMMYFUNCTION("""COMPUTED_VALUE"""),"rome")</f>
        <v>rome</v>
      </c>
      <c r="B9916" s="3" t="str">
        <f>IFERROR(__xludf.DUMMYFUNCTION("""COMPUTED_VALUE"""),"rome")</f>
        <v>rome</v>
      </c>
      <c r="C9916" s="3" t="str">
        <f>IFERROR(__xludf.DUMMYFUNCTION("""COMPUTED_VALUE"""),"Rome")</f>
        <v>Rome</v>
      </c>
    </row>
    <row r="9917">
      <c r="A9917" s="3" t="str">
        <f>IFERROR(__xludf.DUMMYFUNCTION("""COMPUTED_VALUE"""),"romeo-doge")</f>
        <v>romeo-doge</v>
      </c>
      <c r="B9917" s="3" t="str">
        <f>IFERROR(__xludf.DUMMYFUNCTION("""COMPUTED_VALUE"""),"romeodoge")</f>
        <v>romeodoge</v>
      </c>
      <c r="C9917" s="3" t="str">
        <f>IFERROR(__xludf.DUMMYFUNCTION("""COMPUTED_VALUE"""),"Romeo Doge")</f>
        <v>Romeo Doge</v>
      </c>
    </row>
    <row r="9918">
      <c r="A9918" s="3" t="str">
        <f>IFERROR(__xludf.DUMMYFUNCTION("""COMPUTED_VALUE"""),"rond")</f>
        <v>rond</v>
      </c>
      <c r="B9918" s="3" t="str">
        <f>IFERROR(__xludf.DUMMYFUNCTION("""COMPUTED_VALUE"""),"rond")</f>
        <v>rond</v>
      </c>
      <c r="C9918" s="3" t="str">
        <f>IFERROR(__xludf.DUMMYFUNCTION("""COMPUTED_VALUE"""),"ROND")</f>
        <v>ROND</v>
      </c>
    </row>
    <row r="9919">
      <c r="A9919" s="3" t="str">
        <f>IFERROR(__xludf.DUMMYFUNCTION("""COMPUTED_VALUE"""),"ronin")</f>
        <v>ronin</v>
      </c>
      <c r="B9919" s="3" t="str">
        <f>IFERROR(__xludf.DUMMYFUNCTION("""COMPUTED_VALUE"""),"ron")</f>
        <v>ron</v>
      </c>
      <c r="C9919" s="3" t="str">
        <f>IFERROR(__xludf.DUMMYFUNCTION("""COMPUTED_VALUE"""),"Ronin")</f>
        <v>Ronin</v>
      </c>
    </row>
    <row r="9920">
      <c r="A9920" s="3" t="str">
        <f>IFERROR(__xludf.DUMMYFUNCTION("""COMPUTED_VALUE"""),"ronpaulcoin")</f>
        <v>ronpaulcoin</v>
      </c>
      <c r="B9920" s="3" t="str">
        <f>IFERROR(__xludf.DUMMYFUNCTION("""COMPUTED_VALUE"""),"rpc")</f>
        <v>rpc</v>
      </c>
      <c r="C9920" s="3" t="str">
        <f>IFERROR(__xludf.DUMMYFUNCTION("""COMPUTED_VALUE"""),"RonPaulCoin")</f>
        <v>RonPaulCoin</v>
      </c>
    </row>
    <row r="9921">
      <c r="A9921" s="3" t="str">
        <f>IFERROR(__xludf.DUMMYFUNCTION("""COMPUTED_VALUE"""),"roobee")</f>
        <v>roobee</v>
      </c>
      <c r="B9921" s="3" t="str">
        <f>IFERROR(__xludf.DUMMYFUNCTION("""COMPUTED_VALUE"""),"roobee")</f>
        <v>roobee</v>
      </c>
      <c r="C9921" s="3" t="str">
        <f>IFERROR(__xludf.DUMMYFUNCTION("""COMPUTED_VALUE"""),"Roobee")</f>
        <v>Roobee</v>
      </c>
    </row>
    <row r="9922">
      <c r="A9922" s="3" t="str">
        <f>IFERROR(__xludf.DUMMYFUNCTION("""COMPUTED_VALUE"""),"rook")</f>
        <v>rook</v>
      </c>
      <c r="B9922" s="3" t="str">
        <f>IFERROR(__xludf.DUMMYFUNCTION("""COMPUTED_VALUE"""),"rook")</f>
        <v>rook</v>
      </c>
      <c r="C9922" s="3" t="str">
        <f>IFERROR(__xludf.DUMMYFUNCTION("""COMPUTED_VALUE"""),"Rook")</f>
        <v>Rook</v>
      </c>
    </row>
    <row r="9923">
      <c r="A9923" s="3" t="str">
        <f>IFERROR(__xludf.DUMMYFUNCTION("""COMPUTED_VALUE"""),"rooster-battle")</f>
        <v>rooster-battle</v>
      </c>
      <c r="B9923" s="3" t="str">
        <f>IFERROR(__xludf.DUMMYFUNCTION("""COMPUTED_VALUE"""),"rice")</f>
        <v>rice</v>
      </c>
      <c r="C9923" s="3" t="str">
        <f>IFERROR(__xludf.DUMMYFUNCTION("""COMPUTED_VALUE"""),"Rooster Battle")</f>
        <v>Rooster Battle</v>
      </c>
    </row>
    <row r="9924">
      <c r="A9924" s="3" t="str">
        <f>IFERROR(__xludf.DUMMYFUNCTION("""COMPUTED_VALUE"""),"rootkit")</f>
        <v>rootkit</v>
      </c>
      <c r="B9924" s="3" t="str">
        <f>IFERROR(__xludf.DUMMYFUNCTION("""COMPUTED_VALUE"""),"root")</f>
        <v>root</v>
      </c>
      <c r="C9924" s="3" t="str">
        <f>IFERROR(__xludf.DUMMYFUNCTION("""COMPUTED_VALUE"""),"Rootkit")</f>
        <v>Rootkit</v>
      </c>
    </row>
    <row r="9925">
      <c r="A9925" s="3" t="str">
        <f>IFERROR(__xludf.DUMMYFUNCTION("""COMPUTED_VALUE"""),"rootstock")</f>
        <v>rootstock</v>
      </c>
      <c r="B9925" s="3" t="str">
        <f>IFERROR(__xludf.DUMMYFUNCTION("""COMPUTED_VALUE"""),"rbtc")</f>
        <v>rbtc</v>
      </c>
      <c r="C9925" s="3" t="str">
        <f>IFERROR(__xludf.DUMMYFUNCTION("""COMPUTED_VALUE"""),"Rootstock RSK")</f>
        <v>Rootstock RSK</v>
      </c>
    </row>
    <row r="9926">
      <c r="A9926" s="3" t="str">
        <f>IFERROR(__xludf.DUMMYFUNCTION("""COMPUTED_VALUE"""),"rope")</f>
        <v>rope</v>
      </c>
      <c r="B9926" s="3" t="str">
        <f>IFERROR(__xludf.DUMMYFUNCTION("""COMPUTED_VALUE"""),"$rope")</f>
        <v>$rope</v>
      </c>
      <c r="C9926" s="3" t="str">
        <f>IFERROR(__xludf.DUMMYFUNCTION("""COMPUTED_VALUE"""),"Rope")</f>
        <v>Rope</v>
      </c>
    </row>
    <row r="9927">
      <c r="A9927" s="3" t="str">
        <f>IFERROR(__xludf.DUMMYFUNCTION("""COMPUTED_VALUE"""),"rope-token")</f>
        <v>rope-token</v>
      </c>
      <c r="B9927" s="3" t="str">
        <f>IFERROR(__xludf.DUMMYFUNCTION("""COMPUTED_VALUE"""),"rope")</f>
        <v>rope</v>
      </c>
      <c r="C9927" s="3" t="str">
        <f>IFERROR(__xludf.DUMMYFUNCTION("""COMPUTED_VALUE"""),"Rope Token")</f>
        <v>Rope Token</v>
      </c>
    </row>
    <row r="9928">
      <c r="A9928" s="3" t="str">
        <f>IFERROR(__xludf.DUMMYFUNCTION("""COMPUTED_VALUE"""),"ror-universe")</f>
        <v>ror-universe</v>
      </c>
      <c r="B9928" s="3" t="str">
        <f>IFERROR(__xludf.DUMMYFUNCTION("""COMPUTED_VALUE"""),"ror")</f>
        <v>ror</v>
      </c>
      <c r="C9928" s="3" t="str">
        <f>IFERROR(__xludf.DUMMYFUNCTION("""COMPUTED_VALUE"""),"ROR Universe")</f>
        <v>ROR Universe</v>
      </c>
    </row>
    <row r="9929">
      <c r="A9929" s="3" t="str">
        <f>IFERROR(__xludf.DUMMYFUNCTION("""COMPUTED_VALUE"""),"rose")</f>
        <v>rose</v>
      </c>
      <c r="B9929" s="3" t="str">
        <f>IFERROR(__xludf.DUMMYFUNCTION("""COMPUTED_VALUE"""),"rose")</f>
        <v>rose</v>
      </c>
      <c r="C9929" s="3" t="str">
        <f>IFERROR(__xludf.DUMMYFUNCTION("""COMPUTED_VALUE"""),"Rose")</f>
        <v>Rose</v>
      </c>
    </row>
    <row r="9930">
      <c r="A9930" s="3" t="str">
        <f>IFERROR(__xludf.DUMMYFUNCTION("""COMPUTED_VALUE"""),"roseon-finance")</f>
        <v>roseon-finance</v>
      </c>
      <c r="B9930" s="3" t="str">
        <f>IFERROR(__xludf.DUMMYFUNCTION("""COMPUTED_VALUE"""),"rosn")</f>
        <v>rosn</v>
      </c>
      <c r="C9930" s="3" t="str">
        <f>IFERROR(__xludf.DUMMYFUNCTION("""COMPUTED_VALUE"""),"Roseon Finance")</f>
        <v>Roseon Finance</v>
      </c>
    </row>
    <row r="9931">
      <c r="A9931" s="3" t="str">
        <f>IFERROR(__xludf.DUMMYFUNCTION("""COMPUTED_VALUE"""),"ro-slayers")</f>
        <v>ro-slayers</v>
      </c>
      <c r="B9931" s="3" t="str">
        <f>IFERROR(__xludf.DUMMYFUNCTION("""COMPUTED_VALUE"""),"slyr")</f>
        <v>slyr</v>
      </c>
      <c r="C9931" s="3" t="str">
        <f>IFERROR(__xludf.DUMMYFUNCTION("""COMPUTED_VALUE"""),"RO Slayers")</f>
        <v>RO Slayers</v>
      </c>
    </row>
    <row r="9932">
      <c r="A9932" s="3" t="str">
        <f>IFERROR(__xludf.DUMMYFUNCTION("""COMPUTED_VALUE"""),"rosywhale")</f>
        <v>rosywhale</v>
      </c>
      <c r="B9932" s="3" t="str">
        <f>IFERROR(__xludf.DUMMYFUNCTION("""COMPUTED_VALUE"""),"rosy")</f>
        <v>rosy</v>
      </c>
      <c r="C9932" s="3" t="str">
        <f>IFERROR(__xludf.DUMMYFUNCTION("""COMPUTED_VALUE"""),"RosyWhale")</f>
        <v>RosyWhale</v>
      </c>
    </row>
    <row r="9933">
      <c r="A9933" s="3" t="str">
        <f>IFERROR(__xludf.DUMMYFUNCTION("""COMPUTED_VALUE"""),"rotharium")</f>
        <v>rotharium</v>
      </c>
      <c r="B9933" s="3" t="str">
        <f>IFERROR(__xludf.DUMMYFUNCTION("""COMPUTED_VALUE"""),"rth")</f>
        <v>rth</v>
      </c>
      <c r="C9933" s="3" t="str">
        <f>IFERROR(__xludf.DUMMYFUNCTION("""COMPUTED_VALUE"""),"Rotharium")</f>
        <v>Rotharium</v>
      </c>
    </row>
    <row r="9934">
      <c r="A9934" s="3" t="str">
        <f>IFERROR(__xludf.DUMMYFUNCTION("""COMPUTED_VALUE"""),"rotten")</f>
        <v>rotten</v>
      </c>
      <c r="B9934" s="3" t="str">
        <f>IFERROR(__xludf.DUMMYFUNCTION("""COMPUTED_VALUE"""),"rot")</f>
        <v>rot</v>
      </c>
      <c r="C9934" s="3" t="str">
        <f>IFERROR(__xludf.DUMMYFUNCTION("""COMPUTED_VALUE"""),"Rotten")</f>
        <v>Rotten</v>
      </c>
    </row>
    <row r="9935">
      <c r="A9935" s="3" t="str">
        <f>IFERROR(__xludf.DUMMYFUNCTION("""COMPUTED_VALUE"""),"round-dollar")</f>
        <v>round-dollar</v>
      </c>
      <c r="B9935" s="3" t="str">
        <f>IFERROR(__xludf.DUMMYFUNCTION("""COMPUTED_VALUE"""),"rd")</f>
        <v>rd</v>
      </c>
      <c r="C9935" s="3" t="str">
        <f>IFERROR(__xludf.DUMMYFUNCTION("""COMPUTED_VALUE"""),"Round Dollar")</f>
        <v>Round Dollar</v>
      </c>
    </row>
    <row r="9936">
      <c r="A9936" s="3" t="str">
        <f>IFERROR(__xludf.DUMMYFUNCTION("""COMPUTED_VALUE"""),"roundrobin-protocol-token")</f>
        <v>roundrobin-protocol-token</v>
      </c>
      <c r="B9936" s="3" t="str">
        <f>IFERROR(__xludf.DUMMYFUNCTION("""COMPUTED_VALUE"""),"rrt")</f>
        <v>rrt</v>
      </c>
      <c r="C9936" s="3" t="str">
        <f>IFERROR(__xludf.DUMMYFUNCTION("""COMPUTED_VALUE"""),"RoundRobin Protocol")</f>
        <v>RoundRobin Protocol</v>
      </c>
    </row>
    <row r="9937">
      <c r="A9937" s="3" t="str">
        <f>IFERROR(__xludf.DUMMYFUNCTION("""COMPUTED_VALUE"""),"round-x")</f>
        <v>round-x</v>
      </c>
      <c r="B9937" s="3" t="str">
        <f>IFERROR(__xludf.DUMMYFUNCTION("""COMPUTED_VALUE"""),"rndx")</f>
        <v>rndx</v>
      </c>
      <c r="C9937" s="3" t="str">
        <f>IFERROR(__xludf.DUMMYFUNCTION("""COMPUTED_VALUE"""),"Round X")</f>
        <v>Round X</v>
      </c>
    </row>
    <row r="9938">
      <c r="A9938" s="3" t="str">
        <f>IFERROR(__xludf.DUMMYFUNCTION("""COMPUTED_VALUE"""),"roush-fenway-racing-fan-token")</f>
        <v>roush-fenway-racing-fan-token</v>
      </c>
      <c r="B9938" s="3" t="str">
        <f>IFERROR(__xludf.DUMMYFUNCTION("""COMPUTED_VALUE"""),"roush")</f>
        <v>roush</v>
      </c>
      <c r="C9938" s="3" t="str">
        <f>IFERROR(__xludf.DUMMYFUNCTION("""COMPUTED_VALUE"""),"Roush Fenway Racing Fan Token")</f>
        <v>Roush Fenway Racing Fan Token</v>
      </c>
    </row>
    <row r="9939">
      <c r="A9939" s="3" t="str">
        <f>IFERROR(__xludf.DUMMYFUNCTION("""COMPUTED_VALUE"""),"route")</f>
        <v>route</v>
      </c>
      <c r="B9939" s="3" t="str">
        <f>IFERROR(__xludf.DUMMYFUNCTION("""COMPUTED_VALUE"""),"route")</f>
        <v>route</v>
      </c>
      <c r="C9939" s="3" t="str">
        <f>IFERROR(__xludf.DUMMYFUNCTION("""COMPUTED_VALUE"""),"Router Protocol")</f>
        <v>Router Protocol</v>
      </c>
    </row>
    <row r="9940">
      <c r="A9940" s="3" t="str">
        <f>IFERROR(__xludf.DUMMYFUNCTION("""COMPUTED_VALUE"""),"rover-inu")</f>
        <v>rover-inu</v>
      </c>
      <c r="B9940" s="3" t="str">
        <f>IFERROR(__xludf.DUMMYFUNCTION("""COMPUTED_VALUE"""),"rover")</f>
        <v>rover</v>
      </c>
      <c r="C9940" s="3" t="str">
        <f>IFERROR(__xludf.DUMMYFUNCTION("""COMPUTED_VALUE"""),"Rover Inu")</f>
        <v>Rover Inu</v>
      </c>
    </row>
    <row r="9941">
      <c r="A9941" s="3" t="str">
        <f>IFERROR(__xludf.DUMMYFUNCTION("""COMPUTED_VALUE"""),"rowan-coin")</f>
        <v>rowan-coin</v>
      </c>
      <c r="B9941" s="3" t="str">
        <f>IFERROR(__xludf.DUMMYFUNCTION("""COMPUTED_VALUE"""),"rwn")</f>
        <v>rwn</v>
      </c>
      <c r="C9941" s="3" t="str">
        <f>IFERROR(__xludf.DUMMYFUNCTION("""COMPUTED_VALUE"""),"Rowan Coin")</f>
        <v>Rowan Coin</v>
      </c>
    </row>
    <row r="9942">
      <c r="A9942" s="3" t="str">
        <f>IFERROR(__xludf.DUMMYFUNCTION("""COMPUTED_VALUE"""),"roxe")</f>
        <v>roxe</v>
      </c>
      <c r="B9942" s="3" t="str">
        <f>IFERROR(__xludf.DUMMYFUNCTION("""COMPUTED_VALUE"""),"roc")</f>
        <v>roc</v>
      </c>
      <c r="C9942" s="3" t="str">
        <f>IFERROR(__xludf.DUMMYFUNCTION("""COMPUTED_VALUE"""),"Roxe")</f>
        <v>Roxe</v>
      </c>
    </row>
    <row r="9943">
      <c r="A9943" s="3" t="str">
        <f>IFERROR(__xludf.DUMMYFUNCTION("""COMPUTED_VALUE"""),"royalada")</f>
        <v>royalada</v>
      </c>
      <c r="B9943" s="3" t="str">
        <f>IFERROR(__xludf.DUMMYFUNCTION("""COMPUTED_VALUE"""),"royalada")</f>
        <v>royalada</v>
      </c>
      <c r="C9943" s="3" t="str">
        <f>IFERROR(__xludf.DUMMYFUNCTION("""COMPUTED_VALUE"""),"RoyalADA")</f>
        <v>RoyalADA</v>
      </c>
    </row>
    <row r="9944">
      <c r="A9944" s="3" t="str">
        <f>IFERROR(__xludf.DUMMYFUNCTION("""COMPUTED_VALUE"""),"royal-doge")</f>
        <v>royal-doge</v>
      </c>
      <c r="B9944" s="3" t="str">
        <f>IFERROR(__xludf.DUMMYFUNCTION("""COMPUTED_VALUE"""),"rdoge")</f>
        <v>rdoge</v>
      </c>
      <c r="C9944" s="3" t="str">
        <f>IFERROR(__xludf.DUMMYFUNCTION("""COMPUTED_VALUE"""),"Royal Doge")</f>
        <v>Royal Doge</v>
      </c>
    </row>
    <row r="9945">
      <c r="A9945" s="3" t="str">
        <f>IFERROR(__xludf.DUMMYFUNCTION("""COMPUTED_VALUE"""),"royale")</f>
        <v>royale</v>
      </c>
      <c r="B9945" s="3" t="str">
        <f>IFERROR(__xludf.DUMMYFUNCTION("""COMPUTED_VALUE"""),"roya")</f>
        <v>roya</v>
      </c>
      <c r="C9945" s="3" t="str">
        <f>IFERROR(__xludf.DUMMYFUNCTION("""COMPUTED_VALUE"""),"Royale")</f>
        <v>Royale</v>
      </c>
    </row>
    <row r="9946">
      <c r="A9946" s="3" t="str">
        <f>IFERROR(__xludf.DUMMYFUNCTION("""COMPUTED_VALUE"""),"royal-gold")</f>
        <v>royal-gold</v>
      </c>
      <c r="B9946" s="3" t="str">
        <f>IFERROR(__xludf.DUMMYFUNCTION("""COMPUTED_VALUE"""),"rgold")</f>
        <v>rgold</v>
      </c>
      <c r="C9946" s="3" t="str">
        <f>IFERROR(__xludf.DUMMYFUNCTION("""COMPUTED_VALUE"""),"Royal Gold")</f>
        <v>Royal Gold</v>
      </c>
    </row>
    <row r="9947">
      <c r="A9947" s="3" t="str">
        <f>IFERROR(__xludf.DUMMYFUNCTION("""COMPUTED_VALUE"""),"royalpay")</f>
        <v>royalpay</v>
      </c>
      <c r="B9947" s="3" t="str">
        <f>IFERROR(__xludf.DUMMYFUNCTION("""COMPUTED_VALUE"""),"royal")</f>
        <v>royal</v>
      </c>
      <c r="C9947" s="3" t="str">
        <f>IFERROR(__xludf.DUMMYFUNCTION("""COMPUTED_VALUE"""),"RoyalPay")</f>
        <v>RoyalPay</v>
      </c>
    </row>
    <row r="9948">
      <c r="A9948" s="3" t="str">
        <f>IFERROR(__xludf.DUMMYFUNCTION("""COMPUTED_VALUE"""),"royal-protocol")</f>
        <v>royal-protocol</v>
      </c>
      <c r="B9948" s="3" t="str">
        <f>IFERROR(__xludf.DUMMYFUNCTION("""COMPUTED_VALUE"""),"roy")</f>
        <v>roy</v>
      </c>
      <c r="C9948" s="3" t="str">
        <f>IFERROR(__xludf.DUMMYFUNCTION("""COMPUTED_VALUE"""),"Royal Protocol")</f>
        <v>Royal Protocol</v>
      </c>
    </row>
    <row r="9949">
      <c r="A9949" s="3" t="str">
        <f>IFERROR(__xludf.DUMMYFUNCTION("""COMPUTED_VALUE"""),"royal-smart-future-token")</f>
        <v>royal-smart-future-token</v>
      </c>
      <c r="B9949" s="3" t="str">
        <f>IFERROR(__xludf.DUMMYFUNCTION("""COMPUTED_VALUE"""),"rsft")</f>
        <v>rsft</v>
      </c>
      <c r="C9949" s="3" t="str">
        <f>IFERROR(__xludf.DUMMYFUNCTION("""COMPUTED_VALUE"""),"ROYAL SMART FUTURE TOKEN")</f>
        <v>ROYAL SMART FUTURE TOKEN</v>
      </c>
    </row>
    <row r="9950">
      <c r="A9950" s="3" t="str">
        <f>IFERROR(__xludf.DUMMYFUNCTION("""COMPUTED_VALUE"""),"rps-league")</f>
        <v>rps-league</v>
      </c>
      <c r="B9950" s="3" t="str">
        <f>IFERROR(__xludf.DUMMYFUNCTION("""COMPUTED_VALUE"""),"rps")</f>
        <v>rps</v>
      </c>
      <c r="C9950" s="3" t="str">
        <f>IFERROR(__xludf.DUMMYFUNCTION("""COMPUTED_VALUE"""),"Rps League")</f>
        <v>Rps League</v>
      </c>
    </row>
    <row r="9951">
      <c r="A9951" s="3" t="str">
        <f>IFERROR(__xludf.DUMMYFUNCTION("""COMPUTED_VALUE"""),"rss3")</f>
        <v>rss3</v>
      </c>
      <c r="B9951" s="3" t="str">
        <f>IFERROR(__xludf.DUMMYFUNCTION("""COMPUTED_VALUE"""),"rss3")</f>
        <v>rss3</v>
      </c>
      <c r="C9951" s="3" t="str">
        <f>IFERROR(__xludf.DUMMYFUNCTION("""COMPUTED_VALUE"""),"RSS3")</f>
        <v>RSS3</v>
      </c>
    </row>
    <row r="9952">
      <c r="A9952" s="3" t="str">
        <f>IFERROR(__xludf.DUMMYFUNCTION("""COMPUTED_VALUE"""),"rubic")</f>
        <v>rubic</v>
      </c>
      <c r="B9952" s="3" t="str">
        <f>IFERROR(__xludf.DUMMYFUNCTION("""COMPUTED_VALUE"""),"rbc")</f>
        <v>rbc</v>
      </c>
      <c r="C9952" s="3" t="str">
        <f>IFERROR(__xludf.DUMMYFUNCTION("""COMPUTED_VALUE"""),"Rubic")</f>
        <v>Rubic</v>
      </c>
    </row>
    <row r="9953">
      <c r="A9953" s="3" t="str">
        <f>IFERROR(__xludf.DUMMYFUNCTION("""COMPUTED_VALUE"""),"rubidium")</f>
        <v>rubidium</v>
      </c>
      <c r="B9953" s="3" t="str">
        <f>IFERROR(__xludf.DUMMYFUNCTION("""COMPUTED_VALUE"""),"rbd")</f>
        <v>rbd</v>
      </c>
      <c r="C9953" s="3" t="str">
        <f>IFERROR(__xludf.DUMMYFUNCTION("""COMPUTED_VALUE"""),"Rubidium")</f>
        <v>Rubidium</v>
      </c>
    </row>
    <row r="9954">
      <c r="A9954" s="3" t="str">
        <f>IFERROR(__xludf.DUMMYFUNCTION("""COMPUTED_VALUE"""),"rubix")</f>
        <v>rubix</v>
      </c>
      <c r="B9954" s="3" t="str">
        <f>IFERROR(__xludf.DUMMYFUNCTION("""COMPUTED_VALUE"""),"rbt")</f>
        <v>rbt</v>
      </c>
      <c r="C9954" s="3" t="str">
        <f>IFERROR(__xludf.DUMMYFUNCTION("""COMPUTED_VALUE"""),"Rubix")</f>
        <v>Rubix</v>
      </c>
    </row>
    <row r="9955">
      <c r="A9955" s="3" t="str">
        <f>IFERROR(__xludf.DUMMYFUNCTION("""COMPUTED_VALUE"""),"rublix")</f>
        <v>rublix</v>
      </c>
      <c r="B9955" s="3" t="str">
        <f>IFERROR(__xludf.DUMMYFUNCTION("""COMPUTED_VALUE"""),"rblx")</f>
        <v>rblx</v>
      </c>
      <c r="C9955" s="3" t="str">
        <f>IFERROR(__xludf.DUMMYFUNCTION("""COMPUTED_VALUE"""),"Rublix")</f>
        <v>Rublix</v>
      </c>
    </row>
    <row r="9956">
      <c r="A9956" s="3" t="str">
        <f>IFERROR(__xludf.DUMMYFUNCTION("""COMPUTED_VALUE"""),"ruby")</f>
        <v>ruby</v>
      </c>
      <c r="B9956" s="3" t="str">
        <f>IFERROR(__xludf.DUMMYFUNCTION("""COMPUTED_VALUE"""),"ruby")</f>
        <v>ruby</v>
      </c>
      <c r="C9956" s="3" t="str">
        <f>IFERROR(__xludf.DUMMYFUNCTION("""COMPUTED_VALUE"""),"RUBY")</f>
        <v>RUBY</v>
      </c>
    </row>
    <row r="9957">
      <c r="A9957" s="3" t="str">
        <f>IFERROR(__xludf.DUMMYFUNCTION("""COMPUTED_VALUE"""),"ruby-cash")</f>
        <v>ruby-cash</v>
      </c>
      <c r="B9957" s="3" t="str">
        <f>IFERROR(__xludf.DUMMYFUNCTION("""COMPUTED_VALUE"""),"ruby")</f>
        <v>ruby</v>
      </c>
      <c r="C9957" s="3" t="str">
        <f>IFERROR(__xludf.DUMMYFUNCTION("""COMPUTED_VALUE"""),"Ruby Cash")</f>
        <v>Ruby Cash</v>
      </c>
    </row>
    <row r="9958">
      <c r="A9958" s="3" t="str">
        <f>IFERROR(__xludf.DUMMYFUNCTION("""COMPUTED_VALUE"""),"ruby-currency")</f>
        <v>ruby-currency</v>
      </c>
      <c r="B9958" s="3" t="str">
        <f>IFERROR(__xludf.DUMMYFUNCTION("""COMPUTED_VALUE"""),"rbc")</f>
        <v>rbc</v>
      </c>
      <c r="C9958" s="3" t="str">
        <f>IFERROR(__xludf.DUMMYFUNCTION("""COMPUTED_VALUE"""),"Ruby Currency")</f>
        <v>Ruby Currency</v>
      </c>
    </row>
    <row r="9959">
      <c r="A9959" s="3" t="str">
        <f>IFERROR(__xludf.DUMMYFUNCTION("""COMPUTED_VALUE"""),"ruby-play-network")</f>
        <v>ruby-play-network</v>
      </c>
      <c r="B9959" s="3" t="str">
        <f>IFERROR(__xludf.DUMMYFUNCTION("""COMPUTED_VALUE"""),"ruby")</f>
        <v>ruby</v>
      </c>
      <c r="C9959" s="3" t="str">
        <f>IFERROR(__xludf.DUMMYFUNCTION("""COMPUTED_VALUE"""),"Ruby Play Network")</f>
        <v>Ruby Play Network</v>
      </c>
    </row>
    <row r="9960">
      <c r="A9960" s="3" t="str">
        <f>IFERROR(__xludf.DUMMYFUNCTION("""COMPUTED_VALUE"""),"ruff")</f>
        <v>ruff</v>
      </c>
      <c r="B9960" s="3" t="str">
        <f>IFERROR(__xludf.DUMMYFUNCTION("""COMPUTED_VALUE"""),"ruff")</f>
        <v>ruff</v>
      </c>
      <c r="C9960" s="3" t="str">
        <f>IFERROR(__xludf.DUMMYFUNCTION("""COMPUTED_VALUE"""),"Ruff")</f>
        <v>Ruff</v>
      </c>
    </row>
    <row r="9961">
      <c r="A9961" s="3" t="str">
        <f>IFERROR(__xludf.DUMMYFUNCTION("""COMPUTED_VALUE"""),"r-u-generous")</f>
        <v>r-u-generous</v>
      </c>
      <c r="B9961" s="3" t="str">
        <f>IFERROR(__xludf.DUMMYFUNCTION("""COMPUTED_VALUE"""),"rug")</f>
        <v>rug</v>
      </c>
      <c r="C9961" s="3" t="str">
        <f>IFERROR(__xludf.DUMMYFUNCTION("""COMPUTED_VALUE"""),"R U Generous")</f>
        <v>R U Generous</v>
      </c>
    </row>
    <row r="9962">
      <c r="A9962" s="3" t="str">
        <f>IFERROR(__xludf.DUMMYFUNCTION("""COMPUTED_VALUE"""),"rugpull-prevention")</f>
        <v>rugpull-prevention</v>
      </c>
      <c r="B9962" s="3" t="str">
        <f>IFERROR(__xludf.DUMMYFUNCTION("""COMPUTED_VALUE"""),"rugpull")</f>
        <v>rugpull</v>
      </c>
      <c r="C9962" s="3" t="str">
        <f>IFERROR(__xludf.DUMMYFUNCTION("""COMPUTED_VALUE"""),"Rugpull Prevention")</f>
        <v>Rugpull Prevention</v>
      </c>
    </row>
    <row r="9963">
      <c r="A9963" s="3" t="str">
        <f>IFERROR(__xludf.DUMMYFUNCTION("""COMPUTED_VALUE"""),"rug-radio")</f>
        <v>rug-radio</v>
      </c>
      <c r="B9963" s="3" t="str">
        <f>IFERROR(__xludf.DUMMYFUNCTION("""COMPUTED_VALUE"""),"rug")</f>
        <v>rug</v>
      </c>
      <c r="C9963" s="3" t="str">
        <f>IFERROR(__xludf.DUMMYFUNCTION("""COMPUTED_VALUE"""),"RUG RADIO")</f>
        <v>RUG RADIO</v>
      </c>
    </row>
    <row r="9964">
      <c r="A9964" s="3" t="str">
        <f>IFERROR(__xludf.DUMMYFUNCTION("""COMPUTED_VALUE"""),"rugzombie")</f>
        <v>rugzombie</v>
      </c>
      <c r="B9964" s="3" t="str">
        <f>IFERROR(__xludf.DUMMYFUNCTION("""COMPUTED_VALUE"""),"zmbe")</f>
        <v>zmbe</v>
      </c>
      <c r="C9964" s="3" t="str">
        <f>IFERROR(__xludf.DUMMYFUNCTION("""COMPUTED_VALUE"""),"RugZombie")</f>
        <v>RugZombie</v>
      </c>
    </row>
    <row r="9965">
      <c r="A9965" s="3" t="str">
        <f>IFERROR(__xludf.DUMMYFUNCTION("""COMPUTED_VALUE"""),"ruler-protocol")</f>
        <v>ruler-protocol</v>
      </c>
      <c r="B9965" s="3" t="str">
        <f>IFERROR(__xludf.DUMMYFUNCTION("""COMPUTED_VALUE"""),"ruler")</f>
        <v>ruler</v>
      </c>
      <c r="C9965" s="3" t="str">
        <f>IFERROR(__xludf.DUMMYFUNCTION("""COMPUTED_VALUE"""),"Ruler Protocol")</f>
        <v>Ruler Protocol</v>
      </c>
    </row>
    <row r="9966">
      <c r="A9966" s="3" t="str">
        <f>IFERROR(__xludf.DUMMYFUNCTION("""COMPUTED_VALUE"""),"run")</f>
        <v>run</v>
      </c>
      <c r="B9966" s="3" t="str">
        <f>IFERROR(__xludf.DUMMYFUNCTION("""COMPUTED_VALUE"""),"run")</f>
        <v>run</v>
      </c>
      <c r="C9966" s="3" t="str">
        <f>IFERROR(__xludf.DUMMYFUNCTION("""COMPUTED_VALUE"""),"Run")</f>
        <v>Run</v>
      </c>
    </row>
    <row r="9967">
      <c r="A9967" s="3" t="str">
        <f>IFERROR(__xludf.DUMMYFUNCTION("""COMPUTED_VALUE"""),"runblox")</f>
        <v>runblox</v>
      </c>
      <c r="B9967" s="3" t="str">
        <f>IFERROR(__xludf.DUMMYFUNCTION("""COMPUTED_VALUE"""),"rux")</f>
        <v>rux</v>
      </c>
      <c r="C9967" s="3" t="str">
        <f>IFERROR(__xludf.DUMMYFUNCTION("""COMPUTED_VALUE"""),"RunBlox")</f>
        <v>RunBlox</v>
      </c>
    </row>
    <row r="9968">
      <c r="A9968" s="3" t="str">
        <f>IFERROR(__xludf.DUMMYFUNCTION("""COMPUTED_VALUE"""),"run-burn")</f>
        <v>run-burn</v>
      </c>
      <c r="B9968" s="3" t="str">
        <f>IFERROR(__xludf.DUMMYFUNCTION("""COMPUTED_VALUE"""),"rbt")</f>
        <v>rbt</v>
      </c>
      <c r="C9968" s="3" t="str">
        <f>IFERROR(__xludf.DUMMYFUNCTION("""COMPUTED_VALUE"""),"Run&amp;Burn")</f>
        <v>Run&amp;Burn</v>
      </c>
    </row>
    <row r="9969">
      <c r="A9969" s="3" t="str">
        <f>IFERROR(__xludf.DUMMYFUNCTION("""COMPUTED_VALUE"""),"rune")</f>
        <v>rune</v>
      </c>
      <c r="B9969" s="3" t="str">
        <f>IFERROR(__xludf.DUMMYFUNCTION("""COMPUTED_VALUE"""),"rune")</f>
        <v>rune</v>
      </c>
      <c r="C9969" s="3" t="str">
        <f>IFERROR(__xludf.DUMMYFUNCTION("""COMPUTED_VALUE"""),"Rune")</f>
        <v>Rune</v>
      </c>
    </row>
    <row r="9970">
      <c r="A9970" s="3" t="str">
        <f>IFERROR(__xludf.DUMMYFUNCTION("""COMPUTED_VALUE"""),"runearner")</f>
        <v>runearner</v>
      </c>
      <c r="B9970" s="3" t="str">
        <f>IFERROR(__xludf.DUMMYFUNCTION("""COMPUTED_VALUE"""),"runearn")</f>
        <v>runearn</v>
      </c>
      <c r="C9970" s="3" t="str">
        <f>IFERROR(__xludf.DUMMYFUNCTION("""COMPUTED_VALUE"""),"RunEarner")</f>
        <v>RunEarner</v>
      </c>
    </row>
    <row r="9971">
      <c r="A9971" s="3" t="str">
        <f>IFERROR(__xludf.DUMMYFUNCTION("""COMPUTED_VALUE"""),"rune-shards")</f>
        <v>rune-shards</v>
      </c>
      <c r="B9971" s="3" t="str">
        <f>IFERROR(__xludf.DUMMYFUNCTION("""COMPUTED_VALUE"""),"rxs")</f>
        <v>rxs</v>
      </c>
      <c r="C9971" s="3" t="str">
        <f>IFERROR(__xludf.DUMMYFUNCTION("""COMPUTED_VALUE"""),"Rune Shards")</f>
        <v>Rune Shards</v>
      </c>
    </row>
    <row r="9972">
      <c r="A9972" s="3" t="str">
        <f>IFERROR(__xludf.DUMMYFUNCTION("""COMPUTED_VALUE"""),"run-for-life")</f>
        <v>run-for-life</v>
      </c>
      <c r="B9972" s="3" t="str">
        <f>IFERROR(__xludf.DUMMYFUNCTION("""COMPUTED_VALUE"""),"rfl")</f>
        <v>rfl</v>
      </c>
      <c r="C9972" s="3" t="str">
        <f>IFERROR(__xludf.DUMMYFUNCTION("""COMPUTED_VALUE"""),"Run For Life")</f>
        <v>Run For Life</v>
      </c>
    </row>
    <row r="9973">
      <c r="A9973" s="3" t="str">
        <f>IFERROR(__xludf.DUMMYFUNCTION("""COMPUTED_VALUE"""),"runner-land")</f>
        <v>runner-land</v>
      </c>
      <c r="B9973" s="3" t="str">
        <f>IFERROR(__xludf.DUMMYFUNCTION("""COMPUTED_VALUE"""),"rltv2")</f>
        <v>rltv2</v>
      </c>
      <c r="C9973" s="3" t="str">
        <f>IFERROR(__xludf.DUMMYFUNCTION("""COMPUTED_VALUE"""),"RLTv2")</f>
        <v>RLTv2</v>
      </c>
    </row>
    <row r="9974">
      <c r="A9974" s="3" t="str">
        <f>IFERROR(__xludf.DUMMYFUNCTION("""COMPUTED_VALUE"""),"run-together")</f>
        <v>run-together</v>
      </c>
      <c r="B9974" s="3" t="str">
        <f>IFERROR(__xludf.DUMMYFUNCTION("""COMPUTED_VALUE"""),"run")</f>
        <v>run</v>
      </c>
      <c r="C9974" s="3" t="str">
        <f>IFERROR(__xludf.DUMMYFUNCTION("""COMPUTED_VALUE"""),"Run Together")</f>
        <v>Run Together</v>
      </c>
    </row>
    <row r="9975">
      <c r="A9975" s="3" t="str">
        <f>IFERROR(__xludf.DUMMYFUNCTION("""COMPUTED_VALUE"""),"rupee")</f>
        <v>rupee</v>
      </c>
      <c r="B9975" s="3" t="str">
        <f>IFERROR(__xludf.DUMMYFUNCTION("""COMPUTED_VALUE"""),"rup")</f>
        <v>rup</v>
      </c>
      <c r="C9975" s="3" t="str">
        <f>IFERROR(__xludf.DUMMYFUNCTION("""COMPUTED_VALUE"""),"Rupee")</f>
        <v>Rupee</v>
      </c>
    </row>
    <row r="9976">
      <c r="A9976" s="3" t="str">
        <f>IFERROR(__xludf.DUMMYFUNCTION("""COMPUTED_VALUE"""),"rupiah-token")</f>
        <v>rupiah-token</v>
      </c>
      <c r="B9976" s="3" t="str">
        <f>IFERROR(__xludf.DUMMYFUNCTION("""COMPUTED_VALUE"""),"idrt")</f>
        <v>idrt</v>
      </c>
      <c r="C9976" s="3" t="str">
        <f>IFERROR(__xludf.DUMMYFUNCTION("""COMPUTED_VALUE"""),"Rupiah")</f>
        <v>Rupiah</v>
      </c>
    </row>
    <row r="9977">
      <c r="A9977" s="3" t="str">
        <f>IFERROR(__xludf.DUMMYFUNCTION("""COMPUTED_VALUE"""),"rusd")</f>
        <v>rusd</v>
      </c>
      <c r="B9977" s="3" t="str">
        <f>IFERROR(__xludf.DUMMYFUNCTION("""COMPUTED_VALUE"""),"rusd")</f>
        <v>rusd</v>
      </c>
      <c r="C9977" s="3" t="str">
        <f>IFERROR(__xludf.DUMMYFUNCTION("""COMPUTED_VALUE"""),"rUSD")</f>
        <v>rUSD</v>
      </c>
    </row>
    <row r="9978">
      <c r="A9978" s="3" t="str">
        <f>IFERROR(__xludf.DUMMYFUNCTION("""COMPUTED_VALUE"""),"rushcoin")</f>
        <v>rushcoin</v>
      </c>
      <c r="B9978" s="3" t="str">
        <f>IFERROR(__xludf.DUMMYFUNCTION("""COMPUTED_VALUE"""),"rush")</f>
        <v>rush</v>
      </c>
      <c r="C9978" s="3" t="str">
        <f>IFERROR(__xludf.DUMMYFUNCTION("""COMPUTED_VALUE"""),"RushCoin")</f>
        <v>RushCoin</v>
      </c>
    </row>
    <row r="9979">
      <c r="A9979" s="3" t="str">
        <f>IFERROR(__xludf.DUMMYFUNCTION("""COMPUTED_VALUE"""),"rutheneum")</f>
        <v>rutheneum</v>
      </c>
      <c r="B9979" s="3" t="str">
        <f>IFERROR(__xludf.DUMMYFUNCTION("""COMPUTED_VALUE"""),"rth")</f>
        <v>rth</v>
      </c>
      <c r="C9979" s="3" t="str">
        <f>IFERROR(__xludf.DUMMYFUNCTION("""COMPUTED_VALUE"""),"Rutheneum")</f>
        <v>Rutheneum</v>
      </c>
    </row>
    <row r="9980">
      <c r="A9980" s="3" t="str">
        <f>IFERROR(__xludf.DUMMYFUNCTION("""COMPUTED_VALUE"""),"ruufcoin")</f>
        <v>ruufcoin</v>
      </c>
      <c r="B9980" s="3" t="str">
        <f>IFERROR(__xludf.DUMMYFUNCTION("""COMPUTED_VALUE"""),"ruuf")</f>
        <v>ruuf</v>
      </c>
      <c r="C9980" s="3" t="str">
        <f>IFERROR(__xludf.DUMMYFUNCTION("""COMPUTED_VALUE"""),"RuufCoin")</f>
        <v>RuufCoin</v>
      </c>
    </row>
    <row r="9981">
      <c r="A9981" s="3" t="str">
        <f>IFERROR(__xludf.DUMMYFUNCTION("""COMPUTED_VALUE"""),"ruyi")</f>
        <v>ruyi</v>
      </c>
      <c r="B9981" s="3" t="str">
        <f>IFERROR(__xludf.DUMMYFUNCTION("""COMPUTED_VALUE"""),"ruyi")</f>
        <v>ruyi</v>
      </c>
      <c r="C9981" s="3" t="str">
        <f>IFERROR(__xludf.DUMMYFUNCTION("""COMPUTED_VALUE"""),"Ruyi")</f>
        <v>Ruyi</v>
      </c>
    </row>
    <row r="9982">
      <c r="A9982" s="3" t="str">
        <f>IFERROR(__xludf.DUMMYFUNCTION("""COMPUTED_VALUE"""),"rxcdnatoken")</f>
        <v>rxcdnatoken</v>
      </c>
      <c r="B9982" s="3" t="str">
        <f>IFERROR(__xludf.DUMMYFUNCTION("""COMPUTED_VALUE"""),"dna")</f>
        <v>dna</v>
      </c>
      <c r="C9982" s="3" t="str">
        <f>IFERROR(__xludf.DUMMYFUNCTION("""COMPUTED_VALUE"""),"RxcDna")</f>
        <v>RxcDna</v>
      </c>
    </row>
    <row r="9983">
      <c r="A9983" s="3" t="str">
        <f>IFERROR(__xludf.DUMMYFUNCTION("""COMPUTED_VALUE"""),"rxcgames")</f>
        <v>rxcgames</v>
      </c>
      <c r="B9983" s="3" t="str">
        <f>IFERROR(__xludf.DUMMYFUNCTION("""COMPUTED_VALUE"""),"rxcg")</f>
        <v>rxcg</v>
      </c>
      <c r="C9983" s="3" t="str">
        <f>IFERROR(__xludf.DUMMYFUNCTION("""COMPUTED_VALUE"""),"RXCGames")</f>
        <v>RXCGames</v>
      </c>
    </row>
    <row r="9984">
      <c r="A9984" s="3" t="str">
        <f>IFERROR(__xludf.DUMMYFUNCTION("""COMPUTED_VALUE"""),"ryi-unity")</f>
        <v>ryi-unity</v>
      </c>
      <c r="B9984" s="3" t="str">
        <f>IFERROR(__xludf.DUMMYFUNCTION("""COMPUTED_VALUE"""),"ryiu")</f>
        <v>ryiu</v>
      </c>
      <c r="C9984" s="3" t="str">
        <f>IFERROR(__xludf.DUMMYFUNCTION("""COMPUTED_VALUE"""),"RYI Unity")</f>
        <v>RYI Unity</v>
      </c>
    </row>
    <row r="9985">
      <c r="A9985" s="3" t="str">
        <f>IFERROR(__xludf.DUMMYFUNCTION("""COMPUTED_VALUE"""),"ryo")</f>
        <v>ryo</v>
      </c>
      <c r="B9985" s="3" t="str">
        <f>IFERROR(__xludf.DUMMYFUNCTION("""COMPUTED_VALUE"""),"ryo")</f>
        <v>ryo</v>
      </c>
      <c r="C9985" s="3" t="str">
        <f>IFERROR(__xludf.DUMMYFUNCTION("""COMPUTED_VALUE"""),"Ryo Currency")</f>
        <v>Ryo Currency</v>
      </c>
    </row>
    <row r="9986">
      <c r="A9986" s="3" t="str">
        <f>IFERROR(__xludf.DUMMYFUNCTION("""COMPUTED_VALUE"""),"ryoma")</f>
        <v>ryoma</v>
      </c>
      <c r="B9986" s="3" t="str">
        <f>IFERROR(__xludf.DUMMYFUNCTION("""COMPUTED_VALUE"""),"ryoma")</f>
        <v>ryoma</v>
      </c>
      <c r="C9986" s="3" t="str">
        <f>IFERROR(__xludf.DUMMYFUNCTION("""COMPUTED_VALUE"""),"Ryoma")</f>
        <v>Ryoma</v>
      </c>
    </row>
    <row r="9987">
      <c r="A9987" s="3" t="str">
        <f>IFERROR(__xludf.DUMMYFUNCTION("""COMPUTED_VALUE"""),"ryoshis-vision")</f>
        <v>ryoshis-vision</v>
      </c>
      <c r="B9987" s="3" t="str">
        <f>IFERROR(__xludf.DUMMYFUNCTION("""COMPUTED_VALUE"""),"ryoshi")</f>
        <v>ryoshi</v>
      </c>
      <c r="C9987" s="3" t="str">
        <f>IFERROR(__xludf.DUMMYFUNCTION("""COMPUTED_VALUE"""),"Ryoshis Vision")</f>
        <v>Ryoshis Vision</v>
      </c>
    </row>
    <row r="9988">
      <c r="A9988" s="3" t="str">
        <f>IFERROR(__xludf.DUMMYFUNCTION("""COMPUTED_VALUE"""),"ryoshi-token")</f>
        <v>ryoshi-token</v>
      </c>
      <c r="B9988" s="3" t="str">
        <f>IFERROR(__xludf.DUMMYFUNCTION("""COMPUTED_VALUE"""),"ryoshi")</f>
        <v>ryoshi</v>
      </c>
      <c r="C9988" s="3" t="str">
        <f>IFERROR(__xludf.DUMMYFUNCTION("""COMPUTED_VALUE"""),"Ryoshi")</f>
        <v>Ryoshi</v>
      </c>
    </row>
    <row r="9989">
      <c r="A9989" s="3" t="str">
        <f>IFERROR(__xludf.DUMMYFUNCTION("""COMPUTED_VALUE"""),"s4fe")</f>
        <v>s4fe</v>
      </c>
      <c r="B9989" s="3" t="str">
        <f>IFERROR(__xludf.DUMMYFUNCTION("""COMPUTED_VALUE"""),"s4f")</f>
        <v>s4f</v>
      </c>
      <c r="C9989" s="3" t="str">
        <f>IFERROR(__xludf.DUMMYFUNCTION("""COMPUTED_VALUE"""),"S4FE")</f>
        <v>S4FE</v>
      </c>
    </row>
    <row r="9990">
      <c r="A9990" s="3" t="str">
        <f>IFERROR(__xludf.DUMMYFUNCTION("""COMPUTED_VALUE"""),"sabac-warrior")</f>
        <v>sabac-warrior</v>
      </c>
      <c r="B9990" s="3" t="str">
        <f>IFERROR(__xludf.DUMMYFUNCTION("""COMPUTED_VALUE"""),"sw")</f>
        <v>sw</v>
      </c>
      <c r="C9990" s="3" t="str">
        <f>IFERROR(__xludf.DUMMYFUNCTION("""COMPUTED_VALUE"""),"Sabac Warrior")</f>
        <v>Sabac Warrior</v>
      </c>
    </row>
    <row r="9991">
      <c r="A9991" s="3" t="str">
        <f>IFERROR(__xludf.DUMMYFUNCTION("""COMPUTED_VALUE"""),"sabaka-inu")</f>
        <v>sabaka-inu</v>
      </c>
      <c r="B9991" s="3" t="str">
        <f>IFERROR(__xludf.DUMMYFUNCTION("""COMPUTED_VALUE"""),"sabaka inu")</f>
        <v>sabaka inu</v>
      </c>
      <c r="C9991" s="3" t="str">
        <f>IFERROR(__xludf.DUMMYFUNCTION("""COMPUTED_VALUE"""),"Sabaka Inu")</f>
        <v>Sabaka Inu</v>
      </c>
    </row>
    <row r="9992">
      <c r="A9992" s="3" t="str">
        <f>IFERROR(__xludf.DUMMYFUNCTION("""COMPUTED_VALUE"""),"saber")</f>
        <v>saber</v>
      </c>
      <c r="B9992" s="3" t="str">
        <f>IFERROR(__xludf.DUMMYFUNCTION("""COMPUTED_VALUE"""),"sbr")</f>
        <v>sbr</v>
      </c>
      <c r="C9992" s="3" t="str">
        <f>IFERROR(__xludf.DUMMYFUNCTION("""COMPUTED_VALUE"""),"Saber")</f>
        <v>Saber</v>
      </c>
    </row>
    <row r="9993">
      <c r="A9993" s="3" t="str">
        <f>IFERROR(__xludf.DUMMYFUNCTION("""COMPUTED_VALUE"""),"sacred-tails")</f>
        <v>sacred-tails</v>
      </c>
      <c r="B9993" s="3" t="str">
        <f>IFERROR(__xludf.DUMMYFUNCTION("""COMPUTED_VALUE"""),"st")</f>
        <v>st</v>
      </c>
      <c r="C9993" s="3" t="str">
        <f>IFERROR(__xludf.DUMMYFUNCTION("""COMPUTED_VALUE"""),"Sacred Tails")</f>
        <v>Sacred Tails</v>
      </c>
    </row>
    <row r="9994">
      <c r="A9994" s="3" t="str">
        <f>IFERROR(__xludf.DUMMYFUNCTION("""COMPUTED_VALUE"""),"sadbaby-2")</f>
        <v>sadbaby-2</v>
      </c>
      <c r="B9994" s="3" t="str">
        <f>IFERROR(__xludf.DUMMYFUNCTION("""COMPUTED_VALUE"""),"sdby")</f>
        <v>sdby</v>
      </c>
      <c r="C9994" s="3" t="str">
        <f>IFERROR(__xludf.DUMMYFUNCTION("""COMPUTED_VALUE"""),"Sadbaby")</f>
        <v>Sadbaby</v>
      </c>
    </row>
    <row r="9995">
      <c r="A9995" s="3" t="str">
        <f>IFERROR(__xludf.DUMMYFUNCTION("""COMPUTED_VALUE"""),"saddle-finance")</f>
        <v>saddle-finance</v>
      </c>
      <c r="B9995" s="3" t="str">
        <f>IFERROR(__xludf.DUMMYFUNCTION("""COMPUTED_VALUE"""),"sdl")</f>
        <v>sdl</v>
      </c>
      <c r="C9995" s="3" t="str">
        <f>IFERROR(__xludf.DUMMYFUNCTION("""COMPUTED_VALUE"""),"Saddle Finance")</f>
        <v>Saddle Finance</v>
      </c>
    </row>
    <row r="9996">
      <c r="A9996" s="3" t="str">
        <f>IFERROR(__xludf.DUMMYFUNCTION("""COMPUTED_VALUE"""),"safcoin")</f>
        <v>safcoin</v>
      </c>
      <c r="B9996" s="3" t="str">
        <f>IFERROR(__xludf.DUMMYFUNCTION("""COMPUTED_VALUE"""),"saf")</f>
        <v>saf</v>
      </c>
      <c r="C9996" s="3" t="str">
        <f>IFERROR(__xludf.DUMMYFUNCTION("""COMPUTED_VALUE"""),"SafCoin")</f>
        <v>SafCoin</v>
      </c>
    </row>
    <row r="9997">
      <c r="A9997" s="3" t="str">
        <f>IFERROR(__xludf.DUMMYFUNCTION("""COMPUTED_VALUE"""),"safe")</f>
        <v>safe</v>
      </c>
      <c r="B9997" s="3" t="str">
        <f>IFERROR(__xludf.DUMMYFUNCTION("""COMPUTED_VALUE"""),"safe")</f>
        <v>safe</v>
      </c>
      <c r="C9997" s="3" t="str">
        <f>IFERROR(__xludf.DUMMYFUNCTION("""COMPUTED_VALUE"""),"Safe Token")</f>
        <v>Safe Token</v>
      </c>
    </row>
    <row r="9998">
      <c r="A9998" s="3" t="str">
        <f>IFERROR(__xludf.DUMMYFUNCTION("""COMPUTED_VALUE"""),"safe-anwang")</f>
        <v>safe-anwang</v>
      </c>
      <c r="B9998" s="3" t="str">
        <f>IFERROR(__xludf.DUMMYFUNCTION("""COMPUTED_VALUE"""),"safe")</f>
        <v>safe</v>
      </c>
      <c r="C9998" s="3" t="str">
        <f>IFERROR(__xludf.DUMMYFUNCTION("""COMPUTED_VALUE"""),"SAFE(AnWang)")</f>
        <v>SAFE(AnWang)</v>
      </c>
    </row>
    <row r="9999">
      <c r="A9999" s="3" t="str">
        <f>IFERROR(__xludf.DUMMYFUNCTION("""COMPUTED_VALUE"""),"safe-baby-shiba")</f>
        <v>safe-baby-shiba</v>
      </c>
      <c r="B9999" s="3" t="str">
        <f>IFERROR(__xludf.DUMMYFUNCTION("""COMPUTED_VALUE"""),"sbsh")</f>
        <v>sbsh</v>
      </c>
      <c r="C9999" s="3" t="str">
        <f>IFERROR(__xludf.DUMMYFUNCTION("""COMPUTED_VALUE"""),"Safe Baby Shiba")</f>
        <v>Safe Baby Shiba</v>
      </c>
    </row>
    <row r="10000">
      <c r="A10000" s="3" t="str">
        <f>IFERROR(__xludf.DUMMYFUNCTION("""COMPUTED_VALUE"""),"safebank")</f>
        <v>safebank</v>
      </c>
      <c r="B10000" s="3" t="str">
        <f>IFERROR(__xludf.DUMMYFUNCTION("""COMPUTED_VALUE"""),"safebank")</f>
        <v>safebank</v>
      </c>
      <c r="C10000" s="3" t="str">
        <f>IFERROR(__xludf.DUMMYFUNCTION("""COMPUTED_VALUE"""),"SafeBank")</f>
        <v>SafeBank</v>
      </c>
    </row>
    <row r="10001">
      <c r="A10001" s="3" t="str">
        <f>IFERROR(__xludf.DUMMYFUNCTION("""COMPUTED_VALUE"""),"safebank-token")</f>
        <v>safebank-token</v>
      </c>
      <c r="B10001" s="3" t="str">
        <f>IFERROR(__xludf.DUMMYFUNCTION("""COMPUTED_VALUE"""),"sbank")</f>
        <v>sbank</v>
      </c>
      <c r="C10001" s="3" t="str">
        <f>IFERROR(__xludf.DUMMYFUNCTION("""COMPUTED_VALUE"""),"SafeBank BSC")</f>
        <v>SafeBank BSC</v>
      </c>
    </row>
    <row r="10002">
      <c r="A10002" s="3" t="str">
        <f>IFERROR(__xludf.DUMMYFUNCTION("""COMPUTED_VALUE"""),"safebitcoin")</f>
        <v>safebitcoin</v>
      </c>
      <c r="B10002" s="3" t="str">
        <f>IFERROR(__xludf.DUMMYFUNCTION("""COMPUTED_VALUE"""),"safebtc")</f>
        <v>safebtc</v>
      </c>
      <c r="C10002" s="3" t="str">
        <f>IFERROR(__xludf.DUMMYFUNCTION("""COMPUTED_VALUE"""),"SafeBitcoin")</f>
        <v>SafeBitcoin</v>
      </c>
    </row>
    <row r="10003">
      <c r="A10003" s="3" t="str">
        <f>IFERROR(__xludf.DUMMYFUNCTION("""COMPUTED_VALUE"""),"safeblast")</f>
        <v>safeblast</v>
      </c>
      <c r="B10003" s="3" t="str">
        <f>IFERROR(__xludf.DUMMYFUNCTION("""COMPUTED_VALUE"""),"blast")</f>
        <v>blast</v>
      </c>
      <c r="C10003" s="3" t="str">
        <f>IFERROR(__xludf.DUMMYFUNCTION("""COMPUTED_VALUE"""),"SafeBlast")</f>
        <v>SafeBlast</v>
      </c>
    </row>
    <row r="10004">
      <c r="A10004" s="3" t="str">
        <f>IFERROR(__xludf.DUMMYFUNCTION("""COMPUTED_VALUE"""),"safecapital")</f>
        <v>safecapital</v>
      </c>
      <c r="B10004" s="3" t="str">
        <f>IFERROR(__xludf.DUMMYFUNCTION("""COMPUTED_VALUE"""),"scap")</f>
        <v>scap</v>
      </c>
      <c r="C10004" s="3" t="str">
        <f>IFERROR(__xludf.DUMMYFUNCTION("""COMPUTED_VALUE"""),"SafeCapital")</f>
        <v>SafeCapital</v>
      </c>
    </row>
    <row r="10005">
      <c r="A10005" s="3" t="str">
        <f>IFERROR(__xludf.DUMMYFUNCTION("""COMPUTED_VALUE"""),"safecap-token")</f>
        <v>safecap-token</v>
      </c>
      <c r="B10005" s="3" t="str">
        <f>IFERROR(__xludf.DUMMYFUNCTION("""COMPUTED_VALUE"""),"sfc")</f>
        <v>sfc</v>
      </c>
      <c r="C10005" s="3" t="str">
        <f>IFERROR(__xludf.DUMMYFUNCTION("""COMPUTED_VALUE"""),"SafeCap")</f>
        <v>SafeCap</v>
      </c>
    </row>
    <row r="10006">
      <c r="A10006" s="3" t="str">
        <f>IFERROR(__xludf.DUMMYFUNCTION("""COMPUTED_VALUE"""),"safechaintoken")</f>
        <v>safechaintoken</v>
      </c>
      <c r="B10006" s="3" t="str">
        <f>IFERROR(__xludf.DUMMYFUNCTION("""COMPUTED_VALUE"""),"sct")</f>
        <v>sct</v>
      </c>
      <c r="C10006" s="3" t="str">
        <f>IFERROR(__xludf.DUMMYFUNCTION("""COMPUTED_VALUE"""),"Safechain")</f>
        <v>Safechain</v>
      </c>
    </row>
    <row r="10007">
      <c r="A10007" s="3" t="str">
        <f>IFERROR(__xludf.DUMMYFUNCTION("""COMPUTED_VALUE"""),"safeclassic")</f>
        <v>safeclassic</v>
      </c>
      <c r="B10007" s="3" t="str">
        <f>IFERROR(__xludf.DUMMYFUNCTION("""COMPUTED_VALUE"""),"safeclassic")</f>
        <v>safeclassic</v>
      </c>
      <c r="C10007" s="3" t="str">
        <f>IFERROR(__xludf.DUMMYFUNCTION("""COMPUTED_VALUE"""),"SafeClassic")</f>
        <v>SafeClassic</v>
      </c>
    </row>
    <row r="10008">
      <c r="A10008" s="3" t="str">
        <f>IFERROR(__xludf.DUMMYFUNCTION("""COMPUTED_VALUE"""),"safe-coin-2")</f>
        <v>safe-coin-2</v>
      </c>
      <c r="B10008" s="3" t="str">
        <f>IFERROR(__xludf.DUMMYFUNCTION("""COMPUTED_VALUE"""),"safe")</f>
        <v>safe</v>
      </c>
      <c r="C10008" s="3" t="str">
        <f>IFERROR(__xludf.DUMMYFUNCTION("""COMPUTED_VALUE"""),"SafeCoin")</f>
        <v>SafeCoin</v>
      </c>
    </row>
    <row r="10009">
      <c r="A10009" s="3" t="str">
        <f>IFERROR(__xludf.DUMMYFUNCTION("""COMPUTED_VALUE"""),"safecookie")</f>
        <v>safecookie</v>
      </c>
      <c r="B10009" s="3" t="str">
        <f>IFERROR(__xludf.DUMMYFUNCTION("""COMPUTED_VALUE"""),"safecookie")</f>
        <v>safecookie</v>
      </c>
      <c r="C10009" s="3" t="str">
        <f>IFERROR(__xludf.DUMMYFUNCTION("""COMPUTED_VALUE"""),"SafeCookie")</f>
        <v>SafeCookie</v>
      </c>
    </row>
    <row r="10010">
      <c r="A10010" s="3" t="str">
        <f>IFERROR(__xludf.DUMMYFUNCTION("""COMPUTED_VALUE"""),"safe-deal")</f>
        <v>safe-deal</v>
      </c>
      <c r="B10010" s="3" t="str">
        <f>IFERROR(__xludf.DUMMYFUNCTION("""COMPUTED_VALUE"""),"sfd")</f>
        <v>sfd</v>
      </c>
      <c r="C10010" s="3" t="str">
        <f>IFERROR(__xludf.DUMMYFUNCTION("""COMPUTED_VALUE"""),"SafeDeal")</f>
        <v>SafeDeal</v>
      </c>
    </row>
    <row r="10011">
      <c r="A10011" s="3" t="str">
        <f>IFERROR(__xludf.DUMMYFUNCTION("""COMPUTED_VALUE"""),"safedogecoin-v2")</f>
        <v>safedogecoin-v2</v>
      </c>
      <c r="B10011" s="3" t="str">
        <f>IFERROR(__xludf.DUMMYFUNCTION("""COMPUTED_VALUE"""),"safedoge")</f>
        <v>safedoge</v>
      </c>
      <c r="C10011" s="3" t="str">
        <f>IFERROR(__xludf.DUMMYFUNCTION("""COMPUTED_VALUE"""),"SafeDogeCoin V2")</f>
        <v>SafeDogeCoin V2</v>
      </c>
    </row>
    <row r="10012">
      <c r="A10012" s="3" t="str">
        <f>IFERROR(__xludf.DUMMYFUNCTION("""COMPUTED_VALUE"""),"safedollar")</f>
        <v>safedollar</v>
      </c>
      <c r="B10012" s="3" t="str">
        <f>IFERROR(__xludf.DUMMYFUNCTION("""COMPUTED_VALUE"""),"sdo")</f>
        <v>sdo</v>
      </c>
      <c r="C10012" s="3" t="str">
        <f>IFERROR(__xludf.DUMMYFUNCTION("""COMPUTED_VALUE"""),"SafeDollar")</f>
        <v>SafeDollar</v>
      </c>
    </row>
    <row r="10013">
      <c r="A10013" s="3" t="str">
        <f>IFERROR(__xludf.DUMMYFUNCTION("""COMPUTED_VALUE"""),"safedollar-shares")</f>
        <v>safedollar-shares</v>
      </c>
      <c r="B10013" s="3" t="str">
        <f>IFERROR(__xludf.DUMMYFUNCTION("""COMPUTED_VALUE"""),"sds")</f>
        <v>sds</v>
      </c>
      <c r="C10013" s="3" t="str">
        <f>IFERROR(__xludf.DUMMYFUNCTION("""COMPUTED_VALUE"""),"SafeDollar Shares")</f>
        <v>SafeDollar Shares</v>
      </c>
    </row>
    <row r="10014">
      <c r="A10014" s="3" t="str">
        <f>IFERROR(__xludf.DUMMYFUNCTION("""COMPUTED_VALUE"""),"safe-drive")</f>
        <v>safe-drive</v>
      </c>
      <c r="B10014" s="3" t="str">
        <f>IFERROR(__xludf.DUMMYFUNCTION("""COMPUTED_VALUE"""),"drive")</f>
        <v>drive</v>
      </c>
      <c r="C10014" s="3" t="str">
        <f>IFERROR(__xludf.DUMMYFUNCTION("""COMPUTED_VALUE"""),"Safe Drive")</f>
        <v>Safe Drive</v>
      </c>
    </row>
    <row r="10015">
      <c r="A10015" s="3" t="str">
        <f>IFERROR(__xludf.DUMMYFUNCTION("""COMPUTED_VALUE"""),"safe-earn")</f>
        <v>safe-earn</v>
      </c>
      <c r="B10015" s="3" t="str">
        <f>IFERROR(__xludf.DUMMYFUNCTION("""COMPUTED_VALUE"""),"safearn")</f>
        <v>safearn</v>
      </c>
      <c r="C10015" s="3" t="str">
        <f>IFERROR(__xludf.DUMMYFUNCTION("""COMPUTED_VALUE"""),"Safe Earn")</f>
        <v>Safe Earn</v>
      </c>
    </row>
    <row r="10016">
      <c r="A10016" s="3" t="str">
        <f>IFERROR(__xludf.DUMMYFUNCTION("""COMPUTED_VALUE"""),"safeearth")</f>
        <v>safeearth</v>
      </c>
      <c r="B10016" s="3" t="str">
        <f>IFERROR(__xludf.DUMMYFUNCTION("""COMPUTED_VALUE"""),"safeearth")</f>
        <v>safeearth</v>
      </c>
      <c r="C10016" s="3" t="str">
        <f>IFERROR(__xludf.DUMMYFUNCTION("""COMPUTED_VALUE"""),"SafeEarth")</f>
        <v>SafeEarth</v>
      </c>
    </row>
    <row r="10017">
      <c r="A10017" s="3" t="str">
        <f>IFERROR(__xludf.DUMMYFUNCTION("""COMPUTED_VALUE"""),"safe-energy")</f>
        <v>safe-energy</v>
      </c>
      <c r="B10017" s="3" t="str">
        <f>IFERROR(__xludf.DUMMYFUNCTION("""COMPUTED_VALUE"""),"energyx")</f>
        <v>energyx</v>
      </c>
      <c r="C10017" s="3" t="str">
        <f>IFERROR(__xludf.DUMMYFUNCTION("""COMPUTED_VALUE"""),"Safe Energy")</f>
        <v>Safe Energy</v>
      </c>
    </row>
    <row r="10018">
      <c r="A10018" s="3" t="str">
        <f>IFERROR(__xludf.DUMMYFUNCTION("""COMPUTED_VALUE"""),"safegem")</f>
        <v>safegem</v>
      </c>
      <c r="B10018" s="3" t="str">
        <f>IFERROR(__xludf.DUMMYFUNCTION("""COMPUTED_VALUE"""),"gems")</f>
        <v>gems</v>
      </c>
      <c r="C10018" s="3" t="str">
        <f>IFERROR(__xludf.DUMMYFUNCTION("""COMPUTED_VALUE"""),"Safegem")</f>
        <v>Safegem</v>
      </c>
    </row>
    <row r="10019">
      <c r="A10019" s="3" t="str">
        <f>IFERROR(__xludf.DUMMYFUNCTION("""COMPUTED_VALUE"""),"safehamsters")</f>
        <v>safehamsters</v>
      </c>
      <c r="B10019" s="3" t="str">
        <f>IFERROR(__xludf.DUMMYFUNCTION("""COMPUTED_VALUE"""),"safehamsters")</f>
        <v>safehamsters</v>
      </c>
      <c r="C10019" s="3" t="str">
        <f>IFERROR(__xludf.DUMMYFUNCTION("""COMPUTED_VALUE"""),"SafeHamsters")</f>
        <v>SafeHamsters</v>
      </c>
    </row>
    <row r="10020">
      <c r="A10020" s="3" t="str">
        <f>IFERROR(__xludf.DUMMYFUNCTION("""COMPUTED_VALUE"""),"safe-haven")</f>
        <v>safe-haven</v>
      </c>
      <c r="B10020" s="3" t="str">
        <f>IFERROR(__xludf.DUMMYFUNCTION("""COMPUTED_VALUE"""),"sha")</f>
        <v>sha</v>
      </c>
      <c r="C10020" s="3" t="str">
        <f>IFERROR(__xludf.DUMMYFUNCTION("""COMPUTED_VALUE"""),"Safe Haven")</f>
        <v>Safe Haven</v>
      </c>
    </row>
    <row r="10021">
      <c r="A10021" s="3" t="str">
        <f>IFERROR(__xludf.DUMMYFUNCTION("""COMPUTED_VALUE"""),"safeinsure")</f>
        <v>safeinsure</v>
      </c>
      <c r="B10021" s="3" t="str">
        <f>IFERROR(__xludf.DUMMYFUNCTION("""COMPUTED_VALUE"""),"sins")</f>
        <v>sins</v>
      </c>
      <c r="C10021" s="3" t="str">
        <f>IFERROR(__xludf.DUMMYFUNCTION("""COMPUTED_VALUE"""),"SafeInsure")</f>
        <v>SafeInsure</v>
      </c>
    </row>
    <row r="10022">
      <c r="A10022" s="3" t="str">
        <f>IFERROR(__xludf.DUMMYFUNCTION("""COMPUTED_VALUE"""),"safelaunch")</f>
        <v>safelaunch</v>
      </c>
      <c r="B10022" s="3" t="str">
        <f>IFERROR(__xludf.DUMMYFUNCTION("""COMPUTED_VALUE"""),"sfex")</f>
        <v>sfex</v>
      </c>
      <c r="C10022" s="3" t="str">
        <f>IFERROR(__xludf.DUMMYFUNCTION("""COMPUTED_VALUE"""),"SafeLaunch")</f>
        <v>SafeLaunch</v>
      </c>
    </row>
    <row r="10023">
      <c r="A10023" s="3" t="str">
        <f>IFERROR(__xludf.DUMMYFUNCTION("""COMPUTED_VALUE"""),"safelcarus")</f>
        <v>safelcarus</v>
      </c>
      <c r="B10023" s="3" t="str">
        <f>IFERROR(__xludf.DUMMYFUNCTION("""COMPUTED_VALUE"""),"safeicarus")</f>
        <v>safeicarus</v>
      </c>
      <c r="C10023" s="3" t="str">
        <f>IFERROR(__xludf.DUMMYFUNCTION("""COMPUTED_VALUE"""),"SafeIcarus")</f>
        <v>SafeIcarus</v>
      </c>
    </row>
    <row r="10024">
      <c r="A10024" s="3" t="str">
        <f>IFERROR(__xludf.DUMMYFUNCTION("""COMPUTED_VALUE"""),"safemars")</f>
        <v>safemars</v>
      </c>
      <c r="B10024" s="3" t="str">
        <f>IFERROR(__xludf.DUMMYFUNCTION("""COMPUTED_VALUE"""),"safemars")</f>
        <v>safemars</v>
      </c>
      <c r="C10024" s="3" t="str">
        <f>IFERROR(__xludf.DUMMYFUNCTION("""COMPUTED_VALUE"""),"Safemars")</f>
        <v>Safemars</v>
      </c>
    </row>
    <row r="10025">
      <c r="A10025" s="3" t="str">
        <f>IFERROR(__xludf.DUMMYFUNCTION("""COMPUTED_VALUE"""),"safemars-protocol")</f>
        <v>safemars-protocol</v>
      </c>
      <c r="B10025" s="3" t="str">
        <f>IFERROR(__xludf.DUMMYFUNCTION("""COMPUTED_VALUE"""),"smars")</f>
        <v>smars</v>
      </c>
      <c r="C10025" s="3" t="str">
        <f>IFERROR(__xludf.DUMMYFUNCTION("""COMPUTED_VALUE"""),"Safemars Protocol")</f>
        <v>Safemars Protocol</v>
      </c>
    </row>
    <row r="10026">
      <c r="A10026" s="3" t="str">
        <f>IFERROR(__xludf.DUMMYFUNCTION("""COMPUTED_VALUE"""),"safememe")</f>
        <v>safememe</v>
      </c>
      <c r="B10026" s="3" t="str">
        <f>IFERROR(__xludf.DUMMYFUNCTION("""COMPUTED_VALUE"""),"sme")</f>
        <v>sme</v>
      </c>
      <c r="C10026" s="3" t="str">
        <f>IFERROR(__xludf.DUMMYFUNCTION("""COMPUTED_VALUE"""),"SafeMeme")</f>
        <v>SafeMeme</v>
      </c>
    </row>
    <row r="10027">
      <c r="A10027" s="3" t="str">
        <f>IFERROR(__xludf.DUMMYFUNCTION("""COMPUTED_VALUE"""),"safemoney")</f>
        <v>safemoney</v>
      </c>
      <c r="B10027" s="3" t="str">
        <f>IFERROR(__xludf.DUMMYFUNCTION("""COMPUTED_VALUE"""),"safemoney")</f>
        <v>safemoney</v>
      </c>
      <c r="C10027" s="3" t="str">
        <f>IFERROR(__xludf.DUMMYFUNCTION("""COMPUTED_VALUE"""),"SafeMoney")</f>
        <v>SafeMoney</v>
      </c>
    </row>
    <row r="10028">
      <c r="A10028" s="3" t="str">
        <f>IFERROR(__xludf.DUMMYFUNCTION("""COMPUTED_VALUE"""),"safemoneybsc")</f>
        <v>safemoneybsc</v>
      </c>
      <c r="B10028" s="3" t="str">
        <f>IFERROR(__xludf.DUMMYFUNCTION("""COMPUTED_VALUE"""),"safemoney")</f>
        <v>safemoney</v>
      </c>
      <c r="C10028" s="3" t="str">
        <f>IFERROR(__xludf.DUMMYFUNCTION("""COMPUTED_VALUE"""),"SafeMoneyBSC")</f>
        <v>SafeMoneyBSC</v>
      </c>
    </row>
    <row r="10029">
      <c r="A10029" s="3" t="str">
        <f>IFERROR(__xludf.DUMMYFUNCTION("""COMPUTED_VALUE"""),"safemoon")</f>
        <v>safemoon</v>
      </c>
      <c r="B10029" s="3" t="str">
        <f>IFERROR(__xludf.DUMMYFUNCTION("""COMPUTED_VALUE"""),"safemoon")</f>
        <v>safemoon</v>
      </c>
      <c r="C10029" s="3" t="str">
        <f>IFERROR(__xludf.DUMMYFUNCTION("""COMPUTED_VALUE"""),"SafeMoon [OLD]")</f>
        <v>SafeMoon [OLD]</v>
      </c>
    </row>
    <row r="10030">
      <c r="A10030" s="3" t="str">
        <f>IFERROR(__xludf.DUMMYFUNCTION("""COMPUTED_VALUE"""),"safemoon-2")</f>
        <v>safemoon-2</v>
      </c>
      <c r="B10030" s="3" t="str">
        <f>IFERROR(__xludf.DUMMYFUNCTION("""COMPUTED_VALUE"""),"sfm")</f>
        <v>sfm</v>
      </c>
      <c r="C10030" s="3" t="str">
        <f>IFERROR(__xludf.DUMMYFUNCTION("""COMPUTED_VALUE"""),"SafeMoon")</f>
        <v>SafeMoon</v>
      </c>
    </row>
    <row r="10031">
      <c r="A10031" s="3" t="str">
        <f>IFERROR(__xludf.DUMMYFUNCTION("""COMPUTED_VALUE"""),"safemoonavax")</f>
        <v>safemoonavax</v>
      </c>
      <c r="B10031" s="3" t="str">
        <f>IFERROR(__xludf.DUMMYFUNCTION("""COMPUTED_VALUE"""),"safemoona")</f>
        <v>safemoona</v>
      </c>
      <c r="C10031" s="3" t="str">
        <f>IFERROR(__xludf.DUMMYFUNCTION("""COMPUTED_VALUE"""),"SafemoonAvax")</f>
        <v>SafemoonAvax</v>
      </c>
    </row>
    <row r="10032">
      <c r="A10032" s="3" t="str">
        <f>IFERROR(__xludf.DUMMYFUNCTION("""COMPUTED_VALUE"""),"safemoon-inu")</f>
        <v>safemoon-inu</v>
      </c>
      <c r="B10032" s="3" t="str">
        <f>IFERROR(__xludf.DUMMYFUNCTION("""COMPUTED_VALUE"""),"smi")</f>
        <v>smi</v>
      </c>
      <c r="C10032" s="3" t="str">
        <f>IFERROR(__xludf.DUMMYFUNCTION("""COMPUTED_VALUE"""),"SafeMoon Inu")</f>
        <v>SafeMoon Inu</v>
      </c>
    </row>
    <row r="10033">
      <c r="A10033" s="3" t="str">
        <f>IFERROR(__xludf.DUMMYFUNCTION("""COMPUTED_VALUE"""),"safemoon-swap")</f>
        <v>safemoon-swap</v>
      </c>
      <c r="B10033" s="3" t="str">
        <f>IFERROR(__xludf.DUMMYFUNCTION("""COMPUTED_VALUE"""),"sfms")</f>
        <v>sfms</v>
      </c>
      <c r="C10033" s="3" t="str">
        <f>IFERROR(__xludf.DUMMYFUNCTION("""COMPUTED_VALUE"""),"SafeMoon Swap")</f>
        <v>SafeMoon Swap</v>
      </c>
    </row>
    <row r="10034">
      <c r="A10034" s="3" t="str">
        <f>IFERROR(__xludf.DUMMYFUNCTION("""COMPUTED_VALUE"""),"safemoon-zilla")</f>
        <v>safemoon-zilla</v>
      </c>
      <c r="B10034" s="3" t="str">
        <f>IFERROR(__xludf.DUMMYFUNCTION("""COMPUTED_VALUE"""),"sfz")</f>
        <v>sfz</v>
      </c>
      <c r="C10034" s="3" t="str">
        <f>IFERROR(__xludf.DUMMYFUNCTION("""COMPUTED_VALUE"""),"Safemoon Zilla")</f>
        <v>Safemoon Zilla</v>
      </c>
    </row>
    <row r="10035">
      <c r="A10035" s="3" t="str">
        <f>IFERROR(__xludf.DUMMYFUNCTION("""COMPUTED_VALUE"""),"safenami")</f>
        <v>safenami</v>
      </c>
      <c r="B10035" s="3" t="str">
        <f>IFERROR(__xludf.DUMMYFUNCTION("""COMPUTED_VALUE"""),"safenami")</f>
        <v>safenami</v>
      </c>
      <c r="C10035" s="3" t="str">
        <f>IFERROR(__xludf.DUMMYFUNCTION("""COMPUTED_VALUE"""),"SafeNami")</f>
        <v>SafeNami</v>
      </c>
    </row>
    <row r="10036">
      <c r="A10036" s="3" t="str">
        <f>IFERROR(__xludf.DUMMYFUNCTION("""COMPUTED_VALUE"""),"safe-nebula")</f>
        <v>safe-nebula</v>
      </c>
      <c r="B10036" s="3" t="str">
        <f>IFERROR(__xludf.DUMMYFUNCTION("""COMPUTED_VALUE"""),"snb")</f>
        <v>snb</v>
      </c>
      <c r="C10036" s="3" t="str">
        <f>IFERROR(__xludf.DUMMYFUNCTION("""COMPUTED_VALUE"""),"Safe Nebula")</f>
        <v>Safe Nebula</v>
      </c>
    </row>
    <row r="10037">
      <c r="A10037" s="3" t="str">
        <f>IFERROR(__xludf.DUMMYFUNCTION("""COMPUTED_VALUE"""),"safepal")</f>
        <v>safepal</v>
      </c>
      <c r="B10037" s="3" t="str">
        <f>IFERROR(__xludf.DUMMYFUNCTION("""COMPUTED_VALUE"""),"sfp")</f>
        <v>sfp</v>
      </c>
      <c r="C10037" s="3" t="str">
        <f>IFERROR(__xludf.DUMMYFUNCTION("""COMPUTED_VALUE"""),"SafePal")</f>
        <v>SafePal</v>
      </c>
    </row>
    <row r="10038">
      <c r="A10038" s="3" t="str">
        <f>IFERROR(__xludf.DUMMYFUNCTION("""COMPUTED_VALUE"""),"safepe")</f>
        <v>safepe</v>
      </c>
      <c r="B10038" s="3" t="str">
        <f>IFERROR(__xludf.DUMMYFUNCTION("""COMPUTED_VALUE"""),"loox")</f>
        <v>loox</v>
      </c>
      <c r="C10038" s="3" t="str">
        <f>IFERROR(__xludf.DUMMYFUNCTION("""COMPUTED_VALUE"""),"SafePe")</f>
        <v>SafePe</v>
      </c>
    </row>
    <row r="10039">
      <c r="A10039" s="3" t="str">
        <f>IFERROR(__xludf.DUMMYFUNCTION("""COMPUTED_VALUE"""),"safeplus")</f>
        <v>safeplus</v>
      </c>
      <c r="B10039" s="3" t="str">
        <f>IFERROR(__xludf.DUMMYFUNCTION("""COMPUTED_VALUE"""),"$splusv2")</f>
        <v>$splusv2</v>
      </c>
      <c r="C10039" s="3" t="str">
        <f>IFERROR(__xludf.DUMMYFUNCTION("""COMPUTED_VALUE"""),"SafePlus V2")</f>
        <v>SafePlus V2</v>
      </c>
    </row>
    <row r="10040">
      <c r="A10040" s="3" t="str">
        <f>IFERROR(__xludf.DUMMYFUNCTION("""COMPUTED_VALUE"""),"safermoon")</f>
        <v>safermoon</v>
      </c>
      <c r="B10040" s="3" t="str">
        <f>IFERROR(__xludf.DUMMYFUNCTION("""COMPUTED_VALUE"""),"safermoon")</f>
        <v>safermoon</v>
      </c>
      <c r="C10040" s="3" t="str">
        <f>IFERROR(__xludf.DUMMYFUNCTION("""COMPUTED_VALUE"""),"SAFERMOON")</f>
        <v>SAFERMOON</v>
      </c>
    </row>
    <row r="10041">
      <c r="A10041" s="3" t="str">
        <f>IFERROR(__xludf.DUMMYFUNCTION("""COMPUTED_VALUE"""),"safe-seafood-coin")</f>
        <v>safe-seafood-coin</v>
      </c>
      <c r="B10041" s="3" t="str">
        <f>IFERROR(__xludf.DUMMYFUNCTION("""COMPUTED_VALUE"""),"ssf")</f>
        <v>ssf</v>
      </c>
      <c r="C10041" s="3" t="str">
        <f>IFERROR(__xludf.DUMMYFUNCTION("""COMPUTED_VALUE"""),"Safe SeaFood Coin")</f>
        <v>Safe SeaFood Coin</v>
      </c>
    </row>
    <row r="10042">
      <c r="A10042" s="3" t="str">
        <f>IFERROR(__xludf.DUMMYFUNCTION("""COMPUTED_VALUE"""),"safeshiba-2")</f>
        <v>safeshiba-2</v>
      </c>
      <c r="B10042" s="3" t="str">
        <f>IFERROR(__xludf.DUMMYFUNCTION("""COMPUTED_VALUE"""),"safeshib")</f>
        <v>safeshib</v>
      </c>
      <c r="C10042" s="3" t="str">
        <f>IFERROR(__xludf.DUMMYFUNCTION("""COMPUTED_VALUE"""),"SafeShiba")</f>
        <v>SafeShiba</v>
      </c>
    </row>
    <row r="10043">
      <c r="A10043" s="3" t="str">
        <f>IFERROR(__xludf.DUMMYFUNCTION("""COMPUTED_VALUE"""),"safe-shield")</f>
        <v>safe-shield</v>
      </c>
      <c r="B10043" s="3" t="str">
        <f>IFERROR(__xludf.DUMMYFUNCTION("""COMPUTED_VALUE"""),"sfshld")</f>
        <v>sfshld</v>
      </c>
      <c r="C10043" s="3" t="str">
        <f>IFERROR(__xludf.DUMMYFUNCTION("""COMPUTED_VALUE"""),"Safe Shield")</f>
        <v>Safe Shield</v>
      </c>
    </row>
    <row r="10044">
      <c r="A10044" s="3" t="str">
        <f>IFERROR(__xludf.DUMMYFUNCTION("""COMPUTED_VALUE"""),"safestar")</f>
        <v>safestar</v>
      </c>
      <c r="B10044" s="3" t="str">
        <f>IFERROR(__xludf.DUMMYFUNCTION("""COMPUTED_VALUE"""),"safestar")</f>
        <v>safestar</v>
      </c>
      <c r="C10044" s="3" t="str">
        <f>IFERROR(__xludf.DUMMYFUNCTION("""COMPUTED_VALUE"""),"Safestar")</f>
        <v>Safestar</v>
      </c>
    </row>
    <row r="10045">
      <c r="A10045" s="3" t="str">
        <f>IFERROR(__xludf.DUMMYFUNCTION("""COMPUTED_VALUE"""),"safesun")</f>
        <v>safesun</v>
      </c>
      <c r="B10045" s="3" t="str">
        <f>IFERROR(__xludf.DUMMYFUNCTION("""COMPUTED_VALUE"""),"safesun")</f>
        <v>safesun</v>
      </c>
      <c r="C10045" s="3" t="str">
        <f>IFERROR(__xludf.DUMMYFUNCTION("""COMPUTED_VALUE"""),"SafeSun")</f>
        <v>SafeSun</v>
      </c>
    </row>
    <row r="10046">
      <c r="A10046" s="3" t="str">
        <f>IFERROR(__xludf.DUMMYFUNCTION("""COMPUTED_VALUE"""),"safeswap-online")</f>
        <v>safeswap-online</v>
      </c>
      <c r="B10046" s="3" t="str">
        <f>IFERROR(__xludf.DUMMYFUNCTION("""COMPUTED_VALUE"""),"swap")</f>
        <v>swap</v>
      </c>
      <c r="C10046" s="3" t="str">
        <f>IFERROR(__xludf.DUMMYFUNCTION("""COMPUTED_VALUE"""),"SafeSwap Online")</f>
        <v>SafeSwap Online</v>
      </c>
    </row>
    <row r="10047">
      <c r="A10047" s="3" t="str">
        <f>IFERROR(__xludf.DUMMYFUNCTION("""COMPUTED_VALUE"""),"safeswap-token")</f>
        <v>safeswap-token</v>
      </c>
      <c r="B10047" s="3" t="str">
        <f>IFERROR(__xludf.DUMMYFUNCTION("""COMPUTED_VALUE"""),"ssgtx")</f>
        <v>ssgtx</v>
      </c>
      <c r="C10047" s="3" t="str">
        <f>IFERROR(__xludf.DUMMYFUNCTION("""COMPUTED_VALUE"""),"Safeswap SSGTX")</f>
        <v>Safeswap SSGTX</v>
      </c>
    </row>
    <row r="10048">
      <c r="A10048" s="3" t="str">
        <f>IFERROR(__xludf.DUMMYFUNCTION("""COMPUTED_VALUE"""),"safetesla")</f>
        <v>safetesla</v>
      </c>
      <c r="B10048" s="3" t="str">
        <f>IFERROR(__xludf.DUMMYFUNCTION("""COMPUTED_VALUE"""),"safetesla")</f>
        <v>safetesla</v>
      </c>
      <c r="C10048" s="3" t="str">
        <f>IFERROR(__xludf.DUMMYFUNCTION("""COMPUTED_VALUE"""),"SafeTesla")</f>
        <v>SafeTesla</v>
      </c>
    </row>
    <row r="10049">
      <c r="A10049" s="3" t="str">
        <f>IFERROR(__xludf.DUMMYFUNCTION("""COMPUTED_VALUE"""),"safe-token")</f>
        <v>safe-token</v>
      </c>
      <c r="B10049" s="3" t="str">
        <f>IFERROR(__xludf.DUMMYFUNCTION("""COMPUTED_VALUE"""),"safe")</f>
        <v>safe</v>
      </c>
      <c r="C10049" s="3" t="str">
        <f>IFERROR(__xludf.DUMMYFUNCTION("""COMPUTED_VALUE"""),"Safe")</f>
        <v>Safe</v>
      </c>
    </row>
    <row r="10050">
      <c r="A10050" s="3" t="str">
        <f>IFERROR(__xludf.DUMMYFUNCTION("""COMPUTED_VALUE"""),"safetrees")</f>
        <v>safetrees</v>
      </c>
      <c r="B10050" s="3" t="str">
        <f>IFERROR(__xludf.DUMMYFUNCTION("""COMPUTED_VALUE"""),"trees")</f>
        <v>trees</v>
      </c>
      <c r="C10050" s="3" t="str">
        <f>IFERROR(__xludf.DUMMYFUNCTION("""COMPUTED_VALUE"""),"Safetrees")</f>
        <v>Safetrees</v>
      </c>
    </row>
    <row r="10051">
      <c r="A10051" s="3" t="str">
        <f>IFERROR(__xludf.DUMMYFUNCTION("""COMPUTED_VALUE"""),"safety")</f>
        <v>safety</v>
      </c>
      <c r="B10051" s="3" t="str">
        <f>IFERROR(__xludf.DUMMYFUNCTION("""COMPUTED_VALUE"""),"sft")</f>
        <v>sft</v>
      </c>
      <c r="C10051" s="3" t="str">
        <f>IFERROR(__xludf.DUMMYFUNCTION("""COMPUTED_VALUE"""),"Safety")</f>
        <v>Safety</v>
      </c>
    </row>
    <row r="10052">
      <c r="A10052" s="3" t="str">
        <f>IFERROR(__xludf.DUMMYFUNCTION("""COMPUTED_VALUE"""),"safe-universe")</f>
        <v>safe-universe</v>
      </c>
      <c r="B10052" s="3" t="str">
        <f>IFERROR(__xludf.DUMMYFUNCTION("""COMPUTED_VALUE"""),"sfu")</f>
        <v>sfu</v>
      </c>
      <c r="C10052" s="3" t="str">
        <f>IFERROR(__xludf.DUMMYFUNCTION("""COMPUTED_VALUE"""),"Safe Universe")</f>
        <v>Safe Universe</v>
      </c>
    </row>
    <row r="10053">
      <c r="A10053" s="3" t="str">
        <f>IFERROR(__xludf.DUMMYFUNCTION("""COMPUTED_VALUE"""),"safewages")</f>
        <v>safewages</v>
      </c>
      <c r="B10053" s="3" t="str">
        <f>IFERROR(__xludf.DUMMYFUNCTION("""COMPUTED_VALUE"""),"safew")</f>
        <v>safew</v>
      </c>
      <c r="C10053" s="3" t="str">
        <f>IFERROR(__xludf.DUMMYFUNCTION("""COMPUTED_VALUE"""),"SafeWages")</f>
        <v>SafeWages</v>
      </c>
    </row>
    <row r="10054">
      <c r="A10054" s="3" t="str">
        <f>IFERROR(__xludf.DUMMYFUNCTION("""COMPUTED_VALUE"""),"safewhale")</f>
        <v>safewhale</v>
      </c>
      <c r="B10054" s="3" t="str">
        <f>IFERROR(__xludf.DUMMYFUNCTION("""COMPUTED_VALUE"""),"swhal")</f>
        <v>swhal</v>
      </c>
      <c r="C10054" s="3" t="str">
        <f>IFERROR(__xludf.DUMMYFUNCTION("""COMPUTED_VALUE"""),"SafeWhale")</f>
        <v>SafeWhale</v>
      </c>
    </row>
    <row r="10055">
      <c r="A10055" s="3" t="str">
        <f>IFERROR(__xludf.DUMMYFUNCTION("""COMPUTED_VALUE"""),"safewolf")</f>
        <v>safewolf</v>
      </c>
      <c r="B10055" s="3" t="str">
        <f>IFERROR(__xludf.DUMMYFUNCTION("""COMPUTED_VALUE"""),"sw")</f>
        <v>sw</v>
      </c>
      <c r="C10055" s="3" t="str">
        <f>IFERROR(__xludf.DUMMYFUNCTION("""COMPUTED_VALUE"""),"SafeWolf")</f>
        <v>SafeWolf</v>
      </c>
    </row>
    <row r="10056">
      <c r="A10056" s="3" t="str">
        <f>IFERROR(__xludf.DUMMYFUNCTION("""COMPUTED_VALUE"""),"safezone")</f>
        <v>safezone</v>
      </c>
      <c r="B10056" s="3" t="str">
        <f>IFERROR(__xludf.DUMMYFUNCTION("""COMPUTED_VALUE"""),"safezone")</f>
        <v>safezone</v>
      </c>
      <c r="C10056" s="3" t="str">
        <f>IFERROR(__xludf.DUMMYFUNCTION("""COMPUTED_VALUE"""),"SafeZone [OLD]")</f>
        <v>SafeZone [OLD]</v>
      </c>
    </row>
    <row r="10057">
      <c r="A10057" s="3" t="str">
        <f>IFERROR(__xludf.DUMMYFUNCTION("""COMPUTED_VALUE"""),"safezone-2")</f>
        <v>safezone-2</v>
      </c>
      <c r="B10057" s="3" t="str">
        <f>IFERROR(__xludf.DUMMYFUNCTION("""COMPUTED_VALUE"""),"safezone")</f>
        <v>safezone</v>
      </c>
      <c r="C10057" s="3" t="str">
        <f>IFERROR(__xludf.DUMMYFUNCTION("""COMPUTED_VALUE"""),"SafeZone")</f>
        <v>SafeZone</v>
      </c>
    </row>
    <row r="10058">
      <c r="A10058" s="3" t="str">
        <f>IFERROR(__xludf.DUMMYFUNCTION("""COMPUTED_VALUE"""),"saffron-finance")</f>
        <v>saffron-finance</v>
      </c>
      <c r="B10058" s="3" t="str">
        <f>IFERROR(__xludf.DUMMYFUNCTION("""COMPUTED_VALUE"""),"sfi")</f>
        <v>sfi</v>
      </c>
      <c r="C10058" s="3" t="str">
        <f>IFERROR(__xludf.DUMMYFUNCTION("""COMPUTED_VALUE"""),"saffron.finance")</f>
        <v>saffron.finance</v>
      </c>
    </row>
    <row r="10059">
      <c r="A10059" s="3" t="str">
        <f>IFERROR(__xludf.DUMMYFUNCTION("""COMPUTED_VALUE"""),"saffron-qaenat")</f>
        <v>saffron-qaenat</v>
      </c>
      <c r="B10059" s="3" t="str">
        <f>IFERROR(__xludf.DUMMYFUNCTION("""COMPUTED_VALUE"""),"saffron")</f>
        <v>saffron</v>
      </c>
      <c r="C10059" s="3" t="str">
        <f>IFERROR(__xludf.DUMMYFUNCTION("""COMPUTED_VALUE"""),"Saffron")</f>
        <v>Saffron</v>
      </c>
    </row>
    <row r="10060">
      <c r="A10060" s="3" t="str">
        <f>IFERROR(__xludf.DUMMYFUNCTION("""COMPUTED_VALUE"""),"safle")</f>
        <v>safle</v>
      </c>
      <c r="B10060" s="3" t="str">
        <f>IFERROR(__xludf.DUMMYFUNCTION("""COMPUTED_VALUE"""),"safle")</f>
        <v>safle</v>
      </c>
      <c r="C10060" s="3" t="str">
        <f>IFERROR(__xludf.DUMMYFUNCTION("""COMPUTED_VALUE"""),"Safle")</f>
        <v>Safle</v>
      </c>
    </row>
    <row r="10061">
      <c r="A10061" s="3" t="str">
        <f>IFERROR(__xludf.DUMMYFUNCTION("""COMPUTED_VALUE"""),"safuchain")</f>
        <v>safuchain</v>
      </c>
      <c r="B10061" s="3" t="str">
        <f>IFERROR(__xludf.DUMMYFUNCTION("""COMPUTED_VALUE"""),"safu")</f>
        <v>safu</v>
      </c>
      <c r="C10061" s="3" t="str">
        <f>IFERROR(__xludf.DUMMYFUNCTION("""COMPUTED_VALUE"""),"Safuchain")</f>
        <v>Safuchain</v>
      </c>
    </row>
    <row r="10062">
      <c r="A10062" s="3" t="str">
        <f>IFERROR(__xludf.DUMMYFUNCTION("""COMPUTED_VALUE"""),"safufide")</f>
        <v>safufide</v>
      </c>
      <c r="B10062" s="3" t="str">
        <f>IFERROR(__xludf.DUMMYFUNCTION("""COMPUTED_VALUE"""),"safest")</f>
        <v>safest</v>
      </c>
      <c r="C10062" s="3" t="str">
        <f>IFERROR(__xludf.DUMMYFUNCTION("""COMPUTED_VALUE"""),"SafuFide")</f>
        <v>SafuFide</v>
      </c>
    </row>
    <row r="10063">
      <c r="A10063" s="3" t="str">
        <f>IFERROR(__xludf.DUMMYFUNCTION("""COMPUTED_VALUE"""),"safu-protocol")</f>
        <v>safu-protocol</v>
      </c>
      <c r="B10063" s="3" t="str">
        <f>IFERROR(__xludf.DUMMYFUNCTION("""COMPUTED_VALUE"""),"safu")</f>
        <v>safu</v>
      </c>
      <c r="C10063" s="3" t="str">
        <f>IFERROR(__xludf.DUMMYFUNCTION("""COMPUTED_VALUE"""),"SAFU Protocol")</f>
        <v>SAFU Protocol</v>
      </c>
    </row>
    <row r="10064">
      <c r="A10064" s="3" t="str">
        <f>IFERROR(__xludf.DUMMYFUNCTION("""COMPUTED_VALUE"""),"safutitano")</f>
        <v>safutitano</v>
      </c>
      <c r="B10064" s="3" t="str">
        <f>IFERROR(__xludf.DUMMYFUNCTION("""COMPUTED_VALUE"""),"safti")</f>
        <v>safti</v>
      </c>
      <c r="C10064" s="3" t="str">
        <f>IFERROR(__xludf.DUMMYFUNCTION("""COMPUTED_VALUE"""),"SafuTitano")</f>
        <v>SafuTitano</v>
      </c>
    </row>
    <row r="10065">
      <c r="A10065" s="3" t="str">
        <f>IFERROR(__xludf.DUMMYFUNCTION("""COMPUTED_VALUE"""),"safuu")</f>
        <v>safuu</v>
      </c>
      <c r="B10065" s="3" t="str">
        <f>IFERROR(__xludf.DUMMYFUNCTION("""COMPUTED_VALUE"""),"safuu")</f>
        <v>safuu</v>
      </c>
      <c r="C10065" s="3" t="str">
        <f>IFERROR(__xludf.DUMMYFUNCTION("""COMPUTED_VALUE"""),"SAFUU")</f>
        <v>SAFUU</v>
      </c>
    </row>
    <row r="10066">
      <c r="A10066" s="3" t="str">
        <f>IFERROR(__xludf.DUMMYFUNCTION("""COMPUTED_VALUE"""),"saga-2")</f>
        <v>saga-2</v>
      </c>
      <c r="B10066" s="3" t="str">
        <f>IFERROR(__xludf.DUMMYFUNCTION("""COMPUTED_VALUE"""),"saga")</f>
        <v>saga</v>
      </c>
      <c r="C10066" s="3" t="str">
        <f>IFERROR(__xludf.DUMMYFUNCTION("""COMPUTED_VALUE"""),"Saga")</f>
        <v>Saga</v>
      </c>
    </row>
    <row r="10067">
      <c r="A10067" s="3" t="str">
        <f>IFERROR(__xludf.DUMMYFUNCTION("""COMPUTED_VALUE"""),"sagaworld")</f>
        <v>sagaworld</v>
      </c>
      <c r="B10067" s="3" t="str">
        <f>IFERROR(__xludf.DUMMYFUNCTION("""COMPUTED_VALUE"""),"sagaw")</f>
        <v>sagaw</v>
      </c>
      <c r="C10067" s="3" t="str">
        <f>IFERROR(__xludf.DUMMYFUNCTION("""COMPUTED_VALUE"""),"SagaWorld")</f>
        <v>SagaWorld</v>
      </c>
    </row>
    <row r="10068">
      <c r="A10068" s="3" t="str">
        <f>IFERROR(__xludf.DUMMYFUNCTION("""COMPUTED_VALUE"""),"saharadao")</f>
        <v>saharadao</v>
      </c>
      <c r="B10068" s="3" t="str">
        <f>IFERROR(__xludf.DUMMYFUNCTION("""COMPUTED_VALUE"""),"mng")</f>
        <v>mng</v>
      </c>
      <c r="C10068" s="3" t="str">
        <f>IFERROR(__xludf.DUMMYFUNCTION("""COMPUTED_VALUE"""),"SaharaDAO")</f>
        <v>SaharaDAO</v>
      </c>
    </row>
    <row r="10069">
      <c r="A10069" s="3" t="str">
        <f>IFERROR(__xludf.DUMMYFUNCTION("""COMPUTED_VALUE"""),"sai")</f>
        <v>sai</v>
      </c>
      <c r="B10069" s="3" t="str">
        <f>IFERROR(__xludf.DUMMYFUNCTION("""COMPUTED_VALUE"""),"sai")</f>
        <v>sai</v>
      </c>
      <c r="C10069" s="3" t="str">
        <f>IFERROR(__xludf.DUMMYFUNCTION("""COMPUTED_VALUE"""),"Sai")</f>
        <v>Sai</v>
      </c>
    </row>
    <row r="10070">
      <c r="A10070" s="3" t="str">
        <f>IFERROR(__xludf.DUMMYFUNCTION("""COMPUTED_VALUE"""),"sail")</f>
        <v>sail</v>
      </c>
      <c r="B10070" s="3" t="str">
        <f>IFERROR(__xludf.DUMMYFUNCTION("""COMPUTED_VALUE"""),"sail")</f>
        <v>sail</v>
      </c>
      <c r="C10070" s="3" t="str">
        <f>IFERROR(__xludf.DUMMYFUNCTION("""COMPUTED_VALUE"""),"SAIL")</f>
        <v>SAIL</v>
      </c>
    </row>
    <row r="10071">
      <c r="A10071" s="3" t="str">
        <f>IFERROR(__xludf.DUMMYFUNCTION("""COMPUTED_VALUE"""),"saint-inu")</f>
        <v>saint-inu</v>
      </c>
      <c r="B10071" s="3" t="str">
        <f>IFERROR(__xludf.DUMMYFUNCTION("""COMPUTED_VALUE"""),"saint")</f>
        <v>saint</v>
      </c>
      <c r="C10071" s="3" t="str">
        <f>IFERROR(__xludf.DUMMYFUNCTION("""COMPUTED_VALUE"""),"Saint Inu")</f>
        <v>Saint Inu</v>
      </c>
    </row>
    <row r="10072">
      <c r="A10072" s="3" t="str">
        <f>IFERROR(__xludf.DUMMYFUNCTION("""COMPUTED_VALUE"""),"saint-ligne")</f>
        <v>saint-ligne</v>
      </c>
      <c r="B10072" s="3" t="str">
        <f>IFERROR(__xludf.DUMMYFUNCTION("""COMPUTED_VALUE"""),"stle")</f>
        <v>stle</v>
      </c>
      <c r="C10072" s="3" t="str">
        <f>IFERROR(__xludf.DUMMYFUNCTION("""COMPUTED_VALUE"""),"Saint Ligne")</f>
        <v>Saint Ligne</v>
      </c>
    </row>
    <row r="10073">
      <c r="A10073" s="3" t="str">
        <f>IFERROR(__xludf.DUMMYFUNCTION("""COMPUTED_VALUE"""),"saint-token")</f>
        <v>saint-token</v>
      </c>
      <c r="B10073" s="3" t="str">
        <f>IFERROR(__xludf.DUMMYFUNCTION("""COMPUTED_VALUE"""),"saint")</f>
        <v>saint</v>
      </c>
      <c r="C10073" s="3" t="str">
        <f>IFERROR(__xludf.DUMMYFUNCTION("""COMPUTED_VALUE"""),"Saint")</f>
        <v>Saint</v>
      </c>
    </row>
    <row r="10074">
      <c r="A10074" s="3" t="str">
        <f>IFERROR(__xludf.DUMMYFUNCTION("""COMPUTED_VALUE"""),"saitama-inu")</f>
        <v>saitama-inu</v>
      </c>
      <c r="B10074" s="3" t="str">
        <f>IFERROR(__xludf.DUMMYFUNCTION("""COMPUTED_VALUE"""),"saitama")</f>
        <v>saitama</v>
      </c>
      <c r="C10074" s="3" t="str">
        <f>IFERROR(__xludf.DUMMYFUNCTION("""COMPUTED_VALUE"""),"Saitama")</f>
        <v>Saitama</v>
      </c>
    </row>
    <row r="10075">
      <c r="A10075" s="3" t="str">
        <f>IFERROR(__xludf.DUMMYFUNCTION("""COMPUTED_VALUE"""),"saitamax")</f>
        <v>saitamax</v>
      </c>
      <c r="B10075" s="3" t="str">
        <f>IFERROR(__xludf.DUMMYFUNCTION("""COMPUTED_VALUE"""),"saitax")</f>
        <v>saitax</v>
      </c>
      <c r="C10075" s="3" t="str">
        <f>IFERROR(__xludf.DUMMYFUNCTION("""COMPUTED_VALUE"""),"SaitamaX")</f>
        <v>SaitamaX</v>
      </c>
    </row>
    <row r="10076">
      <c r="A10076" s="3" t="str">
        <f>IFERROR(__xludf.DUMMYFUNCTION("""COMPUTED_VALUE"""),"saitanobi")</f>
        <v>saitanobi</v>
      </c>
      <c r="B10076" s="3" t="str">
        <f>IFERROR(__xludf.DUMMYFUNCTION("""COMPUTED_VALUE"""),"saitanobi")</f>
        <v>saitanobi</v>
      </c>
      <c r="C10076" s="3" t="str">
        <f>IFERROR(__xludf.DUMMYFUNCTION("""COMPUTED_VALUE"""),"Saitanobi")</f>
        <v>Saitanobi</v>
      </c>
    </row>
    <row r="10077">
      <c r="A10077" s="3" t="str">
        <f>IFERROR(__xludf.DUMMYFUNCTION("""COMPUTED_VALUE"""),"saitarealty")</f>
        <v>saitarealty</v>
      </c>
      <c r="B10077" s="3" t="str">
        <f>IFERROR(__xludf.DUMMYFUNCTION("""COMPUTED_VALUE"""),"srlty")</f>
        <v>srlty</v>
      </c>
      <c r="C10077" s="3" t="str">
        <f>IFERROR(__xludf.DUMMYFUNCTION("""COMPUTED_VALUE"""),"SaitaRealty")</f>
        <v>SaitaRealty</v>
      </c>
    </row>
    <row r="10078">
      <c r="A10078" s="3" t="str">
        <f>IFERROR(__xludf.DUMMYFUNCTION("""COMPUTED_VALUE"""),"saito")</f>
        <v>saito</v>
      </c>
      <c r="B10078" s="3" t="str">
        <f>IFERROR(__xludf.DUMMYFUNCTION("""COMPUTED_VALUE"""),"saito")</f>
        <v>saito</v>
      </c>
      <c r="C10078" s="3" t="str">
        <f>IFERROR(__xludf.DUMMYFUNCTION("""COMPUTED_VALUE"""),"Saito")</f>
        <v>Saito</v>
      </c>
    </row>
    <row r="10079">
      <c r="A10079" s="3" t="str">
        <f>IFERROR(__xludf.DUMMYFUNCTION("""COMPUTED_VALUE"""),"saitoki-inu")</f>
        <v>saitoki-inu</v>
      </c>
      <c r="B10079" s="3" t="str">
        <f>IFERROR(__xludf.DUMMYFUNCTION("""COMPUTED_VALUE"""),"saitoki")</f>
        <v>saitoki</v>
      </c>
      <c r="C10079" s="3" t="str">
        <f>IFERROR(__xludf.DUMMYFUNCTION("""COMPUTED_VALUE"""),"Saitoki Inu")</f>
        <v>Saitoki Inu</v>
      </c>
    </row>
    <row r="10080">
      <c r="A10080" s="3" t="str">
        <f>IFERROR(__xludf.DUMMYFUNCTION("""COMPUTED_VALUE"""),"saiyan-inu")</f>
        <v>saiyan-inu</v>
      </c>
      <c r="B10080" s="3" t="str">
        <f>IFERROR(__xludf.DUMMYFUNCTION("""COMPUTED_VALUE"""),"sayan")</f>
        <v>sayan</v>
      </c>
      <c r="C10080" s="3" t="str">
        <f>IFERROR(__xludf.DUMMYFUNCTION("""COMPUTED_VALUE"""),"Saiyan Inu")</f>
        <v>Saiyan Inu</v>
      </c>
    </row>
    <row r="10081">
      <c r="A10081" s="3" t="str">
        <f>IFERROR(__xludf.DUMMYFUNCTION("""COMPUTED_VALUE"""),"sak3")</f>
        <v>sak3</v>
      </c>
      <c r="B10081" s="3" t="str">
        <f>IFERROR(__xludf.DUMMYFUNCTION("""COMPUTED_VALUE"""),"sak3")</f>
        <v>sak3</v>
      </c>
      <c r="C10081" s="3" t="str">
        <f>IFERROR(__xludf.DUMMYFUNCTION("""COMPUTED_VALUE"""),"SAKE")</f>
        <v>SAKE</v>
      </c>
    </row>
    <row r="10082">
      <c r="A10082" s="3" t="str">
        <f>IFERROR(__xludf.DUMMYFUNCTION("""COMPUTED_VALUE"""),"sakaryaspor")</f>
        <v>sakaryaspor</v>
      </c>
      <c r="B10082" s="3" t="str">
        <f>IFERROR(__xludf.DUMMYFUNCTION("""COMPUTED_VALUE"""),"skry")</f>
        <v>skry</v>
      </c>
      <c r="C10082" s="3" t="str">
        <f>IFERROR(__xludf.DUMMYFUNCTION("""COMPUTED_VALUE"""),"Sakaryaspor")</f>
        <v>Sakaryaspor</v>
      </c>
    </row>
    <row r="10083">
      <c r="A10083" s="3" t="str">
        <f>IFERROR(__xludf.DUMMYFUNCTION("""COMPUTED_VALUE"""),"sake-token")</f>
        <v>sake-token</v>
      </c>
      <c r="B10083" s="3" t="str">
        <f>IFERROR(__xludf.DUMMYFUNCTION("""COMPUTED_VALUE"""),"sake")</f>
        <v>sake</v>
      </c>
      <c r="C10083" s="3" t="str">
        <f>IFERROR(__xludf.DUMMYFUNCTION("""COMPUTED_VALUE"""),"SakeSwap")</f>
        <v>SakeSwap</v>
      </c>
    </row>
    <row r="10084">
      <c r="A10084" s="3" t="str">
        <f>IFERROR(__xludf.DUMMYFUNCTION("""COMPUTED_VALUE"""),"sakhalin-husky")</f>
        <v>sakhalin-husky</v>
      </c>
      <c r="B10084" s="3" t="str">
        <f>IFERROR(__xludf.DUMMYFUNCTION("""COMPUTED_VALUE"""),"sahu")</f>
        <v>sahu</v>
      </c>
      <c r="C10084" s="3" t="str">
        <f>IFERROR(__xludf.DUMMYFUNCTION("""COMPUTED_VALUE"""),"Sakhalin Husky")</f>
        <v>Sakhalin Husky</v>
      </c>
    </row>
    <row r="10085">
      <c r="A10085" s="3" t="str">
        <f>IFERROR(__xludf.DUMMYFUNCTION("""COMPUTED_VALUE"""),"sakura")</f>
        <v>sakura</v>
      </c>
      <c r="B10085" s="3" t="str">
        <f>IFERROR(__xludf.DUMMYFUNCTION("""COMPUTED_VALUE"""),"sku")</f>
        <v>sku</v>
      </c>
      <c r="C10085" s="3" t="str">
        <f>IFERROR(__xludf.DUMMYFUNCTION("""COMPUTED_VALUE"""),"Sakura")</f>
        <v>Sakura</v>
      </c>
    </row>
    <row r="10086">
      <c r="A10086" s="3" t="str">
        <f>IFERROR(__xludf.DUMMYFUNCTION("""COMPUTED_VALUE"""),"sakura-neko")</f>
        <v>sakura-neko</v>
      </c>
      <c r="B10086" s="3" t="str">
        <f>IFERROR(__xludf.DUMMYFUNCTION("""COMPUTED_VALUE"""),"neko")</f>
        <v>neko</v>
      </c>
      <c r="C10086" s="3" t="str">
        <f>IFERROR(__xludf.DUMMYFUNCTION("""COMPUTED_VALUE"""),"Sakura Neko")</f>
        <v>Sakura Neko</v>
      </c>
    </row>
    <row r="10087">
      <c r="A10087" s="3" t="str">
        <f>IFERROR(__xludf.DUMMYFUNCTION("""COMPUTED_VALUE"""),"sakura-planet")</f>
        <v>sakura-planet</v>
      </c>
      <c r="B10087" s="3" t="str">
        <f>IFERROR(__xludf.DUMMYFUNCTION("""COMPUTED_VALUE"""),"sak")</f>
        <v>sak</v>
      </c>
      <c r="C10087" s="3" t="str">
        <f>IFERROR(__xludf.DUMMYFUNCTION("""COMPUTED_VALUE"""),"Sakura Planet")</f>
        <v>Sakura Planet</v>
      </c>
    </row>
    <row r="10088">
      <c r="A10088" s="3" t="str">
        <f>IFERROR(__xludf.DUMMYFUNCTION("""COMPUTED_VALUE"""),"salary")</f>
        <v>salary</v>
      </c>
      <c r="B10088" s="3" t="str">
        <f>IFERROR(__xludf.DUMMYFUNCTION("""COMPUTED_VALUE"""),"slr")</f>
        <v>slr</v>
      </c>
      <c r="C10088" s="3" t="str">
        <f>IFERROR(__xludf.DUMMYFUNCTION("""COMPUTED_VALUE"""),"Salary")</f>
        <v>Salary</v>
      </c>
    </row>
    <row r="10089">
      <c r="A10089" s="3" t="str">
        <f>IFERROR(__xludf.DUMMYFUNCTION("""COMPUTED_VALUE"""),"salary-mining")</f>
        <v>salary-mining</v>
      </c>
      <c r="B10089" s="3" t="str">
        <f>IFERROR(__xludf.DUMMYFUNCTION("""COMPUTED_VALUE"""),"slrm")</f>
        <v>slrm</v>
      </c>
      <c r="C10089" s="3" t="str">
        <f>IFERROR(__xludf.DUMMYFUNCTION("""COMPUTED_VALUE"""),"Salary Mining")</f>
        <v>Salary Mining</v>
      </c>
    </row>
    <row r="10090">
      <c r="A10090" s="3" t="str">
        <f>IFERROR(__xludf.DUMMYFUNCTION("""COMPUTED_VALUE"""),"salmon")</f>
        <v>salmon</v>
      </c>
      <c r="B10090" s="3" t="str">
        <f>IFERROR(__xludf.DUMMYFUNCTION("""COMPUTED_VALUE"""),"slm")</f>
        <v>slm</v>
      </c>
      <c r="C10090" s="3" t="str">
        <f>IFERROR(__xludf.DUMMYFUNCTION("""COMPUTED_VALUE"""),"Salmon")</f>
        <v>Salmon</v>
      </c>
    </row>
    <row r="10091">
      <c r="A10091" s="3" t="str">
        <f>IFERROR(__xludf.DUMMYFUNCTION("""COMPUTED_VALUE"""),"salmonation")</f>
        <v>salmonation</v>
      </c>
      <c r="B10091" s="3" t="str">
        <f>IFERROR(__xludf.DUMMYFUNCTION("""COMPUTED_VALUE"""),"sui")</f>
        <v>sui</v>
      </c>
      <c r="C10091" s="3" t="str">
        <f>IFERROR(__xludf.DUMMYFUNCTION("""COMPUTED_VALUE"""),"Salmonation")</f>
        <v>Salmonation</v>
      </c>
    </row>
    <row r="10092">
      <c r="A10092" s="3" t="str">
        <f>IFERROR(__xludf.DUMMYFUNCTION("""COMPUTED_VALUE"""),"salo-players")</f>
        <v>salo-players</v>
      </c>
      <c r="B10092" s="3" t="str">
        <f>IFERROR(__xludf.DUMMYFUNCTION("""COMPUTED_VALUE"""),"salo")</f>
        <v>salo</v>
      </c>
      <c r="C10092" s="3" t="str">
        <f>IFERROR(__xludf.DUMMYFUNCTION("""COMPUTED_VALUE"""),"Salo Players")</f>
        <v>Salo Players</v>
      </c>
    </row>
    <row r="10093">
      <c r="A10093" s="3" t="str">
        <f>IFERROR(__xludf.DUMMYFUNCTION("""COMPUTED_VALUE"""),"salt")</f>
        <v>salt</v>
      </c>
      <c r="B10093" s="3" t="str">
        <f>IFERROR(__xludf.DUMMYFUNCTION("""COMPUTED_VALUE"""),"salt")</f>
        <v>salt</v>
      </c>
      <c r="C10093" s="3" t="str">
        <f>IFERROR(__xludf.DUMMYFUNCTION("""COMPUTED_VALUE"""),"SALT")</f>
        <v>SALT</v>
      </c>
    </row>
    <row r="10094">
      <c r="A10094" s="3" t="str">
        <f>IFERROR(__xludf.DUMMYFUNCTION("""COMPUTED_VALUE"""),"saltmarble")</f>
        <v>saltmarble</v>
      </c>
      <c r="B10094" s="3" t="str">
        <f>IFERROR(__xludf.DUMMYFUNCTION("""COMPUTED_VALUE"""),"sml")</f>
        <v>sml</v>
      </c>
      <c r="C10094" s="3" t="str">
        <f>IFERROR(__xludf.DUMMYFUNCTION("""COMPUTED_VALUE"""),"Saltmarble")</f>
        <v>Saltmarble</v>
      </c>
    </row>
    <row r="10095">
      <c r="A10095" s="3" t="str">
        <f>IFERROR(__xludf.DUMMYFUNCTION("""COMPUTED_VALUE"""),"salus")</f>
        <v>salus</v>
      </c>
      <c r="B10095" s="3" t="str">
        <f>IFERROR(__xludf.DUMMYFUNCTION("""COMPUTED_VALUE"""),"sls")</f>
        <v>sls</v>
      </c>
      <c r="C10095" s="3" t="str">
        <f>IFERROR(__xludf.DUMMYFUNCTION("""COMPUTED_VALUE"""),"SaluS")</f>
        <v>SaluS</v>
      </c>
    </row>
    <row r="10096">
      <c r="A10096" s="3" t="str">
        <f>IFERROR(__xludf.DUMMYFUNCTION("""COMPUTED_VALUE"""),"samecoin")</f>
        <v>samecoin</v>
      </c>
      <c r="B10096" s="3" t="str">
        <f>IFERROR(__xludf.DUMMYFUNCTION("""COMPUTED_VALUE"""),"same")</f>
        <v>same</v>
      </c>
      <c r="C10096" s="3" t="str">
        <f>IFERROR(__xludf.DUMMYFUNCTION("""COMPUTED_VALUE"""),"Samecoin")</f>
        <v>Samecoin</v>
      </c>
    </row>
    <row r="10097">
      <c r="A10097" s="3" t="str">
        <f>IFERROR(__xludf.DUMMYFUNCTION("""COMPUTED_VALUE"""),"samo-inu")</f>
        <v>samo-inu</v>
      </c>
      <c r="B10097" s="3" t="str">
        <f>IFERROR(__xludf.DUMMYFUNCTION("""COMPUTED_VALUE"""),"sinu")</f>
        <v>sinu</v>
      </c>
      <c r="C10097" s="3" t="str">
        <f>IFERROR(__xludf.DUMMYFUNCTION("""COMPUTED_VALUE"""),"Samo INU")</f>
        <v>Samo INU</v>
      </c>
    </row>
    <row r="10098">
      <c r="A10098" s="3" t="str">
        <f>IFERROR(__xludf.DUMMYFUNCTION("""COMPUTED_VALUE"""),"samoyedcoin")</f>
        <v>samoyedcoin</v>
      </c>
      <c r="B10098" s="3" t="str">
        <f>IFERROR(__xludf.DUMMYFUNCTION("""COMPUTED_VALUE"""),"samo")</f>
        <v>samo</v>
      </c>
      <c r="C10098" s="3" t="str">
        <f>IFERROR(__xludf.DUMMYFUNCTION("""COMPUTED_VALUE"""),"Samoyedcoin")</f>
        <v>Samoyedcoin</v>
      </c>
    </row>
    <row r="10099">
      <c r="A10099" s="3" t="str">
        <f>IFERROR(__xludf.DUMMYFUNCTION("""COMPUTED_VALUE"""),"samsunspor-fan-token")</f>
        <v>samsunspor-fan-token</v>
      </c>
      <c r="B10099" s="3" t="str">
        <f>IFERROR(__xludf.DUMMYFUNCTION("""COMPUTED_VALUE"""),"sam")</f>
        <v>sam</v>
      </c>
      <c r="C10099" s="3" t="str">
        <f>IFERROR(__xludf.DUMMYFUNCTION("""COMPUTED_VALUE"""),"Samsunspor Fan Token")</f>
        <v>Samsunspor Fan Token</v>
      </c>
    </row>
    <row r="10100">
      <c r="A10100" s="3" t="str">
        <f>IFERROR(__xludf.DUMMYFUNCTION("""COMPUTED_VALUE"""),"samurai-legends")</f>
        <v>samurai-legends</v>
      </c>
      <c r="B10100" s="3" t="str">
        <f>IFERROR(__xludf.DUMMYFUNCTION("""COMPUTED_VALUE"""),"smg")</f>
        <v>smg</v>
      </c>
      <c r="C10100" s="3" t="str">
        <f>IFERROR(__xludf.DUMMYFUNCTION("""COMPUTED_VALUE"""),"Samurai Legends")</f>
        <v>Samurai Legends</v>
      </c>
    </row>
    <row r="10101">
      <c r="A10101" s="3" t="str">
        <f>IFERROR(__xludf.DUMMYFUNCTION("""COMPUTED_VALUE"""),"samusky-token")</f>
        <v>samusky-token</v>
      </c>
      <c r="B10101" s="3" t="str">
        <f>IFERROR(__xludf.DUMMYFUNCTION("""COMPUTED_VALUE"""),"samu")</f>
        <v>samu</v>
      </c>
      <c r="C10101" s="3" t="str">
        <f>IFERROR(__xludf.DUMMYFUNCTION("""COMPUTED_VALUE"""),"Samusky")</f>
        <v>Samusky</v>
      </c>
    </row>
    <row r="10102">
      <c r="A10102" s="3" t="str">
        <f>IFERROR(__xludf.DUMMYFUNCTION("""COMPUTED_VALUE"""),"sandclock")</f>
        <v>sandclock</v>
      </c>
      <c r="B10102" s="3" t="str">
        <f>IFERROR(__xludf.DUMMYFUNCTION("""COMPUTED_VALUE"""),"quartz")</f>
        <v>quartz</v>
      </c>
      <c r="C10102" s="3" t="str">
        <f>IFERROR(__xludf.DUMMYFUNCTION("""COMPUTED_VALUE"""),"Sandclock")</f>
        <v>Sandclock</v>
      </c>
    </row>
    <row r="10103">
      <c r="A10103" s="3" t="str">
        <f>IFERROR(__xludf.DUMMYFUNCTION("""COMPUTED_VALUE"""),"san-diego-coin")</f>
        <v>san-diego-coin</v>
      </c>
      <c r="B10103" s="3" t="str">
        <f>IFERROR(__xludf.DUMMYFUNCTION("""COMPUTED_VALUE"""),"sand")</f>
        <v>sand</v>
      </c>
      <c r="C10103" s="3" t="str">
        <f>IFERROR(__xludf.DUMMYFUNCTION("""COMPUTED_VALUE"""),"San Diego Coin")</f>
        <v>San Diego Coin</v>
      </c>
    </row>
    <row r="10104">
      <c r="A10104" s="3" t="str">
        <f>IFERROR(__xludf.DUMMYFUNCTION("""COMPUTED_VALUE"""),"sandwich-network")</f>
        <v>sandwich-network</v>
      </c>
      <c r="B10104" s="3" t="str">
        <f>IFERROR(__xludf.DUMMYFUNCTION("""COMPUTED_VALUE"""),"$sandwich")</f>
        <v>$sandwich</v>
      </c>
      <c r="C10104" s="3" t="str">
        <f>IFERROR(__xludf.DUMMYFUNCTION("""COMPUTED_VALUE"""),"Sandwich Network")</f>
        <v>Sandwich Network</v>
      </c>
    </row>
    <row r="10105">
      <c r="A10105" s="3" t="str">
        <f>IFERROR(__xludf.DUMMYFUNCTION("""COMPUTED_VALUE"""),"sangkara")</f>
        <v>sangkara</v>
      </c>
      <c r="B10105" s="3" t="str">
        <f>IFERROR(__xludf.DUMMYFUNCTION("""COMPUTED_VALUE"""),"misa")</f>
        <v>misa</v>
      </c>
      <c r="C10105" s="3" t="str">
        <f>IFERROR(__xludf.DUMMYFUNCTION("""COMPUTED_VALUE"""),"Sangkara")</f>
        <v>Sangkara</v>
      </c>
    </row>
    <row r="10106">
      <c r="A10106" s="3" t="str">
        <f>IFERROR(__xludf.DUMMYFUNCTION("""COMPUTED_VALUE"""),"sanin-inu")</f>
        <v>sanin-inu</v>
      </c>
      <c r="B10106" s="3" t="str">
        <f>IFERROR(__xludf.DUMMYFUNCTION("""COMPUTED_VALUE"""),"sani")</f>
        <v>sani</v>
      </c>
      <c r="C10106" s="3" t="str">
        <f>IFERROR(__xludf.DUMMYFUNCTION("""COMPUTED_VALUE"""),"Sanin Inu")</f>
        <v>Sanin Inu</v>
      </c>
    </row>
    <row r="10107">
      <c r="A10107" s="3" t="str">
        <f>IFERROR(__xludf.DUMMYFUNCTION("""COMPUTED_VALUE"""),"sanliurfaspor-token")</f>
        <v>sanliurfaspor-token</v>
      </c>
      <c r="B10107" s="3" t="str">
        <f>IFERROR(__xludf.DUMMYFUNCTION("""COMPUTED_VALUE"""),"urfa")</f>
        <v>urfa</v>
      </c>
      <c r="C10107" s="3" t="str">
        <f>IFERROR(__xludf.DUMMYFUNCTION("""COMPUTED_VALUE"""),"Sanliurfaspor Token")</f>
        <v>Sanliurfaspor Token</v>
      </c>
    </row>
    <row r="10108">
      <c r="A10108" s="3" t="str">
        <f>IFERROR(__xludf.DUMMYFUNCTION("""COMPUTED_VALUE"""),"sanshu-inu")</f>
        <v>sanshu-inu</v>
      </c>
      <c r="B10108" s="3" t="str">
        <f>IFERROR(__xludf.DUMMYFUNCTION("""COMPUTED_VALUE"""),"sanshu")</f>
        <v>sanshu</v>
      </c>
      <c r="C10108" s="3" t="str">
        <f>IFERROR(__xludf.DUMMYFUNCTION("""COMPUTED_VALUE"""),"Sanshu Inu")</f>
        <v>Sanshu Inu</v>
      </c>
    </row>
    <row r="10109">
      <c r="A10109" s="3" t="str">
        <f>IFERROR(__xludf.DUMMYFUNCTION("""COMPUTED_VALUE"""),"santaclaus")</f>
        <v>santaclaus</v>
      </c>
      <c r="B10109" s="3" t="str">
        <f>IFERROR(__xludf.DUMMYFUNCTION("""COMPUTED_VALUE"""),"santa")</f>
        <v>santa</v>
      </c>
      <c r="C10109" s="3" t="str">
        <f>IFERROR(__xludf.DUMMYFUNCTION("""COMPUTED_VALUE"""),"Santaclaus")</f>
        <v>Santaclaus</v>
      </c>
    </row>
    <row r="10110">
      <c r="A10110" s="3" t="str">
        <f>IFERROR(__xludf.DUMMYFUNCTION("""COMPUTED_VALUE"""),"santa-coin-2")</f>
        <v>santa-coin-2</v>
      </c>
      <c r="B10110" s="3" t="str">
        <f>IFERROR(__xludf.DUMMYFUNCTION("""COMPUTED_VALUE"""),"santa")</f>
        <v>santa</v>
      </c>
      <c r="C10110" s="3" t="str">
        <f>IFERROR(__xludf.DUMMYFUNCTION("""COMPUTED_VALUE"""),"Santa Coin")</f>
        <v>Santa Coin</v>
      </c>
    </row>
    <row r="10111">
      <c r="A10111" s="3" t="str">
        <f>IFERROR(__xludf.DUMMYFUNCTION("""COMPUTED_VALUE"""),"santa-floki-v2")</f>
        <v>santa-floki-v2</v>
      </c>
      <c r="B10111" s="3" t="str">
        <f>IFERROR(__xludf.DUMMYFUNCTION("""COMPUTED_VALUE"""),"hohoho")</f>
        <v>hohoho</v>
      </c>
      <c r="C10111" s="3" t="str">
        <f>IFERROR(__xludf.DUMMYFUNCTION("""COMPUTED_VALUE"""),"Santa Floki v2.0")</f>
        <v>Santa Floki v2.0</v>
      </c>
    </row>
    <row r="10112">
      <c r="A10112" s="3" t="str">
        <f>IFERROR(__xludf.DUMMYFUNCTION("""COMPUTED_VALUE"""),"santa-inu")</f>
        <v>santa-inu</v>
      </c>
      <c r="B10112" s="3" t="str">
        <f>IFERROR(__xludf.DUMMYFUNCTION("""COMPUTED_VALUE"""),"saninu")</f>
        <v>saninu</v>
      </c>
      <c r="C10112" s="3" t="str">
        <f>IFERROR(__xludf.DUMMYFUNCTION("""COMPUTED_VALUE"""),"Santa Inu")</f>
        <v>Santa Inu</v>
      </c>
    </row>
    <row r="10113">
      <c r="A10113" s="3" t="str">
        <f>IFERROR(__xludf.DUMMYFUNCTION("""COMPUTED_VALUE"""),"santiment-network-token")</f>
        <v>santiment-network-token</v>
      </c>
      <c r="B10113" s="3" t="str">
        <f>IFERROR(__xludf.DUMMYFUNCTION("""COMPUTED_VALUE"""),"san")</f>
        <v>san</v>
      </c>
      <c r="C10113" s="3" t="str">
        <f>IFERROR(__xludf.DUMMYFUNCTION("""COMPUTED_VALUE"""),"Santiment Network")</f>
        <v>Santiment Network</v>
      </c>
    </row>
    <row r="10114">
      <c r="A10114" s="3" t="str">
        <f>IFERROR(__xludf.DUMMYFUNCTION("""COMPUTED_VALUE"""),"santos-fc-fan-token")</f>
        <v>santos-fc-fan-token</v>
      </c>
      <c r="B10114" s="3" t="str">
        <f>IFERROR(__xludf.DUMMYFUNCTION("""COMPUTED_VALUE"""),"santos")</f>
        <v>santos</v>
      </c>
      <c r="C10114" s="3" t="str">
        <f>IFERROR(__xludf.DUMMYFUNCTION("""COMPUTED_VALUE"""),"Santos FC Fan Token")</f>
        <v>Santos FC Fan Token</v>
      </c>
    </row>
    <row r="10115">
      <c r="A10115" s="3" t="str">
        <f>IFERROR(__xludf.DUMMYFUNCTION("""COMPUTED_VALUE"""),"sao-paulo-fc-fan-token")</f>
        <v>sao-paulo-fc-fan-token</v>
      </c>
      <c r="B10115" s="3" t="str">
        <f>IFERROR(__xludf.DUMMYFUNCTION("""COMPUTED_VALUE"""),"spfc")</f>
        <v>spfc</v>
      </c>
      <c r="C10115" s="3" t="str">
        <f>IFERROR(__xludf.DUMMYFUNCTION("""COMPUTED_VALUE"""),"Sao Paulo FC Fan Token")</f>
        <v>Sao Paulo FC Fan Token</v>
      </c>
    </row>
    <row r="10116">
      <c r="A10116" s="3" t="str">
        <f>IFERROR(__xludf.DUMMYFUNCTION("""COMPUTED_VALUE"""),"sapchain")</f>
        <v>sapchain</v>
      </c>
      <c r="B10116" s="3" t="str">
        <f>IFERROR(__xludf.DUMMYFUNCTION("""COMPUTED_VALUE"""),"sap")</f>
        <v>sap</v>
      </c>
      <c r="C10116" s="3" t="str">
        <f>IFERROR(__xludf.DUMMYFUNCTION("""COMPUTED_VALUE"""),"Sapchain")</f>
        <v>Sapchain</v>
      </c>
    </row>
    <row r="10117">
      <c r="A10117" s="3" t="str">
        <f>IFERROR(__xludf.DUMMYFUNCTION("""COMPUTED_VALUE"""),"sapien")</f>
        <v>sapien</v>
      </c>
      <c r="B10117" s="3" t="str">
        <f>IFERROR(__xludf.DUMMYFUNCTION("""COMPUTED_VALUE"""),"spn")</f>
        <v>spn</v>
      </c>
      <c r="C10117" s="3" t="str">
        <f>IFERROR(__xludf.DUMMYFUNCTION("""COMPUTED_VALUE"""),"Sapien")</f>
        <v>Sapien</v>
      </c>
    </row>
    <row r="10118">
      <c r="A10118" s="3" t="str">
        <f>IFERROR(__xludf.DUMMYFUNCTION("""COMPUTED_VALUE"""),"sappchat")</f>
        <v>sappchat</v>
      </c>
      <c r="B10118" s="3" t="str">
        <f>IFERROR(__xludf.DUMMYFUNCTION("""COMPUTED_VALUE"""),"app")</f>
        <v>app</v>
      </c>
      <c r="C10118" s="3" t="str">
        <f>IFERROR(__xludf.DUMMYFUNCTION("""COMPUTED_VALUE"""),"SappChat")</f>
        <v>SappChat</v>
      </c>
    </row>
    <row r="10119">
      <c r="A10119" s="3" t="str">
        <f>IFERROR(__xludf.DUMMYFUNCTION("""COMPUTED_VALUE"""),"sapphire")</f>
        <v>sapphire</v>
      </c>
      <c r="B10119" s="3" t="str">
        <f>IFERROR(__xludf.DUMMYFUNCTION("""COMPUTED_VALUE"""),"sapp")</f>
        <v>sapp</v>
      </c>
      <c r="C10119" s="3" t="str">
        <f>IFERROR(__xludf.DUMMYFUNCTION("""COMPUTED_VALUE"""),"Sapphire")</f>
        <v>Sapphire</v>
      </c>
    </row>
    <row r="10120">
      <c r="A10120" s="3" t="str">
        <f>IFERROR(__xludf.DUMMYFUNCTION("""COMPUTED_VALUE"""),"sarabichain")</f>
        <v>sarabichain</v>
      </c>
      <c r="B10120" s="3" t="str">
        <f>IFERROR(__xludf.DUMMYFUNCTION("""COMPUTED_VALUE"""),"sarabi")</f>
        <v>sarabi</v>
      </c>
      <c r="C10120" s="3" t="str">
        <f>IFERROR(__xludf.DUMMYFUNCTION("""COMPUTED_VALUE"""),"SarabiChain")</f>
        <v>SarabiChain</v>
      </c>
    </row>
    <row r="10121">
      <c r="A10121" s="3" t="str">
        <f>IFERROR(__xludf.DUMMYFUNCTION("""COMPUTED_VALUE"""),"sarcophagus")</f>
        <v>sarcophagus</v>
      </c>
      <c r="B10121" s="3" t="str">
        <f>IFERROR(__xludf.DUMMYFUNCTION("""COMPUTED_VALUE"""),"sarco")</f>
        <v>sarco</v>
      </c>
      <c r="C10121" s="3" t="str">
        <f>IFERROR(__xludf.DUMMYFUNCTION("""COMPUTED_VALUE"""),"Sarcophagus")</f>
        <v>Sarcophagus</v>
      </c>
    </row>
    <row r="10122">
      <c r="A10122" s="3" t="str">
        <f>IFERROR(__xludf.DUMMYFUNCTION("""COMPUTED_VALUE"""),"sashimi")</f>
        <v>sashimi</v>
      </c>
      <c r="B10122" s="3" t="str">
        <f>IFERROR(__xludf.DUMMYFUNCTION("""COMPUTED_VALUE"""),"sashimi")</f>
        <v>sashimi</v>
      </c>
      <c r="C10122" s="3" t="str">
        <f>IFERROR(__xludf.DUMMYFUNCTION("""COMPUTED_VALUE"""),"Sashimi")</f>
        <v>Sashimi</v>
      </c>
    </row>
    <row r="10123">
      <c r="A10123" s="3" t="str">
        <f>IFERROR(__xludf.DUMMYFUNCTION("""COMPUTED_VALUE"""),"satelstar")</f>
        <v>satelstar</v>
      </c>
      <c r="B10123" s="3" t="str">
        <f>IFERROR(__xludf.DUMMYFUNCTION("""COMPUTED_VALUE"""),"stsr")</f>
        <v>stsr</v>
      </c>
      <c r="C10123" s="3" t="str">
        <f>IFERROR(__xludf.DUMMYFUNCTION("""COMPUTED_VALUE"""),"SatelStar")</f>
        <v>SatelStar</v>
      </c>
    </row>
    <row r="10124">
      <c r="A10124" s="3" t="str">
        <f>IFERROR(__xludf.DUMMYFUNCTION("""COMPUTED_VALUE"""),"satisfinance")</f>
        <v>satisfinance</v>
      </c>
      <c r="B10124" s="3" t="str">
        <f>IFERROR(__xludf.DUMMYFUNCTION("""COMPUTED_VALUE"""),"sat")</f>
        <v>sat</v>
      </c>
      <c r="C10124" s="3" t="str">
        <f>IFERROR(__xludf.DUMMYFUNCTION("""COMPUTED_VALUE"""),"SatisFinance")</f>
        <v>SatisFinance</v>
      </c>
    </row>
    <row r="10125">
      <c r="A10125" s="3" t="str">
        <f>IFERROR(__xludf.DUMMYFUNCTION("""COMPUTED_VALUE"""),"satoexchange-token")</f>
        <v>satoexchange-token</v>
      </c>
      <c r="B10125" s="3" t="str">
        <f>IFERROR(__xludf.DUMMYFUNCTION("""COMPUTED_VALUE"""),"satx")</f>
        <v>satx</v>
      </c>
      <c r="C10125" s="3" t="str">
        <f>IFERROR(__xludf.DUMMYFUNCTION("""COMPUTED_VALUE"""),"SatoExchange")</f>
        <v>SatoExchange</v>
      </c>
    </row>
    <row r="10126">
      <c r="A10126" s="3" t="str">
        <f>IFERROR(__xludf.DUMMYFUNCTION("""COMPUTED_VALUE"""),"satopay")</f>
        <v>satopay</v>
      </c>
      <c r="B10126" s="3" t="str">
        <f>IFERROR(__xludf.DUMMYFUNCTION("""COMPUTED_VALUE"""),"stop")</f>
        <v>stop</v>
      </c>
      <c r="C10126" s="3" t="str">
        <f>IFERROR(__xludf.DUMMYFUNCTION("""COMPUTED_VALUE"""),"SatoPay")</f>
        <v>SatoPay</v>
      </c>
    </row>
    <row r="10127">
      <c r="A10127" s="3" t="str">
        <f>IFERROR(__xludf.DUMMYFUNCTION("""COMPUTED_VALUE"""),"sator")</f>
        <v>sator</v>
      </c>
      <c r="B10127" s="3" t="str">
        <f>IFERROR(__xludf.DUMMYFUNCTION("""COMPUTED_VALUE"""),"sao")</f>
        <v>sao</v>
      </c>
      <c r="C10127" s="3" t="str">
        <f>IFERROR(__xludf.DUMMYFUNCTION("""COMPUTED_VALUE"""),"Sator")</f>
        <v>Sator</v>
      </c>
    </row>
    <row r="10128">
      <c r="A10128" s="3" t="str">
        <f>IFERROR(__xludf.DUMMYFUNCTION("""COMPUTED_VALUE"""),"satoshicity")</f>
        <v>satoshicity</v>
      </c>
      <c r="B10128" s="3" t="str">
        <f>IFERROR(__xludf.DUMMYFUNCTION("""COMPUTED_VALUE"""),"city")</f>
        <v>city</v>
      </c>
      <c r="C10128" s="3" t="str">
        <f>IFERROR(__xludf.DUMMYFUNCTION("""COMPUTED_VALUE"""),"SatoshiCity")</f>
        <v>SatoshiCity</v>
      </c>
    </row>
    <row r="10129">
      <c r="A10129" s="3" t="str">
        <f>IFERROR(__xludf.DUMMYFUNCTION("""COMPUTED_VALUE"""),"satoshi-island")</f>
        <v>satoshi-island</v>
      </c>
      <c r="B10129" s="3" t="str">
        <f>IFERROR(__xludf.DUMMYFUNCTION("""COMPUTED_VALUE"""),"stc")</f>
        <v>stc</v>
      </c>
      <c r="C10129" s="3" t="str">
        <f>IFERROR(__xludf.DUMMYFUNCTION("""COMPUTED_VALUE"""),"Satoshi Island")</f>
        <v>Satoshi Island</v>
      </c>
    </row>
    <row r="10130">
      <c r="A10130" s="3" t="str">
        <f>IFERROR(__xludf.DUMMYFUNCTION("""COMPUTED_VALUE"""),"satoshi-monsters")</f>
        <v>satoshi-monsters</v>
      </c>
      <c r="B10130" s="3" t="str">
        <f>IFERROR(__xludf.DUMMYFUNCTION("""COMPUTED_VALUE"""),"ssm")</f>
        <v>ssm</v>
      </c>
      <c r="C10130" s="3" t="str">
        <f>IFERROR(__xludf.DUMMYFUNCTION("""COMPUTED_VALUE"""),"Satoshi Monsters")</f>
        <v>Satoshi Monsters</v>
      </c>
    </row>
    <row r="10131">
      <c r="A10131" s="3" t="str">
        <f>IFERROR(__xludf.DUMMYFUNCTION("""COMPUTED_VALUE"""),"satoshistreetbets")</f>
        <v>satoshistreetbets</v>
      </c>
      <c r="B10131" s="3" t="str">
        <f>IFERROR(__xludf.DUMMYFUNCTION("""COMPUTED_VALUE"""),"ssb")</f>
        <v>ssb</v>
      </c>
      <c r="C10131" s="3" t="str">
        <f>IFERROR(__xludf.DUMMYFUNCTION("""COMPUTED_VALUE"""),"SatoshiStreetBets")</f>
        <v>SatoshiStreetBets</v>
      </c>
    </row>
    <row r="10132">
      <c r="A10132" s="3" t="str">
        <f>IFERROR(__xludf.DUMMYFUNCTION("""COMPUTED_VALUE"""),"satoshiswap-2")</f>
        <v>satoshiswap-2</v>
      </c>
      <c r="B10132" s="3" t="str">
        <f>IFERROR(__xludf.DUMMYFUNCTION("""COMPUTED_VALUE"""),"swap")</f>
        <v>swap</v>
      </c>
      <c r="C10132" s="3" t="str">
        <f>IFERROR(__xludf.DUMMYFUNCTION("""COMPUTED_VALUE"""),"SatoshiSwap")</f>
        <v>SatoshiSwap</v>
      </c>
    </row>
    <row r="10133">
      <c r="A10133" s="3" t="str">
        <f>IFERROR(__xludf.DUMMYFUNCTION("""COMPUTED_VALUE"""),"satozhi")</f>
        <v>satozhi</v>
      </c>
      <c r="B10133" s="3" t="str">
        <f>IFERROR(__xludf.DUMMYFUNCTION("""COMPUTED_VALUE"""),"satoz")</f>
        <v>satoz</v>
      </c>
      <c r="C10133" s="3" t="str">
        <f>IFERROR(__xludf.DUMMYFUNCTION("""COMPUTED_VALUE"""),"Satozhi")</f>
        <v>Satozhi</v>
      </c>
    </row>
    <row r="10134">
      <c r="A10134" s="3" t="str">
        <f>IFERROR(__xludf.DUMMYFUNCTION("""COMPUTED_VALUE"""),"satt")</f>
        <v>satt</v>
      </c>
      <c r="B10134" s="3" t="str">
        <f>IFERROR(__xludf.DUMMYFUNCTION("""COMPUTED_VALUE"""),"satt")</f>
        <v>satt</v>
      </c>
      <c r="C10134" s="3" t="str">
        <f>IFERROR(__xludf.DUMMYFUNCTION("""COMPUTED_VALUE"""),"SaTT")</f>
        <v>SaTT</v>
      </c>
    </row>
    <row r="10135">
      <c r="A10135" s="3" t="str">
        <f>IFERROR(__xludf.DUMMYFUNCTION("""COMPUTED_VALUE"""),"saturna")</f>
        <v>saturna</v>
      </c>
      <c r="B10135" s="3" t="str">
        <f>IFERROR(__xludf.DUMMYFUNCTION("""COMPUTED_VALUE"""),"sat")</f>
        <v>sat</v>
      </c>
      <c r="C10135" s="3" t="str">
        <f>IFERROR(__xludf.DUMMYFUNCTION("""COMPUTED_VALUE"""),"Saturna")</f>
        <v>Saturna</v>
      </c>
    </row>
    <row r="10136">
      <c r="A10136" s="3" t="str">
        <f>IFERROR(__xludf.DUMMYFUNCTION("""COMPUTED_VALUE"""),"saucerswap")</f>
        <v>saucerswap</v>
      </c>
      <c r="B10136" s="3" t="str">
        <f>IFERROR(__xludf.DUMMYFUNCTION("""COMPUTED_VALUE"""),"sauce")</f>
        <v>sauce</v>
      </c>
      <c r="C10136" s="3" t="str">
        <f>IFERROR(__xludf.DUMMYFUNCTION("""COMPUTED_VALUE"""),"SaucerSwap")</f>
        <v>SaucerSwap</v>
      </c>
    </row>
    <row r="10137">
      <c r="A10137" s="3" t="str">
        <f>IFERROR(__xludf.DUMMYFUNCTION("""COMPUTED_VALUE"""),"saudi-shiba-inu")</f>
        <v>saudi-shiba-inu</v>
      </c>
      <c r="B10137" s="3" t="str">
        <f>IFERROR(__xludf.DUMMYFUNCTION("""COMPUTED_VALUE"""),"saudishib")</f>
        <v>saudishib</v>
      </c>
      <c r="C10137" s="3" t="str">
        <f>IFERROR(__xludf.DUMMYFUNCTION("""COMPUTED_VALUE"""),"SAUDI SHIBA INU")</f>
        <v>SAUDI SHIBA INU</v>
      </c>
    </row>
    <row r="10138">
      <c r="A10138" s="3" t="str">
        <f>IFERROR(__xludf.DUMMYFUNCTION("""COMPUTED_VALUE"""),"saunafinance-token")</f>
        <v>saunafinance-token</v>
      </c>
      <c r="B10138" s="3" t="str">
        <f>IFERROR(__xludf.DUMMYFUNCTION("""COMPUTED_VALUE"""),"sauna")</f>
        <v>sauna</v>
      </c>
      <c r="C10138" s="3" t="str">
        <f>IFERROR(__xludf.DUMMYFUNCTION("""COMPUTED_VALUE"""),"SaunaFinance")</f>
        <v>SaunaFinance</v>
      </c>
    </row>
    <row r="10139">
      <c r="A10139" s="3" t="str">
        <f>IFERROR(__xludf.DUMMYFUNCTION("""COMPUTED_VALUE"""),"sav3")</f>
        <v>sav3</v>
      </c>
      <c r="B10139" s="3" t="str">
        <f>IFERROR(__xludf.DUMMYFUNCTION("""COMPUTED_VALUE"""),"sav3")</f>
        <v>sav3</v>
      </c>
      <c r="C10139" s="3" t="str">
        <f>IFERROR(__xludf.DUMMYFUNCTION("""COMPUTED_VALUE"""),"SAV3")</f>
        <v>SAV3</v>
      </c>
    </row>
    <row r="10140">
      <c r="A10140" s="3" t="str">
        <f>IFERROR(__xludf.DUMMYFUNCTION("""COMPUTED_VALUE"""),"savage")</f>
        <v>savage</v>
      </c>
      <c r="B10140" s="3" t="str">
        <f>IFERROR(__xludf.DUMMYFUNCTION("""COMPUTED_VALUE"""),"savg")</f>
        <v>savg</v>
      </c>
      <c r="C10140" s="3" t="str">
        <f>IFERROR(__xludf.DUMMYFUNCTION("""COMPUTED_VALUE"""),"SAVAGE")</f>
        <v>SAVAGE</v>
      </c>
    </row>
    <row r="10141">
      <c r="A10141" s="3" t="str">
        <f>IFERROR(__xludf.DUMMYFUNCTION("""COMPUTED_VALUE"""),"savanna")</f>
        <v>savanna</v>
      </c>
      <c r="B10141" s="3" t="str">
        <f>IFERROR(__xludf.DUMMYFUNCTION("""COMPUTED_VALUE"""),"svn")</f>
        <v>svn</v>
      </c>
      <c r="C10141" s="3" t="str">
        <f>IFERROR(__xludf.DUMMYFUNCTION("""COMPUTED_VALUE"""),"Savanna")</f>
        <v>Savanna</v>
      </c>
    </row>
    <row r="10142">
      <c r="A10142" s="3" t="str">
        <f>IFERROR(__xludf.DUMMYFUNCTION("""COMPUTED_VALUE"""),"saveanimal")</f>
        <v>saveanimal</v>
      </c>
      <c r="B10142" s="3" t="str">
        <f>IFERROR(__xludf.DUMMYFUNCTION("""COMPUTED_VALUE"""),"saveanimal")</f>
        <v>saveanimal</v>
      </c>
      <c r="C10142" s="3" t="str">
        <f>IFERROR(__xludf.DUMMYFUNCTION("""COMPUTED_VALUE"""),"SaveAnimal")</f>
        <v>SaveAnimal</v>
      </c>
    </row>
    <row r="10143">
      <c r="A10143" s="3" t="str">
        <f>IFERROR(__xludf.DUMMYFUNCTION("""COMPUTED_VALUE"""),"save-baby-doge")</f>
        <v>save-baby-doge</v>
      </c>
      <c r="B10143" s="3" t="str">
        <f>IFERROR(__xludf.DUMMYFUNCTION("""COMPUTED_VALUE"""),"babydoge")</f>
        <v>babydoge</v>
      </c>
      <c r="C10143" s="3" t="str">
        <f>IFERROR(__xludf.DUMMYFUNCTION("""COMPUTED_VALUE"""),"Save Baby Doge")</f>
        <v>Save Baby Doge</v>
      </c>
    </row>
    <row r="10144">
      <c r="A10144" s="3" t="str">
        <f>IFERROR(__xludf.DUMMYFUNCTION("""COMPUTED_VALUE"""),"savebee-farm-honeycomb")</f>
        <v>savebee-farm-honeycomb</v>
      </c>
      <c r="B10144" s="3" t="str">
        <f>IFERROR(__xludf.DUMMYFUNCTION("""COMPUTED_VALUE"""),"hc")</f>
        <v>hc</v>
      </c>
      <c r="C10144" s="3" t="str">
        <f>IFERROR(__xludf.DUMMYFUNCTION("""COMPUTED_VALUE"""),"SAVEBEE FARM HONEYCOMB")</f>
        <v>SAVEBEE FARM HONEYCOMB</v>
      </c>
    </row>
    <row r="10145">
      <c r="A10145" s="3" t="str">
        <f>IFERROR(__xludf.DUMMYFUNCTION("""COMPUTED_VALUE"""),"savebritney")</f>
        <v>savebritney</v>
      </c>
      <c r="B10145" s="3" t="str">
        <f>IFERROR(__xludf.DUMMYFUNCTION("""COMPUTED_VALUE"""),"sbrt")</f>
        <v>sbrt</v>
      </c>
      <c r="C10145" s="3" t="str">
        <f>IFERROR(__xludf.DUMMYFUNCTION("""COMPUTED_VALUE"""),"SaveBritney")</f>
        <v>SaveBritney</v>
      </c>
    </row>
    <row r="10146">
      <c r="A10146" s="3" t="str">
        <f>IFERROR(__xludf.DUMMYFUNCTION("""COMPUTED_VALUE"""),"savedroid")</f>
        <v>savedroid</v>
      </c>
      <c r="B10146" s="3" t="str">
        <f>IFERROR(__xludf.DUMMYFUNCTION("""COMPUTED_VALUE"""),"svd")</f>
        <v>svd</v>
      </c>
      <c r="C10146" s="3" t="str">
        <f>IFERROR(__xludf.DUMMYFUNCTION("""COMPUTED_VALUE"""),"Savedroid")</f>
        <v>Savedroid</v>
      </c>
    </row>
    <row r="10147">
      <c r="A10147" s="3" t="str">
        <f>IFERROR(__xludf.DUMMYFUNCTION("""COMPUTED_VALUE"""),"saveplanetearth")</f>
        <v>saveplanetearth</v>
      </c>
      <c r="B10147" s="3" t="str">
        <f>IFERROR(__xludf.DUMMYFUNCTION("""COMPUTED_VALUE"""),"spe")</f>
        <v>spe</v>
      </c>
      <c r="C10147" s="3" t="str">
        <f>IFERROR(__xludf.DUMMYFUNCTION("""COMPUTED_VALUE"""),"SavePlanetEarth")</f>
        <v>SavePlanetEarth</v>
      </c>
    </row>
    <row r="10148">
      <c r="A10148" s="3" t="str">
        <f>IFERROR(__xludf.DUMMYFUNCTION("""COMPUTED_VALUE"""),"savetheworld")</f>
        <v>savetheworld</v>
      </c>
      <c r="B10148" s="3" t="str">
        <f>IFERROR(__xludf.DUMMYFUNCTION("""COMPUTED_VALUE"""),"save")</f>
        <v>save</v>
      </c>
      <c r="C10148" s="3" t="str">
        <f>IFERROR(__xludf.DUMMYFUNCTION("""COMPUTED_VALUE"""),"SaveTheWorld")</f>
        <v>SaveTheWorld</v>
      </c>
    </row>
    <row r="10149">
      <c r="A10149" s="3" t="str">
        <f>IFERROR(__xludf.DUMMYFUNCTION("""COMPUTED_VALUE"""),"savix")</f>
        <v>savix</v>
      </c>
      <c r="B10149" s="3" t="str">
        <f>IFERROR(__xludf.DUMMYFUNCTION("""COMPUTED_VALUE"""),"svx")</f>
        <v>svx</v>
      </c>
      <c r="C10149" s="3" t="str">
        <f>IFERROR(__xludf.DUMMYFUNCTION("""COMPUTED_VALUE"""),"Savix")</f>
        <v>Savix</v>
      </c>
    </row>
    <row r="10150">
      <c r="A10150" s="3" t="str">
        <f>IFERROR(__xludf.DUMMYFUNCTION("""COMPUTED_VALUE"""),"sawa-crypto")</f>
        <v>sawa-crypto</v>
      </c>
      <c r="B10150" s="3" t="str">
        <f>IFERROR(__xludf.DUMMYFUNCTION("""COMPUTED_VALUE"""),"sawa")</f>
        <v>sawa</v>
      </c>
      <c r="C10150" s="3" t="str">
        <f>IFERROR(__xludf.DUMMYFUNCTION("""COMPUTED_VALUE"""),"SAWA Crypto")</f>
        <v>SAWA Crypto</v>
      </c>
    </row>
    <row r="10151">
      <c r="A10151" s="3" t="str">
        <f>IFERROR(__xludf.DUMMYFUNCTION("""COMPUTED_VALUE"""),"sax-token")</f>
        <v>sax-token</v>
      </c>
      <c r="B10151" s="3" t="str">
        <f>IFERROR(__xludf.DUMMYFUNCTION("""COMPUTED_VALUE"""),"sax")</f>
        <v>sax</v>
      </c>
      <c r="C10151" s="3" t="str">
        <f>IFERROR(__xludf.DUMMYFUNCTION("""COMPUTED_VALUE"""),"IdleStoneage SAX")</f>
        <v>IdleStoneage SAX</v>
      </c>
    </row>
    <row r="10152">
      <c r="A10152" s="3" t="str">
        <f>IFERROR(__xludf.DUMMYFUNCTION("""COMPUTED_VALUE"""),"saylor-moon")</f>
        <v>saylor-moon</v>
      </c>
      <c r="B10152" s="3" t="str">
        <f>IFERROR(__xludf.DUMMYFUNCTION("""COMPUTED_VALUE"""),"smoon")</f>
        <v>smoon</v>
      </c>
      <c r="C10152" s="3" t="str">
        <f>IFERROR(__xludf.DUMMYFUNCTION("""COMPUTED_VALUE"""),"SaylorMoon")</f>
        <v>SaylorMoon</v>
      </c>
    </row>
    <row r="10153">
      <c r="A10153" s="3" t="str">
        <f>IFERROR(__xludf.DUMMYFUNCTION("""COMPUTED_VALUE"""),"sbet")</f>
        <v>sbet</v>
      </c>
      <c r="B10153" s="3" t="str">
        <f>IFERROR(__xludf.DUMMYFUNCTION("""COMPUTED_VALUE"""),"sbet")</f>
        <v>sbet</v>
      </c>
      <c r="C10153" s="3" t="str">
        <f>IFERROR(__xludf.DUMMYFUNCTION("""COMPUTED_VALUE"""),"SBET")</f>
        <v>SBET</v>
      </c>
    </row>
    <row r="10154">
      <c r="A10154" s="3" t="str">
        <f>IFERROR(__xludf.DUMMYFUNCTION("""COMPUTED_VALUE"""),"sbf-coin")</f>
        <v>sbf-coin</v>
      </c>
      <c r="B10154" s="3" t="str">
        <f>IFERROR(__xludf.DUMMYFUNCTION("""COMPUTED_VALUE"""),"sbfc")</f>
        <v>sbfc</v>
      </c>
      <c r="C10154" s="3" t="str">
        <f>IFERROR(__xludf.DUMMYFUNCTION("""COMPUTED_VALUE"""),"SBF Coin")</f>
        <v>SBF Coin</v>
      </c>
    </row>
    <row r="10155">
      <c r="A10155" s="3" t="str">
        <f>IFERROR(__xludf.DUMMYFUNCTION("""COMPUTED_VALUE"""),"sbtc")</f>
        <v>sbtc</v>
      </c>
      <c r="B10155" s="3" t="str">
        <f>IFERROR(__xludf.DUMMYFUNCTION("""COMPUTED_VALUE"""),"sbtc")</f>
        <v>sbtc</v>
      </c>
      <c r="C10155" s="3" t="str">
        <f>IFERROR(__xludf.DUMMYFUNCTION("""COMPUTED_VALUE"""),"sBTC")</f>
        <v>sBTC</v>
      </c>
    </row>
    <row r="10156">
      <c r="A10156" s="3" t="str">
        <f>IFERROR(__xludf.DUMMYFUNCTION("""COMPUTED_VALUE"""),"sbu-honey")</f>
        <v>sbu-honey</v>
      </c>
      <c r="B10156" s="3" t="str">
        <f>IFERROR(__xludf.DUMMYFUNCTION("""COMPUTED_VALUE"""),"bhny")</f>
        <v>bhny</v>
      </c>
      <c r="C10156" s="3" t="str">
        <f>IFERROR(__xludf.DUMMYFUNCTION("""COMPUTED_VALUE"""),"SBU Honey")</f>
        <v>SBU Honey</v>
      </c>
    </row>
    <row r="10157">
      <c r="A10157" s="3" t="str">
        <f>IFERROR(__xludf.DUMMYFUNCTION("""COMPUTED_VALUE"""),"scalara-nft-index")</f>
        <v>scalara-nft-index</v>
      </c>
      <c r="B10157" s="3" t="str">
        <f>IFERROR(__xludf.DUMMYFUNCTION("""COMPUTED_VALUE"""),"nfti")</f>
        <v>nfti</v>
      </c>
      <c r="C10157" s="3" t="str">
        <f>IFERROR(__xludf.DUMMYFUNCTION("""COMPUTED_VALUE"""),"Scalara NFT Index")</f>
        <v>Scalara NFT Index</v>
      </c>
    </row>
    <row r="10158">
      <c r="A10158" s="3" t="str">
        <f>IFERROR(__xludf.DUMMYFUNCTION("""COMPUTED_VALUE"""),"scaleswap-token")</f>
        <v>scaleswap-token</v>
      </c>
      <c r="B10158" s="3" t="str">
        <f>IFERROR(__xludf.DUMMYFUNCTION("""COMPUTED_VALUE"""),"sca")</f>
        <v>sca</v>
      </c>
      <c r="C10158" s="3" t="str">
        <f>IFERROR(__xludf.DUMMYFUNCTION("""COMPUTED_VALUE"""),"Scaleswap")</f>
        <v>Scaleswap</v>
      </c>
    </row>
    <row r="10159">
      <c r="A10159" s="3" t="str">
        <f>IFERROR(__xludf.DUMMYFUNCTION("""COMPUTED_VALUE"""),"scallop")</f>
        <v>scallop</v>
      </c>
      <c r="B10159" s="3" t="str">
        <f>IFERROR(__xludf.DUMMYFUNCTION("""COMPUTED_VALUE"""),"sclp")</f>
        <v>sclp</v>
      </c>
      <c r="C10159" s="3" t="str">
        <f>IFERROR(__xludf.DUMMYFUNCTION("""COMPUTED_VALUE"""),"Scallop")</f>
        <v>Scallop</v>
      </c>
    </row>
    <row r="10160">
      <c r="A10160" s="3" t="str">
        <f>IFERROR(__xludf.DUMMYFUNCTION("""COMPUTED_VALUE"""),"scalpingcoin")</f>
        <v>scalpingcoin</v>
      </c>
      <c r="B10160" s="3" t="str">
        <f>IFERROR(__xludf.DUMMYFUNCTION("""COMPUTED_VALUE"""),"scalp")</f>
        <v>scalp</v>
      </c>
      <c r="C10160" s="3" t="str">
        <f>IFERROR(__xludf.DUMMYFUNCTION("""COMPUTED_VALUE"""),"SCALPingcoin")</f>
        <v>SCALPingcoin</v>
      </c>
    </row>
    <row r="10161">
      <c r="A10161" s="3" t="str">
        <f>IFERROR(__xludf.DUMMYFUNCTION("""COMPUTED_VALUE"""),"scan-defi")</f>
        <v>scan-defi</v>
      </c>
      <c r="B10161" s="3" t="str">
        <f>IFERROR(__xludf.DUMMYFUNCTION("""COMPUTED_VALUE"""),"scan")</f>
        <v>scan</v>
      </c>
      <c r="C10161" s="3" t="str">
        <f>IFERROR(__xludf.DUMMYFUNCTION("""COMPUTED_VALUE"""),"Scan DeFi")</f>
        <v>Scan DeFi</v>
      </c>
    </row>
    <row r="10162">
      <c r="A10162" s="3" t="str">
        <f>IFERROR(__xludf.DUMMYFUNCTION("""COMPUTED_VALUE"""),"scanetchain")</f>
        <v>scanetchain</v>
      </c>
      <c r="B10162" s="3" t="str">
        <f>IFERROR(__xludf.DUMMYFUNCTION("""COMPUTED_VALUE"""),"swc")</f>
        <v>swc</v>
      </c>
      <c r="C10162" s="3" t="str">
        <f>IFERROR(__xludf.DUMMYFUNCTION("""COMPUTED_VALUE"""),"Scanetchain")</f>
        <v>Scanetchain</v>
      </c>
    </row>
    <row r="10163">
      <c r="A10163" s="3" t="str">
        <f>IFERROR(__xludf.DUMMYFUNCTION("""COMPUTED_VALUE"""),"scarab-finance")</f>
        <v>scarab-finance</v>
      </c>
      <c r="B10163" s="3" t="str">
        <f>IFERROR(__xludf.DUMMYFUNCTION("""COMPUTED_VALUE"""),"scarab")</f>
        <v>scarab</v>
      </c>
      <c r="C10163" s="3" t="str">
        <f>IFERROR(__xludf.DUMMYFUNCTION("""COMPUTED_VALUE"""),"Scarab Finance")</f>
        <v>Scarab Finance</v>
      </c>
    </row>
    <row r="10164">
      <c r="A10164" s="3" t="str">
        <f>IFERROR(__xludf.DUMMYFUNCTION("""COMPUTED_VALUE"""),"scarcity")</f>
        <v>scarcity</v>
      </c>
      <c r="B10164" s="3" t="str">
        <f>IFERROR(__xludf.DUMMYFUNCTION("""COMPUTED_VALUE"""),"scx")</f>
        <v>scx</v>
      </c>
      <c r="C10164" s="3" t="str">
        <f>IFERROR(__xludf.DUMMYFUNCTION("""COMPUTED_VALUE"""),"Scarcity")</f>
        <v>Scarcity</v>
      </c>
    </row>
    <row r="10165">
      <c r="A10165" s="3" t="str">
        <f>IFERROR(__xludf.DUMMYFUNCTION("""COMPUTED_VALUE"""),"scardust")</f>
        <v>scardust</v>
      </c>
      <c r="B10165" s="3" t="str">
        <f>IFERROR(__xludf.DUMMYFUNCTION("""COMPUTED_VALUE"""),"scard")</f>
        <v>scard</v>
      </c>
      <c r="C10165" s="3" t="str">
        <f>IFERROR(__xludf.DUMMYFUNCTION("""COMPUTED_VALUE"""),"SCARDust")</f>
        <v>SCARDust</v>
      </c>
    </row>
    <row r="10166">
      <c r="A10166" s="3" t="str">
        <f>IFERROR(__xludf.DUMMYFUNCTION("""COMPUTED_VALUE"""),"scarecrow")</f>
        <v>scarecrow</v>
      </c>
      <c r="B10166" s="3" t="str">
        <f>IFERROR(__xludf.DUMMYFUNCTION("""COMPUTED_VALUE"""),"scare")</f>
        <v>scare</v>
      </c>
      <c r="C10166" s="3" t="str">
        <f>IFERROR(__xludf.DUMMYFUNCTION("""COMPUTED_VALUE"""),"ScareCrow")</f>
        <v>ScareCrow</v>
      </c>
    </row>
    <row r="10167">
      <c r="A10167" s="3" t="str">
        <f>IFERROR(__xludf.DUMMYFUNCTION("""COMPUTED_VALUE"""),"scarface-finance")</f>
        <v>scarface-finance</v>
      </c>
      <c r="B10167" s="3" t="str">
        <f>IFERROR(__xludf.DUMMYFUNCTION("""COMPUTED_VALUE"""),"scar")</f>
        <v>scar</v>
      </c>
      <c r="C10167" s="3" t="str">
        <f>IFERROR(__xludf.DUMMYFUNCTION("""COMPUTED_VALUE"""),"Scarface Finance")</f>
        <v>Scarface Finance</v>
      </c>
    </row>
    <row r="10168">
      <c r="A10168" s="3" t="str">
        <f>IFERROR(__xludf.DUMMYFUNCTION("""COMPUTED_VALUE"""),"scarface-lion")</f>
        <v>scarface-lion</v>
      </c>
      <c r="B10168" s="3" t="str">
        <f>IFERROR(__xludf.DUMMYFUNCTION("""COMPUTED_VALUE"""),"sfl")</f>
        <v>sfl</v>
      </c>
      <c r="C10168" s="3" t="str">
        <f>IFERROR(__xludf.DUMMYFUNCTION("""COMPUTED_VALUE"""),"ScarFace Lion")</f>
        <v>ScarFace Lion</v>
      </c>
    </row>
    <row r="10169">
      <c r="A10169" s="3" t="str">
        <f>IFERROR(__xludf.DUMMYFUNCTION("""COMPUTED_VALUE"""),"scarpacoin")</f>
        <v>scarpacoin</v>
      </c>
      <c r="B10169" s="3" t="str">
        <f>IFERROR(__xludf.DUMMYFUNCTION("""COMPUTED_VALUE"""),"sc")</f>
        <v>sc</v>
      </c>
      <c r="C10169" s="3" t="str">
        <f>IFERROR(__xludf.DUMMYFUNCTION("""COMPUTED_VALUE"""),"ScarpaCoin")</f>
        <v>ScarpaCoin</v>
      </c>
    </row>
    <row r="10170">
      <c r="A10170" s="3" t="str">
        <f>IFERROR(__xludf.DUMMYFUNCTION("""COMPUTED_VALUE"""),"scary-bunny")</f>
        <v>scary-bunny</v>
      </c>
      <c r="B10170" s="3" t="str">
        <f>IFERROR(__xludf.DUMMYFUNCTION("""COMPUTED_VALUE"""),"sb")</f>
        <v>sb</v>
      </c>
      <c r="C10170" s="3" t="str">
        <f>IFERROR(__xludf.DUMMYFUNCTION("""COMPUTED_VALUE"""),"Scary Bunny")</f>
        <v>Scary Bunny</v>
      </c>
    </row>
    <row r="10171">
      <c r="A10171" s="3" t="str">
        <f>IFERROR(__xludf.DUMMYFUNCTION("""COMPUTED_VALUE"""),"scary-chain-capital")</f>
        <v>scary-chain-capital</v>
      </c>
      <c r="B10171" s="3" t="str">
        <f>IFERROR(__xludf.DUMMYFUNCTION("""COMPUTED_VALUE"""),"scc")</f>
        <v>scc</v>
      </c>
      <c r="C10171" s="3" t="str">
        <f>IFERROR(__xludf.DUMMYFUNCTION("""COMPUTED_VALUE"""),"Scary Chain Capital")</f>
        <v>Scary Chain Capital</v>
      </c>
    </row>
    <row r="10172">
      <c r="A10172" s="3" t="str">
        <f>IFERROR(__xludf.DUMMYFUNCTION("""COMPUTED_VALUE"""),"scaryswap")</f>
        <v>scaryswap</v>
      </c>
      <c r="B10172" s="3" t="str">
        <f>IFERROR(__xludf.DUMMYFUNCTION("""COMPUTED_VALUE"""),"scary")</f>
        <v>scary</v>
      </c>
      <c r="C10172" s="3" t="str">
        <f>IFERROR(__xludf.DUMMYFUNCTION("""COMPUTED_VALUE"""),"Scaryswap")</f>
        <v>Scaryswap</v>
      </c>
    </row>
    <row r="10173">
      <c r="A10173" s="3" t="str">
        <f>IFERROR(__xludf.DUMMYFUNCTION("""COMPUTED_VALUE"""),"s-c-corinthians-fan-token")</f>
        <v>s-c-corinthians-fan-token</v>
      </c>
      <c r="B10173" s="3" t="str">
        <f>IFERROR(__xludf.DUMMYFUNCTION("""COMPUTED_VALUE"""),"sccp")</f>
        <v>sccp</v>
      </c>
      <c r="C10173" s="3" t="str">
        <f>IFERROR(__xludf.DUMMYFUNCTION("""COMPUTED_VALUE"""),"S.C. Corinthians Fan Token")</f>
        <v>S.C. Corinthians Fan Token</v>
      </c>
    </row>
    <row r="10174">
      <c r="A10174" s="3" t="str">
        <f>IFERROR(__xludf.DUMMYFUNCTION("""COMPUTED_VALUE"""),"schain-wallet")</f>
        <v>schain-wallet</v>
      </c>
      <c r="B10174" s="3" t="str">
        <f>IFERROR(__xludf.DUMMYFUNCTION("""COMPUTED_VALUE"""),"scha")</f>
        <v>scha</v>
      </c>
      <c r="C10174" s="3" t="str">
        <f>IFERROR(__xludf.DUMMYFUNCTION("""COMPUTED_VALUE"""),"Schain Wallet")</f>
        <v>Schain Wallet</v>
      </c>
    </row>
    <row r="10175">
      <c r="A10175" s="3" t="str">
        <f>IFERROR(__xludf.DUMMYFUNCTION("""COMPUTED_VALUE"""),"schillingcoin")</f>
        <v>schillingcoin</v>
      </c>
      <c r="B10175" s="3" t="str">
        <f>IFERROR(__xludf.DUMMYFUNCTION("""COMPUTED_VALUE"""),"sch")</f>
        <v>sch</v>
      </c>
      <c r="C10175" s="3" t="str">
        <f>IFERROR(__xludf.DUMMYFUNCTION("""COMPUTED_VALUE"""),"Schilling-Coin")</f>
        <v>Schilling-Coin</v>
      </c>
    </row>
    <row r="10176">
      <c r="A10176" s="3" t="str">
        <f>IFERROR(__xludf.DUMMYFUNCTION("""COMPUTED_VALUE"""),"scholarship-coin")</f>
        <v>scholarship-coin</v>
      </c>
      <c r="B10176" s="3" t="str">
        <f>IFERROR(__xludf.DUMMYFUNCTION("""COMPUTED_VALUE"""),"scho")</f>
        <v>scho</v>
      </c>
      <c r="C10176" s="3" t="str">
        <f>IFERROR(__xludf.DUMMYFUNCTION("""COMPUTED_VALUE"""),"Scholarship Coin")</f>
        <v>Scholarship Coin</v>
      </c>
    </row>
    <row r="10177">
      <c r="A10177" s="3" t="str">
        <f>IFERROR(__xludf.DUMMYFUNCTION("""COMPUTED_VALUE"""),"schrodinger")</f>
        <v>schrodinger</v>
      </c>
      <c r="B10177" s="3" t="str">
        <f>IFERROR(__xludf.DUMMYFUNCTION("""COMPUTED_VALUE"""),"kitty dinger")</f>
        <v>kitty dinger</v>
      </c>
      <c r="C10177" s="3" t="str">
        <f>IFERROR(__xludf.DUMMYFUNCTION("""COMPUTED_VALUE"""),"Schrodinger")</f>
        <v>Schrodinger</v>
      </c>
    </row>
    <row r="10178">
      <c r="A10178" s="3" t="str">
        <f>IFERROR(__xludf.DUMMYFUNCTION("""COMPUTED_VALUE"""),"scientia")</f>
        <v>scientia</v>
      </c>
      <c r="B10178" s="3" t="str">
        <f>IFERROR(__xludf.DUMMYFUNCTION("""COMPUTED_VALUE"""),"scie")</f>
        <v>scie</v>
      </c>
      <c r="C10178" s="3" t="str">
        <f>IFERROR(__xludf.DUMMYFUNCTION("""COMPUTED_VALUE"""),"Scientia")</f>
        <v>Scientia</v>
      </c>
    </row>
    <row r="10179">
      <c r="A10179" s="3" t="str">
        <f>IFERROR(__xludf.DUMMYFUNCTION("""COMPUTED_VALUE"""),"scientix")</f>
        <v>scientix</v>
      </c>
      <c r="B10179" s="3" t="str">
        <f>IFERROR(__xludf.DUMMYFUNCTION("""COMPUTED_VALUE"""),"scix")</f>
        <v>scix</v>
      </c>
      <c r="C10179" s="3" t="str">
        <f>IFERROR(__xludf.DUMMYFUNCTION("""COMPUTED_VALUE"""),"Scientix")</f>
        <v>Scientix</v>
      </c>
    </row>
    <row r="10180">
      <c r="A10180" s="3" t="str">
        <f>IFERROR(__xludf.DUMMYFUNCTION("""COMPUTED_VALUE"""),"scifi-index")</f>
        <v>scifi-index</v>
      </c>
      <c r="B10180" s="3" t="str">
        <f>IFERROR(__xludf.DUMMYFUNCTION("""COMPUTED_VALUE"""),"scifi")</f>
        <v>scifi</v>
      </c>
      <c r="C10180" s="3" t="str">
        <f>IFERROR(__xludf.DUMMYFUNCTION("""COMPUTED_VALUE"""),"SCIFI Index")</f>
        <v>SCIFI Index</v>
      </c>
    </row>
    <row r="10181">
      <c r="A10181" s="3" t="str">
        <f>IFERROR(__xludf.DUMMYFUNCTION("""COMPUTED_VALUE"""),"sc-internacional-fan-token")</f>
        <v>sc-internacional-fan-token</v>
      </c>
      <c r="B10181" s="3" t="str">
        <f>IFERROR(__xludf.DUMMYFUNCTION("""COMPUTED_VALUE"""),"saci")</f>
        <v>saci</v>
      </c>
      <c r="C10181" s="3" t="str">
        <f>IFERROR(__xludf.DUMMYFUNCTION("""COMPUTED_VALUE"""),"SC Internacional Fan Token")</f>
        <v>SC Internacional Fan Token</v>
      </c>
    </row>
    <row r="10182">
      <c r="A10182" s="3" t="str">
        <f>IFERROR(__xludf.DUMMYFUNCTION("""COMPUTED_VALUE"""),"scolcoin")</f>
        <v>scolcoin</v>
      </c>
      <c r="B10182" s="3" t="str">
        <f>IFERROR(__xludf.DUMMYFUNCTION("""COMPUTED_VALUE"""),"scol")</f>
        <v>scol</v>
      </c>
      <c r="C10182" s="3" t="str">
        <f>IFERROR(__xludf.DUMMYFUNCTION("""COMPUTED_VALUE"""),"Scolcoin")</f>
        <v>Scolcoin</v>
      </c>
    </row>
    <row r="10183">
      <c r="A10183" s="3" t="str">
        <f>IFERROR(__xludf.DUMMYFUNCTION("""COMPUTED_VALUE"""),"sconex")</f>
        <v>sconex</v>
      </c>
      <c r="B10183" s="3" t="str">
        <f>IFERROR(__xludf.DUMMYFUNCTION("""COMPUTED_VALUE"""),"sconex")</f>
        <v>sconex</v>
      </c>
      <c r="C10183" s="3" t="str">
        <f>IFERROR(__xludf.DUMMYFUNCTION("""COMPUTED_VALUE"""),"SCOneX")</f>
        <v>SCOneX</v>
      </c>
    </row>
    <row r="10184">
      <c r="A10184" s="3" t="str">
        <f>IFERROR(__xludf.DUMMYFUNCTION("""COMPUTED_VALUE"""),"scoobi-doge")</f>
        <v>scoobi-doge</v>
      </c>
      <c r="B10184" s="3" t="str">
        <f>IFERROR(__xludf.DUMMYFUNCTION("""COMPUTED_VALUE"""),"scoobi")</f>
        <v>scoobi</v>
      </c>
      <c r="C10184" s="3" t="str">
        <f>IFERROR(__xludf.DUMMYFUNCTION("""COMPUTED_VALUE"""),"Scoobi Doge")</f>
        <v>Scoobi Doge</v>
      </c>
    </row>
    <row r="10185">
      <c r="A10185" s="3" t="str">
        <f>IFERROR(__xludf.DUMMYFUNCTION("""COMPUTED_VALUE"""),"scootercoin")</f>
        <v>scootercoin</v>
      </c>
      <c r="B10185" s="3" t="str">
        <f>IFERROR(__xludf.DUMMYFUNCTION("""COMPUTED_VALUE"""),"scoot")</f>
        <v>scoot</v>
      </c>
      <c r="C10185" s="3" t="str">
        <f>IFERROR(__xludf.DUMMYFUNCTION("""COMPUTED_VALUE"""),"ScooterCoin")</f>
        <v>ScooterCoin</v>
      </c>
    </row>
    <row r="10186">
      <c r="A10186" s="3" t="str">
        <f>IFERROR(__xludf.DUMMYFUNCTION("""COMPUTED_VALUE"""),"scopecoin")</f>
        <v>scopecoin</v>
      </c>
      <c r="B10186" s="3" t="str">
        <f>IFERROR(__xludf.DUMMYFUNCTION("""COMPUTED_VALUE"""),"xscp")</f>
        <v>xscp</v>
      </c>
      <c r="C10186" s="3" t="str">
        <f>IFERROR(__xludf.DUMMYFUNCTION("""COMPUTED_VALUE"""),"ScopeCoin")</f>
        <v>ScopeCoin</v>
      </c>
    </row>
    <row r="10187">
      <c r="A10187" s="3" t="str">
        <f>IFERROR(__xludf.DUMMYFUNCTION("""COMPUTED_VALUE"""),"scopuly-token")</f>
        <v>scopuly-token</v>
      </c>
      <c r="B10187" s="3" t="str">
        <f>IFERROR(__xludf.DUMMYFUNCTION("""COMPUTED_VALUE"""),"scop")</f>
        <v>scop</v>
      </c>
      <c r="C10187" s="3" t="str">
        <f>IFERROR(__xludf.DUMMYFUNCTION("""COMPUTED_VALUE"""),"Scopuly")</f>
        <v>Scopuly</v>
      </c>
    </row>
    <row r="10188">
      <c r="A10188" s="3" t="str">
        <f>IFERROR(__xludf.DUMMYFUNCTION("""COMPUTED_VALUE"""),"scorcher")</f>
        <v>scorcher</v>
      </c>
      <c r="B10188" s="3" t="str">
        <f>IFERROR(__xludf.DUMMYFUNCTION("""COMPUTED_VALUE"""),"scor")</f>
        <v>scor</v>
      </c>
      <c r="C10188" s="3" t="str">
        <f>IFERROR(__xludf.DUMMYFUNCTION("""COMPUTED_VALUE"""),"SCORCHER")</f>
        <v>SCORCHER</v>
      </c>
    </row>
    <row r="10189">
      <c r="A10189" s="3" t="str">
        <f>IFERROR(__xludf.DUMMYFUNCTION("""COMPUTED_VALUE"""),"scorefam")</f>
        <v>scorefam</v>
      </c>
      <c r="B10189" s="3" t="str">
        <f>IFERROR(__xludf.DUMMYFUNCTION("""COMPUTED_VALUE"""),"sft")</f>
        <v>sft</v>
      </c>
      <c r="C10189" s="3" t="str">
        <f>IFERROR(__xludf.DUMMYFUNCTION("""COMPUTED_VALUE"""),"Scorefam")</f>
        <v>Scorefam</v>
      </c>
    </row>
    <row r="10190">
      <c r="A10190" s="3" t="str">
        <f>IFERROR(__xludf.DUMMYFUNCTION("""COMPUTED_VALUE"""),"score-token")</f>
        <v>score-token</v>
      </c>
      <c r="B10190" s="3" t="str">
        <f>IFERROR(__xludf.DUMMYFUNCTION("""COMPUTED_VALUE"""),"sco")</f>
        <v>sco</v>
      </c>
      <c r="C10190" s="3" t="str">
        <f>IFERROR(__xludf.DUMMYFUNCTION("""COMPUTED_VALUE"""),"Score")</f>
        <v>Score</v>
      </c>
    </row>
    <row r="10191">
      <c r="A10191" s="3" t="str">
        <f>IFERROR(__xludf.DUMMYFUNCTION("""COMPUTED_VALUE"""),"scorum")</f>
        <v>scorum</v>
      </c>
      <c r="B10191" s="3" t="str">
        <f>IFERROR(__xludf.DUMMYFUNCTION("""COMPUTED_VALUE"""),"scr")</f>
        <v>scr</v>
      </c>
      <c r="C10191" s="3" t="str">
        <f>IFERROR(__xludf.DUMMYFUNCTION("""COMPUTED_VALUE"""),"Scorum")</f>
        <v>Scorum</v>
      </c>
    </row>
    <row r="10192">
      <c r="A10192" s="3" t="str">
        <f>IFERROR(__xludf.DUMMYFUNCTION("""COMPUTED_VALUE"""),"scotty-beam")</f>
        <v>scotty-beam</v>
      </c>
      <c r="B10192" s="3" t="str">
        <f>IFERROR(__xludf.DUMMYFUNCTION("""COMPUTED_VALUE"""),"scotty")</f>
        <v>scotty</v>
      </c>
      <c r="C10192" s="3" t="str">
        <f>IFERROR(__xludf.DUMMYFUNCTION("""COMPUTED_VALUE"""),"Scotty Beam")</f>
        <v>Scotty Beam</v>
      </c>
    </row>
    <row r="10193">
      <c r="A10193" s="3" t="str">
        <f>IFERROR(__xludf.DUMMYFUNCTION("""COMPUTED_VALUE"""),"scouthub")</f>
        <v>scouthub</v>
      </c>
      <c r="B10193" s="3" t="str">
        <f>IFERROR(__xludf.DUMMYFUNCTION("""COMPUTED_VALUE"""),"hub")</f>
        <v>hub</v>
      </c>
      <c r="C10193" s="3" t="str">
        <f>IFERROR(__xludf.DUMMYFUNCTION("""COMPUTED_VALUE"""),"Scouthub")</f>
        <v>Scouthub</v>
      </c>
    </row>
    <row r="10194">
      <c r="A10194" s="3" t="str">
        <f>IFERROR(__xludf.DUMMYFUNCTION("""COMPUTED_VALUE"""),"scrap")</f>
        <v>scrap</v>
      </c>
      <c r="B10194" s="3" t="str">
        <f>IFERROR(__xludf.DUMMYFUNCTION("""COMPUTED_VALUE"""),"scrap")</f>
        <v>scrap</v>
      </c>
      <c r="C10194" s="3" t="str">
        <f>IFERROR(__xludf.DUMMYFUNCTION("""COMPUTED_VALUE"""),"Scrap")</f>
        <v>Scrap</v>
      </c>
    </row>
    <row r="10195">
      <c r="A10195" s="3" t="str">
        <f>IFERROR(__xludf.DUMMYFUNCTION("""COMPUTED_VALUE"""),"scratch")</f>
        <v>scratch</v>
      </c>
      <c r="B10195" s="3" t="str">
        <f>IFERROR(__xludf.DUMMYFUNCTION("""COMPUTED_VALUE"""),"scratch")</f>
        <v>scratch</v>
      </c>
      <c r="C10195" s="3" t="str">
        <f>IFERROR(__xludf.DUMMYFUNCTION("""COMPUTED_VALUE"""),"Scratch")</f>
        <v>Scratch</v>
      </c>
    </row>
    <row r="10196">
      <c r="A10196" s="3" t="str">
        <f>IFERROR(__xludf.DUMMYFUNCTION("""COMPUTED_VALUE"""),"scream")</f>
        <v>scream</v>
      </c>
      <c r="B10196" s="3" t="str">
        <f>IFERROR(__xludf.DUMMYFUNCTION("""COMPUTED_VALUE"""),"scream")</f>
        <v>scream</v>
      </c>
      <c r="C10196" s="3" t="str">
        <f>IFERROR(__xludf.DUMMYFUNCTION("""COMPUTED_VALUE"""),"Scream")</f>
        <v>Scream</v>
      </c>
    </row>
    <row r="10197">
      <c r="A10197" s="3" t="str">
        <f>IFERROR(__xludf.DUMMYFUNCTION("""COMPUTED_VALUE"""),"scriv")</f>
        <v>scriv</v>
      </c>
      <c r="B10197" s="3" t="str">
        <f>IFERROR(__xludf.DUMMYFUNCTION("""COMPUTED_VALUE"""),"scriv")</f>
        <v>scriv</v>
      </c>
      <c r="C10197" s="3" t="str">
        <f>IFERROR(__xludf.DUMMYFUNCTION("""COMPUTED_VALUE"""),"SCRIV")</f>
        <v>SCRIV</v>
      </c>
    </row>
    <row r="10198">
      <c r="A10198" s="3" t="str">
        <f>IFERROR(__xludf.DUMMYFUNCTION("""COMPUTED_VALUE"""),"scro")</f>
        <v>scro</v>
      </c>
      <c r="B10198" s="3" t="str">
        <f>IFERROR(__xludf.DUMMYFUNCTION("""COMPUTED_VALUE"""),"scroh")</f>
        <v>scroh</v>
      </c>
      <c r="C10198" s="3" t="str">
        <f>IFERROR(__xludf.DUMMYFUNCTION("""COMPUTED_VALUE"""),"Scro")</f>
        <v>Scro</v>
      </c>
    </row>
    <row r="10199">
      <c r="A10199" s="3" t="str">
        <f>IFERROR(__xludf.DUMMYFUNCTION("""COMPUTED_VALUE"""),"scroll-token")</f>
        <v>scroll-token</v>
      </c>
      <c r="B10199" s="3" t="str">
        <f>IFERROR(__xludf.DUMMYFUNCTION("""COMPUTED_VALUE"""),"xd")</f>
        <v>xd</v>
      </c>
      <c r="C10199" s="3" t="str">
        <f>IFERROR(__xludf.DUMMYFUNCTION("""COMPUTED_VALUE"""),"Data Transaction XD")</f>
        <v>Data Transaction XD</v>
      </c>
    </row>
    <row r="10200">
      <c r="A10200" s="3" t="str">
        <f>IFERROR(__xludf.DUMMYFUNCTION("""COMPUTED_VALUE"""),"scrooge")</f>
        <v>scrooge</v>
      </c>
      <c r="B10200" s="3" t="str">
        <f>IFERROR(__xludf.DUMMYFUNCTION("""COMPUTED_VALUE"""),"scrooge")</f>
        <v>scrooge</v>
      </c>
      <c r="C10200" s="3" t="str">
        <f>IFERROR(__xludf.DUMMYFUNCTION("""COMPUTED_VALUE"""),"Scrooge")</f>
        <v>Scrooge</v>
      </c>
    </row>
    <row r="10201">
      <c r="A10201" s="3" t="str">
        <f>IFERROR(__xludf.DUMMYFUNCTION("""COMPUTED_VALUE"""),"scrooge-junior")</f>
        <v>scrooge-junior</v>
      </c>
      <c r="B10201" s="3" t="str">
        <f>IFERROR(__xludf.DUMMYFUNCTION("""COMPUTED_VALUE"""),"scrooge jr")</f>
        <v>scrooge jr</v>
      </c>
      <c r="C10201" s="3" t="str">
        <f>IFERROR(__xludf.DUMMYFUNCTION("""COMPUTED_VALUE"""),"SCROOGE JUNIOR")</f>
        <v>SCROOGE JUNIOR</v>
      </c>
    </row>
    <row r="10202">
      <c r="A10202" s="3" t="str">
        <f>IFERROR(__xludf.DUMMYFUNCTION("""COMPUTED_VALUE"""),"scry-info")</f>
        <v>scry-info</v>
      </c>
      <c r="B10202" s="3" t="str">
        <f>IFERROR(__xludf.DUMMYFUNCTION("""COMPUTED_VALUE"""),"ddd")</f>
        <v>ddd</v>
      </c>
      <c r="C10202" s="4" t="str">
        <f>IFERROR(__xludf.DUMMYFUNCTION("""COMPUTED_VALUE"""),"Scry.info")</f>
        <v>Scry.info</v>
      </c>
    </row>
    <row r="10203">
      <c r="A10203" s="3" t="str">
        <f>IFERROR(__xludf.DUMMYFUNCTION("""COMPUTED_VALUE"""),"scrypta")</f>
        <v>scrypta</v>
      </c>
      <c r="B10203" s="3" t="str">
        <f>IFERROR(__xludf.DUMMYFUNCTION("""COMPUTED_VALUE"""),"lyra")</f>
        <v>lyra</v>
      </c>
      <c r="C10203" s="3" t="str">
        <f>IFERROR(__xludf.DUMMYFUNCTION("""COMPUTED_VALUE"""),"Scrypta")</f>
        <v>Scrypta</v>
      </c>
    </row>
    <row r="10204">
      <c r="A10204" s="3" t="str">
        <f>IFERROR(__xludf.DUMMYFUNCTION("""COMPUTED_VALUE"""),"sculptor")</f>
        <v>sculptor</v>
      </c>
      <c r="B10204" s="3" t="str">
        <f>IFERROR(__xludf.DUMMYFUNCTION("""COMPUTED_VALUE"""),"sculpt")</f>
        <v>sculpt</v>
      </c>
      <c r="C10204" s="3" t="str">
        <f>IFERROR(__xludf.DUMMYFUNCTION("""COMPUTED_VALUE"""),"Sculptor")</f>
        <v>Sculptor</v>
      </c>
    </row>
    <row r="10205">
      <c r="A10205" s="3" t="str">
        <f>IFERROR(__xludf.DUMMYFUNCTION("""COMPUTED_VALUE"""),"sdao")</f>
        <v>sdao</v>
      </c>
      <c r="B10205" s="3" t="str">
        <f>IFERROR(__xludf.DUMMYFUNCTION("""COMPUTED_VALUE"""),"sdao")</f>
        <v>sdao</v>
      </c>
      <c r="C10205" s="3" t="str">
        <f>IFERROR(__xludf.DUMMYFUNCTION("""COMPUTED_VALUE"""),"SDAO")</f>
        <v>SDAO</v>
      </c>
    </row>
    <row r="10206">
      <c r="A10206" s="3" t="str">
        <f>IFERROR(__xludf.DUMMYFUNCTION("""COMPUTED_VALUE"""),"sea")</f>
        <v>sea</v>
      </c>
      <c r="B10206" s="3" t="str">
        <f>IFERROR(__xludf.DUMMYFUNCTION("""COMPUTED_VALUE"""),"sea")</f>
        <v>sea</v>
      </c>
      <c r="C10206" s="3" t="str">
        <f>IFERROR(__xludf.DUMMYFUNCTION("""COMPUTED_VALUE"""),"Sea")</f>
        <v>Sea</v>
      </c>
    </row>
    <row r="10207">
      <c r="A10207" s="3" t="str">
        <f>IFERROR(__xludf.DUMMYFUNCTION("""COMPUTED_VALUE"""),"seachain")</f>
        <v>seachain</v>
      </c>
      <c r="B10207" s="3" t="str">
        <f>IFERROR(__xludf.DUMMYFUNCTION("""COMPUTED_VALUE"""),"seachain")</f>
        <v>seachain</v>
      </c>
      <c r="C10207" s="3" t="str">
        <f>IFERROR(__xludf.DUMMYFUNCTION("""COMPUTED_VALUE"""),"SeaChain")</f>
        <v>SeaChain</v>
      </c>
    </row>
    <row r="10208">
      <c r="A10208" s="3" t="str">
        <f>IFERROR(__xludf.DUMMYFUNCTION("""COMPUTED_VALUE"""),"seadog-metaverse")</f>
        <v>seadog-metaverse</v>
      </c>
      <c r="B10208" s="3" t="str">
        <f>IFERROR(__xludf.DUMMYFUNCTION("""COMPUTED_VALUE"""),"seadog")</f>
        <v>seadog</v>
      </c>
      <c r="C10208" s="3" t="str">
        <f>IFERROR(__xludf.DUMMYFUNCTION("""COMPUTED_VALUE"""),"Seadog Metaverse")</f>
        <v>Seadog Metaverse</v>
      </c>
    </row>
    <row r="10209">
      <c r="A10209" s="3" t="str">
        <f>IFERROR(__xludf.DUMMYFUNCTION("""COMPUTED_VALUE"""),"seahorsechain")</f>
        <v>seahorsechain</v>
      </c>
      <c r="B10209" s="3" t="str">
        <f>IFERROR(__xludf.DUMMYFUNCTION("""COMPUTED_VALUE"""),"seah")</f>
        <v>seah</v>
      </c>
      <c r="C10209" s="3" t="str">
        <f>IFERROR(__xludf.DUMMYFUNCTION("""COMPUTED_VALUE"""),"SeahorseChain")</f>
        <v>SeahorseChain</v>
      </c>
    </row>
    <row r="10210">
      <c r="A10210" s="3" t="str">
        <f>IFERROR(__xludf.DUMMYFUNCTION("""COMPUTED_VALUE"""),"sealem-token")</f>
        <v>sealem-token</v>
      </c>
      <c r="B10210" s="3" t="str">
        <f>IFERROR(__xludf.DUMMYFUNCTION("""COMPUTED_VALUE"""),"st")</f>
        <v>st</v>
      </c>
      <c r="C10210" s="3" t="str">
        <f>IFERROR(__xludf.DUMMYFUNCTION("""COMPUTED_VALUE"""),"Sealem")</f>
        <v>Sealem</v>
      </c>
    </row>
    <row r="10211">
      <c r="A10211" s="3" t="str">
        <f>IFERROR(__xludf.DUMMYFUNCTION("""COMPUTED_VALUE"""),"seamlessswap-token")</f>
        <v>seamlessswap-token</v>
      </c>
      <c r="B10211" s="3" t="str">
        <f>IFERROR(__xludf.DUMMYFUNCTION("""COMPUTED_VALUE"""),"seamless")</f>
        <v>seamless</v>
      </c>
      <c r="C10211" s="3" t="str">
        <f>IFERROR(__xludf.DUMMYFUNCTION("""COMPUTED_VALUE"""),"SeamlessSwap")</f>
        <v>SeamlessSwap</v>
      </c>
    </row>
    <row r="10212">
      <c r="A10212" s="3" t="str">
        <f>IFERROR(__xludf.DUMMYFUNCTION("""COMPUTED_VALUE"""),"seancecircle")</f>
        <v>seancecircle</v>
      </c>
      <c r="B10212" s="3" t="str">
        <f>IFERROR(__xludf.DUMMYFUNCTION("""COMPUTED_VALUE"""),"seance")</f>
        <v>seance</v>
      </c>
      <c r="C10212" s="3" t="str">
        <f>IFERROR(__xludf.DUMMYFUNCTION("""COMPUTED_VALUE"""),"SeanceCircle")</f>
        <v>SeanceCircle</v>
      </c>
    </row>
    <row r="10213">
      <c r="A10213" s="3" t="str">
        <f>IFERROR(__xludf.DUMMYFUNCTION("""COMPUTED_VALUE"""),"seasy")</f>
        <v>seasy</v>
      </c>
      <c r="B10213" s="3" t="str">
        <f>IFERROR(__xludf.DUMMYFUNCTION("""COMPUTED_VALUE"""),"seasy")</f>
        <v>seasy</v>
      </c>
      <c r="C10213" s="3" t="str">
        <f>IFERROR(__xludf.DUMMYFUNCTION("""COMPUTED_VALUE"""),"SEASY")</f>
        <v>SEASY</v>
      </c>
    </row>
    <row r="10214">
      <c r="A10214" s="3" t="str">
        <f>IFERROR(__xludf.DUMMYFUNCTION("""COMPUTED_VALUE"""),"seatlabnft")</f>
        <v>seatlabnft</v>
      </c>
      <c r="B10214" s="3" t="str">
        <f>IFERROR(__xludf.DUMMYFUNCTION("""COMPUTED_VALUE"""),"seat")</f>
        <v>seat</v>
      </c>
      <c r="C10214" s="3" t="str">
        <f>IFERROR(__xludf.DUMMYFUNCTION("""COMPUTED_VALUE"""),"SeatlabNFT")</f>
        <v>SeatlabNFT</v>
      </c>
    </row>
    <row r="10215">
      <c r="A10215" s="3" t="str">
        <f>IFERROR(__xludf.DUMMYFUNCTION("""COMPUTED_VALUE"""),"seba")</f>
        <v>seba</v>
      </c>
      <c r="B10215" s="3" t="str">
        <f>IFERROR(__xludf.DUMMYFUNCTION("""COMPUTED_VALUE"""),"seba")</f>
        <v>seba</v>
      </c>
      <c r="C10215" s="3" t="str">
        <f>IFERROR(__xludf.DUMMYFUNCTION("""COMPUTED_VALUE"""),"Seba")</f>
        <v>Seba</v>
      </c>
    </row>
    <row r="10216">
      <c r="A10216" s="3" t="str">
        <f>IFERROR(__xludf.DUMMYFUNCTION("""COMPUTED_VALUE"""),"sechain")</f>
        <v>sechain</v>
      </c>
      <c r="B10216" s="3" t="str">
        <f>IFERROR(__xludf.DUMMYFUNCTION("""COMPUTED_VALUE"""),"snn")</f>
        <v>snn</v>
      </c>
      <c r="C10216" s="3" t="str">
        <f>IFERROR(__xludf.DUMMYFUNCTION("""COMPUTED_VALUE"""),"SeChain")</f>
        <v>SeChain</v>
      </c>
    </row>
    <row r="10217">
      <c r="A10217" s="3" t="str">
        <f>IFERROR(__xludf.DUMMYFUNCTION("""COMPUTED_VALUE"""),"secret")</f>
        <v>secret</v>
      </c>
      <c r="B10217" s="3" t="str">
        <f>IFERROR(__xludf.DUMMYFUNCTION("""COMPUTED_VALUE"""),"scrt")</f>
        <v>scrt</v>
      </c>
      <c r="C10217" s="3" t="str">
        <f>IFERROR(__xludf.DUMMYFUNCTION("""COMPUTED_VALUE"""),"Secret")</f>
        <v>Secret</v>
      </c>
    </row>
    <row r="10218">
      <c r="A10218" s="3" t="str">
        <f>IFERROR(__xludf.DUMMYFUNCTION("""COMPUTED_VALUE"""),"secret-erc20")</f>
        <v>secret-erc20</v>
      </c>
      <c r="B10218" s="3" t="str">
        <f>IFERROR(__xludf.DUMMYFUNCTION("""COMPUTED_VALUE"""),"wscrt")</f>
        <v>wscrt</v>
      </c>
      <c r="C10218" s="3" t="str">
        <f>IFERROR(__xludf.DUMMYFUNCTION("""COMPUTED_VALUE"""),"Secret (ERC20)")</f>
        <v>Secret (ERC20)</v>
      </c>
    </row>
    <row r="10219">
      <c r="A10219" s="3" t="str">
        <f>IFERROR(__xludf.DUMMYFUNCTION("""COMPUTED_VALUE"""),"secret-finance")</f>
        <v>secret-finance</v>
      </c>
      <c r="B10219" s="3" t="str">
        <f>IFERROR(__xludf.DUMMYFUNCTION("""COMPUTED_VALUE"""),"sefi")</f>
        <v>sefi</v>
      </c>
      <c r="C10219" s="3" t="str">
        <f>IFERROR(__xludf.DUMMYFUNCTION("""COMPUTED_VALUE"""),"Secret Finance")</f>
        <v>Secret Finance</v>
      </c>
    </row>
    <row r="10220">
      <c r="A10220" s="3" t="str">
        <f>IFERROR(__xludf.DUMMYFUNCTION("""COMPUTED_VALUE"""),"secretsky-finance")</f>
        <v>secretsky-finance</v>
      </c>
      <c r="B10220" s="3" t="str">
        <f>IFERROR(__xludf.DUMMYFUNCTION("""COMPUTED_VALUE"""),"ssf")</f>
        <v>ssf</v>
      </c>
      <c r="C10220" s="3" t="str">
        <f>IFERROR(__xludf.DUMMYFUNCTION("""COMPUTED_VALUE"""),"SecretSky Finance")</f>
        <v>SecretSky Finance</v>
      </c>
    </row>
    <row r="10221">
      <c r="A10221" s="3" t="str">
        <f>IFERROR(__xludf.DUMMYFUNCTION("""COMPUTED_VALUE"""),"secretum")</f>
        <v>secretum</v>
      </c>
      <c r="B10221" s="3" t="str">
        <f>IFERROR(__xludf.DUMMYFUNCTION("""COMPUTED_VALUE"""),"ser")</f>
        <v>ser</v>
      </c>
      <c r="C10221" s="3" t="str">
        <f>IFERROR(__xludf.DUMMYFUNCTION("""COMPUTED_VALUE"""),"Secretum")</f>
        <v>Secretum</v>
      </c>
    </row>
    <row r="10222">
      <c r="A10222" s="3" t="str">
        <f>IFERROR(__xludf.DUMMYFUNCTION("""COMPUTED_VALUE"""),"secretworld")</f>
        <v>secretworld</v>
      </c>
      <c r="B10222" s="3" t="str">
        <f>IFERROR(__xludf.DUMMYFUNCTION("""COMPUTED_VALUE"""),"ssd")</f>
        <v>ssd</v>
      </c>
      <c r="C10222" s="3" t="str">
        <f>IFERROR(__xludf.DUMMYFUNCTION("""COMPUTED_VALUE"""),"SecretWorld")</f>
        <v>SecretWorld</v>
      </c>
    </row>
    <row r="10223">
      <c r="A10223" s="3" t="str">
        <f>IFERROR(__xludf.DUMMYFUNCTION("""COMPUTED_VALUE"""),"secure")</f>
        <v>secure</v>
      </c>
      <c r="B10223" s="3" t="str">
        <f>IFERROR(__xludf.DUMMYFUNCTION("""COMPUTED_VALUE"""),"scr")</f>
        <v>scr</v>
      </c>
      <c r="C10223" s="3" t="str">
        <f>IFERROR(__xludf.DUMMYFUNCTION("""COMPUTED_VALUE"""),"Secure")</f>
        <v>Secure</v>
      </c>
    </row>
    <row r="10224">
      <c r="A10224" s="3" t="str">
        <f>IFERROR(__xludf.DUMMYFUNCTION("""COMPUTED_VALUE"""),"secure-cash")</f>
        <v>secure-cash</v>
      </c>
      <c r="B10224" s="3" t="str">
        <f>IFERROR(__xludf.DUMMYFUNCTION("""COMPUTED_VALUE"""),"scsx")</f>
        <v>scsx</v>
      </c>
      <c r="C10224" s="3" t="str">
        <f>IFERROR(__xludf.DUMMYFUNCTION("""COMPUTED_VALUE"""),"Secure Cash")</f>
        <v>Secure Cash</v>
      </c>
    </row>
    <row r="10225">
      <c r="A10225" s="3" t="str">
        <f>IFERROR(__xludf.DUMMYFUNCTION("""COMPUTED_VALUE"""),"secured-moonrat-token")</f>
        <v>secured-moonrat-token</v>
      </c>
      <c r="B10225" s="3" t="str">
        <f>IFERROR(__xludf.DUMMYFUNCTION("""COMPUTED_VALUE"""),"smrat")</f>
        <v>smrat</v>
      </c>
      <c r="C10225" s="3" t="str">
        <f>IFERROR(__xludf.DUMMYFUNCTION("""COMPUTED_VALUE"""),"Secured MoonRat")</f>
        <v>Secured MoonRat</v>
      </c>
    </row>
    <row r="10226">
      <c r="A10226" s="3" t="str">
        <f>IFERROR(__xludf.DUMMYFUNCTION("""COMPUTED_VALUE"""),"secured-ship")</f>
        <v>secured-ship</v>
      </c>
      <c r="B10226" s="3" t="str">
        <f>IFERROR(__xludf.DUMMYFUNCTION("""COMPUTED_VALUE"""),"ship")</f>
        <v>ship</v>
      </c>
      <c r="C10226" s="3" t="str">
        <f>IFERROR(__xludf.DUMMYFUNCTION("""COMPUTED_VALUE"""),"Secured Ship")</f>
        <v>Secured Ship</v>
      </c>
    </row>
    <row r="10227">
      <c r="A10227" s="3" t="str">
        <f>IFERROR(__xludf.DUMMYFUNCTION("""COMPUTED_VALUE"""),"sedo-pow-token")</f>
        <v>sedo-pow-token</v>
      </c>
      <c r="B10227" s="3" t="str">
        <f>IFERROR(__xludf.DUMMYFUNCTION("""COMPUTED_VALUE"""),"sedo")</f>
        <v>sedo</v>
      </c>
      <c r="C10227" s="3" t="str">
        <f>IFERROR(__xludf.DUMMYFUNCTION("""COMPUTED_VALUE"""),"SEDO POW")</f>
        <v>SEDO POW</v>
      </c>
    </row>
    <row r="10228">
      <c r="A10228" s="3" t="str">
        <f>IFERROR(__xludf.DUMMYFUNCTION("""COMPUTED_VALUE"""),"seed2need")</f>
        <v>seed2need</v>
      </c>
      <c r="B10228" s="3" t="str">
        <f>IFERROR(__xludf.DUMMYFUNCTION("""COMPUTED_VALUE"""),"silo")</f>
        <v>silo</v>
      </c>
      <c r="C10228" s="3" t="str">
        <f>IFERROR(__xludf.DUMMYFUNCTION("""COMPUTED_VALUE"""),"Seed2Need")</f>
        <v>Seed2Need</v>
      </c>
    </row>
    <row r="10229">
      <c r="A10229" s="3" t="str">
        <f>IFERROR(__xludf.DUMMYFUNCTION("""COMPUTED_VALUE"""),"seedbox")</f>
        <v>seedbox</v>
      </c>
      <c r="B10229" s="3" t="str">
        <f>IFERROR(__xludf.DUMMYFUNCTION("""COMPUTED_VALUE"""),"sbx")</f>
        <v>sbx</v>
      </c>
      <c r="C10229" s="3" t="str">
        <f>IFERROR(__xludf.DUMMYFUNCTION("""COMPUTED_VALUE"""),"SeedBox")</f>
        <v>SeedBox</v>
      </c>
    </row>
    <row r="10230">
      <c r="A10230" s="3" t="str">
        <f>IFERROR(__xludf.DUMMYFUNCTION("""COMPUTED_VALUE"""),"seeded-network")</f>
        <v>seeded-network</v>
      </c>
      <c r="B10230" s="3" t="str">
        <f>IFERROR(__xludf.DUMMYFUNCTION("""COMPUTED_VALUE"""),"seeded")</f>
        <v>seeded</v>
      </c>
      <c r="C10230" s="3" t="str">
        <f>IFERROR(__xludf.DUMMYFUNCTION("""COMPUTED_VALUE"""),"Seeded Network")</f>
        <v>Seeded Network</v>
      </c>
    </row>
    <row r="10231">
      <c r="A10231" s="3" t="str">
        <f>IFERROR(__xludf.DUMMYFUNCTION("""COMPUTED_VALUE"""),"seeder-finance")</f>
        <v>seeder-finance</v>
      </c>
      <c r="B10231" s="3" t="str">
        <f>IFERROR(__xludf.DUMMYFUNCTION("""COMPUTED_VALUE"""),"leaf")</f>
        <v>leaf</v>
      </c>
      <c r="C10231" s="3" t="str">
        <f>IFERROR(__xludf.DUMMYFUNCTION("""COMPUTED_VALUE"""),"Seeder Finance")</f>
        <v>Seeder Finance</v>
      </c>
    </row>
    <row r="10232">
      <c r="A10232" s="3" t="str">
        <f>IFERROR(__xludf.DUMMYFUNCTION("""COMPUTED_VALUE"""),"seedify-fund")</f>
        <v>seedify-fund</v>
      </c>
      <c r="B10232" s="3" t="str">
        <f>IFERROR(__xludf.DUMMYFUNCTION("""COMPUTED_VALUE"""),"sfund")</f>
        <v>sfund</v>
      </c>
      <c r="C10232" s="3" t="str">
        <f>IFERROR(__xludf.DUMMYFUNCTION("""COMPUTED_VALUE"""),"Seedify.fund")</f>
        <v>Seedify.fund</v>
      </c>
    </row>
    <row r="10233">
      <c r="A10233" s="3" t="str">
        <f>IFERROR(__xludf.DUMMYFUNCTION("""COMPUTED_VALUE"""),"seedling")</f>
        <v>seedling</v>
      </c>
      <c r="B10233" s="3" t="str">
        <f>IFERROR(__xludf.DUMMYFUNCTION("""COMPUTED_VALUE"""),"sdln")</f>
        <v>sdln</v>
      </c>
      <c r="C10233" s="3" t="str">
        <f>IFERROR(__xludf.DUMMYFUNCTION("""COMPUTED_VALUE"""),"Seedling")</f>
        <v>Seedling</v>
      </c>
    </row>
    <row r="10234">
      <c r="A10234" s="3" t="str">
        <f>IFERROR(__xludf.DUMMYFUNCTION("""COMPUTED_VALUE"""),"seedon")</f>
        <v>seedon</v>
      </c>
      <c r="B10234" s="3" t="str">
        <f>IFERROR(__xludf.DUMMYFUNCTION("""COMPUTED_VALUE"""),"seon")</f>
        <v>seon</v>
      </c>
      <c r="C10234" s="3" t="str">
        <f>IFERROR(__xludf.DUMMYFUNCTION("""COMPUTED_VALUE"""),"Seedon")</f>
        <v>Seedon</v>
      </c>
    </row>
    <row r="10235">
      <c r="A10235" s="3" t="str">
        <f>IFERROR(__xludf.DUMMYFUNCTION("""COMPUTED_VALUE"""),"seeds")</f>
        <v>seeds</v>
      </c>
      <c r="B10235" s="3" t="str">
        <f>IFERROR(__xludf.DUMMYFUNCTION("""COMPUTED_VALUE"""),"seeds")</f>
        <v>seeds</v>
      </c>
      <c r="C10235" s="3" t="str">
        <f>IFERROR(__xludf.DUMMYFUNCTION("""COMPUTED_VALUE"""),"Seeds")</f>
        <v>Seeds</v>
      </c>
    </row>
    <row r="10236">
      <c r="A10236" s="3" t="str">
        <f>IFERROR(__xludf.DUMMYFUNCTION("""COMPUTED_VALUE"""),"seedswap")</f>
        <v>seedswap</v>
      </c>
      <c r="B10236" s="3" t="str">
        <f>IFERROR(__xludf.DUMMYFUNCTION("""COMPUTED_VALUE"""),"snft")</f>
        <v>snft</v>
      </c>
      <c r="C10236" s="3" t="str">
        <f>IFERROR(__xludf.DUMMYFUNCTION("""COMPUTED_VALUE"""),"SeedSwap")</f>
        <v>SeedSwap</v>
      </c>
    </row>
    <row r="10237">
      <c r="A10237" s="3" t="str">
        <f>IFERROR(__xludf.DUMMYFUNCTION("""COMPUTED_VALUE"""),"seedswap-token")</f>
        <v>seedswap-token</v>
      </c>
      <c r="B10237" s="3" t="str">
        <f>IFERROR(__xludf.DUMMYFUNCTION("""COMPUTED_VALUE"""),"seed")</f>
        <v>seed</v>
      </c>
      <c r="C10237" s="3" t="str">
        <f>IFERROR(__xludf.DUMMYFUNCTION("""COMPUTED_VALUE"""),"SeedSwap SEED")</f>
        <v>SeedSwap SEED</v>
      </c>
    </row>
    <row r="10238">
      <c r="A10238" s="3" t="str">
        <f>IFERROR(__xludf.DUMMYFUNCTION("""COMPUTED_VALUE"""),"seed-venture")</f>
        <v>seed-venture</v>
      </c>
      <c r="B10238" s="3" t="str">
        <f>IFERROR(__xludf.DUMMYFUNCTION("""COMPUTED_VALUE"""),"seed")</f>
        <v>seed</v>
      </c>
      <c r="C10238" s="3" t="str">
        <f>IFERROR(__xludf.DUMMYFUNCTION("""COMPUTED_VALUE"""),"Seed Venture")</f>
        <v>Seed Venture</v>
      </c>
    </row>
    <row r="10239">
      <c r="A10239" s="3" t="str">
        <f>IFERROR(__xludf.DUMMYFUNCTION("""COMPUTED_VALUE"""),"seek-tiger")</f>
        <v>seek-tiger</v>
      </c>
      <c r="B10239" s="3" t="str">
        <f>IFERROR(__xludf.DUMMYFUNCTION("""COMPUTED_VALUE"""),"sti")</f>
        <v>sti</v>
      </c>
      <c r="C10239" s="3" t="str">
        <f>IFERROR(__xludf.DUMMYFUNCTION("""COMPUTED_VALUE"""),"Seek Tiger")</f>
        <v>Seek Tiger</v>
      </c>
    </row>
    <row r="10240">
      <c r="A10240" s="3" t="str">
        <f>IFERROR(__xludf.DUMMYFUNCTION("""COMPUTED_VALUE"""),"seele")</f>
        <v>seele</v>
      </c>
      <c r="B10240" s="3" t="str">
        <f>IFERROR(__xludf.DUMMYFUNCTION("""COMPUTED_VALUE"""),"seele")</f>
        <v>seele</v>
      </c>
      <c r="C10240" s="3" t="str">
        <f>IFERROR(__xludf.DUMMYFUNCTION("""COMPUTED_VALUE"""),"Seele")</f>
        <v>Seele</v>
      </c>
    </row>
    <row r="10241">
      <c r="A10241" s="3" t="str">
        <f>IFERROR(__xludf.DUMMYFUNCTION("""COMPUTED_VALUE"""),"seen")</f>
        <v>seen</v>
      </c>
      <c r="B10241" s="3" t="str">
        <f>IFERROR(__xludf.DUMMYFUNCTION("""COMPUTED_VALUE"""),"seen")</f>
        <v>seen</v>
      </c>
      <c r="C10241" s="3" t="str">
        <f>IFERROR(__xludf.DUMMYFUNCTION("""COMPUTED_VALUE"""),"SEEN")</f>
        <v>SEEN</v>
      </c>
    </row>
    <row r="10242">
      <c r="A10242" s="3" t="str">
        <f>IFERROR(__xludf.DUMMYFUNCTION("""COMPUTED_VALUE"""),"seesaw")</f>
        <v>seesaw</v>
      </c>
      <c r="B10242" s="3" t="str">
        <f>IFERROR(__xludf.DUMMYFUNCTION("""COMPUTED_VALUE"""),"ssw")</f>
        <v>ssw</v>
      </c>
      <c r="C10242" s="3" t="str">
        <f>IFERROR(__xludf.DUMMYFUNCTION("""COMPUTED_VALUE"""),"Seesaw")</f>
        <v>Seesaw</v>
      </c>
    </row>
    <row r="10243">
      <c r="A10243" s="3" t="str">
        <f>IFERROR(__xludf.DUMMYFUNCTION("""COMPUTED_VALUE"""),"seigniorage-shares")</f>
        <v>seigniorage-shares</v>
      </c>
      <c r="B10243" s="3" t="str">
        <f>IFERROR(__xludf.DUMMYFUNCTION("""COMPUTED_VALUE"""),"share")</f>
        <v>share</v>
      </c>
      <c r="C10243" s="3" t="str">
        <f>IFERROR(__xludf.DUMMYFUNCTION("""COMPUTED_VALUE"""),"Seigniorage Shares")</f>
        <v>Seigniorage Shares</v>
      </c>
    </row>
    <row r="10244">
      <c r="A10244" s="3" t="str">
        <f>IFERROR(__xludf.DUMMYFUNCTION("""COMPUTED_VALUE"""),"seiren-games-network")</f>
        <v>seiren-games-network</v>
      </c>
      <c r="B10244" s="3" t="str">
        <f>IFERROR(__xludf.DUMMYFUNCTION("""COMPUTED_VALUE"""),"serg")</f>
        <v>serg</v>
      </c>
      <c r="C10244" s="3" t="str">
        <f>IFERROR(__xludf.DUMMYFUNCTION("""COMPUTED_VALUE"""),"Seiren Games Network")</f>
        <v>Seiren Games Network</v>
      </c>
    </row>
    <row r="10245">
      <c r="A10245" s="3" t="str">
        <f>IFERROR(__xludf.DUMMYFUNCTION("""COMPUTED_VALUE"""),"seismic")</f>
        <v>seismic</v>
      </c>
      <c r="B10245" s="3" t="str">
        <f>IFERROR(__xludf.DUMMYFUNCTION("""COMPUTED_VALUE"""),"scb")</f>
        <v>scb</v>
      </c>
      <c r="C10245" s="3" t="str">
        <f>IFERROR(__xludf.DUMMYFUNCTION("""COMPUTED_VALUE"""),"Seismic")</f>
        <v>Seismic</v>
      </c>
    </row>
    <row r="10246">
      <c r="A10246" s="3" t="str">
        <f>IFERROR(__xludf.DUMMYFUNCTION("""COMPUTED_VALUE"""),"sekopay-2")</f>
        <v>sekopay-2</v>
      </c>
      <c r="B10246" s="3" t="str">
        <f>IFERROR(__xludf.DUMMYFUNCTION("""COMPUTED_VALUE"""),"seko")</f>
        <v>seko</v>
      </c>
      <c r="C10246" s="3" t="str">
        <f>IFERROR(__xludf.DUMMYFUNCTION("""COMPUTED_VALUE"""),"SekoPay")</f>
        <v>SekoPay</v>
      </c>
    </row>
    <row r="10247">
      <c r="A10247" s="3" t="str">
        <f>IFERROR(__xludf.DUMMYFUNCTION("""COMPUTED_VALUE"""),"sektor-token")</f>
        <v>sektor-token</v>
      </c>
      <c r="B10247" s="3" t="str">
        <f>IFERROR(__xludf.DUMMYFUNCTION("""COMPUTED_VALUE"""),"sektor")</f>
        <v>sektor</v>
      </c>
      <c r="C10247" s="3" t="str">
        <f>IFERROR(__xludf.DUMMYFUNCTION("""COMPUTED_VALUE"""),"Sektor Token")</f>
        <v>Sektor Token</v>
      </c>
    </row>
    <row r="10248">
      <c r="A10248" s="3" t="str">
        <f>IFERROR(__xludf.DUMMYFUNCTION("""COMPUTED_VALUE"""),"sekuritance")</f>
        <v>sekuritance</v>
      </c>
      <c r="B10248" s="3" t="str">
        <f>IFERROR(__xludf.DUMMYFUNCTION("""COMPUTED_VALUE"""),"skrt")</f>
        <v>skrt</v>
      </c>
      <c r="C10248" s="3" t="str">
        <f>IFERROR(__xludf.DUMMYFUNCTION("""COMPUTED_VALUE"""),"Sekuritance")</f>
        <v>Sekuritance</v>
      </c>
    </row>
    <row r="10249">
      <c r="A10249" s="3" t="str">
        <f>IFERROR(__xludf.DUMMYFUNCTION("""COMPUTED_VALUE"""),"sekuya")</f>
        <v>sekuya</v>
      </c>
      <c r="B10249" s="3" t="str">
        <f>IFERROR(__xludf.DUMMYFUNCTION("""COMPUTED_VALUE"""),"skuy")</f>
        <v>skuy</v>
      </c>
      <c r="C10249" s="3" t="str">
        <f>IFERROR(__xludf.DUMMYFUNCTION("""COMPUTED_VALUE"""),"Sekuya")</f>
        <v>Sekuya</v>
      </c>
    </row>
    <row r="10250">
      <c r="A10250" s="3" t="str">
        <f>IFERROR(__xludf.DUMMYFUNCTION("""COMPUTED_VALUE"""),"selenium")</f>
        <v>selenium</v>
      </c>
      <c r="B10250" s="3" t="str">
        <f>IFERROR(__xludf.DUMMYFUNCTION("""COMPUTED_VALUE"""),"slc")</f>
        <v>slc</v>
      </c>
      <c r="C10250" s="3" t="str">
        <f>IFERROR(__xludf.DUMMYFUNCTION("""COMPUTED_VALUE"""),"Selenium")</f>
        <v>Selenium</v>
      </c>
    </row>
    <row r="10251">
      <c r="A10251" s="3" t="str">
        <f>IFERROR(__xludf.DUMMYFUNCTION("""COMPUTED_VALUE"""),"selfbar")</f>
        <v>selfbar</v>
      </c>
      <c r="B10251" s="3" t="str">
        <f>IFERROR(__xludf.DUMMYFUNCTION("""COMPUTED_VALUE"""),"sbar")</f>
        <v>sbar</v>
      </c>
      <c r="C10251" s="3" t="str">
        <f>IFERROR(__xludf.DUMMYFUNCTION("""COMPUTED_VALUE"""),"Selfbar")</f>
        <v>Selfbar</v>
      </c>
    </row>
    <row r="10252">
      <c r="A10252" s="3" t="str">
        <f>IFERROR(__xludf.DUMMYFUNCTION("""COMPUTED_VALUE"""),"selfkey")</f>
        <v>selfkey</v>
      </c>
      <c r="B10252" s="3" t="str">
        <f>IFERROR(__xludf.DUMMYFUNCTION("""COMPUTED_VALUE"""),"key")</f>
        <v>key</v>
      </c>
      <c r="C10252" s="3" t="str">
        <f>IFERROR(__xludf.DUMMYFUNCTION("""COMPUTED_VALUE"""),"SelfKey")</f>
        <v>SelfKey</v>
      </c>
    </row>
    <row r="10253">
      <c r="A10253" s="3" t="str">
        <f>IFERROR(__xludf.DUMMYFUNCTION("""COMPUTED_VALUE"""),"semicon1")</f>
        <v>semicon1</v>
      </c>
      <c r="B10253" s="3" t="str">
        <f>IFERROR(__xludf.DUMMYFUNCTION("""COMPUTED_VALUE"""),"smc1")</f>
        <v>smc1</v>
      </c>
      <c r="C10253" s="3" t="str">
        <f>IFERROR(__xludf.DUMMYFUNCTION("""COMPUTED_VALUE"""),"semicon1")</f>
        <v>semicon1</v>
      </c>
    </row>
    <row r="10254">
      <c r="A10254" s="3" t="str">
        <f>IFERROR(__xludf.DUMMYFUNCTION("""COMPUTED_VALUE"""),"senate")</f>
        <v>senate</v>
      </c>
      <c r="B10254" s="3" t="str">
        <f>IFERROR(__xludf.DUMMYFUNCTION("""COMPUTED_VALUE"""),"senate")</f>
        <v>senate</v>
      </c>
      <c r="C10254" s="3" t="str">
        <f>IFERROR(__xludf.DUMMYFUNCTION("""COMPUTED_VALUE"""),"SENATE")</f>
        <v>SENATE</v>
      </c>
    </row>
    <row r="10255">
      <c r="A10255" s="3" t="str">
        <f>IFERROR(__xludf.DUMMYFUNCTION("""COMPUTED_VALUE"""),"sense")</f>
        <v>sense</v>
      </c>
      <c r="B10255" s="3" t="str">
        <f>IFERROR(__xludf.DUMMYFUNCTION("""COMPUTED_VALUE"""),"sense")</f>
        <v>sense</v>
      </c>
      <c r="C10255" s="3" t="str">
        <f>IFERROR(__xludf.DUMMYFUNCTION("""COMPUTED_VALUE"""),"Sense")</f>
        <v>Sense</v>
      </c>
    </row>
    <row r="10256">
      <c r="A10256" s="3" t="str">
        <f>IFERROR(__xludf.DUMMYFUNCTION("""COMPUTED_VALUE"""),"sensei")</f>
        <v>sensei</v>
      </c>
      <c r="B10256" s="3" t="str">
        <f>IFERROR(__xludf.DUMMYFUNCTION("""COMPUTED_VALUE"""),"sensei")</f>
        <v>sensei</v>
      </c>
      <c r="C10256" s="3" t="str">
        <f>IFERROR(__xludf.DUMMYFUNCTION("""COMPUTED_VALUE"""),"Sensei")</f>
        <v>Sensei</v>
      </c>
    </row>
    <row r="10257">
      <c r="A10257" s="3" t="str">
        <f>IFERROR(__xludf.DUMMYFUNCTION("""COMPUTED_VALUE"""),"sensei-shib")</f>
        <v>sensei-shib</v>
      </c>
      <c r="B10257" s="3" t="str">
        <f>IFERROR(__xludf.DUMMYFUNCTION("""COMPUTED_VALUE"""),"$sensei")</f>
        <v>$sensei</v>
      </c>
      <c r="C10257" s="3" t="str">
        <f>IFERROR(__xludf.DUMMYFUNCTION("""COMPUTED_VALUE"""),"Sensei Shib")</f>
        <v>Sensei Shib</v>
      </c>
    </row>
    <row r="10258">
      <c r="A10258" s="3" t="str">
        <f>IFERROR(__xludf.DUMMYFUNCTION("""COMPUTED_VALUE"""),"sensi")</f>
        <v>sensi</v>
      </c>
      <c r="B10258" s="3" t="str">
        <f>IFERROR(__xludf.DUMMYFUNCTION("""COMPUTED_VALUE"""),"sensi")</f>
        <v>sensi</v>
      </c>
      <c r="C10258" s="3" t="str">
        <f>IFERROR(__xludf.DUMMYFUNCTION("""COMPUTED_VALUE"""),"Sensi")</f>
        <v>Sensi</v>
      </c>
    </row>
    <row r="10259">
      <c r="A10259" s="3" t="str">
        <f>IFERROR(__xludf.DUMMYFUNCTION("""COMPUTED_VALUE"""),"sensitrust")</f>
        <v>sensitrust</v>
      </c>
      <c r="B10259" s="3" t="str">
        <f>IFERROR(__xludf.DUMMYFUNCTION("""COMPUTED_VALUE"""),"sets")</f>
        <v>sets</v>
      </c>
      <c r="C10259" s="3" t="str">
        <f>IFERROR(__xludf.DUMMYFUNCTION("""COMPUTED_VALUE"""),"Sensitrust")</f>
        <v>Sensitrust</v>
      </c>
    </row>
    <row r="10260">
      <c r="A10260" s="3" t="str">
        <f>IFERROR(__xludf.DUMMYFUNCTION("""COMPUTED_VALUE"""),"senso")</f>
        <v>senso</v>
      </c>
      <c r="B10260" s="3" t="str">
        <f>IFERROR(__xludf.DUMMYFUNCTION("""COMPUTED_VALUE"""),"senso")</f>
        <v>senso</v>
      </c>
      <c r="C10260" s="3" t="str">
        <f>IFERROR(__xludf.DUMMYFUNCTION("""COMPUTED_VALUE"""),"SENSO")</f>
        <v>SENSO</v>
      </c>
    </row>
    <row r="10261">
      <c r="A10261" s="3" t="str">
        <f>IFERROR(__xludf.DUMMYFUNCTION("""COMPUTED_VALUE"""),"senspark")</f>
        <v>senspark</v>
      </c>
      <c r="B10261" s="3" t="str">
        <f>IFERROR(__xludf.DUMMYFUNCTION("""COMPUTED_VALUE"""),"sen")</f>
        <v>sen</v>
      </c>
      <c r="C10261" s="3" t="str">
        <f>IFERROR(__xludf.DUMMYFUNCTION("""COMPUTED_VALUE"""),"Senspark")</f>
        <v>Senspark</v>
      </c>
    </row>
    <row r="10262">
      <c r="A10262" s="3" t="str">
        <f>IFERROR(__xludf.DUMMYFUNCTION("""COMPUTED_VALUE"""),"sentiment-token")</f>
        <v>sentiment-token</v>
      </c>
      <c r="B10262" s="3" t="str">
        <f>IFERROR(__xludf.DUMMYFUNCTION("""COMPUTED_VALUE"""),"sent")</f>
        <v>sent</v>
      </c>
      <c r="C10262" s="3" t="str">
        <f>IFERROR(__xludf.DUMMYFUNCTION("""COMPUTED_VALUE"""),"Sentiment")</f>
        <v>Sentiment</v>
      </c>
    </row>
    <row r="10263">
      <c r="A10263" s="3" t="str">
        <f>IFERROR(__xludf.DUMMYFUNCTION("""COMPUTED_VALUE"""),"sentinel")</f>
        <v>sentinel</v>
      </c>
      <c r="B10263" s="3" t="str">
        <f>IFERROR(__xludf.DUMMYFUNCTION("""COMPUTED_VALUE"""),"dvpn")</f>
        <v>dvpn</v>
      </c>
      <c r="C10263" s="3" t="str">
        <f>IFERROR(__xludf.DUMMYFUNCTION("""COMPUTED_VALUE"""),"Sentinel")</f>
        <v>Sentinel</v>
      </c>
    </row>
    <row r="10264">
      <c r="A10264" s="3" t="str">
        <f>IFERROR(__xludf.DUMMYFUNCTION("""COMPUTED_VALUE"""),"sentinel-chain")</f>
        <v>sentinel-chain</v>
      </c>
      <c r="B10264" s="3" t="str">
        <f>IFERROR(__xludf.DUMMYFUNCTION("""COMPUTED_VALUE"""),"senc")</f>
        <v>senc</v>
      </c>
      <c r="C10264" s="3" t="str">
        <f>IFERROR(__xludf.DUMMYFUNCTION("""COMPUTED_VALUE"""),"Sentinel Chain")</f>
        <v>Sentinel Chain</v>
      </c>
    </row>
    <row r="10265">
      <c r="A10265" s="3" t="str">
        <f>IFERROR(__xludf.DUMMYFUNCTION("""COMPUTED_VALUE"""),"sentinel-group")</f>
        <v>sentinel-group</v>
      </c>
      <c r="B10265" s="3" t="str">
        <f>IFERROR(__xludf.DUMMYFUNCTION("""COMPUTED_VALUE"""),"dvpn")</f>
        <v>dvpn</v>
      </c>
      <c r="C10265" s="3" t="str">
        <f>IFERROR(__xludf.DUMMYFUNCTION("""COMPUTED_VALUE"""),"Sentinel [OLD]")</f>
        <v>Sentinel [OLD]</v>
      </c>
    </row>
    <row r="10266">
      <c r="A10266" s="3" t="str">
        <f>IFERROR(__xludf.DUMMYFUNCTION("""COMPUTED_VALUE"""),"sentinel-protocol")</f>
        <v>sentinel-protocol</v>
      </c>
      <c r="B10266" s="3" t="str">
        <f>IFERROR(__xludf.DUMMYFUNCTION("""COMPUTED_VALUE"""),"upp")</f>
        <v>upp</v>
      </c>
      <c r="C10266" s="3" t="str">
        <f>IFERROR(__xludf.DUMMYFUNCTION("""COMPUTED_VALUE"""),"Sentinel Protocol")</f>
        <v>Sentinel Protocol</v>
      </c>
    </row>
    <row r="10267">
      <c r="A10267" s="3" t="str">
        <f>IFERROR(__xludf.DUMMYFUNCTION("""COMPUTED_VALUE"""),"sentivate")</f>
        <v>sentivate</v>
      </c>
      <c r="B10267" s="3" t="str">
        <f>IFERROR(__xludf.DUMMYFUNCTION("""COMPUTED_VALUE"""),"sntvt")</f>
        <v>sntvt</v>
      </c>
      <c r="C10267" s="3" t="str">
        <f>IFERROR(__xludf.DUMMYFUNCTION("""COMPUTED_VALUE"""),"Sentivate")</f>
        <v>Sentivate</v>
      </c>
    </row>
    <row r="10268">
      <c r="A10268" s="3" t="str">
        <f>IFERROR(__xludf.DUMMYFUNCTION("""COMPUTED_VALUE"""),"sentre")</f>
        <v>sentre</v>
      </c>
      <c r="B10268" s="3" t="str">
        <f>IFERROR(__xludf.DUMMYFUNCTION("""COMPUTED_VALUE"""),"sntr")</f>
        <v>sntr</v>
      </c>
      <c r="C10268" s="3" t="str">
        <f>IFERROR(__xludf.DUMMYFUNCTION("""COMPUTED_VALUE"""),"Sentre")</f>
        <v>Sentre</v>
      </c>
    </row>
    <row r="10269">
      <c r="A10269" s="3" t="str">
        <f>IFERROR(__xludf.DUMMYFUNCTION("""COMPUTED_VALUE"""),"seor-network")</f>
        <v>seor-network</v>
      </c>
      <c r="B10269" s="3" t="str">
        <f>IFERROR(__xludf.DUMMYFUNCTION("""COMPUTED_VALUE"""),"seor")</f>
        <v>seor</v>
      </c>
      <c r="C10269" s="3" t="str">
        <f>IFERROR(__xludf.DUMMYFUNCTION("""COMPUTED_VALUE"""),"SEOR Network")</f>
        <v>SEOR Network</v>
      </c>
    </row>
    <row r="10270">
      <c r="A10270" s="3" t="str">
        <f>IFERROR(__xludf.DUMMYFUNCTION("""COMPUTED_VALUE"""),"septillion")</f>
        <v>septillion</v>
      </c>
      <c r="B10270" s="3" t="str">
        <f>IFERROR(__xludf.DUMMYFUNCTION("""COMPUTED_VALUE"""),"spt")</f>
        <v>spt</v>
      </c>
      <c r="C10270" s="3" t="str">
        <f>IFERROR(__xludf.DUMMYFUNCTION("""COMPUTED_VALUE"""),"Septillion")</f>
        <v>Septillion</v>
      </c>
    </row>
    <row r="10271">
      <c r="A10271" s="3" t="str">
        <f>IFERROR(__xludf.DUMMYFUNCTION("""COMPUTED_VALUE"""),"serene")</f>
        <v>serene</v>
      </c>
      <c r="B10271" s="3" t="str">
        <f>IFERROR(__xludf.DUMMYFUNCTION("""COMPUTED_VALUE"""),"serene")</f>
        <v>serene</v>
      </c>
      <c r="C10271" s="3" t="str">
        <f>IFERROR(__xludf.DUMMYFUNCTION("""COMPUTED_VALUE"""),"Serene")</f>
        <v>Serene</v>
      </c>
    </row>
    <row r="10272">
      <c r="A10272" s="3" t="str">
        <f>IFERROR(__xludf.DUMMYFUNCTION("""COMPUTED_VALUE"""),"serenity")</f>
        <v>serenity</v>
      </c>
      <c r="B10272" s="3" t="str">
        <f>IFERROR(__xludf.DUMMYFUNCTION("""COMPUTED_VALUE"""),"seren")</f>
        <v>seren</v>
      </c>
      <c r="C10272" s="3" t="str">
        <f>IFERROR(__xludf.DUMMYFUNCTION("""COMPUTED_VALUE"""),"Serenity")</f>
        <v>Serenity</v>
      </c>
    </row>
    <row r="10273">
      <c r="A10273" s="3" t="str">
        <f>IFERROR(__xludf.DUMMYFUNCTION("""COMPUTED_VALUE"""),"serenity-financial")</f>
        <v>serenity-financial</v>
      </c>
      <c r="B10273" s="3" t="str">
        <f>IFERROR(__xludf.DUMMYFUNCTION("""COMPUTED_VALUE"""),"srnt")</f>
        <v>srnt</v>
      </c>
      <c r="C10273" s="3" t="str">
        <f>IFERROR(__xludf.DUMMYFUNCTION("""COMPUTED_VALUE"""),"Serenity Financial")</f>
        <v>Serenity Financial</v>
      </c>
    </row>
    <row r="10274">
      <c r="A10274" s="3" t="str">
        <f>IFERROR(__xludf.DUMMYFUNCTION("""COMPUTED_VALUE"""),"serey-coin")</f>
        <v>serey-coin</v>
      </c>
      <c r="B10274" s="3" t="str">
        <f>IFERROR(__xludf.DUMMYFUNCTION("""COMPUTED_VALUE"""),"sry")</f>
        <v>sry</v>
      </c>
      <c r="C10274" s="3" t="str">
        <f>IFERROR(__xludf.DUMMYFUNCTION("""COMPUTED_VALUE"""),"Serey Coin")</f>
        <v>Serey Coin</v>
      </c>
    </row>
    <row r="10275">
      <c r="A10275" s="3" t="str">
        <f>IFERROR(__xludf.DUMMYFUNCTION("""COMPUTED_VALUE"""),"serum")</f>
        <v>serum</v>
      </c>
      <c r="B10275" s="3" t="str">
        <f>IFERROR(__xludf.DUMMYFUNCTION("""COMPUTED_VALUE"""),"srm")</f>
        <v>srm</v>
      </c>
      <c r="C10275" s="3" t="str">
        <f>IFERROR(__xludf.DUMMYFUNCTION("""COMPUTED_VALUE"""),"Serum")</f>
        <v>Serum</v>
      </c>
    </row>
    <row r="10276">
      <c r="A10276" s="3" t="str">
        <f>IFERROR(__xludf.DUMMYFUNCTION("""COMPUTED_VALUE"""),"serum-ecosystem-token")</f>
        <v>serum-ecosystem-token</v>
      </c>
      <c r="B10276" s="3" t="str">
        <f>IFERROR(__xludf.DUMMYFUNCTION("""COMPUTED_VALUE"""),"seco")</f>
        <v>seco</v>
      </c>
      <c r="C10276" s="3" t="str">
        <f>IFERROR(__xludf.DUMMYFUNCTION("""COMPUTED_VALUE"""),"Serum Ecosystem")</f>
        <v>Serum Ecosystem</v>
      </c>
    </row>
    <row r="10277">
      <c r="A10277" s="3" t="str">
        <f>IFERROR(__xludf.DUMMYFUNCTION("""COMPUTED_VALUE"""),"serum-ser")</f>
        <v>serum-ser</v>
      </c>
      <c r="B10277" s="3" t="str">
        <f>IFERROR(__xludf.DUMMYFUNCTION("""COMPUTED_VALUE"""),"ser")</f>
        <v>ser</v>
      </c>
      <c r="C10277" s="3" t="str">
        <f>IFERROR(__xludf.DUMMYFUNCTION("""COMPUTED_VALUE"""),"Serum SER")</f>
        <v>Serum SER</v>
      </c>
    </row>
    <row r="10278">
      <c r="A10278" s="3" t="str">
        <f>IFERROR(__xludf.DUMMYFUNCTION("""COMPUTED_VALUE"""),"serum-wormhole-from-ethereum")</f>
        <v>serum-wormhole-from-ethereum</v>
      </c>
      <c r="B10278" s="3" t="str">
        <f>IFERROR(__xludf.DUMMYFUNCTION("""COMPUTED_VALUE"""),"srmet")</f>
        <v>srmet</v>
      </c>
      <c r="C10278" s="3" t="str">
        <f>IFERROR(__xludf.DUMMYFUNCTION("""COMPUTED_VALUE"""),"Serum (Wormhole from Ethereum)")</f>
        <v>Serum (Wormhole from Ethereum)</v>
      </c>
    </row>
    <row r="10279">
      <c r="A10279" s="3" t="str">
        <f>IFERROR(__xludf.DUMMYFUNCTION("""COMPUTED_VALUE"""),"sescrt")</f>
        <v>sescrt</v>
      </c>
      <c r="B10279" s="3" t="str">
        <f>IFERROR(__xludf.DUMMYFUNCTION("""COMPUTED_VALUE"""),"sescrt")</f>
        <v>sescrt</v>
      </c>
      <c r="C10279" s="3" t="str">
        <f>IFERROR(__xludf.DUMMYFUNCTION("""COMPUTED_VALUE"""),"StakeEasy Secret Derivative Token")</f>
        <v>StakeEasy Secret Derivative Token</v>
      </c>
    </row>
    <row r="10280">
      <c r="A10280" s="3" t="str">
        <f>IFERROR(__xludf.DUMMYFUNCTION("""COMPUTED_VALUE"""),"seth")</f>
        <v>seth</v>
      </c>
      <c r="B10280" s="3" t="str">
        <f>IFERROR(__xludf.DUMMYFUNCTION("""COMPUTED_VALUE"""),"seth")</f>
        <v>seth</v>
      </c>
      <c r="C10280" s="3" t="str">
        <f>IFERROR(__xludf.DUMMYFUNCTION("""COMPUTED_VALUE"""),"sETH")</f>
        <v>sETH</v>
      </c>
    </row>
    <row r="10281">
      <c r="A10281" s="3" t="str">
        <f>IFERROR(__xludf.DUMMYFUNCTION("""COMPUTED_VALUE"""),"seth2")</f>
        <v>seth2</v>
      </c>
      <c r="B10281" s="3" t="str">
        <f>IFERROR(__xludf.DUMMYFUNCTION("""COMPUTED_VALUE"""),"seth2")</f>
        <v>seth2</v>
      </c>
      <c r="C10281" s="3" t="str">
        <f>IFERROR(__xludf.DUMMYFUNCTION("""COMPUTED_VALUE"""),"sETH2")</f>
        <v>sETH2</v>
      </c>
    </row>
    <row r="10282">
      <c r="A10282" s="3" t="str">
        <f>IFERROR(__xludf.DUMMYFUNCTION("""COMPUTED_VALUE"""),"sether")</f>
        <v>sether</v>
      </c>
      <c r="B10282" s="3" t="str">
        <f>IFERROR(__xludf.DUMMYFUNCTION("""COMPUTED_VALUE"""),"seth")</f>
        <v>seth</v>
      </c>
      <c r="C10282" s="3" t="str">
        <f>IFERROR(__xludf.DUMMYFUNCTION("""COMPUTED_VALUE"""),"Sether")</f>
        <v>Sether</v>
      </c>
    </row>
    <row r="10283">
      <c r="A10283" s="3" t="str">
        <f>IFERROR(__xludf.DUMMYFUNCTION("""COMPUTED_VALUE"""),"seur")</f>
        <v>seur</v>
      </c>
      <c r="B10283" s="3" t="str">
        <f>IFERROR(__xludf.DUMMYFUNCTION("""COMPUTED_VALUE"""),"seur")</f>
        <v>seur</v>
      </c>
      <c r="C10283" s="3" t="str">
        <f>IFERROR(__xludf.DUMMYFUNCTION("""COMPUTED_VALUE"""),"sEUR")</f>
        <v>sEUR</v>
      </c>
    </row>
    <row r="10284">
      <c r="A10284" s="3" t="str">
        <f>IFERROR(__xludf.DUMMYFUNCTION("""COMPUTED_VALUE"""),"severe-rise-games")</f>
        <v>severe-rise-games</v>
      </c>
      <c r="B10284" s="3" t="str">
        <f>IFERROR(__xludf.DUMMYFUNCTION("""COMPUTED_VALUE"""),"srgt")</f>
        <v>srgt</v>
      </c>
      <c r="C10284" s="3" t="str">
        <f>IFERROR(__xludf.DUMMYFUNCTION("""COMPUTED_VALUE"""),"Severe Rise Games")</f>
        <v>Severe Rise Games</v>
      </c>
    </row>
    <row r="10285">
      <c r="A10285" s="3" t="str">
        <f>IFERROR(__xludf.DUMMYFUNCTION("""COMPUTED_VALUE"""),"sewer-rat-social-club-chiz-token")</f>
        <v>sewer-rat-social-club-chiz-token</v>
      </c>
      <c r="B10285" s="3" t="str">
        <f>IFERROR(__xludf.DUMMYFUNCTION("""COMPUTED_VALUE"""),"chiz")</f>
        <v>chiz</v>
      </c>
      <c r="C10285" s="3" t="str">
        <f>IFERROR(__xludf.DUMMYFUNCTION("""COMPUTED_VALUE"""),"Sewer Rat Social Club CHIZ Token")</f>
        <v>Sewer Rat Social Club CHIZ Token</v>
      </c>
    </row>
    <row r="10286">
      <c r="A10286" s="3" t="str">
        <f>IFERROR(__xludf.DUMMYFUNCTION("""COMPUTED_VALUE"""),"sexcoin")</f>
        <v>sexcoin</v>
      </c>
      <c r="B10286" s="3" t="str">
        <f>IFERROR(__xludf.DUMMYFUNCTION("""COMPUTED_VALUE"""),"sxc")</f>
        <v>sxc</v>
      </c>
      <c r="C10286" s="3" t="str">
        <f>IFERROR(__xludf.DUMMYFUNCTION("""COMPUTED_VALUE"""),"Sexcoin")</f>
        <v>Sexcoin</v>
      </c>
    </row>
    <row r="10287">
      <c r="A10287" s="3" t="str">
        <f>IFERROR(__xludf.DUMMYFUNCTION("""COMPUTED_VALUE"""),"sf-capital")</f>
        <v>sf-capital</v>
      </c>
      <c r="B10287" s="3" t="str">
        <f>IFERROR(__xludf.DUMMYFUNCTION("""COMPUTED_VALUE"""),"sfcp")</f>
        <v>sfcp</v>
      </c>
      <c r="C10287" s="3" t="str">
        <f>IFERROR(__xludf.DUMMYFUNCTION("""COMPUTED_VALUE"""),"SF Capital")</f>
        <v>SF Capital</v>
      </c>
    </row>
    <row r="10288">
      <c r="A10288" s="3" t="str">
        <f>IFERROR(__xludf.DUMMYFUNCTION("""COMPUTED_VALUE"""),"s-finance")</f>
        <v>s-finance</v>
      </c>
      <c r="B10288" s="3" t="str">
        <f>IFERROR(__xludf.DUMMYFUNCTION("""COMPUTED_VALUE"""),"sfg")</f>
        <v>sfg</v>
      </c>
      <c r="C10288" s="3" t="str">
        <f>IFERROR(__xludf.DUMMYFUNCTION("""COMPUTED_VALUE"""),"S.Finance")</f>
        <v>S.Finance</v>
      </c>
    </row>
    <row r="10289">
      <c r="A10289" s="3" t="str">
        <f>IFERROR(__xludf.DUMMYFUNCTION("""COMPUTED_VALUE"""),"shabu-shabu")</f>
        <v>shabu-shabu</v>
      </c>
      <c r="B10289" s="3" t="str">
        <f>IFERROR(__xludf.DUMMYFUNCTION("""COMPUTED_VALUE"""),"kobe")</f>
        <v>kobe</v>
      </c>
      <c r="C10289" s="3" t="str">
        <f>IFERROR(__xludf.DUMMYFUNCTION("""COMPUTED_VALUE"""),"Shabu Shabu")</f>
        <v>Shabu Shabu</v>
      </c>
    </row>
    <row r="10290">
      <c r="A10290" s="3" t="str">
        <f>IFERROR(__xludf.DUMMYFUNCTION("""COMPUTED_VALUE"""),"shack")</f>
        <v>shack</v>
      </c>
      <c r="B10290" s="3" t="str">
        <f>IFERROR(__xludf.DUMMYFUNCTION("""COMPUTED_VALUE"""),"shack")</f>
        <v>shack</v>
      </c>
      <c r="C10290" s="3" t="str">
        <f>IFERROR(__xludf.DUMMYFUNCTION("""COMPUTED_VALUE"""),"Shack")</f>
        <v>Shack</v>
      </c>
    </row>
    <row r="10291">
      <c r="A10291" s="3" t="str">
        <f>IFERROR(__xludf.DUMMYFUNCTION("""COMPUTED_VALUE"""),"shade-cash")</f>
        <v>shade-cash</v>
      </c>
      <c r="B10291" s="3" t="str">
        <f>IFERROR(__xludf.DUMMYFUNCTION("""COMPUTED_VALUE"""),"shade")</f>
        <v>shade</v>
      </c>
      <c r="C10291" s="3" t="str">
        <f>IFERROR(__xludf.DUMMYFUNCTION("""COMPUTED_VALUE"""),"Shade Cash")</f>
        <v>Shade Cash</v>
      </c>
    </row>
    <row r="10292">
      <c r="A10292" s="3" t="str">
        <f>IFERROR(__xludf.DUMMYFUNCTION("""COMPUTED_VALUE"""),"shade-protocol")</f>
        <v>shade-protocol</v>
      </c>
      <c r="B10292" s="3" t="str">
        <f>IFERROR(__xludf.DUMMYFUNCTION("""COMPUTED_VALUE"""),"shd")</f>
        <v>shd</v>
      </c>
      <c r="C10292" s="3" t="str">
        <f>IFERROR(__xludf.DUMMYFUNCTION("""COMPUTED_VALUE"""),"Shade Protocol")</f>
        <v>Shade Protocol</v>
      </c>
    </row>
    <row r="10293">
      <c r="A10293" s="3" t="str">
        <f>IFERROR(__xludf.DUMMYFUNCTION("""COMPUTED_VALUE"""),"shadows")</f>
        <v>shadows</v>
      </c>
      <c r="B10293" s="3" t="str">
        <f>IFERROR(__xludf.DUMMYFUNCTION("""COMPUTED_VALUE"""),"dows")</f>
        <v>dows</v>
      </c>
      <c r="C10293" s="3" t="str">
        <f>IFERROR(__xludf.DUMMYFUNCTION("""COMPUTED_VALUE"""),"Shadows")</f>
        <v>Shadows</v>
      </c>
    </row>
    <row r="10294">
      <c r="A10294" s="3" t="str">
        <f>IFERROR(__xludf.DUMMYFUNCTION("""COMPUTED_VALUE"""),"shadow-token")</f>
        <v>shadow-token</v>
      </c>
      <c r="B10294" s="3" t="str">
        <f>IFERROR(__xludf.DUMMYFUNCTION("""COMPUTED_VALUE"""),"shdw")</f>
        <v>shdw</v>
      </c>
      <c r="C10294" s="3" t="str">
        <f>IFERROR(__xludf.DUMMYFUNCTION("""COMPUTED_VALUE"""),"Shadow")</f>
        <v>Shadow</v>
      </c>
    </row>
    <row r="10295">
      <c r="A10295" s="3" t="str">
        <f>IFERROR(__xludf.DUMMYFUNCTION("""COMPUTED_VALUE"""),"shaggy-token")</f>
        <v>shaggy-token</v>
      </c>
      <c r="B10295" s="3" t="str">
        <f>IFERROR(__xludf.DUMMYFUNCTION("""COMPUTED_VALUE"""),"shag")</f>
        <v>shag</v>
      </c>
      <c r="C10295" s="3" t="str">
        <f>IFERROR(__xludf.DUMMYFUNCTION("""COMPUTED_VALUE"""),"SHAGGY TOKEN")</f>
        <v>SHAGGY TOKEN</v>
      </c>
    </row>
    <row r="10296">
      <c r="A10296" s="3" t="str">
        <f>IFERROR(__xludf.DUMMYFUNCTION("""COMPUTED_VALUE"""),"shakita-inu")</f>
        <v>shakita-inu</v>
      </c>
      <c r="B10296" s="3" t="str">
        <f>IFERROR(__xludf.DUMMYFUNCTION("""COMPUTED_VALUE"""),"shak")</f>
        <v>shak</v>
      </c>
      <c r="C10296" s="3" t="str">
        <f>IFERROR(__xludf.DUMMYFUNCTION("""COMPUTED_VALUE"""),"Shakita Inu")</f>
        <v>Shakita Inu</v>
      </c>
    </row>
    <row r="10297">
      <c r="A10297" s="3" t="str">
        <f>IFERROR(__xludf.DUMMYFUNCTION("""COMPUTED_VALUE"""),"shaman")</f>
        <v>shaman</v>
      </c>
      <c r="B10297" s="3" t="str">
        <f>IFERROR(__xludf.DUMMYFUNCTION("""COMPUTED_VALUE"""),"shaman")</f>
        <v>shaman</v>
      </c>
      <c r="C10297" s="3" t="str">
        <f>IFERROR(__xludf.DUMMYFUNCTION("""COMPUTED_VALUE"""),"Shaman")</f>
        <v>Shaman</v>
      </c>
    </row>
    <row r="10298">
      <c r="A10298" s="3" t="str">
        <f>IFERROR(__xludf.DUMMYFUNCTION("""COMPUTED_VALUE"""),"shaman-king-inu")</f>
        <v>shaman-king-inu</v>
      </c>
      <c r="B10298" s="3" t="str">
        <f>IFERROR(__xludf.DUMMYFUNCTION("""COMPUTED_VALUE"""),"shaman")</f>
        <v>shaman</v>
      </c>
      <c r="C10298" s="3" t="str">
        <f>IFERROR(__xludf.DUMMYFUNCTION("""COMPUTED_VALUE"""),"Shaman King Inu [OLD]")</f>
        <v>Shaman King Inu [OLD]</v>
      </c>
    </row>
    <row r="10299">
      <c r="A10299" s="3" t="str">
        <f>IFERROR(__xludf.DUMMYFUNCTION("""COMPUTED_VALUE"""),"shambala")</f>
        <v>shambala</v>
      </c>
      <c r="B10299" s="3" t="str">
        <f>IFERROR(__xludf.DUMMYFUNCTION("""COMPUTED_VALUE"""),"bala")</f>
        <v>bala</v>
      </c>
      <c r="C10299" s="3" t="str">
        <f>IFERROR(__xludf.DUMMYFUNCTION("""COMPUTED_VALUE"""),"Shambala")</f>
        <v>Shambala</v>
      </c>
    </row>
    <row r="10300">
      <c r="A10300" s="3" t="str">
        <f>IFERROR(__xludf.DUMMYFUNCTION("""COMPUTED_VALUE"""),"shanum")</f>
        <v>shanum</v>
      </c>
      <c r="B10300" s="3" t="str">
        <f>IFERROR(__xludf.DUMMYFUNCTION("""COMPUTED_VALUE"""),"shan")</f>
        <v>shan</v>
      </c>
      <c r="C10300" s="3" t="str">
        <f>IFERROR(__xludf.DUMMYFUNCTION("""COMPUTED_VALUE"""),"Shanum")</f>
        <v>Shanum</v>
      </c>
    </row>
    <row r="10301">
      <c r="A10301" s="3" t="str">
        <f>IFERROR(__xludf.DUMMYFUNCTION("""COMPUTED_VALUE"""),"shapeshift-fox-token")</f>
        <v>shapeshift-fox-token</v>
      </c>
      <c r="B10301" s="3" t="str">
        <f>IFERROR(__xludf.DUMMYFUNCTION("""COMPUTED_VALUE"""),"fox")</f>
        <v>fox</v>
      </c>
      <c r="C10301" s="3" t="str">
        <f>IFERROR(__xludf.DUMMYFUNCTION("""COMPUTED_VALUE"""),"ShapeShift FOX")</f>
        <v>ShapeShift FOX</v>
      </c>
    </row>
    <row r="10302">
      <c r="A10302" s="3" t="str">
        <f>IFERROR(__xludf.DUMMYFUNCTION("""COMPUTED_VALUE"""),"shard")</f>
        <v>shard</v>
      </c>
      <c r="B10302" s="3" t="str">
        <f>IFERROR(__xludf.DUMMYFUNCTION("""COMPUTED_VALUE"""),"shard")</f>
        <v>shard</v>
      </c>
      <c r="C10302" s="3" t="str">
        <f>IFERROR(__xludf.DUMMYFUNCTION("""COMPUTED_VALUE"""),"Shard Coin")</f>
        <v>Shard Coin</v>
      </c>
    </row>
    <row r="10303">
      <c r="A10303" s="3" t="str">
        <f>IFERROR(__xludf.DUMMYFUNCTION("""COMPUTED_VALUE"""),"shard-2")</f>
        <v>shard-2</v>
      </c>
      <c r="B10303" s="3" t="str">
        <f>IFERROR(__xludf.DUMMYFUNCTION("""COMPUTED_VALUE"""),"shard")</f>
        <v>shard</v>
      </c>
      <c r="C10303" s="3" t="str">
        <f>IFERROR(__xludf.DUMMYFUNCTION("""COMPUTED_VALUE"""),"Shard")</f>
        <v>Shard</v>
      </c>
    </row>
    <row r="10304">
      <c r="A10304" s="3" t="str">
        <f>IFERROR(__xludf.DUMMYFUNCTION("""COMPUTED_VALUE"""),"sharder-protocol")</f>
        <v>sharder-protocol</v>
      </c>
      <c r="B10304" s="3" t="str">
        <f>IFERROR(__xludf.DUMMYFUNCTION("""COMPUTED_VALUE"""),"ss")</f>
        <v>ss</v>
      </c>
      <c r="C10304" s="3" t="str">
        <f>IFERROR(__xludf.DUMMYFUNCTION("""COMPUTED_VALUE"""),"Sharder protocol")</f>
        <v>Sharder protocol</v>
      </c>
    </row>
    <row r="10305">
      <c r="A10305" s="3" t="str">
        <f>IFERROR(__xludf.DUMMYFUNCTION("""COMPUTED_VALUE"""),"shardeum")</f>
        <v>shardeum</v>
      </c>
      <c r="B10305" s="3" t="str">
        <f>IFERROR(__xludf.DUMMYFUNCTION("""COMPUTED_VALUE"""),"shm")</f>
        <v>shm</v>
      </c>
      <c r="C10305" s="3" t="str">
        <f>IFERROR(__xludf.DUMMYFUNCTION("""COMPUTED_VALUE"""),"Shardeum")</f>
        <v>Shardeum</v>
      </c>
    </row>
    <row r="10306">
      <c r="A10306" s="3" t="str">
        <f>IFERROR(__xludf.DUMMYFUNCTION("""COMPUTED_VALUE"""),"shardingdao")</f>
        <v>shardingdao</v>
      </c>
      <c r="B10306" s="3" t="str">
        <f>IFERROR(__xludf.DUMMYFUNCTION("""COMPUTED_VALUE"""),"shd")</f>
        <v>shd</v>
      </c>
      <c r="C10306" s="3" t="str">
        <f>IFERROR(__xludf.DUMMYFUNCTION("""COMPUTED_VALUE"""),"ShardingDAO")</f>
        <v>ShardingDAO</v>
      </c>
    </row>
    <row r="10307">
      <c r="A10307" s="3" t="str">
        <f>IFERROR(__xludf.DUMMYFUNCTION("""COMPUTED_VALUE"""),"shardus")</f>
        <v>shardus</v>
      </c>
      <c r="B10307" s="3" t="str">
        <f>IFERROR(__xludf.DUMMYFUNCTION("""COMPUTED_VALUE"""),"ult")</f>
        <v>ult</v>
      </c>
      <c r="C10307" s="3" t="str">
        <f>IFERROR(__xludf.DUMMYFUNCTION("""COMPUTED_VALUE"""),"Shardus")</f>
        <v>Shardus</v>
      </c>
    </row>
    <row r="10308">
      <c r="A10308" s="3" t="str">
        <f>IFERROR(__xludf.DUMMYFUNCTION("""COMPUTED_VALUE"""),"sharedstake-governance-token")</f>
        <v>sharedstake-governance-token</v>
      </c>
      <c r="B10308" s="3" t="str">
        <f>IFERROR(__xludf.DUMMYFUNCTION("""COMPUTED_VALUE"""),"sgtv2")</f>
        <v>sgtv2</v>
      </c>
      <c r="C10308" s="3" t="str">
        <f>IFERROR(__xludf.DUMMYFUNCTION("""COMPUTED_VALUE"""),"SharedStake Governance v2")</f>
        <v>SharedStake Governance v2</v>
      </c>
    </row>
    <row r="10309">
      <c r="A10309" s="3" t="str">
        <f>IFERROR(__xludf.DUMMYFUNCTION("""COMPUTED_VALUE"""),"share-nft")</f>
        <v>share-nft</v>
      </c>
      <c r="B10309" s="3" t="str">
        <f>IFERROR(__xludf.DUMMYFUNCTION("""COMPUTED_VALUE"""),"snt")</f>
        <v>snt</v>
      </c>
      <c r="C10309" s="3" t="str">
        <f>IFERROR(__xludf.DUMMYFUNCTION("""COMPUTED_VALUE"""),"Share NFT")</f>
        <v>Share NFT</v>
      </c>
    </row>
    <row r="10310">
      <c r="A10310" s="3" t="str">
        <f>IFERROR(__xludf.DUMMYFUNCTION("""COMPUTED_VALUE"""),"sharering")</f>
        <v>sharering</v>
      </c>
      <c r="B10310" s="3" t="str">
        <f>IFERROR(__xludf.DUMMYFUNCTION("""COMPUTED_VALUE"""),"shr")</f>
        <v>shr</v>
      </c>
      <c r="C10310" s="3" t="str">
        <f>IFERROR(__xludf.DUMMYFUNCTION("""COMPUTED_VALUE"""),"Share")</f>
        <v>Share</v>
      </c>
    </row>
    <row r="10311">
      <c r="A10311" s="3" t="str">
        <f>IFERROR(__xludf.DUMMYFUNCTION("""COMPUTED_VALUE"""),"sharity")</f>
        <v>sharity</v>
      </c>
      <c r="B10311" s="3" t="str">
        <f>IFERROR(__xludf.DUMMYFUNCTION("""COMPUTED_VALUE"""),"$shari")</f>
        <v>$shari</v>
      </c>
      <c r="C10311" s="3" t="str">
        <f>IFERROR(__xludf.DUMMYFUNCTION("""COMPUTED_VALUE"""),"Sharity")</f>
        <v>Sharity</v>
      </c>
    </row>
    <row r="10312">
      <c r="A10312" s="3" t="str">
        <f>IFERROR(__xludf.DUMMYFUNCTION("""COMPUTED_VALUE"""),"shark")</f>
        <v>shark</v>
      </c>
      <c r="B10312" s="3" t="str">
        <f>IFERROR(__xludf.DUMMYFUNCTION("""COMPUTED_VALUE"""),"shark")</f>
        <v>shark</v>
      </c>
      <c r="C10312" s="3" t="str">
        <f>IFERROR(__xludf.DUMMYFUNCTION("""COMPUTED_VALUE"""),"Shark")</f>
        <v>Shark</v>
      </c>
    </row>
    <row r="10313">
      <c r="A10313" s="3" t="str">
        <f>IFERROR(__xludf.DUMMYFUNCTION("""COMPUTED_VALUE"""),"shar-pei")</f>
        <v>shar-pei</v>
      </c>
      <c r="B10313" s="3" t="str">
        <f>IFERROR(__xludf.DUMMYFUNCTION("""COMPUTED_VALUE"""),"sharpei")</f>
        <v>sharpei</v>
      </c>
      <c r="C10313" s="3" t="str">
        <f>IFERROR(__xludf.DUMMYFUNCTION("""COMPUTED_VALUE"""),"Shar Pei")</f>
        <v>Shar Pei</v>
      </c>
    </row>
    <row r="10314">
      <c r="A10314" s="3" t="str">
        <f>IFERROR(__xludf.DUMMYFUNCTION("""COMPUTED_VALUE"""),"shazu")</f>
        <v>shazu</v>
      </c>
      <c r="B10314" s="3" t="str">
        <f>IFERROR(__xludf.DUMMYFUNCTION("""COMPUTED_VALUE"""),"shazu")</f>
        <v>shazu</v>
      </c>
      <c r="C10314" s="3" t="str">
        <f>IFERROR(__xludf.DUMMYFUNCTION("""COMPUTED_VALUE"""),"Shazu")</f>
        <v>Shazu</v>
      </c>
    </row>
    <row r="10315">
      <c r="A10315" s="3" t="str">
        <f>IFERROR(__xludf.DUMMYFUNCTION("""COMPUTED_VALUE"""),"shd-cash")</f>
        <v>shd-cash</v>
      </c>
      <c r="B10315" s="3" t="str">
        <f>IFERROR(__xludf.DUMMYFUNCTION("""COMPUTED_VALUE"""),"shdc")</f>
        <v>shdc</v>
      </c>
      <c r="C10315" s="3" t="str">
        <f>IFERROR(__xludf.DUMMYFUNCTION("""COMPUTED_VALUE"""),"SHD Cash")</f>
        <v>SHD Cash</v>
      </c>
    </row>
    <row r="10316">
      <c r="A10316" s="3" t="str">
        <f>IFERROR(__xludf.DUMMYFUNCTION("""COMPUTED_VALUE"""),"shebolleth-commerce")</f>
        <v>shebolleth-commerce</v>
      </c>
      <c r="B10316" s="3" t="str">
        <f>IFERROR(__xludf.DUMMYFUNCTION("""COMPUTED_VALUE"""),"sbecom")</f>
        <v>sbecom</v>
      </c>
      <c r="C10316" s="3" t="str">
        <f>IFERROR(__xludf.DUMMYFUNCTION("""COMPUTED_VALUE"""),"SheBollETH Commerce")</f>
        <v>SheBollETH Commerce</v>
      </c>
    </row>
    <row r="10317">
      <c r="A10317" s="3" t="str">
        <f>IFERROR(__xludf.DUMMYFUNCTION("""COMPUTED_VALUE"""),"sheepasheep")</f>
        <v>sheepasheep</v>
      </c>
      <c r="B10317" s="3" t="str">
        <f>IFERROR(__xludf.DUMMYFUNCTION("""COMPUTED_VALUE"""),"ylgy")</f>
        <v>ylgy</v>
      </c>
      <c r="C10317" s="3" t="str">
        <f>IFERROR(__xludf.DUMMYFUNCTION("""COMPUTED_VALUE"""),"SheepAsheep")</f>
        <v>SheepAsheep</v>
      </c>
    </row>
    <row r="10318">
      <c r="A10318" s="3" t="str">
        <f>IFERROR(__xludf.DUMMYFUNCTION("""COMPUTED_VALUE"""),"sheeptoken")</f>
        <v>sheeptoken</v>
      </c>
      <c r="B10318" s="3" t="str">
        <f>IFERROR(__xludf.DUMMYFUNCTION("""COMPUTED_VALUE"""),"sheep")</f>
        <v>sheep</v>
      </c>
      <c r="C10318" s="3" t="str">
        <f>IFERROR(__xludf.DUMMYFUNCTION("""COMPUTED_VALUE"""),"Sheep")</f>
        <v>Sheep</v>
      </c>
    </row>
    <row r="10319">
      <c r="A10319" s="3" t="str">
        <f>IFERROR(__xludf.DUMMYFUNCTION("""COMPUTED_VALUE"""),"sheesh")</f>
        <v>sheesh</v>
      </c>
      <c r="B10319" s="3" t="str">
        <f>IFERROR(__xludf.DUMMYFUNCTION("""COMPUTED_VALUE"""),"sheesh")</f>
        <v>sheesh</v>
      </c>
      <c r="C10319" s="3" t="str">
        <f>IFERROR(__xludf.DUMMYFUNCTION("""COMPUTED_VALUE"""),"Sheesh")</f>
        <v>Sheesh</v>
      </c>
    </row>
    <row r="10320">
      <c r="A10320" s="3" t="str">
        <f>IFERROR(__xludf.DUMMYFUNCTION("""COMPUTED_VALUE"""),"sheesha-finance")</f>
        <v>sheesha-finance</v>
      </c>
      <c r="B10320" s="3" t="str">
        <f>IFERROR(__xludf.DUMMYFUNCTION("""COMPUTED_VALUE"""),"sheesha")</f>
        <v>sheesha</v>
      </c>
      <c r="C10320" s="3" t="str">
        <f>IFERROR(__xludf.DUMMYFUNCTION("""COMPUTED_VALUE"""),"Sheesha Finance (BEP20)")</f>
        <v>Sheesha Finance (BEP20)</v>
      </c>
    </row>
    <row r="10321">
      <c r="A10321" s="3" t="str">
        <f>IFERROR(__xludf.DUMMYFUNCTION("""COMPUTED_VALUE"""),"sheesha-finance-erc20")</f>
        <v>sheesha-finance-erc20</v>
      </c>
      <c r="B10321" s="3" t="str">
        <f>IFERROR(__xludf.DUMMYFUNCTION("""COMPUTED_VALUE"""),"sheesha")</f>
        <v>sheesha</v>
      </c>
      <c r="C10321" s="3" t="str">
        <f>IFERROR(__xludf.DUMMYFUNCTION("""COMPUTED_VALUE"""),"Sheesha Finance (ERC20)")</f>
        <v>Sheesha Finance (ERC20)</v>
      </c>
    </row>
    <row r="10322">
      <c r="A10322" s="3" t="str">
        <f>IFERROR(__xludf.DUMMYFUNCTION("""COMPUTED_VALUE"""),"sheesha-finance-polygon")</f>
        <v>sheesha-finance-polygon</v>
      </c>
      <c r="B10322" s="3" t="str">
        <f>IFERROR(__xludf.DUMMYFUNCTION("""COMPUTED_VALUE"""),"msheesha")</f>
        <v>msheesha</v>
      </c>
      <c r="C10322" s="3" t="str">
        <f>IFERROR(__xludf.DUMMYFUNCTION("""COMPUTED_VALUE"""),"Sheesha Finance Polygon")</f>
        <v>Sheesha Finance Polygon</v>
      </c>
    </row>
    <row r="10323">
      <c r="A10323" s="3" t="str">
        <f>IFERROR(__xludf.DUMMYFUNCTION("""COMPUTED_VALUE"""),"sheesheth")</f>
        <v>sheesheth</v>
      </c>
      <c r="B10323" s="3" t="str">
        <f>IFERROR(__xludf.DUMMYFUNCTION("""COMPUTED_VALUE"""),"sheesh")</f>
        <v>sheesh</v>
      </c>
      <c r="C10323" s="3" t="str">
        <f>IFERROR(__xludf.DUMMYFUNCTION("""COMPUTED_VALUE"""),"SHEESHETH")</f>
        <v>SHEESHETH</v>
      </c>
    </row>
    <row r="10324">
      <c r="A10324" s="3" t="str">
        <f>IFERROR(__xludf.DUMMYFUNCTION("""COMPUTED_VALUE"""),"sheeshmoon")</f>
        <v>sheeshmoon</v>
      </c>
      <c r="B10324" s="3" t="str">
        <f>IFERROR(__xludf.DUMMYFUNCTION("""COMPUTED_VALUE"""),"smoo")</f>
        <v>smoo</v>
      </c>
      <c r="C10324" s="3" t="str">
        <f>IFERROR(__xludf.DUMMYFUNCTION("""COMPUTED_VALUE"""),"SheeshMoon")</f>
        <v>SheeshMoon</v>
      </c>
    </row>
    <row r="10325">
      <c r="A10325" s="3" t="str">
        <f>IFERROR(__xludf.DUMMYFUNCTION("""COMPUTED_VALUE"""),"shelby-token")</f>
        <v>shelby-token</v>
      </c>
      <c r="B10325" s="3" t="str">
        <f>IFERROR(__xludf.DUMMYFUNCTION("""COMPUTED_VALUE"""),"sby")</f>
        <v>sby</v>
      </c>
      <c r="C10325" s="3" t="str">
        <f>IFERROR(__xludf.DUMMYFUNCTION("""COMPUTED_VALUE"""),"Shelby")</f>
        <v>Shelby</v>
      </c>
    </row>
    <row r="10326">
      <c r="A10326" s="3" t="str">
        <f>IFERROR(__xludf.DUMMYFUNCTION("""COMPUTED_VALUE"""),"shelling")</f>
        <v>shelling</v>
      </c>
      <c r="B10326" s="3" t="str">
        <f>IFERROR(__xludf.DUMMYFUNCTION("""COMPUTED_VALUE"""),"shl")</f>
        <v>shl</v>
      </c>
      <c r="C10326" s="3" t="str">
        <f>IFERROR(__xludf.DUMMYFUNCTION("""COMPUTED_VALUE"""),"Shelling")</f>
        <v>Shelling</v>
      </c>
    </row>
    <row r="10327">
      <c r="A10327" s="3" t="str">
        <f>IFERROR(__xludf.DUMMYFUNCTION("""COMPUTED_VALUE"""),"shell-token")</f>
        <v>shell-token</v>
      </c>
      <c r="B10327" s="3" t="str">
        <f>IFERROR(__xludf.DUMMYFUNCTION("""COMPUTED_VALUE"""),"shell")</f>
        <v>shell</v>
      </c>
      <c r="C10327" s="3" t="str">
        <f>IFERROR(__xludf.DUMMYFUNCTION("""COMPUTED_VALUE"""),"Shell")</f>
        <v>Shell</v>
      </c>
    </row>
    <row r="10328">
      <c r="A10328" s="3" t="str">
        <f>IFERROR(__xludf.DUMMYFUNCTION("""COMPUTED_VALUE"""),"shengweihu")</f>
        <v>shengweihu</v>
      </c>
      <c r="B10328" s="3" t="str">
        <f>IFERROR(__xludf.DUMMYFUNCTION("""COMPUTED_VALUE"""),"shengweihu")</f>
        <v>shengweihu</v>
      </c>
      <c r="C10328" s="3" t="str">
        <f>IFERROR(__xludf.DUMMYFUNCTION("""COMPUTED_VALUE"""),"Shengweihu")</f>
        <v>Shengweihu</v>
      </c>
    </row>
    <row r="10329">
      <c r="A10329" s="3" t="str">
        <f>IFERROR(__xludf.DUMMYFUNCTION("""COMPUTED_VALUE"""),"shepherd-inu")</f>
        <v>shepherd-inu</v>
      </c>
      <c r="B10329" s="3" t="str">
        <f>IFERROR(__xludf.DUMMYFUNCTION("""COMPUTED_VALUE"""),"sinu")</f>
        <v>sinu</v>
      </c>
      <c r="C10329" s="3" t="str">
        <f>IFERROR(__xludf.DUMMYFUNCTION("""COMPUTED_VALUE"""),"Shepherd Inu")</f>
        <v>Shepherd Inu</v>
      </c>
    </row>
    <row r="10330">
      <c r="A10330" s="3" t="str">
        <f>IFERROR(__xludf.DUMMYFUNCTION("""COMPUTED_VALUE"""),"shera")</f>
        <v>shera</v>
      </c>
      <c r="B10330" s="3" t="str">
        <f>IFERROR(__xludf.DUMMYFUNCTION("""COMPUTED_VALUE"""),"shr")</f>
        <v>shr</v>
      </c>
      <c r="C10330" s="3" t="str">
        <f>IFERROR(__xludf.DUMMYFUNCTION("""COMPUTED_VALUE"""),"shera [OLD]")</f>
        <v>shera [OLD]</v>
      </c>
    </row>
    <row r="10331">
      <c r="A10331" s="3" t="str">
        <f>IFERROR(__xludf.DUMMYFUNCTION("""COMPUTED_VALUE"""),"shera-2")</f>
        <v>shera-2</v>
      </c>
      <c r="B10331" s="3" t="str">
        <f>IFERROR(__xludf.DUMMYFUNCTION("""COMPUTED_VALUE"""),"shr")</f>
        <v>shr</v>
      </c>
      <c r="C10331" s="3" t="str">
        <f>IFERROR(__xludf.DUMMYFUNCTION("""COMPUTED_VALUE"""),"Shera")</f>
        <v>Shera</v>
      </c>
    </row>
    <row r="10332">
      <c r="A10332" s="3" t="str">
        <f>IFERROR(__xludf.DUMMYFUNCTION("""COMPUTED_VALUE"""),"sherlock")</f>
        <v>sherlock</v>
      </c>
      <c r="B10332" s="3" t="str">
        <f>IFERROR(__xludf.DUMMYFUNCTION("""COMPUTED_VALUE"""),"sher")</f>
        <v>sher</v>
      </c>
      <c r="C10332" s="3" t="str">
        <f>IFERROR(__xludf.DUMMYFUNCTION("""COMPUTED_VALUE"""),"Sherlock")</f>
        <v>Sherlock</v>
      </c>
    </row>
    <row r="10333">
      <c r="A10333" s="3" t="str">
        <f>IFERROR(__xludf.DUMMYFUNCTION("""COMPUTED_VALUE"""),"sherlock365")</f>
        <v>sherlock365</v>
      </c>
      <c r="B10333" s="3" t="str">
        <f>IFERROR(__xludf.DUMMYFUNCTION("""COMPUTED_VALUE"""),"lock")</f>
        <v>lock</v>
      </c>
      <c r="C10333" s="3" t="str">
        <f>IFERROR(__xludf.DUMMYFUNCTION("""COMPUTED_VALUE"""),"Sherlock365")</f>
        <v>Sherlock365</v>
      </c>
    </row>
    <row r="10334">
      <c r="A10334" s="3" t="str">
        <f>IFERROR(__xludf.DUMMYFUNCTION("""COMPUTED_VALUE"""),"shiba-bsc")</f>
        <v>shiba-bsc</v>
      </c>
      <c r="B10334" s="3" t="str">
        <f>IFERROR(__xludf.DUMMYFUNCTION("""COMPUTED_VALUE"""),"shibsc")</f>
        <v>shibsc</v>
      </c>
      <c r="C10334" s="3" t="str">
        <f>IFERROR(__xludf.DUMMYFUNCTION("""COMPUTED_VALUE"""),"SHIBA BSC")</f>
        <v>SHIBA BSC</v>
      </c>
    </row>
    <row r="10335">
      <c r="A10335" s="3" t="str">
        <f>IFERROR(__xludf.DUMMYFUNCTION("""COMPUTED_VALUE"""),"shibacash")</f>
        <v>shibacash</v>
      </c>
      <c r="B10335" s="3" t="str">
        <f>IFERROR(__xludf.DUMMYFUNCTION("""COMPUTED_VALUE"""),"shibacash")</f>
        <v>shibacash</v>
      </c>
      <c r="C10335" s="3" t="str">
        <f>IFERROR(__xludf.DUMMYFUNCTION("""COMPUTED_VALUE"""),"ShibaCash")</f>
        <v>ShibaCash</v>
      </c>
    </row>
    <row r="10336">
      <c r="A10336" s="3" t="str">
        <f>IFERROR(__xludf.DUMMYFUNCTION("""COMPUTED_VALUE"""),"shiba-classic")</f>
        <v>shiba-classic</v>
      </c>
      <c r="B10336" s="3" t="str">
        <f>IFERROR(__xludf.DUMMYFUNCTION("""COMPUTED_VALUE"""),"shibc")</f>
        <v>shibc</v>
      </c>
      <c r="C10336" s="3" t="str">
        <f>IFERROR(__xludf.DUMMYFUNCTION("""COMPUTED_VALUE"""),"Shiba Classic")</f>
        <v>Shiba Classic</v>
      </c>
    </row>
    <row r="10337">
      <c r="A10337" s="3" t="str">
        <f>IFERROR(__xludf.DUMMYFUNCTION("""COMPUTED_VALUE"""),"shibacorgi")</f>
        <v>shibacorgi</v>
      </c>
      <c r="B10337" s="3" t="str">
        <f>IFERROR(__xludf.DUMMYFUNCTION("""COMPUTED_VALUE"""),"shico")</f>
        <v>shico</v>
      </c>
      <c r="C10337" s="3" t="str">
        <f>IFERROR(__xludf.DUMMYFUNCTION("""COMPUTED_VALUE"""),"ShibaCorgi")</f>
        <v>ShibaCorgi</v>
      </c>
    </row>
    <row r="10338">
      <c r="A10338" s="3" t="str">
        <f>IFERROR(__xludf.DUMMYFUNCTION("""COMPUTED_VALUE"""),"shibadoge")</f>
        <v>shibadoge</v>
      </c>
      <c r="B10338" s="3" t="str">
        <f>IFERROR(__xludf.DUMMYFUNCTION("""COMPUTED_VALUE"""),"shibdoge")</f>
        <v>shibdoge</v>
      </c>
      <c r="C10338" s="3" t="str">
        <f>IFERROR(__xludf.DUMMYFUNCTION("""COMPUTED_VALUE"""),"ShibaDoge")</f>
        <v>ShibaDoge</v>
      </c>
    </row>
    <row r="10339">
      <c r="A10339" s="3" t="str">
        <f>IFERROR(__xludf.DUMMYFUNCTION("""COMPUTED_VALUE"""),"shiba-dollars")</f>
        <v>shiba-dollars</v>
      </c>
      <c r="B10339" s="3" t="str">
        <f>IFERROR(__xludf.DUMMYFUNCTION("""COMPUTED_VALUE"""),"shibadollars")</f>
        <v>shibadollars</v>
      </c>
      <c r="C10339" s="3" t="str">
        <f>IFERROR(__xludf.DUMMYFUNCTION("""COMPUTED_VALUE"""),"Shiba Dollars")</f>
        <v>Shiba Dollars</v>
      </c>
    </row>
    <row r="10340">
      <c r="A10340" s="3" t="str">
        <f>IFERROR(__xludf.DUMMYFUNCTION("""COMPUTED_VALUE"""),"shiba-dragon")</f>
        <v>shiba-dragon</v>
      </c>
      <c r="B10340" s="3" t="str">
        <f>IFERROR(__xludf.DUMMYFUNCTION("""COMPUTED_VALUE"""),"shibad")</f>
        <v>shibad</v>
      </c>
      <c r="C10340" s="3" t="str">
        <f>IFERROR(__xludf.DUMMYFUNCTION("""COMPUTED_VALUE"""),"Shiba Dragon")</f>
        <v>Shiba Dragon</v>
      </c>
    </row>
    <row r="10341">
      <c r="A10341" s="3" t="str">
        <f>IFERROR(__xludf.DUMMYFUNCTION("""COMPUTED_VALUE"""),"shiba-elon")</f>
        <v>shiba-elon</v>
      </c>
      <c r="B10341" s="3" t="str">
        <f>IFERROR(__xludf.DUMMYFUNCTION("""COMPUTED_VALUE"""),"eshib")</f>
        <v>eshib</v>
      </c>
      <c r="C10341" s="3" t="str">
        <f>IFERROR(__xludf.DUMMYFUNCTION("""COMPUTED_VALUE"""),"Shiba Elon")</f>
        <v>Shiba Elon</v>
      </c>
    </row>
    <row r="10342">
      <c r="A10342" s="3" t="str">
        <f>IFERROR(__xludf.DUMMYFUNCTION("""COMPUTED_VALUE"""),"shibaelonverse")</f>
        <v>shibaelonverse</v>
      </c>
      <c r="B10342" s="3" t="str">
        <f>IFERROR(__xludf.DUMMYFUNCTION("""COMPUTED_VALUE"""),"shibev")</f>
        <v>shibev</v>
      </c>
      <c r="C10342" s="3" t="str">
        <f>IFERROR(__xludf.DUMMYFUNCTION("""COMPUTED_VALUE"""),"ShibaElonVerse")</f>
        <v>ShibaElonVerse</v>
      </c>
    </row>
    <row r="10343">
      <c r="A10343" s="3" t="str">
        <f>IFERROR(__xludf.DUMMYFUNCTION("""COMPUTED_VALUE"""),"shiba-evil")</f>
        <v>shiba-evil</v>
      </c>
      <c r="B10343" s="3" t="str">
        <f>IFERROR(__xludf.DUMMYFUNCTION("""COMPUTED_VALUE"""),"sbe")</f>
        <v>sbe</v>
      </c>
      <c r="C10343" s="3" t="str">
        <f>IFERROR(__xludf.DUMMYFUNCTION("""COMPUTED_VALUE"""),"Shiba Evil")</f>
        <v>Shiba Evil</v>
      </c>
    </row>
    <row r="10344">
      <c r="A10344" s="3" t="str">
        <f>IFERROR(__xludf.DUMMYFUNCTION("""COMPUTED_VALUE"""),"shiba-fantom")</f>
        <v>shiba-fantom</v>
      </c>
      <c r="B10344" s="3" t="str">
        <f>IFERROR(__xludf.DUMMYFUNCTION("""COMPUTED_VALUE"""),"shiba")</f>
        <v>shiba</v>
      </c>
      <c r="C10344" s="3" t="str">
        <f>IFERROR(__xludf.DUMMYFUNCTION("""COMPUTED_VALUE"""),"Shiba Fantom")</f>
        <v>Shiba Fantom</v>
      </c>
    </row>
    <row r="10345">
      <c r="A10345" s="3" t="str">
        <f>IFERROR(__xludf.DUMMYFUNCTION("""COMPUTED_VALUE"""),"shibafi")</f>
        <v>shibafi</v>
      </c>
      <c r="B10345" s="3" t="str">
        <f>IFERROR(__xludf.DUMMYFUNCTION("""COMPUTED_VALUE"""),"shibafi")</f>
        <v>shibafi</v>
      </c>
      <c r="C10345" s="3" t="str">
        <f>IFERROR(__xludf.DUMMYFUNCTION("""COMPUTED_VALUE"""),"Shiba Finance")</f>
        <v>Shiba Finance</v>
      </c>
    </row>
    <row r="10346">
      <c r="A10346" s="3" t="str">
        <f>IFERROR(__xludf.DUMMYFUNCTION("""COMPUTED_VALUE"""),"shiba-floki")</f>
        <v>shiba-floki</v>
      </c>
      <c r="B10346" s="3" t="str">
        <f>IFERROR(__xludf.DUMMYFUNCTION("""COMPUTED_VALUE"""),"floki")</f>
        <v>floki</v>
      </c>
      <c r="C10346" s="3" t="str">
        <f>IFERROR(__xludf.DUMMYFUNCTION("""COMPUTED_VALUE"""),"Shiba Floki Inu")</f>
        <v>Shiba Floki Inu</v>
      </c>
    </row>
    <row r="10347">
      <c r="A10347" s="3" t="str">
        <f>IFERROR(__xludf.DUMMYFUNCTION("""COMPUTED_VALUE"""),"shibaforest")</f>
        <v>shibaforest</v>
      </c>
      <c r="B10347" s="3" t="str">
        <f>IFERROR(__xludf.DUMMYFUNCTION("""COMPUTED_VALUE"""),"shf")</f>
        <v>shf</v>
      </c>
      <c r="C10347" s="3" t="str">
        <f>IFERROR(__xludf.DUMMYFUNCTION("""COMPUTED_VALUE"""),"ShibaForest")</f>
        <v>ShibaForest</v>
      </c>
    </row>
    <row r="10348">
      <c r="A10348" s="3" t="str">
        <f>IFERROR(__xludf.DUMMYFUNCTION("""COMPUTED_VALUE"""),"shibafriend-nft")</f>
        <v>shibafriend-nft</v>
      </c>
      <c r="B10348" s="3" t="str">
        <f>IFERROR(__xludf.DUMMYFUNCTION("""COMPUTED_VALUE"""),"shf")</f>
        <v>shf</v>
      </c>
      <c r="C10348" s="3" t="str">
        <f>IFERROR(__xludf.DUMMYFUNCTION("""COMPUTED_VALUE"""),"Shibafriend NFT")</f>
        <v>Shibafriend NFT</v>
      </c>
    </row>
    <row r="10349">
      <c r="A10349" s="3" t="str">
        <f>IFERROR(__xludf.DUMMYFUNCTION("""COMPUTED_VALUE"""),"shibagalaxy")</f>
        <v>shibagalaxy</v>
      </c>
      <c r="B10349" s="3" t="str">
        <f>IFERROR(__xludf.DUMMYFUNCTION("""COMPUTED_VALUE"""),"shibgx")</f>
        <v>shibgx</v>
      </c>
      <c r="C10349" s="3" t="str">
        <f>IFERROR(__xludf.DUMMYFUNCTION("""COMPUTED_VALUE"""),"ShibaGalaxy")</f>
        <v>ShibaGalaxy</v>
      </c>
    </row>
    <row r="10350">
      <c r="A10350" s="3" t="str">
        <f>IFERROR(__xludf.DUMMYFUNCTION("""COMPUTED_VALUE"""),"shiba-inu")</f>
        <v>shiba-inu</v>
      </c>
      <c r="B10350" s="3" t="str">
        <f>IFERROR(__xludf.DUMMYFUNCTION("""COMPUTED_VALUE"""),"shib")</f>
        <v>shib</v>
      </c>
      <c r="C10350" s="3" t="str">
        <f>IFERROR(__xludf.DUMMYFUNCTION("""COMPUTED_VALUE"""),"Shiba Inu")</f>
        <v>Shiba Inu</v>
      </c>
    </row>
    <row r="10351">
      <c r="A10351" s="3" t="str">
        <f>IFERROR(__xludf.DUMMYFUNCTION("""COMPUTED_VALUE"""),"shiba-inu-billionaire")</f>
        <v>shiba-inu-billionaire</v>
      </c>
      <c r="B10351" s="3" t="str">
        <f>IFERROR(__xludf.DUMMYFUNCTION("""COMPUTED_VALUE"""),"shibib")</f>
        <v>shibib</v>
      </c>
      <c r="C10351" s="3" t="str">
        <f>IFERROR(__xludf.DUMMYFUNCTION("""COMPUTED_VALUE"""),"Shiba Inu Billionaire")</f>
        <v>Shiba Inu Billionaire</v>
      </c>
    </row>
    <row r="10352">
      <c r="A10352" s="3" t="str">
        <f>IFERROR(__xludf.DUMMYFUNCTION("""COMPUTED_VALUE"""),"shiba-inu-classic")</f>
        <v>shiba-inu-classic</v>
      </c>
      <c r="B10352" s="3" t="str">
        <f>IFERROR(__xludf.DUMMYFUNCTION("""COMPUTED_VALUE"""),"shibic")</f>
        <v>shibic</v>
      </c>
      <c r="C10352" s="3" t="str">
        <f>IFERROR(__xludf.DUMMYFUNCTION("""COMPUTED_VALUE"""),"SHIBIC")</f>
        <v>SHIBIC</v>
      </c>
    </row>
    <row r="10353">
      <c r="A10353" s="3" t="str">
        <f>IFERROR(__xludf.DUMMYFUNCTION("""COMPUTED_VALUE"""),"shiba-inu-empire")</f>
        <v>shiba-inu-empire</v>
      </c>
      <c r="B10353" s="3" t="str">
        <f>IFERROR(__xludf.DUMMYFUNCTION("""COMPUTED_VALUE"""),"shibemp")</f>
        <v>shibemp</v>
      </c>
      <c r="C10353" s="3" t="str">
        <f>IFERROR(__xludf.DUMMYFUNCTION("""COMPUTED_VALUE"""),"Shiba Inu Empire")</f>
        <v>Shiba Inu Empire</v>
      </c>
    </row>
    <row r="10354">
      <c r="A10354" s="3" t="str">
        <f>IFERROR(__xludf.DUMMYFUNCTION("""COMPUTED_VALUE"""),"shiba-inu-mother")</f>
        <v>shiba-inu-mother</v>
      </c>
      <c r="B10354" s="3" t="str">
        <f>IFERROR(__xludf.DUMMYFUNCTION("""COMPUTED_VALUE"""),"shibm")</f>
        <v>shibm</v>
      </c>
      <c r="C10354" s="3" t="str">
        <f>IFERROR(__xludf.DUMMYFUNCTION("""COMPUTED_VALUE"""),"Shiba Inu Mother")</f>
        <v>Shiba Inu Mother</v>
      </c>
    </row>
    <row r="10355">
      <c r="A10355" s="3" t="str">
        <f>IFERROR(__xludf.DUMMYFUNCTION("""COMPUTED_VALUE"""),"shiba-inu-wormhole")</f>
        <v>shiba-inu-wormhole</v>
      </c>
      <c r="B10355" s="3" t="str">
        <f>IFERROR(__xludf.DUMMYFUNCTION("""COMPUTED_VALUE"""),"shib")</f>
        <v>shib</v>
      </c>
      <c r="C10355" s="3" t="str">
        <f>IFERROR(__xludf.DUMMYFUNCTION("""COMPUTED_VALUE"""),"Shiba Inu (Wormhole)")</f>
        <v>Shiba Inu (Wormhole)</v>
      </c>
    </row>
    <row r="10356">
      <c r="A10356" s="3" t="str">
        <f>IFERROR(__xludf.DUMMYFUNCTION("""COMPUTED_VALUE"""),"shibaken-finance")</f>
        <v>shibaken-finance</v>
      </c>
      <c r="B10356" s="3" t="str">
        <f>IFERROR(__xludf.DUMMYFUNCTION("""COMPUTED_VALUE"""),"shibaken")</f>
        <v>shibaken</v>
      </c>
      <c r="C10356" s="3" t="str">
        <f>IFERROR(__xludf.DUMMYFUNCTION("""COMPUTED_VALUE"""),"Shibaken Finance")</f>
        <v>Shibaken Finance</v>
      </c>
    </row>
    <row r="10357">
      <c r="A10357" s="3" t="str">
        <f>IFERROR(__xludf.DUMMYFUNCTION("""COMPUTED_VALUE"""),"shibalana")</f>
        <v>shibalana</v>
      </c>
      <c r="B10357" s="3" t="str">
        <f>IFERROR(__xludf.DUMMYFUNCTION("""COMPUTED_VALUE"""),"shiba")</f>
        <v>shiba</v>
      </c>
      <c r="C10357" s="3" t="str">
        <f>IFERROR(__xludf.DUMMYFUNCTION("""COMPUTED_VALUE"""),"Shibalana")</f>
        <v>Shibalana</v>
      </c>
    </row>
    <row r="10358">
      <c r="A10358" s="3" t="str">
        <f>IFERROR(__xludf.DUMMYFUNCTION("""COMPUTED_VALUE"""),"shiba-light")</f>
        <v>shiba-light</v>
      </c>
      <c r="B10358" s="3" t="str">
        <f>IFERROR(__xludf.DUMMYFUNCTION("""COMPUTED_VALUE"""),"shibt")</f>
        <v>shibt</v>
      </c>
      <c r="C10358" s="3" t="str">
        <f>IFERROR(__xludf.DUMMYFUNCTION("""COMPUTED_VALUE"""),"Shiba Light")</f>
        <v>Shiba Light</v>
      </c>
    </row>
    <row r="10359">
      <c r="A10359" s="3" t="str">
        <f>IFERROR(__xludf.DUMMYFUNCTION("""COMPUTED_VALUE"""),"shibalite")</f>
        <v>shibalite</v>
      </c>
      <c r="B10359" s="3" t="str">
        <f>IFERROR(__xludf.DUMMYFUNCTION("""COMPUTED_VALUE"""),"shiblite")</f>
        <v>shiblite</v>
      </c>
      <c r="C10359" s="3" t="str">
        <f>IFERROR(__xludf.DUMMYFUNCTION("""COMPUTED_VALUE"""),"ShibaLite")</f>
        <v>ShibaLite</v>
      </c>
    </row>
    <row r="10360">
      <c r="A10360" s="3" t="str">
        <f>IFERROR(__xludf.DUMMYFUNCTION("""COMPUTED_VALUE"""),"shibamax")</f>
        <v>shibamax</v>
      </c>
      <c r="B10360" s="3" t="str">
        <f>IFERROR(__xludf.DUMMYFUNCTION("""COMPUTED_VALUE"""),"smax")</f>
        <v>smax</v>
      </c>
      <c r="C10360" s="3" t="str">
        <f>IFERROR(__xludf.DUMMYFUNCTION("""COMPUTED_VALUE"""),"ShibaMax")</f>
        <v>ShibaMax</v>
      </c>
    </row>
    <row r="10361">
      <c r="A10361" s="3" t="str">
        <f>IFERROR(__xludf.DUMMYFUNCTION("""COMPUTED_VALUE"""),"shibamon")</f>
        <v>shibamon</v>
      </c>
      <c r="B10361" s="3" t="str">
        <f>IFERROR(__xludf.DUMMYFUNCTION("""COMPUTED_VALUE"""),"shibamon")</f>
        <v>shibamon</v>
      </c>
      <c r="C10361" s="3" t="str">
        <f>IFERROR(__xludf.DUMMYFUNCTION("""COMPUTED_VALUE"""),"Shibamon")</f>
        <v>Shibamon</v>
      </c>
    </row>
    <row r="10362">
      <c r="A10362" s="3" t="str">
        <f>IFERROR(__xludf.DUMMYFUNCTION("""COMPUTED_VALUE"""),"shibana")</f>
        <v>shibana</v>
      </c>
      <c r="B10362" s="3" t="str">
        <f>IFERROR(__xludf.DUMMYFUNCTION("""COMPUTED_VALUE"""),"bana")</f>
        <v>bana</v>
      </c>
      <c r="C10362" s="3" t="str">
        <f>IFERROR(__xludf.DUMMYFUNCTION("""COMPUTED_VALUE"""),"Shibana")</f>
        <v>Shibana</v>
      </c>
    </row>
    <row r="10363">
      <c r="A10363" s="3" t="str">
        <f>IFERROR(__xludf.DUMMYFUNCTION("""COMPUTED_VALUE"""),"shibanft")</f>
        <v>shibanft</v>
      </c>
      <c r="B10363" s="3" t="str">
        <f>IFERROR(__xludf.DUMMYFUNCTION("""COMPUTED_VALUE"""),"shibanft")</f>
        <v>shibanft</v>
      </c>
      <c r="C10363" s="3" t="str">
        <f>IFERROR(__xludf.DUMMYFUNCTION("""COMPUTED_VALUE"""),"ShibaNFT")</f>
        <v>ShibaNFT</v>
      </c>
    </row>
    <row r="10364">
      <c r="A10364" s="3" t="str">
        <f>IFERROR(__xludf.DUMMYFUNCTION("""COMPUTED_VALUE"""),"shibanova")</f>
        <v>shibanova</v>
      </c>
      <c r="B10364" s="3" t="str">
        <f>IFERROR(__xludf.DUMMYFUNCTION("""COMPUTED_VALUE"""),"nova")</f>
        <v>nova</v>
      </c>
      <c r="C10364" s="3" t="str">
        <f>IFERROR(__xludf.DUMMYFUNCTION("""COMPUTED_VALUE"""),"ShibaNova")</f>
        <v>ShibaNova</v>
      </c>
    </row>
    <row r="10365">
      <c r="A10365" s="3" t="str">
        <f>IFERROR(__xludf.DUMMYFUNCTION("""COMPUTED_VALUE"""),"shiba-predator")</f>
        <v>shiba-predator</v>
      </c>
      <c r="B10365" s="3" t="str">
        <f>IFERROR(__xludf.DUMMYFUNCTION("""COMPUTED_VALUE"""),"qom")</f>
        <v>qom</v>
      </c>
      <c r="C10365" s="3" t="str">
        <f>IFERROR(__xludf.DUMMYFUNCTION("""COMPUTED_VALUE"""),"Shiba Predator")</f>
        <v>Shiba Predator</v>
      </c>
    </row>
    <row r="10366">
      <c r="A10366" s="3" t="str">
        <f>IFERROR(__xludf.DUMMYFUNCTION("""COMPUTED_VALUE"""),"shiba-punkz")</f>
        <v>shiba-punkz</v>
      </c>
      <c r="B10366" s="3" t="str">
        <f>IFERROR(__xludf.DUMMYFUNCTION("""COMPUTED_VALUE"""),"spunk")</f>
        <v>spunk</v>
      </c>
      <c r="C10366" s="3" t="str">
        <f>IFERROR(__xludf.DUMMYFUNCTION("""COMPUTED_VALUE"""),"Shiba Punkz")</f>
        <v>Shiba Punkz</v>
      </c>
    </row>
    <row r="10367">
      <c r="A10367" s="3" t="str">
        <f>IFERROR(__xludf.DUMMYFUNCTION("""COMPUTED_VALUE"""),"shibapup")</f>
        <v>shibapup</v>
      </c>
      <c r="B10367" s="3" t="str">
        <f>IFERROR(__xludf.DUMMYFUNCTION("""COMPUTED_VALUE"""),"shibapup")</f>
        <v>shibapup</v>
      </c>
      <c r="C10367" s="3" t="str">
        <f>IFERROR(__xludf.DUMMYFUNCTION("""COMPUTED_VALUE"""),"ShibaPup")</f>
        <v>ShibaPup</v>
      </c>
    </row>
    <row r="10368">
      <c r="A10368" s="3" t="str">
        <f>IFERROR(__xludf.DUMMYFUNCTION("""COMPUTED_VALUE"""),"shiba-ramen")</f>
        <v>shiba-ramen</v>
      </c>
      <c r="B10368" s="3" t="str">
        <f>IFERROR(__xludf.DUMMYFUNCTION("""COMPUTED_VALUE"""),"shibaramen")</f>
        <v>shibaramen</v>
      </c>
      <c r="C10368" s="3" t="str">
        <f>IFERROR(__xludf.DUMMYFUNCTION("""COMPUTED_VALUE"""),"Shiba Ramen")</f>
        <v>Shiba Ramen</v>
      </c>
    </row>
    <row r="10369">
      <c r="A10369" s="3" t="str">
        <f>IFERROR(__xludf.DUMMYFUNCTION("""COMPUTED_VALUE"""),"shib-army")</f>
        <v>shib-army</v>
      </c>
      <c r="B10369" s="3" t="str">
        <f>IFERROR(__xludf.DUMMYFUNCTION("""COMPUTED_VALUE"""),"shibarmy")</f>
        <v>shibarmy</v>
      </c>
      <c r="C10369" s="3" t="str">
        <f>IFERROR(__xludf.DUMMYFUNCTION("""COMPUTED_VALUE"""),"Shib Army")</f>
        <v>Shib Army</v>
      </c>
    </row>
    <row r="10370">
      <c r="A10370" s="3" t="str">
        <f>IFERROR(__xludf.DUMMYFUNCTION("""COMPUTED_VALUE"""),"shibatsuka")</f>
        <v>shibatsuka</v>
      </c>
      <c r="B10370" s="3" t="str">
        <f>IFERROR(__xludf.DUMMYFUNCTION("""COMPUTED_VALUE"""),"stsuka")</f>
        <v>stsuka</v>
      </c>
      <c r="C10370" s="3" t="str">
        <f>IFERROR(__xludf.DUMMYFUNCTION("""COMPUTED_VALUE"""),"ShibaTsuka")</f>
        <v>ShibaTsuka</v>
      </c>
    </row>
    <row r="10371">
      <c r="A10371" s="3" t="str">
        <f>IFERROR(__xludf.DUMMYFUNCTION("""COMPUTED_VALUE"""),"shiba-universe")</f>
        <v>shiba-universe</v>
      </c>
      <c r="B10371" s="3" t="str">
        <f>IFERROR(__xludf.DUMMYFUNCTION("""COMPUTED_VALUE"""),"shibu")</f>
        <v>shibu</v>
      </c>
      <c r="C10371" s="3" t="str">
        <f>IFERROR(__xludf.DUMMYFUNCTION("""COMPUTED_VALUE"""),"Shiba Universe")</f>
        <v>Shiba Universe</v>
      </c>
    </row>
    <row r="10372">
      <c r="A10372" s="3" t="str">
        <f>IFERROR(__xludf.DUMMYFUNCTION("""COMPUTED_VALUE"""),"shibavax")</f>
        <v>shibavax</v>
      </c>
      <c r="B10372" s="3" t="str">
        <f>IFERROR(__xludf.DUMMYFUNCTION("""COMPUTED_VALUE"""),"shibx")</f>
        <v>shibx</v>
      </c>
      <c r="C10372" s="3" t="str">
        <f>IFERROR(__xludf.DUMMYFUNCTION("""COMPUTED_VALUE"""),"Shibavax")</f>
        <v>Shibavax</v>
      </c>
    </row>
    <row r="10373">
      <c r="A10373" s="3" t="str">
        <f>IFERROR(__xludf.DUMMYFUNCTION("""COMPUTED_VALUE"""),"shibaverse")</f>
        <v>shibaverse</v>
      </c>
      <c r="B10373" s="3" t="str">
        <f>IFERROR(__xludf.DUMMYFUNCTION("""COMPUTED_VALUE"""),"verse")</f>
        <v>verse</v>
      </c>
      <c r="C10373" s="3" t="str">
        <f>IFERROR(__xludf.DUMMYFUNCTION("""COMPUTED_VALUE"""),"Shibaverse")</f>
        <v>Shibaverse</v>
      </c>
    </row>
    <row r="10374">
      <c r="A10374" s="3" t="str">
        <f>IFERROR(__xludf.DUMMYFUNCTION("""COMPUTED_VALUE"""),"shibaverse-token")</f>
        <v>shibaverse-token</v>
      </c>
      <c r="B10374" s="3" t="str">
        <f>IFERROR(__xludf.DUMMYFUNCTION("""COMPUTED_VALUE"""),"shiver")</f>
        <v>shiver</v>
      </c>
      <c r="C10374" s="3" t="str">
        <f>IFERROR(__xludf.DUMMYFUNCTION("""COMPUTED_VALUE"""),"Shibaverse SHIVER")</f>
        <v>Shibaverse SHIVER</v>
      </c>
    </row>
    <row r="10375">
      <c r="A10375" s="3" t="str">
        <f>IFERROR(__xludf.DUMMYFUNCTION("""COMPUTED_VALUE"""),"shiba-watch")</f>
        <v>shiba-watch</v>
      </c>
      <c r="B10375" s="3" t="str">
        <f>IFERROR(__xludf.DUMMYFUNCTION("""COMPUTED_VALUE"""),"shibaw")</f>
        <v>shibaw</v>
      </c>
      <c r="C10375" s="3" t="str">
        <f>IFERROR(__xludf.DUMMYFUNCTION("""COMPUTED_VALUE"""),"Shiba Watch")</f>
        <v>Shiba Watch</v>
      </c>
    </row>
    <row r="10376">
      <c r="A10376" s="3" t="str">
        <f>IFERROR(__xludf.DUMMYFUNCTION("""COMPUTED_VALUE"""),"shibaw-inu")</f>
        <v>shibaw-inu</v>
      </c>
      <c r="B10376" s="3" t="str">
        <f>IFERROR(__xludf.DUMMYFUNCTION("""COMPUTED_VALUE"""),"shibaw")</f>
        <v>shibaw</v>
      </c>
      <c r="C10376" s="3" t="str">
        <f>IFERROR(__xludf.DUMMYFUNCTION("""COMPUTED_VALUE"""),"ShibaW Inu")</f>
        <v>ShibaW Inu</v>
      </c>
    </row>
    <row r="10377">
      <c r="A10377" s="3" t="str">
        <f>IFERROR(__xludf.DUMMYFUNCTION("""COMPUTED_VALUE"""),"shiba-world-cup")</f>
        <v>shiba-world-cup</v>
      </c>
      <c r="B10377" s="3" t="str">
        <f>IFERROR(__xludf.DUMMYFUNCTION("""COMPUTED_VALUE"""),"swc")</f>
        <v>swc</v>
      </c>
      <c r="C10377" s="3" t="str">
        <f>IFERROR(__xludf.DUMMYFUNCTION("""COMPUTED_VALUE"""),"Shiba World Cup")</f>
        <v>Shiba World Cup</v>
      </c>
    </row>
    <row r="10378">
      <c r="A10378" s="3" t="str">
        <f>IFERROR(__xludf.DUMMYFUNCTION("""COMPUTED_VALUE"""),"shibboo-inu")</f>
        <v>shibboo-inu</v>
      </c>
      <c r="B10378" s="3" t="str">
        <f>IFERROR(__xludf.DUMMYFUNCTION("""COMPUTED_VALUE"""),"shibboo")</f>
        <v>shibboo</v>
      </c>
      <c r="C10378" s="3" t="str">
        <f>IFERROR(__xludf.DUMMYFUNCTION("""COMPUTED_VALUE"""),"Shibboo Inu")</f>
        <v>Shibboo Inu</v>
      </c>
    </row>
    <row r="10379">
      <c r="A10379" s="3" t="str">
        <f>IFERROR(__xludf.DUMMYFUNCTION("""COMPUTED_VALUE"""),"shib-cake")</f>
        <v>shib-cake</v>
      </c>
      <c r="B10379" s="3" t="str">
        <f>IFERROR(__xludf.DUMMYFUNCTION("""COMPUTED_VALUE"""),"shibcake")</f>
        <v>shibcake</v>
      </c>
      <c r="C10379" s="3" t="str">
        <f>IFERROR(__xludf.DUMMYFUNCTION("""COMPUTED_VALUE"""),"SHIB CAKE")</f>
        <v>SHIB CAKE</v>
      </c>
    </row>
    <row r="10380">
      <c r="A10380" s="3" t="str">
        <f>IFERROR(__xludf.DUMMYFUNCTION("""COMPUTED_VALUE"""),"shibchain")</f>
        <v>shibchain</v>
      </c>
      <c r="B10380" s="3" t="str">
        <f>IFERROR(__xludf.DUMMYFUNCTION("""COMPUTED_VALUE"""),"sc")</f>
        <v>sc</v>
      </c>
      <c r="C10380" s="3" t="str">
        <f>IFERROR(__xludf.DUMMYFUNCTION("""COMPUTED_VALUE"""),"ShibChain")</f>
        <v>ShibChain</v>
      </c>
    </row>
    <row r="10381">
      <c r="A10381" s="3" t="str">
        <f>IFERROR(__xludf.DUMMYFUNCTION("""COMPUTED_VALUE"""),"shibdoge-sc")</f>
        <v>shibdoge-sc</v>
      </c>
      <c r="B10381" s="3" t="str">
        <f>IFERROR(__xludf.DUMMYFUNCTION("""COMPUTED_VALUE"""),"shibdoge")</f>
        <v>shibdoge</v>
      </c>
      <c r="C10381" s="3" t="str">
        <f>IFERROR(__xludf.DUMMYFUNCTION("""COMPUTED_VALUE"""),"ShibDoge SC")</f>
        <v>ShibDoge SC</v>
      </c>
    </row>
    <row r="10382">
      <c r="A10382" s="3" t="str">
        <f>IFERROR(__xludf.DUMMYFUNCTION("""COMPUTED_VALUE"""),"shibelon")</f>
        <v>shibelon</v>
      </c>
      <c r="B10382" s="3" t="str">
        <f>IFERROR(__xludf.DUMMYFUNCTION("""COMPUTED_VALUE"""),"shibelon")</f>
        <v>shibelon</v>
      </c>
      <c r="C10382" s="3" t="str">
        <f>IFERROR(__xludf.DUMMYFUNCTION("""COMPUTED_VALUE"""),"ShibElon")</f>
        <v>ShibElon</v>
      </c>
    </row>
    <row r="10383">
      <c r="A10383" s="3" t="str">
        <f>IFERROR(__xludf.DUMMYFUNCTION("""COMPUTED_VALUE"""),"shibgeki")</f>
        <v>shibgeki</v>
      </c>
      <c r="B10383" s="3" t="str">
        <f>IFERROR(__xludf.DUMMYFUNCTION("""COMPUTED_VALUE"""),"shibgeki")</f>
        <v>shibgeki</v>
      </c>
      <c r="C10383" s="3" t="str">
        <f>IFERROR(__xludf.DUMMYFUNCTION("""COMPUTED_VALUE"""),"Shibgeki")</f>
        <v>Shibgeki</v>
      </c>
    </row>
    <row r="10384">
      <c r="A10384" s="3" t="str">
        <f>IFERROR(__xludf.DUMMYFUNCTION("""COMPUTED_VALUE"""),"shib-generating")</f>
        <v>shib-generating</v>
      </c>
      <c r="B10384" s="3" t="str">
        <f>IFERROR(__xludf.DUMMYFUNCTION("""COMPUTED_VALUE"""),"shg")</f>
        <v>shg</v>
      </c>
      <c r="C10384" s="3" t="str">
        <f>IFERROR(__xludf.DUMMYFUNCTION("""COMPUTED_VALUE"""),"Shib Generating")</f>
        <v>Shib Generating</v>
      </c>
    </row>
    <row r="10385">
      <c r="A10385" s="3" t="str">
        <f>IFERROR(__xludf.DUMMYFUNCTION("""COMPUTED_VALUE"""),"shibgf")</f>
        <v>shibgf</v>
      </c>
      <c r="B10385" s="3" t="str">
        <f>IFERROR(__xludf.DUMMYFUNCTION("""COMPUTED_VALUE"""),"shibgf")</f>
        <v>shibgf</v>
      </c>
      <c r="C10385" s="3" t="str">
        <f>IFERROR(__xludf.DUMMYFUNCTION("""COMPUTED_VALUE"""),"SHIBGF")</f>
        <v>SHIBGF</v>
      </c>
    </row>
    <row r="10386">
      <c r="A10386" s="3" t="str">
        <f>IFERROR(__xludf.DUMMYFUNCTION("""COMPUTED_VALUE"""),"shibgotchi")</f>
        <v>shibgotchi</v>
      </c>
      <c r="B10386" s="3" t="str">
        <f>IFERROR(__xludf.DUMMYFUNCTION("""COMPUTED_VALUE"""),"shibgotchi")</f>
        <v>shibgotchi</v>
      </c>
      <c r="C10386" s="3" t="str">
        <f>IFERROR(__xludf.DUMMYFUNCTION("""COMPUTED_VALUE"""),"SHiBGOTCHi")</f>
        <v>SHiBGOTCHi</v>
      </c>
    </row>
    <row r="10387">
      <c r="A10387" s="3" t="str">
        <f>IFERROR(__xludf.DUMMYFUNCTION("""COMPUTED_VALUE"""),"shibird")</f>
        <v>shibird</v>
      </c>
      <c r="B10387" s="3" t="str">
        <f>IFERROR(__xludf.DUMMYFUNCTION("""COMPUTED_VALUE"""),"shird")</f>
        <v>shird</v>
      </c>
      <c r="C10387" s="3" t="str">
        <f>IFERROR(__xludf.DUMMYFUNCTION("""COMPUTED_VALUE"""),"Shibird")</f>
        <v>Shibird</v>
      </c>
    </row>
    <row r="10388">
      <c r="A10388" s="3" t="str">
        <f>IFERROR(__xludf.DUMMYFUNCTION("""COMPUTED_VALUE"""),"shibkiller")</f>
        <v>shibkiller</v>
      </c>
      <c r="B10388" s="3" t="str">
        <f>IFERROR(__xludf.DUMMYFUNCTION("""COMPUTED_VALUE"""),"shibkiller")</f>
        <v>shibkiller</v>
      </c>
      <c r="C10388" s="3" t="str">
        <f>IFERROR(__xludf.DUMMYFUNCTION("""COMPUTED_VALUE"""),"ShibKiller")</f>
        <v>ShibKiller</v>
      </c>
    </row>
    <row r="10389">
      <c r="A10389" s="3" t="str">
        <f>IFERROR(__xludf.DUMMYFUNCTION("""COMPUTED_VALUE"""),"shibmerican")</f>
        <v>shibmerican</v>
      </c>
      <c r="B10389" s="3" t="str">
        <f>IFERROR(__xludf.DUMMYFUNCTION("""COMPUTED_VALUE"""),"shibmerican")</f>
        <v>shibmerican</v>
      </c>
      <c r="C10389" s="3" t="str">
        <f>IFERROR(__xludf.DUMMYFUNCTION("""COMPUTED_VALUE"""),"Shibmerican")</f>
        <v>Shibmerican</v>
      </c>
    </row>
    <row r="10390">
      <c r="A10390" s="3" t="str">
        <f>IFERROR(__xludf.DUMMYFUNCTION("""COMPUTED_VALUE"""),"shibmoon")</f>
        <v>shibmoon</v>
      </c>
      <c r="B10390" s="3" t="str">
        <f>IFERROR(__xludf.DUMMYFUNCTION("""COMPUTED_VALUE"""),"shibm")</f>
        <v>shibm</v>
      </c>
      <c r="C10390" s="3" t="str">
        <f>IFERROR(__xludf.DUMMYFUNCTION("""COMPUTED_VALUE"""),"ShibMoon")</f>
        <v>ShibMoon</v>
      </c>
    </row>
    <row r="10391">
      <c r="A10391" s="3" t="str">
        <f>IFERROR(__xludf.DUMMYFUNCTION("""COMPUTED_VALUE"""),"shibmoon-sc")</f>
        <v>shibmoon-sc</v>
      </c>
      <c r="B10391" s="3" t="str">
        <f>IFERROR(__xludf.DUMMYFUNCTION("""COMPUTED_VALUE"""),"shibm")</f>
        <v>shibm</v>
      </c>
      <c r="C10391" s="3" t="str">
        <f>IFERROR(__xludf.DUMMYFUNCTION("""COMPUTED_VALUE"""),"ShibMoon SC")</f>
        <v>ShibMoon SC</v>
      </c>
    </row>
    <row r="10392">
      <c r="A10392" s="3" t="str">
        <f>IFERROR(__xludf.DUMMYFUNCTION("""COMPUTED_VALUE"""),"shibnobi")</f>
        <v>shibnobi</v>
      </c>
      <c r="B10392" s="3" t="str">
        <f>IFERROR(__xludf.DUMMYFUNCTION("""COMPUTED_VALUE"""),"shinja")</f>
        <v>shinja</v>
      </c>
      <c r="C10392" s="3" t="str">
        <f>IFERROR(__xludf.DUMMYFUNCTION("""COMPUTED_VALUE"""),"Shibnobi")</f>
        <v>Shibnobi</v>
      </c>
    </row>
    <row r="10393">
      <c r="A10393" s="3" t="str">
        <f>IFERROR(__xludf.DUMMYFUNCTION("""COMPUTED_VALUE"""),"shiboki-2")</f>
        <v>shiboki-2</v>
      </c>
      <c r="B10393" s="3" t="str">
        <f>IFERROR(__xludf.DUMMYFUNCTION("""COMPUTED_VALUE"""),"shiboki")</f>
        <v>shiboki</v>
      </c>
      <c r="C10393" s="3" t="str">
        <f>IFERROR(__xludf.DUMMYFUNCTION("""COMPUTED_VALUE"""),"Shiboki")</f>
        <v>Shiboki</v>
      </c>
    </row>
    <row r="10394">
      <c r="A10394" s="3" t="str">
        <f>IFERROR(__xludf.DUMMYFUNCTION("""COMPUTED_VALUE"""),"shibonk")</f>
        <v>shibonk</v>
      </c>
      <c r="B10394" s="3" t="str">
        <f>IFERROR(__xludf.DUMMYFUNCTION("""COMPUTED_VALUE"""),"shibo")</f>
        <v>shibo</v>
      </c>
      <c r="C10394" s="3" t="str">
        <f>IFERROR(__xludf.DUMMYFUNCTION("""COMPUTED_VALUE"""),"Shibonk")</f>
        <v>Shibonk</v>
      </c>
    </row>
    <row r="10395">
      <c r="A10395" s="3" t="str">
        <f>IFERROR(__xludf.DUMMYFUNCTION("""COMPUTED_VALUE"""),"shibqueen")</f>
        <v>shibqueen</v>
      </c>
      <c r="B10395" s="3" t="str">
        <f>IFERROR(__xludf.DUMMYFUNCTION("""COMPUTED_VALUE"""),"shibqueen")</f>
        <v>shibqueen</v>
      </c>
      <c r="C10395" s="3" t="str">
        <f>IFERROR(__xludf.DUMMYFUNCTION("""COMPUTED_VALUE"""),"ShibQueen")</f>
        <v>ShibQueen</v>
      </c>
    </row>
    <row r="10396">
      <c r="A10396" s="3" t="str">
        <f>IFERROR(__xludf.DUMMYFUNCTION("""COMPUTED_VALUE"""),"shibrobi")</f>
        <v>shibrobi</v>
      </c>
      <c r="B10396" s="3" t="str">
        <f>IFERROR(__xludf.DUMMYFUNCTION("""COMPUTED_VALUE"""),"shiborg")</f>
        <v>shiborg</v>
      </c>
      <c r="C10396" s="3" t="str">
        <f>IFERROR(__xludf.DUMMYFUNCTION("""COMPUTED_VALUE"""),"ShibRobi")</f>
        <v>ShibRobi</v>
      </c>
    </row>
    <row r="10397">
      <c r="A10397" s="3" t="str">
        <f>IFERROR(__xludf.DUMMYFUNCTION("""COMPUTED_VALUE"""),"shibrwd")</f>
        <v>shibrwd</v>
      </c>
      <c r="B10397" s="3" t="str">
        <f>IFERROR(__xludf.DUMMYFUNCTION("""COMPUTED_VALUE"""),"srwd")</f>
        <v>srwd</v>
      </c>
      <c r="C10397" s="3" t="str">
        <f>IFERROR(__xludf.DUMMYFUNCTION("""COMPUTED_VALUE"""),"ShibRWD")</f>
        <v>ShibRWD</v>
      </c>
    </row>
    <row r="10398">
      <c r="A10398" s="3" t="str">
        <f>IFERROR(__xludf.DUMMYFUNCTION("""COMPUTED_VALUE"""),"shibtama")</f>
        <v>shibtama</v>
      </c>
      <c r="B10398" s="3" t="str">
        <f>IFERROR(__xludf.DUMMYFUNCTION("""COMPUTED_VALUE"""),"shibtama")</f>
        <v>shibtama</v>
      </c>
      <c r="C10398" s="3" t="str">
        <f>IFERROR(__xludf.DUMMYFUNCTION("""COMPUTED_VALUE"""),"Shibtama")</f>
        <v>Shibtama</v>
      </c>
    </row>
    <row r="10399">
      <c r="A10399" s="3" t="str">
        <f>IFERROR(__xludf.DUMMYFUNCTION("""COMPUTED_VALUE"""),"shibui-dao")</f>
        <v>shibui-dao</v>
      </c>
      <c r="B10399" s="3" t="str">
        <f>IFERROR(__xludf.DUMMYFUNCTION("""COMPUTED_VALUE"""),"shibui")</f>
        <v>shibui</v>
      </c>
      <c r="C10399" s="3" t="str">
        <f>IFERROR(__xludf.DUMMYFUNCTION("""COMPUTED_VALUE"""),"Shibui DAO")</f>
        <v>Shibui DAO</v>
      </c>
    </row>
    <row r="10400">
      <c r="A10400" s="3" t="str">
        <f>IFERROR(__xludf.DUMMYFUNCTION("""COMPUTED_VALUE"""),"shibu-life")</f>
        <v>shibu-life</v>
      </c>
      <c r="B10400" s="3" t="str">
        <f>IFERROR(__xludf.DUMMYFUNCTION("""COMPUTED_VALUE"""),"shibu")</f>
        <v>shibu</v>
      </c>
      <c r="C10400" s="3" t="str">
        <f>IFERROR(__xludf.DUMMYFUNCTION("""COMPUTED_VALUE"""),"Shibu Life")</f>
        <v>Shibu Life</v>
      </c>
    </row>
    <row r="10401">
      <c r="A10401" s="3" t="str">
        <f>IFERROR(__xludf.DUMMYFUNCTION("""COMPUTED_VALUE"""),"shibvinci")</f>
        <v>shibvinci</v>
      </c>
      <c r="B10401" s="3" t="str">
        <f>IFERROR(__xludf.DUMMYFUNCTION("""COMPUTED_VALUE"""),"shiv")</f>
        <v>shiv</v>
      </c>
      <c r="C10401" s="3" t="str">
        <f>IFERROR(__xludf.DUMMYFUNCTION("""COMPUTED_VALUE"""),"ShibVinci")</f>
        <v>ShibVinci</v>
      </c>
    </row>
    <row r="10402">
      <c r="A10402" s="3" t="str">
        <f>IFERROR(__xludf.DUMMYFUNCTION("""COMPUTED_VALUE"""),"shiden")</f>
        <v>shiden</v>
      </c>
      <c r="B10402" s="3" t="str">
        <f>IFERROR(__xludf.DUMMYFUNCTION("""COMPUTED_VALUE"""),"sdn")</f>
        <v>sdn</v>
      </c>
      <c r="C10402" s="3" t="str">
        <f>IFERROR(__xludf.DUMMYFUNCTION("""COMPUTED_VALUE"""),"Shiden Network")</f>
        <v>Shiden Network</v>
      </c>
    </row>
    <row r="10403">
      <c r="A10403" s="3" t="str">
        <f>IFERROR(__xludf.DUMMYFUNCTION("""COMPUTED_VALUE"""),"shido")</f>
        <v>shido</v>
      </c>
      <c r="B10403" s="3" t="str">
        <f>IFERROR(__xludf.DUMMYFUNCTION("""COMPUTED_VALUE"""),"shido")</f>
        <v>shido</v>
      </c>
      <c r="C10403" s="3" t="str">
        <f>IFERROR(__xludf.DUMMYFUNCTION("""COMPUTED_VALUE"""),"Shido")</f>
        <v>Shido</v>
      </c>
    </row>
    <row r="10404">
      <c r="A10404" s="3" t="str">
        <f>IFERROR(__xludf.DUMMYFUNCTION("""COMPUTED_VALUE"""),"shield")</f>
        <v>shield</v>
      </c>
      <c r="B10404" s="3" t="str">
        <f>IFERROR(__xludf.DUMMYFUNCTION("""COMPUTED_VALUE"""),"xsh")</f>
        <v>xsh</v>
      </c>
      <c r="C10404" s="3" t="str">
        <f>IFERROR(__xludf.DUMMYFUNCTION("""COMPUTED_VALUE"""),"SHIELD")</f>
        <v>SHIELD</v>
      </c>
    </row>
    <row r="10405">
      <c r="A10405" s="3" t="str">
        <f>IFERROR(__xludf.DUMMYFUNCTION("""COMPUTED_VALUE"""),"shield-dao")</f>
        <v>shield-dao</v>
      </c>
      <c r="B10405" s="3" t="str">
        <f>IFERROR(__xludf.DUMMYFUNCTION("""COMPUTED_VALUE"""),"sld")</f>
        <v>sld</v>
      </c>
      <c r="C10405" s="3" t="str">
        <f>IFERROR(__xludf.DUMMYFUNCTION("""COMPUTED_VALUE"""),"Shield (SLD)")</f>
        <v>Shield (SLD)</v>
      </c>
    </row>
    <row r="10406">
      <c r="A10406" s="3" t="str">
        <f>IFERROR(__xludf.DUMMYFUNCTION("""COMPUTED_VALUE"""),"shield-finance")</f>
        <v>shield-finance</v>
      </c>
      <c r="B10406" s="3" t="str">
        <f>IFERROR(__xludf.DUMMYFUNCTION("""COMPUTED_VALUE"""),"coli")</f>
        <v>coli</v>
      </c>
      <c r="C10406" s="3" t="str">
        <f>IFERROR(__xludf.DUMMYFUNCTION("""COMPUTED_VALUE"""),"Coliquidity")</f>
        <v>Coliquidity</v>
      </c>
    </row>
    <row r="10407">
      <c r="A10407" s="3" t="str">
        <f>IFERROR(__xludf.DUMMYFUNCTION("""COMPUTED_VALUE"""),"shield-network")</f>
        <v>shield-network</v>
      </c>
      <c r="B10407" s="3" t="str">
        <f>IFERROR(__xludf.DUMMYFUNCTION("""COMPUTED_VALUE"""),"shieldnet")</f>
        <v>shieldnet</v>
      </c>
      <c r="C10407" s="3" t="str">
        <f>IFERROR(__xludf.DUMMYFUNCTION("""COMPUTED_VALUE"""),"Shield Network")</f>
        <v>Shield Network</v>
      </c>
    </row>
    <row r="10408">
      <c r="A10408" s="3" t="str">
        <f>IFERROR(__xludf.DUMMYFUNCTION("""COMPUTED_VALUE"""),"shield-protocol-2")</f>
        <v>shield-protocol-2</v>
      </c>
      <c r="B10408" s="3" t="str">
        <f>IFERROR(__xludf.DUMMYFUNCTION("""COMPUTED_VALUE"""),"shield")</f>
        <v>shield</v>
      </c>
      <c r="C10408" s="3" t="str">
        <f>IFERROR(__xludf.DUMMYFUNCTION("""COMPUTED_VALUE"""),"Shield Protocol")</f>
        <v>Shield Protocol</v>
      </c>
    </row>
    <row r="10409">
      <c r="A10409" s="3" t="str">
        <f>IFERROR(__xludf.DUMMYFUNCTION("""COMPUTED_VALUE"""),"shield-protocol-token")</f>
        <v>shield-protocol-token</v>
      </c>
      <c r="B10409" s="3" t="str">
        <f>IFERROR(__xludf.DUMMYFUNCTION("""COMPUTED_VALUE"""),"shield")</f>
        <v>shield</v>
      </c>
      <c r="C10409" s="3" t="str">
        <f>IFERROR(__xludf.DUMMYFUNCTION("""COMPUTED_VALUE"""),"Shield Protocol Token")</f>
        <v>Shield Protocol Token</v>
      </c>
    </row>
    <row r="10410">
      <c r="A10410" s="3" t="str">
        <f>IFERROR(__xludf.DUMMYFUNCTION("""COMPUTED_VALUE"""),"shih-tzu")</f>
        <v>shih-tzu</v>
      </c>
      <c r="B10410" s="3" t="str">
        <f>IFERROR(__xludf.DUMMYFUNCTION("""COMPUTED_VALUE"""),"shih")</f>
        <v>shih</v>
      </c>
      <c r="C10410" s="3" t="str">
        <f>IFERROR(__xludf.DUMMYFUNCTION("""COMPUTED_VALUE"""),"Shih Tzu")</f>
        <v>Shih Tzu</v>
      </c>
    </row>
    <row r="10411">
      <c r="A10411" s="3" t="str">
        <f>IFERROR(__xludf.DUMMYFUNCTION("""COMPUTED_VALUE"""),"shihtzu-exchange")</f>
        <v>shihtzu-exchange</v>
      </c>
      <c r="B10411" s="3" t="str">
        <f>IFERROR(__xludf.DUMMYFUNCTION("""COMPUTED_VALUE"""),"stzu")</f>
        <v>stzu</v>
      </c>
      <c r="C10411" s="3" t="str">
        <f>IFERROR(__xludf.DUMMYFUNCTION("""COMPUTED_VALUE"""),"Shihtzu Exchange")</f>
        <v>Shihtzu Exchange</v>
      </c>
    </row>
    <row r="10412">
      <c r="A10412" s="3" t="str">
        <f>IFERROR(__xludf.DUMMYFUNCTION("""COMPUTED_VALUE"""),"shih-tzu-inu")</f>
        <v>shih-tzu-inu</v>
      </c>
      <c r="B10412" s="3" t="str">
        <f>IFERROR(__xludf.DUMMYFUNCTION("""COMPUTED_VALUE"""),"shih-tzu")</f>
        <v>shih-tzu</v>
      </c>
      <c r="C10412" s="3" t="str">
        <f>IFERROR(__xludf.DUMMYFUNCTION("""COMPUTED_VALUE"""),"Shih Tzu Inu")</f>
        <v>Shih Tzu Inu</v>
      </c>
    </row>
    <row r="10413">
      <c r="A10413" s="3" t="str">
        <f>IFERROR(__xludf.DUMMYFUNCTION("""COMPUTED_VALUE"""),"shika-finance")</f>
        <v>shika-finance</v>
      </c>
      <c r="B10413" s="3" t="str">
        <f>IFERROR(__xludf.DUMMYFUNCTION("""COMPUTED_VALUE"""),"shika")</f>
        <v>shika</v>
      </c>
      <c r="C10413" s="3" t="str">
        <f>IFERROR(__xludf.DUMMYFUNCTION("""COMPUTED_VALUE"""),"Shika Finance")</f>
        <v>Shika Finance</v>
      </c>
    </row>
    <row r="10414">
      <c r="A10414" s="3" t="str">
        <f>IFERROR(__xludf.DUMMYFUNCTION("""COMPUTED_VALUE"""),"shikoku-inu")</f>
        <v>shikoku-inu</v>
      </c>
      <c r="B10414" s="3" t="str">
        <f>IFERROR(__xludf.DUMMYFUNCTION("""COMPUTED_VALUE"""),"shiko")</f>
        <v>shiko</v>
      </c>
      <c r="C10414" s="3" t="str">
        <f>IFERROR(__xludf.DUMMYFUNCTION("""COMPUTED_VALUE"""),"Shikoku Inu")</f>
        <v>Shikoku Inu</v>
      </c>
    </row>
    <row r="10415">
      <c r="A10415" s="3" t="str">
        <f>IFERROR(__xludf.DUMMYFUNCTION("""COMPUTED_VALUE"""),"shilling")</f>
        <v>shilling</v>
      </c>
      <c r="B10415" s="3" t="str">
        <f>IFERROR(__xludf.DUMMYFUNCTION("""COMPUTED_VALUE"""),"sh")</f>
        <v>sh</v>
      </c>
      <c r="C10415" s="3" t="str">
        <f>IFERROR(__xludf.DUMMYFUNCTION("""COMPUTED_VALUE"""),"Shilling")</f>
        <v>Shilling</v>
      </c>
    </row>
    <row r="10416">
      <c r="A10416" s="3" t="str">
        <f>IFERROR(__xludf.DUMMYFUNCTION("""COMPUTED_VALUE"""),"shillit-app")</f>
        <v>shillit-app</v>
      </c>
      <c r="B10416" s="3" t="str">
        <f>IFERROR(__xludf.DUMMYFUNCTION("""COMPUTED_VALUE"""),"shill")</f>
        <v>shill</v>
      </c>
      <c r="C10416" s="3" t="str">
        <f>IFERROR(__xludf.DUMMYFUNCTION("""COMPUTED_VALUE"""),"Shillit App")</f>
        <v>Shillit App</v>
      </c>
    </row>
    <row r="10417">
      <c r="A10417" s="3" t="str">
        <f>IFERROR(__xludf.DUMMYFUNCTION("""COMPUTED_VALUE"""),"shill-token")</f>
        <v>shill-token</v>
      </c>
      <c r="B10417" s="3" t="str">
        <f>IFERROR(__xludf.DUMMYFUNCTION("""COMPUTED_VALUE"""),"shill")</f>
        <v>shill</v>
      </c>
      <c r="C10417" s="3" t="str">
        <f>IFERROR(__xludf.DUMMYFUNCTION("""COMPUTED_VALUE"""),"Project SEED SHILL")</f>
        <v>Project SEED SHILL</v>
      </c>
    </row>
    <row r="10418">
      <c r="A10418" s="3" t="str">
        <f>IFERROR(__xludf.DUMMYFUNCTION("""COMPUTED_VALUE"""),"shilly-bar")</f>
        <v>shilly-bar</v>
      </c>
      <c r="B10418" s="3" t="str">
        <f>IFERROR(__xludf.DUMMYFUNCTION("""COMPUTED_VALUE"""),"shbar")</f>
        <v>shbar</v>
      </c>
      <c r="C10418" s="3" t="str">
        <f>IFERROR(__xludf.DUMMYFUNCTION("""COMPUTED_VALUE"""),"Shilly Bar")</f>
        <v>Shilly Bar</v>
      </c>
    </row>
    <row r="10419">
      <c r="A10419" s="3" t="str">
        <f>IFERROR(__xludf.DUMMYFUNCTION("""COMPUTED_VALUE"""),"shimmer")</f>
        <v>shimmer</v>
      </c>
      <c r="B10419" s="3" t="str">
        <f>IFERROR(__xludf.DUMMYFUNCTION("""COMPUTED_VALUE"""),"smr")</f>
        <v>smr</v>
      </c>
      <c r="C10419" s="3" t="str">
        <f>IFERROR(__xludf.DUMMYFUNCTION("""COMPUTED_VALUE"""),"Shimmer")</f>
        <v>Shimmer</v>
      </c>
    </row>
    <row r="10420">
      <c r="A10420" s="3" t="str">
        <f>IFERROR(__xludf.DUMMYFUNCTION("""COMPUTED_VALUE"""),"shina-inu")</f>
        <v>shina-inu</v>
      </c>
      <c r="B10420" s="3" t="str">
        <f>IFERROR(__xludf.DUMMYFUNCTION("""COMPUTED_VALUE"""),"shi")</f>
        <v>shi</v>
      </c>
      <c r="C10420" s="3" t="str">
        <f>IFERROR(__xludf.DUMMYFUNCTION("""COMPUTED_VALUE"""),"Shina Inu")</f>
        <v>Shina Inu</v>
      </c>
    </row>
    <row r="10421">
      <c r="A10421" s="3" t="str">
        <f>IFERROR(__xludf.DUMMYFUNCTION("""COMPUTED_VALUE"""),"shinchan-token")</f>
        <v>shinchan-token</v>
      </c>
      <c r="B10421" s="3" t="str">
        <f>IFERROR(__xludf.DUMMYFUNCTION("""COMPUTED_VALUE"""),"shinnosuke")</f>
        <v>shinnosuke</v>
      </c>
      <c r="C10421" s="3" t="str">
        <f>IFERROR(__xludf.DUMMYFUNCTION("""COMPUTED_VALUE"""),"ShinChan")</f>
        <v>ShinChan</v>
      </c>
    </row>
    <row r="10422">
      <c r="A10422" s="3" t="str">
        <f>IFERROR(__xludf.DUMMYFUNCTION("""COMPUTED_VALUE"""),"shinechain")</f>
        <v>shinechain</v>
      </c>
      <c r="B10422" s="3" t="str">
        <f>IFERROR(__xludf.DUMMYFUNCTION("""COMPUTED_VALUE"""),"she")</f>
        <v>she</v>
      </c>
      <c r="C10422" s="3" t="str">
        <f>IFERROR(__xludf.DUMMYFUNCTION("""COMPUTED_VALUE"""),"ShineChain")</f>
        <v>ShineChain</v>
      </c>
    </row>
    <row r="10423">
      <c r="A10423" s="3" t="str">
        <f>IFERROR(__xludf.DUMMYFUNCTION("""COMPUTED_VALUE"""),"shinedao")</f>
        <v>shinedao</v>
      </c>
      <c r="B10423" s="3" t="str">
        <f>IFERROR(__xludf.DUMMYFUNCTION("""COMPUTED_VALUE"""),"shn")</f>
        <v>shn</v>
      </c>
      <c r="C10423" s="3" t="str">
        <f>IFERROR(__xludf.DUMMYFUNCTION("""COMPUTED_VALUE"""),"ShineDAO")</f>
        <v>ShineDAO</v>
      </c>
    </row>
    <row r="10424">
      <c r="A10424" s="3" t="str">
        <f>IFERROR(__xludf.DUMMYFUNCTION("""COMPUTED_VALUE"""),"shinemine")</f>
        <v>shinemine</v>
      </c>
      <c r="B10424" s="3" t="str">
        <f>IFERROR(__xludf.DUMMYFUNCTION("""COMPUTED_VALUE"""),"shine")</f>
        <v>shine</v>
      </c>
      <c r="C10424" s="3" t="str">
        <f>IFERROR(__xludf.DUMMYFUNCTION("""COMPUTED_VALUE"""),"ShineMine")</f>
        <v>ShineMine</v>
      </c>
    </row>
    <row r="10425">
      <c r="A10425" s="3" t="str">
        <f>IFERROR(__xludf.DUMMYFUNCTION("""COMPUTED_VALUE"""),"shine-mystic-birds")</f>
        <v>shine-mystic-birds</v>
      </c>
      <c r="B10425" s="3" t="str">
        <f>IFERROR(__xludf.DUMMYFUNCTION("""COMPUTED_VALUE"""),"smb9")</f>
        <v>smb9</v>
      </c>
      <c r="C10425" s="3" t="str">
        <f>IFERROR(__xludf.DUMMYFUNCTION("""COMPUTED_VALUE"""),"Shine Mystic Birds")</f>
        <v>Shine Mystic Birds</v>
      </c>
    </row>
    <row r="10426">
      <c r="A10426" s="3" t="str">
        <f>IFERROR(__xludf.DUMMYFUNCTION("""COMPUTED_VALUE"""),"shinji-inu")</f>
        <v>shinji-inu</v>
      </c>
      <c r="B10426" s="3" t="str">
        <f>IFERROR(__xludf.DUMMYFUNCTION("""COMPUTED_VALUE"""),"shinji")</f>
        <v>shinji</v>
      </c>
      <c r="C10426" s="3" t="str">
        <f>IFERROR(__xludf.DUMMYFUNCTION("""COMPUTED_VALUE"""),"Shinji Inu")</f>
        <v>Shinji Inu</v>
      </c>
    </row>
    <row r="10427">
      <c r="A10427" s="3" t="str">
        <f>IFERROR(__xludf.DUMMYFUNCTION("""COMPUTED_VALUE"""),"shinjiro")</f>
        <v>shinjiro</v>
      </c>
      <c r="B10427" s="3" t="str">
        <f>IFERROR(__xludf.DUMMYFUNCTION("""COMPUTED_VALUE"""),"shox")</f>
        <v>shox</v>
      </c>
      <c r="C10427" s="3" t="str">
        <f>IFERROR(__xludf.DUMMYFUNCTION("""COMPUTED_VALUE"""),"Shinjiro")</f>
        <v>Shinjiro</v>
      </c>
    </row>
    <row r="10428">
      <c r="A10428" s="3" t="str">
        <f>IFERROR(__xludf.DUMMYFUNCTION("""COMPUTED_VALUE"""),"shinji-the-zombie-slayer")</f>
        <v>shinji-the-zombie-slayer</v>
      </c>
      <c r="B10428" s="3" t="str">
        <f>IFERROR(__xludf.DUMMYFUNCTION("""COMPUTED_VALUE"""),"shinjiz")</f>
        <v>shinjiz</v>
      </c>
      <c r="C10428" s="3" t="str">
        <f>IFERROR(__xludf.DUMMYFUNCTION("""COMPUTED_VALUE"""),"Shinji the Zombie Slayer")</f>
        <v>Shinji the Zombie Slayer</v>
      </c>
    </row>
    <row r="10429">
      <c r="A10429" s="3" t="str">
        <f>IFERROR(__xludf.DUMMYFUNCTION("""COMPUTED_VALUE"""),"shinshu-inu")</f>
        <v>shinshu-inu</v>
      </c>
      <c r="B10429" s="3" t="str">
        <f>IFERROR(__xludf.DUMMYFUNCTION("""COMPUTED_VALUE"""),"shinshu")</f>
        <v>shinshu</v>
      </c>
      <c r="C10429" s="3" t="str">
        <f>IFERROR(__xludf.DUMMYFUNCTION("""COMPUTED_VALUE"""),"Shinshu Inu")</f>
        <v>Shinshu Inu</v>
      </c>
    </row>
    <row r="10430">
      <c r="A10430" s="3" t="str">
        <f>IFERROR(__xludf.DUMMYFUNCTION("""COMPUTED_VALUE"""),"shintama")</f>
        <v>shintama</v>
      </c>
      <c r="B10430" s="3" t="str">
        <f>IFERROR(__xludf.DUMMYFUNCTION("""COMPUTED_VALUE"""),"shintama")</f>
        <v>shintama</v>
      </c>
      <c r="C10430" s="3" t="str">
        <f>IFERROR(__xludf.DUMMYFUNCTION("""COMPUTED_VALUE"""),"Shintama")</f>
        <v>Shintama</v>
      </c>
    </row>
    <row r="10431">
      <c r="A10431" s="3" t="str">
        <f>IFERROR(__xludf.DUMMYFUNCTION("""COMPUTED_VALUE"""),"shinuri")</f>
        <v>shinuri</v>
      </c>
      <c r="B10431" s="3" t="str">
        <f>IFERROR(__xludf.DUMMYFUNCTION("""COMPUTED_VALUE"""),"shinuri")</f>
        <v>shinuri</v>
      </c>
      <c r="C10431" s="3" t="str">
        <f>IFERROR(__xludf.DUMMYFUNCTION("""COMPUTED_VALUE"""),"Shinuri")</f>
        <v>Shinuri</v>
      </c>
    </row>
    <row r="10432">
      <c r="A10432" s="3" t="str">
        <f>IFERROR(__xludf.DUMMYFUNCTION("""COMPUTED_VALUE"""),"shiny")</f>
        <v>shiny</v>
      </c>
      <c r="B10432" s="3" t="str">
        <f>IFERROR(__xludf.DUMMYFUNCTION("""COMPUTED_VALUE"""),"shiny")</f>
        <v>shiny</v>
      </c>
      <c r="C10432" s="3" t="str">
        <f>IFERROR(__xludf.DUMMYFUNCTION("""COMPUTED_VALUE"""),"Shiny")</f>
        <v>Shiny</v>
      </c>
    </row>
    <row r="10433">
      <c r="A10433" s="3" t="str">
        <f>IFERROR(__xludf.DUMMYFUNCTION("""COMPUTED_VALUE"""),"shiny-ore")</f>
        <v>shiny-ore</v>
      </c>
      <c r="B10433" s="3" t="str">
        <f>IFERROR(__xludf.DUMMYFUNCTION("""COMPUTED_VALUE"""),"so")</f>
        <v>so</v>
      </c>
      <c r="C10433" s="3" t="str">
        <f>IFERROR(__xludf.DUMMYFUNCTION("""COMPUTED_VALUE"""),"Shiny Ore")</f>
        <v>Shiny Ore</v>
      </c>
    </row>
    <row r="10434">
      <c r="A10434" s="3" t="str">
        <f>IFERROR(__xludf.DUMMYFUNCTION("""COMPUTED_VALUE"""),"shipchain")</f>
        <v>shipchain</v>
      </c>
      <c r="B10434" s="3" t="str">
        <f>IFERROR(__xludf.DUMMYFUNCTION("""COMPUTED_VALUE"""),"ship")</f>
        <v>ship</v>
      </c>
      <c r="C10434" s="3" t="str">
        <f>IFERROR(__xludf.DUMMYFUNCTION("""COMPUTED_VALUE"""),"ShipChain")</f>
        <v>ShipChain</v>
      </c>
    </row>
    <row r="10435">
      <c r="A10435" s="3" t="str">
        <f>IFERROR(__xludf.DUMMYFUNCTION("""COMPUTED_VALUE"""),"shipitpro")</f>
        <v>shipitpro</v>
      </c>
      <c r="B10435" s="3" t="str">
        <f>IFERROR(__xludf.DUMMYFUNCTION("""COMPUTED_VALUE"""),"shpp")</f>
        <v>shpp</v>
      </c>
      <c r="C10435" s="3" t="str">
        <f>IFERROR(__xludf.DUMMYFUNCTION("""COMPUTED_VALUE"""),"ShipItPro")</f>
        <v>ShipItPro</v>
      </c>
    </row>
    <row r="10436">
      <c r="A10436" s="3" t="str">
        <f>IFERROR(__xludf.DUMMYFUNCTION("""COMPUTED_VALUE"""),"shiplay")</f>
        <v>shiplay</v>
      </c>
      <c r="B10436" s="3" t="str">
        <f>IFERROR(__xludf.DUMMYFUNCTION("""COMPUTED_VALUE"""),"sply")</f>
        <v>sply</v>
      </c>
      <c r="C10436" s="3" t="str">
        <f>IFERROR(__xludf.DUMMYFUNCTION("""COMPUTED_VALUE"""),"ShiPlay")</f>
        <v>ShiPlay</v>
      </c>
    </row>
    <row r="10437">
      <c r="A10437" s="3" t="str">
        <f>IFERROR(__xludf.DUMMYFUNCTION("""COMPUTED_VALUE"""),"shirainu")</f>
        <v>shirainu</v>
      </c>
      <c r="B10437" s="3" t="str">
        <f>IFERROR(__xludf.DUMMYFUNCTION("""COMPUTED_VALUE"""),"shr")</f>
        <v>shr</v>
      </c>
      <c r="C10437" s="3" t="str">
        <f>IFERROR(__xludf.DUMMYFUNCTION("""COMPUTED_VALUE"""),"ShiraINU")</f>
        <v>ShiraINU</v>
      </c>
    </row>
    <row r="10438">
      <c r="A10438" s="3" t="str">
        <f>IFERROR(__xludf.DUMMYFUNCTION("""COMPUTED_VALUE"""),"shirtum")</f>
        <v>shirtum</v>
      </c>
      <c r="B10438" s="3" t="str">
        <f>IFERROR(__xludf.DUMMYFUNCTION("""COMPUTED_VALUE"""),"shi")</f>
        <v>shi</v>
      </c>
      <c r="C10438" s="3" t="str">
        <f>IFERROR(__xludf.DUMMYFUNCTION("""COMPUTED_VALUE"""),"Shirtum")</f>
        <v>Shirtum</v>
      </c>
    </row>
    <row r="10439">
      <c r="A10439" s="3" t="str">
        <f>IFERROR(__xludf.DUMMYFUNCTION("""COMPUTED_VALUE"""),"shiryo-inu")</f>
        <v>shiryo-inu</v>
      </c>
      <c r="B10439" s="3" t="str">
        <f>IFERROR(__xludf.DUMMYFUNCTION("""COMPUTED_VALUE"""),"shiryo-inu")</f>
        <v>shiryo-inu</v>
      </c>
      <c r="C10439" s="3" t="str">
        <f>IFERROR(__xludf.DUMMYFUNCTION("""COMPUTED_VALUE"""),"Shiryo")</f>
        <v>Shiryo</v>
      </c>
    </row>
    <row r="10440">
      <c r="A10440" s="3" t="str">
        <f>IFERROR(__xludf.DUMMYFUNCTION("""COMPUTED_VALUE"""),"shita-kiri-suzume")</f>
        <v>shita-kiri-suzume</v>
      </c>
      <c r="B10440" s="3" t="str">
        <f>IFERROR(__xludf.DUMMYFUNCTION("""COMPUTED_VALUE"""),"suzume")</f>
        <v>suzume</v>
      </c>
      <c r="C10440" s="3" t="str">
        <f>IFERROR(__xludf.DUMMYFUNCTION("""COMPUTED_VALUE"""),"Shita-kiri Suzume")</f>
        <v>Shita-kiri Suzume</v>
      </c>
    </row>
    <row r="10441">
      <c r="A10441" s="3" t="str">
        <f>IFERROR(__xludf.DUMMYFUNCTION("""COMPUTED_VALUE"""),"shitcoin")</f>
        <v>shitcoin</v>
      </c>
      <c r="B10441" s="3" t="str">
        <f>IFERROR(__xludf.DUMMYFUNCTION("""COMPUTED_VALUE"""),"shit")</f>
        <v>shit</v>
      </c>
      <c r="C10441" s="3" t="str">
        <f>IFERROR(__xludf.DUMMYFUNCTION("""COMPUTED_VALUE"""),"ShitCoin")</f>
        <v>ShitCoin</v>
      </c>
    </row>
    <row r="10442">
      <c r="A10442" s="3" t="str">
        <f>IFERROR(__xludf.DUMMYFUNCTION("""COMPUTED_VALUE"""),"shitzu")</f>
        <v>shitzu</v>
      </c>
      <c r="B10442" s="3" t="str">
        <f>IFERROR(__xludf.DUMMYFUNCTION("""COMPUTED_VALUE"""),"shitzu")</f>
        <v>shitzu</v>
      </c>
      <c r="C10442" s="3" t="str">
        <f>IFERROR(__xludf.DUMMYFUNCTION("""COMPUTED_VALUE"""),"Shitzu")</f>
        <v>Shitzu</v>
      </c>
    </row>
    <row r="10443">
      <c r="A10443" s="3" t="str">
        <f>IFERROR(__xludf.DUMMYFUNCTION("""COMPUTED_VALUE"""),"shiwa")</f>
        <v>shiwa</v>
      </c>
      <c r="B10443" s="3" t="str">
        <f>IFERROR(__xludf.DUMMYFUNCTION("""COMPUTED_VALUE"""),"shiwa")</f>
        <v>shiwa</v>
      </c>
      <c r="C10443" s="3" t="str">
        <f>IFERROR(__xludf.DUMMYFUNCTION("""COMPUTED_VALUE"""),"Shiwa")</f>
        <v>Shiwa</v>
      </c>
    </row>
    <row r="10444">
      <c r="A10444" s="3" t="str">
        <f>IFERROR(__xludf.DUMMYFUNCTION("""COMPUTED_VALUE"""),"shkooby-inu")</f>
        <v>shkooby-inu</v>
      </c>
      <c r="B10444" s="3" t="str">
        <f>IFERROR(__xludf.DUMMYFUNCTION("""COMPUTED_VALUE"""),"shkooby")</f>
        <v>shkooby</v>
      </c>
      <c r="C10444" s="3" t="str">
        <f>IFERROR(__xludf.DUMMYFUNCTION("""COMPUTED_VALUE"""),"SHKOOBY INU")</f>
        <v>SHKOOBY INU</v>
      </c>
    </row>
    <row r="10445">
      <c r="A10445" s="3" t="str">
        <f>IFERROR(__xludf.DUMMYFUNCTION("""COMPUTED_VALUE"""),"shoebill-coin")</f>
        <v>shoebill-coin</v>
      </c>
      <c r="B10445" s="3" t="str">
        <f>IFERROR(__xludf.DUMMYFUNCTION("""COMPUTED_VALUE"""),"shbl")</f>
        <v>shbl</v>
      </c>
      <c r="C10445" s="3" t="str">
        <f>IFERROR(__xludf.DUMMYFUNCTION("""COMPUTED_VALUE"""),"Shoebill Coin")</f>
        <v>Shoebill Coin</v>
      </c>
    </row>
    <row r="10446">
      <c r="A10446" s="3" t="str">
        <f>IFERROR(__xludf.DUMMYFUNCTION("""COMPUTED_VALUE"""),"shoefy")</f>
        <v>shoefy</v>
      </c>
      <c r="B10446" s="3" t="str">
        <f>IFERROR(__xludf.DUMMYFUNCTION("""COMPUTED_VALUE"""),"shoe")</f>
        <v>shoe</v>
      </c>
      <c r="C10446" s="3" t="str">
        <f>IFERROR(__xludf.DUMMYFUNCTION("""COMPUTED_VALUE"""),"ShoeFy")</f>
        <v>ShoeFy</v>
      </c>
    </row>
    <row r="10447">
      <c r="A10447" s="3" t="str">
        <f>IFERROR(__xludf.DUMMYFUNCTION("""COMPUTED_VALUE"""),"shontoken")</f>
        <v>shontoken</v>
      </c>
      <c r="B10447" s="3" t="str">
        <f>IFERROR(__xludf.DUMMYFUNCTION("""COMPUTED_VALUE"""),"shon")</f>
        <v>shon</v>
      </c>
      <c r="C10447" s="3" t="str">
        <f>IFERROR(__xludf.DUMMYFUNCTION("""COMPUTED_VALUE"""),"Shon")</f>
        <v>Shon</v>
      </c>
    </row>
    <row r="10448">
      <c r="A10448" s="3" t="str">
        <f>IFERROR(__xludf.DUMMYFUNCTION("""COMPUTED_VALUE"""),"shoot")</f>
        <v>shoot</v>
      </c>
      <c r="B10448" s="3" t="str">
        <f>IFERROR(__xludf.DUMMYFUNCTION("""COMPUTED_VALUE"""),"shoo")</f>
        <v>shoo</v>
      </c>
      <c r="C10448" s="3" t="str">
        <f>IFERROR(__xludf.DUMMYFUNCTION("""COMPUTED_VALUE"""),"SHOOT")</f>
        <v>SHOOT</v>
      </c>
    </row>
    <row r="10449">
      <c r="A10449" s="3" t="str">
        <f>IFERROR(__xludf.DUMMYFUNCTION("""COMPUTED_VALUE"""),"shopayment")</f>
        <v>shopayment</v>
      </c>
      <c r="B10449" s="3" t="str">
        <f>IFERROR(__xludf.DUMMYFUNCTION("""COMPUTED_VALUE"""),"spay")</f>
        <v>spay</v>
      </c>
      <c r="C10449" s="3" t="str">
        <f>IFERROR(__xludf.DUMMYFUNCTION("""COMPUTED_VALUE"""),"Shopayment")</f>
        <v>Shopayment</v>
      </c>
    </row>
    <row r="10450">
      <c r="A10450" s="3" t="str">
        <f>IFERROR(__xludf.DUMMYFUNCTION("""COMPUTED_VALUE"""),"shopdi")</f>
        <v>shopdi</v>
      </c>
      <c r="B10450" s="3" t="str">
        <f>IFERROR(__xludf.DUMMYFUNCTION("""COMPUTED_VALUE"""),"shod")</f>
        <v>shod</v>
      </c>
      <c r="C10450" s="3" t="str">
        <f>IFERROR(__xludf.DUMMYFUNCTION("""COMPUTED_VALUE"""),"Shopdi")</f>
        <v>Shopdi</v>
      </c>
    </row>
    <row r="10451">
      <c r="A10451" s="3" t="str">
        <f>IFERROR(__xludf.DUMMYFUNCTION("""COMPUTED_VALUE"""),"shopnext")</f>
        <v>shopnext</v>
      </c>
      <c r="B10451" s="3" t="str">
        <f>IFERROR(__xludf.DUMMYFUNCTION("""COMPUTED_VALUE"""),"next")</f>
        <v>next</v>
      </c>
      <c r="C10451" s="3" t="str">
        <f>IFERROR(__xludf.DUMMYFUNCTION("""COMPUTED_VALUE"""),"ShopNEXT")</f>
        <v>ShopNEXT</v>
      </c>
    </row>
    <row r="10452">
      <c r="A10452" s="3" t="str">
        <f>IFERROR(__xludf.DUMMYFUNCTION("""COMPUTED_VALUE"""),"shoppi-coin")</f>
        <v>shoppi-coin</v>
      </c>
      <c r="B10452" s="3" t="str">
        <f>IFERROR(__xludf.DUMMYFUNCTION("""COMPUTED_VALUE"""),"shop")</f>
        <v>shop</v>
      </c>
      <c r="C10452" s="3" t="str">
        <f>IFERROR(__xludf.DUMMYFUNCTION("""COMPUTED_VALUE"""),"Shoppi Coin")</f>
        <v>Shoppi Coin</v>
      </c>
    </row>
    <row r="10453">
      <c r="A10453" s="3" t="str">
        <f>IFERROR(__xludf.DUMMYFUNCTION("""COMPUTED_VALUE"""),"shopping-io-token")</f>
        <v>shopping-io-token</v>
      </c>
      <c r="B10453" s="3" t="str">
        <f>IFERROR(__xludf.DUMMYFUNCTION("""COMPUTED_VALUE"""),"shop")</f>
        <v>shop</v>
      </c>
      <c r="C10453" s="4" t="str">
        <f>IFERROR(__xludf.DUMMYFUNCTION("""COMPUTED_VALUE"""),"Shopping.io")</f>
        <v>Shopping.io</v>
      </c>
    </row>
    <row r="10454">
      <c r="A10454" s="3" t="str">
        <f>IFERROR(__xludf.DUMMYFUNCTION("""COMPUTED_VALUE"""),"shorty")</f>
        <v>shorty</v>
      </c>
      <c r="B10454" s="3" t="str">
        <f>IFERROR(__xludf.DUMMYFUNCTION("""COMPUTED_VALUE"""),"shorty")</f>
        <v>shorty</v>
      </c>
      <c r="C10454" s="3" t="str">
        <f>IFERROR(__xludf.DUMMYFUNCTION("""COMPUTED_VALUE"""),"Shorty")</f>
        <v>Shorty</v>
      </c>
    </row>
    <row r="10455">
      <c r="A10455" s="3" t="str">
        <f>IFERROR(__xludf.DUMMYFUNCTION("""COMPUTED_VALUE"""),"showcase-token")</f>
        <v>showcase-token</v>
      </c>
      <c r="B10455" s="3" t="str">
        <f>IFERROR(__xludf.DUMMYFUNCTION("""COMPUTED_VALUE"""),"sho")</f>
        <v>sho</v>
      </c>
      <c r="C10455" s="3" t="str">
        <f>IFERROR(__xludf.DUMMYFUNCTION("""COMPUTED_VALUE"""),"Showcase")</f>
        <v>Showcase</v>
      </c>
    </row>
    <row r="10456">
      <c r="A10456" s="3" t="str">
        <f>IFERROR(__xludf.DUMMYFUNCTION("""COMPUTED_VALUE"""),"showhand")</f>
        <v>showhand</v>
      </c>
      <c r="B10456" s="3" t="str">
        <f>IFERROR(__xludf.DUMMYFUNCTION("""COMPUTED_VALUE"""),"hand")</f>
        <v>hand</v>
      </c>
      <c r="C10456" s="3" t="str">
        <f>IFERROR(__xludf.DUMMYFUNCTION("""COMPUTED_VALUE"""),"ShowHand")</f>
        <v>ShowHand</v>
      </c>
    </row>
    <row r="10457">
      <c r="A10457" s="3" t="str">
        <f>IFERROR(__xludf.DUMMYFUNCTION("""COMPUTED_VALUE"""),"showtime-potocol")</f>
        <v>showtime-potocol</v>
      </c>
      <c r="B10457" s="3" t="str">
        <f>IFERROR(__xludf.DUMMYFUNCTION("""COMPUTED_VALUE"""),"stp")</f>
        <v>stp</v>
      </c>
      <c r="C10457" s="3" t="str">
        <f>IFERROR(__xludf.DUMMYFUNCTION("""COMPUTED_VALUE"""),"ShowTime Potocol")</f>
        <v>ShowTime Potocol</v>
      </c>
    </row>
    <row r="10458">
      <c r="A10458" s="3" t="str">
        <f>IFERROR(__xludf.DUMMYFUNCTION("""COMPUTED_VALUE"""),"shping")</f>
        <v>shping</v>
      </c>
      <c r="B10458" s="3" t="str">
        <f>IFERROR(__xludf.DUMMYFUNCTION("""COMPUTED_VALUE"""),"shping")</f>
        <v>shping</v>
      </c>
      <c r="C10458" s="3" t="str">
        <f>IFERROR(__xludf.DUMMYFUNCTION("""COMPUTED_VALUE"""),"Shping")</f>
        <v>Shping</v>
      </c>
    </row>
    <row r="10459">
      <c r="A10459" s="3" t="str">
        <f>IFERROR(__xludf.DUMMYFUNCTION("""COMPUTED_VALUE"""),"shree")</f>
        <v>shree</v>
      </c>
      <c r="B10459" s="3" t="str">
        <f>IFERROR(__xludf.DUMMYFUNCTION("""COMPUTED_VALUE"""),"shr")</f>
        <v>shr</v>
      </c>
      <c r="C10459" s="3" t="str">
        <f>IFERROR(__xludf.DUMMYFUNCTION("""COMPUTED_VALUE"""),"SHREE")</f>
        <v>SHREE</v>
      </c>
    </row>
    <row r="10460">
      <c r="A10460" s="3" t="str">
        <f>IFERROR(__xludf.DUMMYFUNCTION("""COMPUTED_VALUE"""),"shroom-finance")</f>
        <v>shroom-finance</v>
      </c>
      <c r="B10460" s="3" t="str">
        <f>IFERROR(__xludf.DUMMYFUNCTION("""COMPUTED_VALUE"""),"shroom")</f>
        <v>shroom</v>
      </c>
      <c r="C10460" s="3" t="str">
        <f>IFERROR(__xludf.DUMMYFUNCTION("""COMPUTED_VALUE"""),"Niftyx Protocol")</f>
        <v>Niftyx Protocol</v>
      </c>
    </row>
    <row r="10461">
      <c r="A10461" s="3" t="str">
        <f>IFERROR(__xludf.DUMMYFUNCTION("""COMPUTED_VALUE"""),"shrooms")</f>
        <v>shrooms</v>
      </c>
      <c r="B10461" s="3" t="str">
        <f>IFERROR(__xludf.DUMMYFUNCTION("""COMPUTED_VALUE"""),"shrm")</f>
        <v>shrm</v>
      </c>
      <c r="C10461" s="3" t="str">
        <f>IFERROR(__xludf.DUMMYFUNCTION("""COMPUTED_VALUE"""),"Shrooms")</f>
        <v>Shrooms</v>
      </c>
    </row>
    <row r="10462">
      <c r="A10462" s="3" t="str">
        <f>IFERROR(__xludf.DUMMYFUNCTION("""COMPUTED_VALUE"""),"shuey-rhon-inu")</f>
        <v>shuey-rhon-inu</v>
      </c>
      <c r="B10462" s="3" t="str">
        <f>IFERROR(__xludf.DUMMYFUNCTION("""COMPUTED_VALUE"""),"shuey")</f>
        <v>shuey</v>
      </c>
      <c r="C10462" s="3" t="str">
        <f>IFERROR(__xludf.DUMMYFUNCTION("""COMPUTED_VALUE"""),"Shuey Rhon Inu")</f>
        <v>Shuey Rhon Inu</v>
      </c>
    </row>
    <row r="10463">
      <c r="A10463" s="3" t="str">
        <f>IFERROR(__xludf.DUMMYFUNCTION("""COMPUTED_VALUE"""),"shuffle-by-hupayx")</f>
        <v>shuffle-by-hupayx</v>
      </c>
      <c r="B10463" s="3" t="str">
        <f>IFERROR(__xludf.DUMMYFUNCTION("""COMPUTED_VALUE"""),"sfl")</f>
        <v>sfl</v>
      </c>
      <c r="C10463" s="3" t="str">
        <f>IFERROR(__xludf.DUMMYFUNCTION("""COMPUTED_VALUE"""),"SHUFFLE by HUPAYX")</f>
        <v>SHUFFLE by HUPAYX</v>
      </c>
    </row>
    <row r="10464">
      <c r="A10464" s="3" t="str">
        <f>IFERROR(__xludf.DUMMYFUNCTION("""COMPUTED_VALUE"""),"shumi")</f>
        <v>shumi</v>
      </c>
      <c r="B10464" s="3" t="str">
        <f>IFERROR(__xludf.DUMMYFUNCTION("""COMPUTED_VALUE"""),"shumi")</f>
        <v>shumi</v>
      </c>
      <c r="C10464" s="3" t="str">
        <f>IFERROR(__xludf.DUMMYFUNCTION("""COMPUTED_VALUE"""),"SHUMI")</f>
        <v>SHUMI</v>
      </c>
    </row>
    <row r="10465">
      <c r="A10465" s="3" t="str">
        <f>IFERROR(__xludf.DUMMYFUNCTION("""COMPUTED_VALUE"""),"shumo")</f>
        <v>shumo</v>
      </c>
      <c r="B10465" s="3" t="str">
        <f>IFERROR(__xludf.DUMMYFUNCTION("""COMPUTED_VALUE"""),"shumo")</f>
        <v>shumo</v>
      </c>
      <c r="C10465" s="3" t="str">
        <f>IFERROR(__xludf.DUMMYFUNCTION("""COMPUTED_VALUE"""),"Shumo")</f>
        <v>Shumo</v>
      </c>
    </row>
    <row r="10466">
      <c r="A10466" s="3" t="str">
        <f>IFERROR(__xludf.DUMMYFUNCTION("""COMPUTED_VALUE"""),"shuna-inuverse")</f>
        <v>shuna-inuverse</v>
      </c>
      <c r="B10466" s="3" t="str">
        <f>IFERROR(__xludf.DUMMYFUNCTION("""COMPUTED_VALUE"""),"shunav2")</f>
        <v>shunav2</v>
      </c>
      <c r="C10466" s="3" t="str">
        <f>IFERROR(__xludf.DUMMYFUNCTION("""COMPUTED_VALUE"""),"Shuna Inuverse")</f>
        <v>Shuna Inuverse</v>
      </c>
    </row>
    <row r="10467">
      <c r="A10467" s="3" t="str">
        <f>IFERROR(__xludf.DUMMYFUNCTION("""COMPUTED_VALUE"""),"shyft-network-2")</f>
        <v>shyft-network-2</v>
      </c>
      <c r="B10467" s="3" t="str">
        <f>IFERROR(__xludf.DUMMYFUNCTION("""COMPUTED_VALUE"""),"shft")</f>
        <v>shft</v>
      </c>
      <c r="C10467" s="3" t="str">
        <f>IFERROR(__xludf.DUMMYFUNCTION("""COMPUTED_VALUE"""),"Shyft Network")</f>
        <v>Shyft Network</v>
      </c>
    </row>
    <row r="10468">
      <c r="A10468" s="3" t="str">
        <f>IFERROR(__xludf.DUMMYFUNCTION("""COMPUTED_VALUE"""),"si14bet")</f>
        <v>si14bet</v>
      </c>
      <c r="B10468" s="3" t="str">
        <f>IFERROR(__xludf.DUMMYFUNCTION("""COMPUTED_VALUE"""),"si14")</f>
        <v>si14</v>
      </c>
      <c r="C10468" s="3" t="str">
        <f>IFERROR(__xludf.DUMMYFUNCTION("""COMPUTED_VALUE"""),"Si14Bet")</f>
        <v>Si14Bet</v>
      </c>
    </row>
    <row r="10469">
      <c r="A10469" s="3" t="str">
        <f>IFERROR(__xludf.DUMMYFUNCTION("""COMPUTED_VALUE"""),"siacashcoin")</f>
        <v>siacashcoin</v>
      </c>
      <c r="B10469" s="3" t="str">
        <f>IFERROR(__xludf.DUMMYFUNCTION("""COMPUTED_VALUE"""),"scc")</f>
        <v>scc</v>
      </c>
      <c r="C10469" s="3" t="str">
        <f>IFERROR(__xludf.DUMMYFUNCTION("""COMPUTED_VALUE"""),"SiaCashCoin")</f>
        <v>SiaCashCoin</v>
      </c>
    </row>
    <row r="10470">
      <c r="A10470" s="3" t="str">
        <f>IFERROR(__xludf.DUMMYFUNCTION("""COMPUTED_VALUE"""),"siaclassic")</f>
        <v>siaclassic</v>
      </c>
      <c r="B10470" s="3" t="str">
        <f>IFERROR(__xludf.DUMMYFUNCTION("""COMPUTED_VALUE"""),"scc")</f>
        <v>scc</v>
      </c>
      <c r="C10470" s="3" t="str">
        <f>IFERROR(__xludf.DUMMYFUNCTION("""COMPUTED_VALUE"""),"SiaClassic")</f>
        <v>SiaClassic</v>
      </c>
    </row>
    <row r="10471">
      <c r="A10471" s="3" t="str">
        <f>IFERROR(__xludf.DUMMYFUNCTION("""COMPUTED_VALUE"""),"siacoin")</f>
        <v>siacoin</v>
      </c>
      <c r="B10471" s="3" t="str">
        <f>IFERROR(__xludf.DUMMYFUNCTION("""COMPUTED_VALUE"""),"sc")</f>
        <v>sc</v>
      </c>
      <c r="C10471" s="3" t="str">
        <f>IFERROR(__xludf.DUMMYFUNCTION("""COMPUTED_VALUE"""),"Siacoin")</f>
        <v>Siacoin</v>
      </c>
    </row>
    <row r="10472">
      <c r="A10472" s="3" t="str">
        <f>IFERROR(__xludf.DUMMYFUNCTION("""COMPUTED_VALUE"""),"siambitcoin")</f>
        <v>siambitcoin</v>
      </c>
      <c r="B10472" s="3" t="str">
        <f>IFERROR(__xludf.DUMMYFUNCTION("""COMPUTED_VALUE"""),"sbtc")</f>
        <v>sbtc</v>
      </c>
      <c r="C10472" s="3" t="str">
        <f>IFERROR(__xludf.DUMMYFUNCTION("""COMPUTED_VALUE"""),"SiamBitcoin")</f>
        <v>SiamBitcoin</v>
      </c>
    </row>
    <row r="10473">
      <c r="A10473" s="3" t="str">
        <f>IFERROR(__xludf.DUMMYFUNCTION("""COMPUTED_VALUE"""),"siaprime-coin")</f>
        <v>siaprime-coin</v>
      </c>
      <c r="B10473" s="3" t="str">
        <f>IFERROR(__xludf.DUMMYFUNCTION("""COMPUTED_VALUE"""),"scp")</f>
        <v>scp</v>
      </c>
      <c r="C10473" s="3" t="str">
        <f>IFERROR(__xludf.DUMMYFUNCTION("""COMPUTED_VALUE"""),"ScPrime")</f>
        <v>ScPrime</v>
      </c>
    </row>
    <row r="10474">
      <c r="A10474" s="3" t="str">
        <f>IFERROR(__xludf.DUMMYFUNCTION("""COMPUTED_VALUE"""),"sibcoin")</f>
        <v>sibcoin</v>
      </c>
      <c r="B10474" s="3" t="str">
        <f>IFERROR(__xludf.DUMMYFUNCTION("""COMPUTED_VALUE"""),"sib")</f>
        <v>sib</v>
      </c>
      <c r="C10474" s="3" t="str">
        <f>IFERROR(__xludf.DUMMYFUNCTION("""COMPUTED_VALUE"""),"SIBCoin")</f>
        <v>SIBCoin</v>
      </c>
    </row>
    <row r="10475">
      <c r="A10475" s="3" t="str">
        <f>IFERROR(__xludf.DUMMYFUNCTION("""COMPUTED_VALUE"""),"siberian-husky")</f>
        <v>siberian-husky</v>
      </c>
      <c r="B10475" s="3" t="str">
        <f>IFERROR(__xludf.DUMMYFUNCTION("""COMPUTED_VALUE"""),"shusky")</f>
        <v>shusky</v>
      </c>
      <c r="C10475" s="3" t="str">
        <f>IFERROR(__xludf.DUMMYFUNCTION("""COMPUTED_VALUE"""),"Siberian Husky")</f>
        <v>Siberian Husky</v>
      </c>
    </row>
    <row r="10476">
      <c r="A10476" s="3" t="str">
        <f>IFERROR(__xludf.DUMMYFUNCTION("""COMPUTED_VALUE"""),"sicash")</f>
        <v>sicash</v>
      </c>
      <c r="B10476" s="3" t="str">
        <f>IFERROR(__xludf.DUMMYFUNCTION("""COMPUTED_VALUE"""),"sic")</f>
        <v>sic</v>
      </c>
      <c r="C10476" s="3" t="str">
        <f>IFERROR(__xludf.DUMMYFUNCTION("""COMPUTED_VALUE"""),"SICash")</f>
        <v>SICash</v>
      </c>
    </row>
    <row r="10477">
      <c r="A10477" s="3" t="str">
        <f>IFERROR(__xludf.DUMMYFUNCTION("""COMPUTED_VALUE"""),"siddcoin")</f>
        <v>siddcoin</v>
      </c>
      <c r="B10477" s="3" t="str">
        <f>IFERROR(__xludf.DUMMYFUNCTION("""COMPUTED_VALUE"""),"sidd")</f>
        <v>sidd</v>
      </c>
      <c r="C10477" s="3" t="str">
        <f>IFERROR(__xludf.DUMMYFUNCTION("""COMPUTED_VALUE"""),"Siddcoin")</f>
        <v>Siddcoin</v>
      </c>
    </row>
    <row r="10478">
      <c r="A10478" s="3" t="str">
        <f>IFERROR(__xludf.DUMMYFUNCTION("""COMPUTED_VALUE"""),"sidekick-token")</f>
        <v>sidekick-token</v>
      </c>
      <c r="B10478" s="3" t="str">
        <f>IFERROR(__xludf.DUMMYFUNCTION("""COMPUTED_VALUE"""),"sk")</f>
        <v>sk</v>
      </c>
      <c r="C10478" s="3" t="str">
        <f>IFERROR(__xludf.DUMMYFUNCTION("""COMPUTED_VALUE"""),"SideKick")</f>
        <v>SideKick</v>
      </c>
    </row>
    <row r="10479">
      <c r="A10479" s="3" t="str">
        <f>IFERROR(__xludf.DUMMYFUNCTION("""COMPUTED_VALUE"""),"sideshift-token")</f>
        <v>sideshift-token</v>
      </c>
      <c r="B10479" s="3" t="str">
        <f>IFERROR(__xludf.DUMMYFUNCTION("""COMPUTED_VALUE"""),"xai")</f>
        <v>xai</v>
      </c>
      <c r="C10479" s="3" t="str">
        <f>IFERROR(__xludf.DUMMYFUNCTION("""COMPUTED_VALUE"""),"SideShift")</f>
        <v>SideShift</v>
      </c>
    </row>
    <row r="10480">
      <c r="A10480" s="3" t="str">
        <f>IFERROR(__xludf.DUMMYFUNCTION("""COMPUTED_VALUE"""),"sidus")</f>
        <v>sidus</v>
      </c>
      <c r="B10480" s="3" t="str">
        <f>IFERROR(__xludf.DUMMYFUNCTION("""COMPUTED_VALUE"""),"sidus")</f>
        <v>sidus</v>
      </c>
      <c r="C10480" s="3" t="str">
        <f>IFERROR(__xludf.DUMMYFUNCTION("""COMPUTED_VALUE"""),"Sidus")</f>
        <v>Sidus</v>
      </c>
    </row>
    <row r="10481">
      <c r="A10481" s="3" t="str">
        <f>IFERROR(__xludf.DUMMYFUNCTION("""COMPUTED_VALUE"""),"sienna")</f>
        <v>sienna</v>
      </c>
      <c r="B10481" s="3" t="str">
        <f>IFERROR(__xludf.DUMMYFUNCTION("""COMPUTED_VALUE"""),"sienna")</f>
        <v>sienna</v>
      </c>
      <c r="C10481" s="3" t="str">
        <f>IFERROR(__xludf.DUMMYFUNCTION("""COMPUTED_VALUE"""),"Sienna")</f>
        <v>Sienna</v>
      </c>
    </row>
    <row r="10482">
      <c r="A10482" s="3" t="str">
        <f>IFERROR(__xludf.DUMMYFUNCTION("""COMPUTED_VALUE"""),"sienna-erc20")</f>
        <v>sienna-erc20</v>
      </c>
      <c r="B10482" s="3" t="str">
        <f>IFERROR(__xludf.DUMMYFUNCTION("""COMPUTED_VALUE"""),"wsienna")</f>
        <v>wsienna</v>
      </c>
      <c r="C10482" s="3" t="str">
        <f>IFERROR(__xludf.DUMMYFUNCTION("""COMPUTED_VALUE"""),"Sienna [ERC-20]")</f>
        <v>Sienna [ERC-20]</v>
      </c>
    </row>
    <row r="10483">
      <c r="A10483" s="3" t="str">
        <f>IFERROR(__xludf.DUMMYFUNCTION("""COMPUTED_VALUE"""),"sif")</f>
        <v>sif</v>
      </c>
      <c r="B10483" s="3" t="str">
        <f>IFERROR(__xludf.DUMMYFUNCTION("""COMPUTED_VALUE"""),"sif")</f>
        <v>sif</v>
      </c>
      <c r="C10483" s="3" t="str">
        <f>IFERROR(__xludf.DUMMYFUNCTION("""COMPUTED_VALUE"""),"Sif")</f>
        <v>Sif</v>
      </c>
    </row>
    <row r="10484">
      <c r="A10484" s="3" t="str">
        <f>IFERROR(__xludf.DUMMYFUNCTION("""COMPUTED_VALUE"""),"sifchain")</f>
        <v>sifchain</v>
      </c>
      <c r="B10484" s="3" t="str">
        <f>IFERROR(__xludf.DUMMYFUNCTION("""COMPUTED_VALUE"""),"erowan")</f>
        <v>erowan</v>
      </c>
      <c r="C10484" s="3" t="str">
        <f>IFERROR(__xludf.DUMMYFUNCTION("""COMPUTED_VALUE"""),"Sifchain")</f>
        <v>Sifchain</v>
      </c>
    </row>
    <row r="10485">
      <c r="A10485" s="3" t="str">
        <f>IFERROR(__xludf.DUMMYFUNCTION("""COMPUTED_VALUE"""),"sifu-vision")</f>
        <v>sifu-vision</v>
      </c>
      <c r="B10485" s="3" t="str">
        <f>IFERROR(__xludf.DUMMYFUNCTION("""COMPUTED_VALUE"""),"sifu")</f>
        <v>sifu</v>
      </c>
      <c r="C10485" s="3" t="str">
        <f>IFERROR(__xludf.DUMMYFUNCTION("""COMPUTED_VALUE"""),"SIFU")</f>
        <v>SIFU</v>
      </c>
    </row>
    <row r="10486">
      <c r="A10486" s="3" t="str">
        <f>IFERROR(__xludf.DUMMYFUNCTION("""COMPUTED_VALUE"""),"sign")</f>
        <v>sign</v>
      </c>
      <c r="B10486" s="3" t="str">
        <f>IFERROR(__xludf.DUMMYFUNCTION("""COMPUTED_VALUE"""),"sign")</f>
        <v>sign</v>
      </c>
      <c r="C10486" s="3" t="str">
        <f>IFERROR(__xludf.DUMMYFUNCTION("""COMPUTED_VALUE"""),"Sign")</f>
        <v>Sign</v>
      </c>
    </row>
    <row r="10487">
      <c r="A10487" s="3" t="str">
        <f>IFERROR(__xludf.DUMMYFUNCTION("""COMPUTED_VALUE"""),"signal")</f>
        <v>signal</v>
      </c>
      <c r="B10487" s="3" t="str">
        <f>IFERROR(__xludf.DUMMYFUNCTION("""COMPUTED_VALUE"""),"sgnl")</f>
        <v>sgnl</v>
      </c>
      <c r="C10487" s="3" t="str">
        <f>IFERROR(__xludf.DUMMYFUNCTION("""COMPUTED_VALUE"""),"Signal")</f>
        <v>Signal</v>
      </c>
    </row>
    <row r="10488">
      <c r="A10488" s="3" t="str">
        <f>IFERROR(__xludf.DUMMYFUNCTION("""COMPUTED_VALUE"""),"signal-token")</f>
        <v>signal-token</v>
      </c>
      <c r="B10488" s="3" t="str">
        <f>IFERROR(__xludf.DUMMYFUNCTION("""COMPUTED_VALUE"""),"sig")</f>
        <v>sig</v>
      </c>
      <c r="C10488" s="3" t="str">
        <f>IFERROR(__xludf.DUMMYFUNCTION("""COMPUTED_VALUE"""),"Signal SIG")</f>
        <v>Signal SIG</v>
      </c>
    </row>
    <row r="10489">
      <c r="A10489" s="3" t="str">
        <f>IFERROR(__xludf.DUMMYFUNCTION("""COMPUTED_VALUE"""),"signata")</f>
        <v>signata</v>
      </c>
      <c r="B10489" s="3" t="str">
        <f>IFERROR(__xludf.DUMMYFUNCTION("""COMPUTED_VALUE"""),"sata")</f>
        <v>sata</v>
      </c>
      <c r="C10489" s="3" t="str">
        <f>IFERROR(__xludf.DUMMYFUNCTION("""COMPUTED_VALUE"""),"Signata")</f>
        <v>Signata</v>
      </c>
    </row>
    <row r="10490">
      <c r="A10490" s="3" t="str">
        <f>IFERROR(__xludf.DUMMYFUNCTION("""COMPUTED_VALUE"""),"signaturechain")</f>
        <v>signaturechain</v>
      </c>
      <c r="B10490" s="3" t="str">
        <f>IFERROR(__xludf.DUMMYFUNCTION("""COMPUTED_VALUE"""),"sign")</f>
        <v>sign</v>
      </c>
      <c r="C10490" s="3" t="str">
        <f>IFERROR(__xludf.DUMMYFUNCTION("""COMPUTED_VALUE"""),"SignatureChain")</f>
        <v>SignatureChain</v>
      </c>
    </row>
    <row r="10491">
      <c r="A10491" s="3" t="str">
        <f>IFERROR(__xludf.DUMMYFUNCTION("""COMPUTED_VALUE"""),"signed")</f>
        <v>signed</v>
      </c>
      <c r="B10491" s="3" t="str">
        <f>IFERROR(__xludf.DUMMYFUNCTION("""COMPUTED_VALUE"""),"sign")</f>
        <v>sign</v>
      </c>
      <c r="C10491" s="3" t="str">
        <f>IFERROR(__xludf.DUMMYFUNCTION("""COMPUTED_VALUE"""),"Signed")</f>
        <v>Signed</v>
      </c>
    </row>
    <row r="10492">
      <c r="A10492" s="3" t="str">
        <f>IFERROR(__xludf.DUMMYFUNCTION("""COMPUTED_VALUE"""),"signum")</f>
        <v>signum</v>
      </c>
      <c r="B10492" s="3" t="str">
        <f>IFERROR(__xludf.DUMMYFUNCTION("""COMPUTED_VALUE"""),"signa")</f>
        <v>signa</v>
      </c>
      <c r="C10492" s="3" t="str">
        <f>IFERROR(__xludf.DUMMYFUNCTION("""COMPUTED_VALUE"""),"Signum")</f>
        <v>Signum</v>
      </c>
    </row>
    <row r="10493">
      <c r="A10493" s="3" t="str">
        <f>IFERROR(__xludf.DUMMYFUNCTION("""COMPUTED_VALUE"""),"sikka")</f>
        <v>sikka</v>
      </c>
      <c r="B10493" s="3" t="str">
        <f>IFERROR(__xludf.DUMMYFUNCTION("""COMPUTED_VALUE"""),"sikka")</f>
        <v>sikka</v>
      </c>
      <c r="C10493" s="3" t="str">
        <f>IFERROR(__xludf.DUMMYFUNCTION("""COMPUTED_VALUE"""),"SIKKA")</f>
        <v>SIKKA</v>
      </c>
    </row>
    <row r="10494">
      <c r="A10494" s="3" t="str">
        <f>IFERROR(__xludf.DUMMYFUNCTION("""COMPUTED_VALUE"""),"silent-notary")</f>
        <v>silent-notary</v>
      </c>
      <c r="B10494" s="3" t="str">
        <f>IFERROR(__xludf.DUMMYFUNCTION("""COMPUTED_VALUE"""),"ubsn")</f>
        <v>ubsn</v>
      </c>
      <c r="C10494" s="3" t="str">
        <f>IFERROR(__xludf.DUMMYFUNCTION("""COMPUTED_VALUE"""),"Silent Notary")</f>
        <v>Silent Notary</v>
      </c>
    </row>
    <row r="10495">
      <c r="A10495" s="3" t="str">
        <f>IFERROR(__xludf.DUMMYFUNCTION("""COMPUTED_VALUE"""),"sil-finance")</f>
        <v>sil-finance</v>
      </c>
      <c r="B10495" s="3" t="str">
        <f>IFERROR(__xludf.DUMMYFUNCTION("""COMPUTED_VALUE"""),"sil")</f>
        <v>sil</v>
      </c>
      <c r="C10495" s="3" t="str">
        <f>IFERROR(__xludf.DUMMYFUNCTION("""COMPUTED_VALUE"""),"SIL Finance V2")</f>
        <v>SIL Finance V2</v>
      </c>
    </row>
    <row r="10496">
      <c r="A10496" s="3" t="str">
        <f>IFERROR(__xludf.DUMMYFUNCTION("""COMPUTED_VALUE"""),"silk")</f>
        <v>silk</v>
      </c>
      <c r="B10496" s="3" t="str">
        <f>IFERROR(__xludf.DUMMYFUNCTION("""COMPUTED_VALUE"""),"silk")</f>
        <v>silk</v>
      </c>
      <c r="C10496" s="3" t="str">
        <f>IFERROR(__xludf.DUMMYFUNCTION("""COMPUTED_VALUE"""),"Spider Tanks")</f>
        <v>Spider Tanks</v>
      </c>
    </row>
    <row r="10497">
      <c r="A10497" s="3" t="str">
        <f>IFERROR(__xludf.DUMMYFUNCTION("""COMPUTED_VALUE"""),"silkchain")</f>
        <v>silkchain</v>
      </c>
      <c r="B10497" s="3" t="str">
        <f>IFERROR(__xludf.DUMMYFUNCTION("""COMPUTED_VALUE"""),"silk")</f>
        <v>silk</v>
      </c>
      <c r="C10497" s="3" t="str">
        <f>IFERROR(__xludf.DUMMYFUNCTION("""COMPUTED_VALUE"""),"SilkChain")</f>
        <v>SilkChain</v>
      </c>
    </row>
    <row r="10498">
      <c r="A10498" s="3" t="str">
        <f>IFERROR(__xludf.DUMMYFUNCTION("""COMPUTED_VALUE"""),"silo-finance")</f>
        <v>silo-finance</v>
      </c>
      <c r="B10498" s="3" t="str">
        <f>IFERROR(__xludf.DUMMYFUNCTION("""COMPUTED_VALUE"""),"silo")</f>
        <v>silo</v>
      </c>
      <c r="C10498" s="3" t="str">
        <f>IFERROR(__xludf.DUMMYFUNCTION("""COMPUTED_VALUE"""),"Silo Finance")</f>
        <v>Silo Finance</v>
      </c>
    </row>
    <row r="10499">
      <c r="A10499" s="3" t="str">
        <f>IFERROR(__xludf.DUMMYFUNCTION("""COMPUTED_VALUE"""),"silva-token")</f>
        <v>silva-token</v>
      </c>
      <c r="B10499" s="3" t="str">
        <f>IFERROR(__xludf.DUMMYFUNCTION("""COMPUTED_VALUE"""),"silva")</f>
        <v>silva</v>
      </c>
      <c r="C10499" s="3" t="str">
        <f>IFERROR(__xludf.DUMMYFUNCTION("""COMPUTED_VALUE"""),"Silva")</f>
        <v>Silva</v>
      </c>
    </row>
    <row r="10500">
      <c r="A10500" s="3" t="str">
        <f>IFERROR(__xludf.DUMMYFUNCTION("""COMPUTED_VALUE"""),"silvercashs")</f>
        <v>silvercashs</v>
      </c>
      <c r="B10500" s="3" t="str">
        <f>IFERROR(__xludf.DUMMYFUNCTION("""COMPUTED_VALUE"""),"svc")</f>
        <v>svc</v>
      </c>
      <c r="C10500" s="3" t="str">
        <f>IFERROR(__xludf.DUMMYFUNCTION("""COMPUTED_VALUE"""),"Silvercashs")</f>
        <v>Silvercashs</v>
      </c>
    </row>
    <row r="10501">
      <c r="A10501" s="3" t="str">
        <f>IFERROR(__xludf.DUMMYFUNCTION("""COMPUTED_VALUE"""),"silvercoin")</f>
        <v>silvercoin</v>
      </c>
      <c r="B10501" s="3" t="str">
        <f>IFERROR(__xludf.DUMMYFUNCTION("""COMPUTED_VALUE"""),"sc")</f>
        <v>sc</v>
      </c>
      <c r="C10501" s="3" t="str">
        <f>IFERROR(__xludf.DUMMYFUNCTION("""COMPUTED_VALUE"""),"SilverCoin")</f>
        <v>SilverCoin</v>
      </c>
    </row>
    <row r="10502">
      <c r="A10502" s="3" t="str">
        <f>IFERROR(__xludf.DUMMYFUNCTION("""COMPUTED_VALUE"""),"silverstonks")</f>
        <v>silverstonks</v>
      </c>
      <c r="B10502" s="3" t="str">
        <f>IFERROR(__xludf.DUMMYFUNCTION("""COMPUTED_VALUE"""),"sstx")</f>
        <v>sstx</v>
      </c>
      <c r="C10502" s="3" t="str">
        <f>IFERROR(__xludf.DUMMYFUNCTION("""COMPUTED_VALUE"""),"Silver Stonks")</f>
        <v>Silver Stonks</v>
      </c>
    </row>
    <row r="10503">
      <c r="A10503" s="3" t="str">
        <f>IFERROR(__xludf.DUMMYFUNCTION("""COMPUTED_VALUE"""),"silver-tokenized-stock-defichain")</f>
        <v>silver-tokenized-stock-defichain</v>
      </c>
      <c r="B10503" s="3" t="str">
        <f>IFERROR(__xludf.DUMMYFUNCTION("""COMPUTED_VALUE"""),"dslv")</f>
        <v>dslv</v>
      </c>
      <c r="C10503" s="3" t="str">
        <f>IFERROR(__xludf.DUMMYFUNCTION("""COMPUTED_VALUE"""),"iShares Silver Trust Defichain")</f>
        <v>iShares Silver Trust Defichain</v>
      </c>
    </row>
    <row r="10504">
      <c r="A10504" s="3" t="str">
        <f>IFERROR(__xludf.DUMMYFUNCTION("""COMPUTED_VALUE"""),"simba-empire")</f>
        <v>simba-empire</v>
      </c>
      <c r="B10504" s="3" t="str">
        <f>IFERROR(__xludf.DUMMYFUNCTION("""COMPUTED_VALUE"""),"sim")</f>
        <v>sim</v>
      </c>
      <c r="C10504" s="3" t="str">
        <f>IFERROR(__xludf.DUMMYFUNCTION("""COMPUTED_VALUE"""),"Simba Empire")</f>
        <v>Simba Empire</v>
      </c>
    </row>
    <row r="10505">
      <c r="A10505" s="3" t="str">
        <f>IFERROR(__xludf.DUMMYFUNCTION("""COMPUTED_VALUE"""),"simba-inu")</f>
        <v>simba-inu</v>
      </c>
      <c r="B10505" s="3" t="str">
        <f>IFERROR(__xludf.DUMMYFUNCTION("""COMPUTED_VALUE"""),"simbainu")</f>
        <v>simbainu</v>
      </c>
      <c r="C10505" s="3" t="str">
        <f>IFERROR(__xludf.DUMMYFUNCTION("""COMPUTED_VALUE"""),"Simba Inu")</f>
        <v>Simba Inu</v>
      </c>
    </row>
    <row r="10506">
      <c r="A10506" s="3" t="str">
        <f>IFERROR(__xludf.DUMMYFUNCTION("""COMPUTED_VALUE"""),"simba-storage-token")</f>
        <v>simba-storage-token</v>
      </c>
      <c r="B10506" s="3" t="str">
        <f>IFERROR(__xludf.DUMMYFUNCTION("""COMPUTED_VALUE"""),"sst")</f>
        <v>sst</v>
      </c>
      <c r="C10506" s="3" t="str">
        <f>IFERROR(__xludf.DUMMYFUNCTION("""COMPUTED_VALUE"""),"SIMBA Storage")</f>
        <v>SIMBA Storage</v>
      </c>
    </row>
    <row r="10507">
      <c r="A10507" s="3" t="str">
        <f>IFERROR(__xludf.DUMMYFUNCTION("""COMPUTED_VALUE"""),"simba-token")</f>
        <v>simba-token</v>
      </c>
      <c r="B10507" s="3" t="str">
        <f>IFERROR(__xludf.DUMMYFUNCTION("""COMPUTED_VALUE"""),"simba")</f>
        <v>simba</v>
      </c>
      <c r="C10507" s="3" t="str">
        <f>IFERROR(__xludf.DUMMYFUNCTION("""COMPUTED_VALUE"""),"Simba")</f>
        <v>Simba</v>
      </c>
    </row>
    <row r="10508">
      <c r="A10508" s="3" t="str">
        <f>IFERROR(__xludf.DUMMYFUNCTION("""COMPUTED_VALUE"""),"simbcoin-swap")</f>
        <v>simbcoin-swap</v>
      </c>
      <c r="B10508" s="3" t="str">
        <f>IFERROR(__xludf.DUMMYFUNCTION("""COMPUTED_VALUE"""),"smbswap")</f>
        <v>smbswap</v>
      </c>
      <c r="C10508" s="3" t="str">
        <f>IFERROR(__xludf.DUMMYFUNCTION("""COMPUTED_VALUE"""),"SimbCoin Swap")</f>
        <v>SimbCoin Swap</v>
      </c>
    </row>
    <row r="10509">
      <c r="A10509" s="3" t="str">
        <f>IFERROR(__xludf.DUMMYFUNCTION("""COMPUTED_VALUE"""),"simple-masternode-coin")</f>
        <v>simple-masternode-coin</v>
      </c>
      <c r="B10509" s="3" t="str">
        <f>IFERROR(__xludf.DUMMYFUNCTION("""COMPUTED_VALUE"""),"smnc")</f>
        <v>smnc</v>
      </c>
      <c r="C10509" s="3" t="str">
        <f>IFERROR(__xludf.DUMMYFUNCTION("""COMPUTED_VALUE"""),"Simple Masternode Coin")</f>
        <v>Simple Masternode Coin</v>
      </c>
    </row>
    <row r="10510">
      <c r="A10510" s="3" t="str">
        <f>IFERROR(__xludf.DUMMYFUNCTION("""COMPUTED_VALUE"""),"simple-token")</f>
        <v>simple-token</v>
      </c>
      <c r="B10510" s="3" t="str">
        <f>IFERROR(__xludf.DUMMYFUNCTION("""COMPUTED_VALUE"""),"ost")</f>
        <v>ost</v>
      </c>
      <c r="C10510" s="3" t="str">
        <f>IFERROR(__xludf.DUMMYFUNCTION("""COMPUTED_VALUE"""),"OST")</f>
        <v>OST</v>
      </c>
    </row>
    <row r="10511">
      <c r="A10511" s="3" t="str">
        <f>IFERROR(__xludf.DUMMYFUNCTION("""COMPUTED_VALUE"""),"simpli-finance")</f>
        <v>simpli-finance</v>
      </c>
      <c r="B10511" s="3" t="str">
        <f>IFERROR(__xludf.DUMMYFUNCTION("""COMPUTED_VALUE"""),"simpli")</f>
        <v>simpli</v>
      </c>
      <c r="C10511" s="3" t="str">
        <f>IFERROR(__xludf.DUMMYFUNCTION("""COMPUTED_VALUE"""),"Simpli Finance")</f>
        <v>Simpli Finance</v>
      </c>
    </row>
    <row r="10512">
      <c r="A10512" s="3" t="str">
        <f>IFERROR(__xludf.DUMMYFUNCTION("""COMPUTED_VALUE"""),"simply")</f>
        <v>simply</v>
      </c>
      <c r="B10512" s="3" t="str">
        <f>IFERROR(__xludf.DUMMYFUNCTION("""COMPUTED_VALUE"""),"simply")</f>
        <v>simply</v>
      </c>
      <c r="C10512" s="3" t="str">
        <f>IFERROR(__xludf.DUMMYFUNCTION("""COMPUTED_VALUE"""),"Simply")</f>
        <v>Simply</v>
      </c>
    </row>
    <row r="10513">
      <c r="A10513" s="3" t="str">
        <f>IFERROR(__xludf.DUMMYFUNCTION("""COMPUTED_VALUE"""),"simp-token")</f>
        <v>simp-token</v>
      </c>
      <c r="B10513" s="3" t="str">
        <f>IFERROR(__xludf.DUMMYFUNCTION("""COMPUTED_VALUE"""),"simp")</f>
        <v>simp</v>
      </c>
      <c r="C10513" s="3" t="str">
        <f>IFERROR(__xludf.DUMMYFUNCTION("""COMPUTED_VALUE"""),"Simp")</f>
        <v>Simp</v>
      </c>
    </row>
    <row r="10514">
      <c r="A10514" s="3" t="str">
        <f>IFERROR(__xludf.DUMMYFUNCTION("""COMPUTED_VALUE"""),"simracer-coin")</f>
        <v>simracer-coin</v>
      </c>
      <c r="B10514" s="3" t="str">
        <f>IFERROR(__xludf.DUMMYFUNCTION("""COMPUTED_VALUE"""),"src")</f>
        <v>src</v>
      </c>
      <c r="C10514" s="3" t="str">
        <f>IFERROR(__xludf.DUMMYFUNCTION("""COMPUTED_VALUE"""),"Simracer Coin")</f>
        <v>Simracer Coin</v>
      </c>
    </row>
    <row r="10515">
      <c r="A10515" s="3" t="str">
        <f>IFERROR(__xludf.DUMMYFUNCTION("""COMPUTED_VALUE"""),"sinan-energy")</f>
        <v>sinan-energy</v>
      </c>
      <c r="B10515" s="3" t="str">
        <f>IFERROR(__xludf.DUMMYFUNCTION("""COMPUTED_VALUE"""),"set")</f>
        <v>set</v>
      </c>
      <c r="C10515" s="3" t="str">
        <f>IFERROR(__xludf.DUMMYFUNCTION("""COMPUTED_VALUE"""),"Sinan Energy")</f>
        <v>Sinan Energy</v>
      </c>
    </row>
    <row r="10516">
      <c r="A10516" s="3" t="str">
        <f>IFERROR(__xludf.DUMMYFUNCTION("""COMPUTED_VALUE"""),"sincere-cate")</f>
        <v>sincere-cate</v>
      </c>
      <c r="B10516" s="3" t="str">
        <f>IFERROR(__xludf.DUMMYFUNCTION("""COMPUTED_VALUE"""),"$scate")</f>
        <v>$scate</v>
      </c>
      <c r="C10516" s="3" t="str">
        <f>IFERROR(__xludf.DUMMYFUNCTION("""COMPUTED_VALUE"""),"Sincere Cate")</f>
        <v>Sincere Cate</v>
      </c>
    </row>
    <row r="10517">
      <c r="A10517" s="3" t="str">
        <f>IFERROR(__xludf.DUMMYFUNCTION("""COMPUTED_VALUE"""),"sincere-doge")</f>
        <v>sincere-doge</v>
      </c>
      <c r="B10517" s="3" t="str">
        <f>IFERROR(__xludf.DUMMYFUNCTION("""COMPUTED_VALUE"""),"sdoge")</f>
        <v>sdoge</v>
      </c>
      <c r="C10517" s="3" t="str">
        <f>IFERROR(__xludf.DUMMYFUNCTION("""COMPUTED_VALUE"""),"Sincere Doge")</f>
        <v>Sincere Doge</v>
      </c>
    </row>
    <row r="10518">
      <c r="A10518" s="3" t="str">
        <f>IFERROR(__xludf.DUMMYFUNCTION("""COMPUTED_VALUE"""),"sinceredogedao")</f>
        <v>sinceredogedao</v>
      </c>
      <c r="B10518" s="3" t="str">
        <f>IFERROR(__xludf.DUMMYFUNCTION("""COMPUTED_VALUE"""),"sdao")</f>
        <v>sdao</v>
      </c>
      <c r="C10518" s="3" t="str">
        <f>IFERROR(__xludf.DUMMYFUNCTION("""COMPUTED_VALUE"""),"SincereDogeDAO")</f>
        <v>SincereDogeDAO</v>
      </c>
    </row>
    <row r="10519">
      <c r="A10519" s="3" t="str">
        <f>IFERROR(__xludf.DUMMYFUNCTION("""COMPUTED_VALUE"""),"sin-city")</f>
        <v>sin-city</v>
      </c>
      <c r="B10519" s="3" t="str">
        <f>IFERROR(__xludf.DUMMYFUNCTION("""COMPUTED_VALUE"""),"sin")</f>
        <v>sin</v>
      </c>
      <c r="C10519" s="3" t="str">
        <f>IFERROR(__xludf.DUMMYFUNCTION("""COMPUTED_VALUE"""),"Sinverse")</f>
        <v>Sinverse</v>
      </c>
    </row>
    <row r="10520">
      <c r="A10520" s="3" t="str">
        <f>IFERROR(__xludf.DUMMYFUNCTION("""COMPUTED_VALUE"""),"sinfinite")</f>
        <v>sinfinite</v>
      </c>
      <c r="B10520" s="3" t="str">
        <f>IFERROR(__xludf.DUMMYFUNCTION("""COMPUTED_VALUE"""),"sfn")</f>
        <v>sfn</v>
      </c>
      <c r="C10520" s="3" t="str">
        <f>IFERROR(__xludf.DUMMYFUNCTION("""COMPUTED_VALUE"""),"Sinfinite")</f>
        <v>Sinfinite</v>
      </c>
    </row>
    <row r="10521">
      <c r="A10521" s="3" t="str">
        <f>IFERROR(__xludf.DUMMYFUNCTION("""COMPUTED_VALUE"""),"singh")</f>
        <v>singh</v>
      </c>
      <c r="B10521" s="3" t="str">
        <f>IFERROR(__xludf.DUMMYFUNCTION("""COMPUTED_VALUE"""),"singh")</f>
        <v>singh</v>
      </c>
      <c r="C10521" s="3" t="str">
        <f>IFERROR(__xludf.DUMMYFUNCTION("""COMPUTED_VALUE"""),"Singh")</f>
        <v>Singh</v>
      </c>
    </row>
    <row r="10522">
      <c r="A10522" s="3" t="str">
        <f>IFERROR(__xludf.DUMMYFUNCTION("""COMPUTED_VALUE"""),"single-earth")</f>
        <v>single-earth</v>
      </c>
      <c r="B10522" s="3" t="str">
        <f>IFERROR(__xludf.DUMMYFUNCTION("""COMPUTED_VALUE"""),"merit")</f>
        <v>merit</v>
      </c>
      <c r="C10522" s="3" t="str">
        <f>IFERROR(__xludf.DUMMYFUNCTION("""COMPUTED_VALUE"""),"Single Earth")</f>
        <v>Single Earth</v>
      </c>
    </row>
    <row r="10523">
      <c r="A10523" s="3" t="str">
        <f>IFERROR(__xludf.DUMMYFUNCTION("""COMPUTED_VALUE"""),"single-finance")</f>
        <v>single-finance</v>
      </c>
      <c r="B10523" s="3" t="str">
        <f>IFERROR(__xludf.DUMMYFUNCTION("""COMPUTED_VALUE"""),"single")</f>
        <v>single</v>
      </c>
      <c r="C10523" s="3" t="str">
        <f>IFERROR(__xludf.DUMMYFUNCTION("""COMPUTED_VALUE"""),"Single Finance")</f>
        <v>Single Finance</v>
      </c>
    </row>
    <row r="10524">
      <c r="A10524" s="3" t="str">
        <f>IFERROR(__xludf.DUMMYFUNCTION("""COMPUTED_VALUE"""),"singme")</f>
        <v>singme</v>
      </c>
      <c r="B10524" s="3" t="str">
        <f>IFERROR(__xludf.DUMMYFUNCTION("""COMPUTED_VALUE"""),"singme")</f>
        <v>singme</v>
      </c>
      <c r="C10524" s="3" t="str">
        <f>IFERROR(__xludf.DUMMYFUNCTION("""COMPUTED_VALUE"""),"SingMe")</f>
        <v>SingMe</v>
      </c>
    </row>
    <row r="10525">
      <c r="A10525" s="3" t="str">
        <f>IFERROR(__xludf.DUMMYFUNCTION("""COMPUTED_VALUE"""),"sing-token")</f>
        <v>sing-token</v>
      </c>
      <c r="B10525" s="3" t="str">
        <f>IFERROR(__xludf.DUMMYFUNCTION("""COMPUTED_VALUE"""),"sing")</f>
        <v>sing</v>
      </c>
      <c r="C10525" s="3" t="str">
        <f>IFERROR(__xludf.DUMMYFUNCTION("""COMPUTED_VALUE"""),"Sing")</f>
        <v>Sing</v>
      </c>
    </row>
    <row r="10526">
      <c r="A10526" s="3" t="str">
        <f>IFERROR(__xludf.DUMMYFUNCTION("""COMPUTED_VALUE"""),"sing-token-avalanche")</f>
        <v>sing-token-avalanche</v>
      </c>
      <c r="B10526" s="3" t="str">
        <f>IFERROR(__xludf.DUMMYFUNCTION("""COMPUTED_VALUE"""),"sing")</f>
        <v>sing</v>
      </c>
      <c r="C10526" s="3" t="str">
        <f>IFERROR(__xludf.DUMMYFUNCTION("""COMPUTED_VALUE"""),"Sing (Avalanche)")</f>
        <v>Sing (Avalanche)</v>
      </c>
    </row>
    <row r="10527">
      <c r="A10527" s="3" t="str">
        <f>IFERROR(__xludf.DUMMYFUNCTION("""COMPUTED_VALUE"""),"sing-token-bsc")</f>
        <v>sing-token-bsc</v>
      </c>
      <c r="B10527" s="3" t="str">
        <f>IFERROR(__xludf.DUMMYFUNCTION("""COMPUTED_VALUE"""),"sing")</f>
        <v>sing</v>
      </c>
      <c r="C10527" s="3" t="str">
        <f>IFERROR(__xludf.DUMMYFUNCTION("""COMPUTED_VALUE"""),"Sing (BSC)")</f>
        <v>Sing (BSC)</v>
      </c>
    </row>
    <row r="10528">
      <c r="A10528" s="3" t="str">
        <f>IFERROR(__xludf.DUMMYFUNCTION("""COMPUTED_VALUE"""),"sing-token-ftm")</f>
        <v>sing-token-ftm</v>
      </c>
      <c r="B10528" s="3" t="str">
        <f>IFERROR(__xludf.DUMMYFUNCTION("""COMPUTED_VALUE"""),"sing")</f>
        <v>sing</v>
      </c>
      <c r="C10528" s="3" t="str">
        <f>IFERROR(__xludf.DUMMYFUNCTION("""COMPUTED_VALUE"""),"Sing FTM")</f>
        <v>Sing FTM</v>
      </c>
    </row>
    <row r="10529">
      <c r="A10529" s="3" t="str">
        <f>IFERROR(__xludf.DUMMYFUNCTION("""COMPUTED_VALUE"""),"singulardtv")</f>
        <v>singulardtv</v>
      </c>
      <c r="B10529" s="3" t="str">
        <f>IFERROR(__xludf.DUMMYFUNCTION("""COMPUTED_VALUE"""),"sngls")</f>
        <v>sngls</v>
      </c>
      <c r="C10529" s="3" t="str">
        <f>IFERROR(__xludf.DUMMYFUNCTION("""COMPUTED_VALUE"""),"SingularDTV")</f>
        <v>SingularDTV</v>
      </c>
    </row>
    <row r="10530">
      <c r="A10530" s="3" t="str">
        <f>IFERROR(__xludf.DUMMYFUNCTION("""COMPUTED_VALUE"""),"singularity")</f>
        <v>singularity</v>
      </c>
      <c r="B10530" s="3" t="str">
        <f>IFERROR(__xludf.DUMMYFUNCTION("""COMPUTED_VALUE"""),"sgly")</f>
        <v>sgly</v>
      </c>
      <c r="C10530" s="3" t="str">
        <f>IFERROR(__xludf.DUMMYFUNCTION("""COMPUTED_VALUE"""),"Singularity")</f>
        <v>Singularity</v>
      </c>
    </row>
    <row r="10531">
      <c r="A10531" s="3" t="str">
        <f>IFERROR(__xludf.DUMMYFUNCTION("""COMPUTED_VALUE"""),"singularitydao")</f>
        <v>singularitydao</v>
      </c>
      <c r="B10531" s="3" t="str">
        <f>IFERROR(__xludf.DUMMYFUNCTION("""COMPUTED_VALUE"""),"sdao")</f>
        <v>sdao</v>
      </c>
      <c r="C10531" s="3" t="str">
        <f>IFERROR(__xludf.DUMMYFUNCTION("""COMPUTED_VALUE"""),"SingularityDAO")</f>
        <v>SingularityDAO</v>
      </c>
    </row>
    <row r="10532">
      <c r="A10532" s="3" t="str">
        <f>IFERROR(__xludf.DUMMYFUNCTION("""COMPUTED_VALUE"""),"singularitynet")</f>
        <v>singularitynet</v>
      </c>
      <c r="B10532" s="3" t="str">
        <f>IFERROR(__xludf.DUMMYFUNCTION("""COMPUTED_VALUE"""),"agix")</f>
        <v>agix</v>
      </c>
      <c r="C10532" s="3" t="str">
        <f>IFERROR(__xludf.DUMMYFUNCTION("""COMPUTED_VALUE"""),"SingularityNET")</f>
        <v>SingularityNET</v>
      </c>
    </row>
    <row r="10533">
      <c r="A10533" s="3" t="str">
        <f>IFERROR(__xludf.DUMMYFUNCTION("""COMPUTED_VALUE"""),"sint-truidense-voetbalvereniging-fan-token")</f>
        <v>sint-truidense-voetbalvereniging-fan-token</v>
      </c>
      <c r="B10533" s="3" t="str">
        <f>IFERROR(__xludf.DUMMYFUNCTION("""COMPUTED_VALUE"""),"stv")</f>
        <v>stv</v>
      </c>
      <c r="C10533" s="3" t="str">
        <f>IFERROR(__xludf.DUMMYFUNCTION("""COMPUTED_VALUE"""),"Sint-Truidense Voetbalvereniging Fan Token")</f>
        <v>Sint-Truidense Voetbalvereniging Fan Token</v>
      </c>
    </row>
    <row r="10534">
      <c r="A10534" s="3" t="str">
        <f>IFERROR(__xludf.DUMMYFUNCTION("""COMPUTED_VALUE"""),"sipher")</f>
        <v>sipher</v>
      </c>
      <c r="B10534" s="3" t="str">
        <f>IFERROR(__xludf.DUMMYFUNCTION("""COMPUTED_VALUE"""),"sipher")</f>
        <v>sipher</v>
      </c>
      <c r="C10534" s="3" t="str">
        <f>IFERROR(__xludf.DUMMYFUNCTION("""COMPUTED_VALUE"""),"Sipher")</f>
        <v>Sipher</v>
      </c>
    </row>
    <row r="10535">
      <c r="A10535" s="3" t="str">
        <f>IFERROR(__xludf.DUMMYFUNCTION("""COMPUTED_VALUE"""),"siren")</f>
        <v>siren</v>
      </c>
      <c r="B10535" s="3" t="str">
        <f>IFERROR(__xludf.DUMMYFUNCTION("""COMPUTED_VALUE"""),"si")</f>
        <v>si</v>
      </c>
      <c r="C10535" s="3" t="str">
        <f>IFERROR(__xludf.DUMMYFUNCTION("""COMPUTED_VALUE"""),"Siren")</f>
        <v>Siren</v>
      </c>
    </row>
    <row r="10536">
      <c r="A10536" s="3" t="str">
        <f>IFERROR(__xludf.DUMMYFUNCTION("""COMPUTED_VALUE"""),"sirin-labs-token")</f>
        <v>sirin-labs-token</v>
      </c>
      <c r="B10536" s="3" t="str">
        <f>IFERROR(__xludf.DUMMYFUNCTION("""COMPUTED_VALUE"""),"srn")</f>
        <v>srn</v>
      </c>
      <c r="C10536" s="3" t="str">
        <f>IFERROR(__xludf.DUMMYFUNCTION("""COMPUTED_VALUE"""),"Sirin Labs")</f>
        <v>Sirin Labs</v>
      </c>
    </row>
    <row r="10537">
      <c r="A10537" s="3" t="str">
        <f>IFERROR(__xludf.DUMMYFUNCTION("""COMPUTED_VALUE"""),"sirius-finance")</f>
        <v>sirius-finance</v>
      </c>
      <c r="B10537" s="3" t="str">
        <f>IFERROR(__xludf.DUMMYFUNCTION("""COMPUTED_VALUE"""),"srs")</f>
        <v>srs</v>
      </c>
      <c r="C10537" s="3" t="str">
        <f>IFERROR(__xludf.DUMMYFUNCTION("""COMPUTED_VALUE"""),"Sirius Finance")</f>
        <v>Sirius Finance</v>
      </c>
    </row>
    <row r="10538">
      <c r="A10538" s="3" t="str">
        <f>IFERROR(__xludf.DUMMYFUNCTION("""COMPUTED_VALUE"""),"sishi-finance")</f>
        <v>sishi-finance</v>
      </c>
      <c r="B10538" s="3" t="str">
        <f>IFERROR(__xludf.DUMMYFUNCTION("""COMPUTED_VALUE"""),"sishi")</f>
        <v>sishi</v>
      </c>
      <c r="C10538" s="3" t="str">
        <f>IFERROR(__xludf.DUMMYFUNCTION("""COMPUTED_VALUE"""),"Sishi Finance")</f>
        <v>Sishi Finance</v>
      </c>
    </row>
    <row r="10539">
      <c r="A10539" s="3" t="str">
        <f>IFERROR(__xludf.DUMMYFUNCTION("""COMPUTED_VALUE"""),"sithswap")</f>
        <v>sithswap</v>
      </c>
      <c r="B10539" s="3" t="str">
        <f>IFERROR(__xludf.DUMMYFUNCTION("""COMPUTED_VALUE"""),"sith")</f>
        <v>sith</v>
      </c>
      <c r="C10539" s="3" t="str">
        <f>IFERROR(__xludf.DUMMYFUNCTION("""COMPUTED_VALUE"""),"SithSwap")</f>
        <v>SithSwap</v>
      </c>
    </row>
    <row r="10540">
      <c r="A10540" s="3" t="str">
        <f>IFERROR(__xludf.DUMMYFUNCTION("""COMPUTED_VALUE"""),"siuuu")</f>
        <v>siuuu</v>
      </c>
      <c r="B10540" s="3" t="str">
        <f>IFERROR(__xludf.DUMMYFUNCTION("""COMPUTED_VALUE"""),"siu")</f>
        <v>siu</v>
      </c>
      <c r="C10540" s="3" t="str">
        <f>IFERROR(__xludf.DUMMYFUNCTION("""COMPUTED_VALUE"""),"Siuuu")</f>
        <v>Siuuu</v>
      </c>
    </row>
    <row r="10541">
      <c r="A10541" s="3" t="str">
        <f>IFERROR(__xludf.DUMMYFUNCTION("""COMPUTED_VALUE"""),"sivasspor")</f>
        <v>sivasspor</v>
      </c>
      <c r="B10541" s="3" t="str">
        <f>IFERROR(__xludf.DUMMYFUNCTION("""COMPUTED_VALUE"""),"siv")</f>
        <v>siv</v>
      </c>
      <c r="C10541" s="3" t="str">
        <f>IFERROR(__xludf.DUMMYFUNCTION("""COMPUTED_VALUE"""),"Sivasspor")</f>
        <v>Sivasspor</v>
      </c>
    </row>
    <row r="10542">
      <c r="A10542" s="3" t="str">
        <f>IFERROR(__xludf.DUMMYFUNCTION("""COMPUTED_VALUE"""),"six-network")</f>
        <v>six-network</v>
      </c>
      <c r="B10542" s="3" t="str">
        <f>IFERROR(__xludf.DUMMYFUNCTION("""COMPUTED_VALUE"""),"six")</f>
        <v>six</v>
      </c>
      <c r="C10542" s="3" t="str">
        <f>IFERROR(__xludf.DUMMYFUNCTION("""COMPUTED_VALUE"""),"SIX Network")</f>
        <v>SIX Network</v>
      </c>
    </row>
    <row r="10543">
      <c r="A10543" s="3" t="str">
        <f>IFERROR(__xludf.DUMMYFUNCTION("""COMPUTED_VALUE"""),"sjwcoin")</f>
        <v>sjwcoin</v>
      </c>
      <c r="B10543" s="3" t="str">
        <f>IFERROR(__xludf.DUMMYFUNCTION("""COMPUTED_VALUE"""),"sjw")</f>
        <v>sjw</v>
      </c>
      <c r="C10543" s="3" t="str">
        <f>IFERROR(__xludf.DUMMYFUNCTION("""COMPUTED_VALUE"""),"SJWCoin")</f>
        <v>SJWCoin</v>
      </c>
    </row>
    <row r="10544">
      <c r="A10544" s="3" t="str">
        <f>IFERROR(__xludf.DUMMYFUNCTION("""COMPUTED_VALUE"""),"skale")</f>
        <v>skale</v>
      </c>
      <c r="B10544" s="3" t="str">
        <f>IFERROR(__xludf.DUMMYFUNCTION("""COMPUTED_VALUE"""),"skl")</f>
        <v>skl</v>
      </c>
      <c r="C10544" s="3" t="str">
        <f>IFERROR(__xludf.DUMMYFUNCTION("""COMPUTED_VALUE"""),"SKALE")</f>
        <v>SKALE</v>
      </c>
    </row>
    <row r="10545">
      <c r="A10545" s="3" t="str">
        <f>IFERROR(__xludf.DUMMYFUNCTION("""COMPUTED_VALUE"""),"skate-metaverse-coin")</f>
        <v>skate-metaverse-coin</v>
      </c>
      <c r="B10545" s="3" t="str">
        <f>IFERROR(__xludf.DUMMYFUNCTION("""COMPUTED_VALUE"""),"smc")</f>
        <v>smc</v>
      </c>
      <c r="C10545" s="3" t="str">
        <f>IFERROR(__xludf.DUMMYFUNCTION("""COMPUTED_VALUE"""),"Skate Metaverse Coin")</f>
        <v>Skate Metaverse Coin</v>
      </c>
    </row>
    <row r="10546">
      <c r="A10546" s="3" t="str">
        <f>IFERROR(__xludf.DUMMYFUNCTION("""COMPUTED_VALUE"""),"skeb")</f>
        <v>skeb</v>
      </c>
      <c r="B10546" s="3" t="str">
        <f>IFERROR(__xludf.DUMMYFUNCTION("""COMPUTED_VALUE"""),"skeb")</f>
        <v>skeb</v>
      </c>
      <c r="C10546" s="3" t="str">
        <f>IFERROR(__xludf.DUMMYFUNCTION("""COMPUTED_VALUE"""),"Skeb")</f>
        <v>Skeb</v>
      </c>
    </row>
    <row r="10547">
      <c r="A10547" s="3" t="str">
        <f>IFERROR(__xludf.DUMMYFUNCTION("""COMPUTED_VALUE"""),"skey-network")</f>
        <v>skey-network</v>
      </c>
      <c r="B10547" s="3" t="str">
        <f>IFERROR(__xludf.DUMMYFUNCTION("""COMPUTED_VALUE"""),"skey")</f>
        <v>skey</v>
      </c>
      <c r="C10547" s="3" t="str">
        <f>IFERROR(__xludf.DUMMYFUNCTION("""COMPUTED_VALUE"""),"Skey Network")</f>
        <v>Skey Network</v>
      </c>
    </row>
    <row r="10548">
      <c r="A10548" s="3" t="str">
        <f>IFERROR(__xludf.DUMMYFUNCTION("""COMPUTED_VALUE"""),"skillchain")</f>
        <v>skillchain</v>
      </c>
      <c r="B10548" s="3" t="str">
        <f>IFERROR(__xludf.DUMMYFUNCTION("""COMPUTED_VALUE"""),"ski")</f>
        <v>ski</v>
      </c>
      <c r="C10548" s="3" t="str">
        <f>IFERROR(__xludf.DUMMYFUNCTION("""COMPUTED_VALUE"""),"Skillchain")</f>
        <v>Skillchain</v>
      </c>
    </row>
    <row r="10549">
      <c r="A10549" s="3" t="str">
        <f>IFERROR(__xludf.DUMMYFUNCTION("""COMPUTED_VALUE"""),"skinchain")</f>
        <v>skinchain</v>
      </c>
      <c r="B10549" s="3" t="str">
        <f>IFERROR(__xludf.DUMMYFUNCTION("""COMPUTED_VALUE"""),"skc")</f>
        <v>skc</v>
      </c>
      <c r="C10549" s="3" t="str">
        <f>IFERROR(__xludf.DUMMYFUNCTION("""COMPUTED_VALUE"""),"SKINCHAIN")</f>
        <v>SKINCHAIN</v>
      </c>
    </row>
    <row r="10550">
      <c r="A10550" s="3" t="str">
        <f>IFERROR(__xludf.DUMMYFUNCTION("""COMPUTED_VALUE"""),"skincoin")</f>
        <v>skincoin</v>
      </c>
      <c r="B10550" s="3" t="str">
        <f>IFERROR(__xludf.DUMMYFUNCTION("""COMPUTED_VALUE"""),"skin")</f>
        <v>skin</v>
      </c>
      <c r="C10550" s="3" t="str">
        <f>IFERROR(__xludf.DUMMYFUNCTION("""COMPUTED_VALUE"""),"SkinCoin")</f>
        <v>SkinCoin</v>
      </c>
    </row>
    <row r="10551">
      <c r="A10551" s="3" t="str">
        <f>IFERROR(__xludf.DUMMYFUNCTION("""COMPUTED_VALUE"""),"sklay")</f>
        <v>sklay</v>
      </c>
      <c r="B10551" s="3" t="str">
        <f>IFERROR(__xludf.DUMMYFUNCTION("""COMPUTED_VALUE"""),"sklay")</f>
        <v>sklay</v>
      </c>
      <c r="C10551" s="3" t="str">
        <f>IFERROR(__xludf.DUMMYFUNCTION("""COMPUTED_VALUE"""),"sKLAY")</f>
        <v>sKLAY</v>
      </c>
    </row>
    <row r="10552">
      <c r="A10552" s="3" t="str">
        <f>IFERROR(__xludf.DUMMYFUNCTION("""COMPUTED_VALUE"""),"skraps")</f>
        <v>skraps</v>
      </c>
      <c r="B10552" s="3" t="str">
        <f>IFERROR(__xludf.DUMMYFUNCTION("""COMPUTED_VALUE"""),"skrp")</f>
        <v>skrp</v>
      </c>
      <c r="C10552" s="3" t="str">
        <f>IFERROR(__xludf.DUMMYFUNCTION("""COMPUTED_VALUE"""),"Skraps")</f>
        <v>Skraps</v>
      </c>
    </row>
    <row r="10553">
      <c r="A10553" s="3" t="str">
        <f>IFERROR(__xludf.DUMMYFUNCTION("""COMPUTED_VALUE"""),"skrumble-network")</f>
        <v>skrumble-network</v>
      </c>
      <c r="B10553" s="3" t="str">
        <f>IFERROR(__xludf.DUMMYFUNCTION("""COMPUTED_VALUE"""),"skm")</f>
        <v>skm</v>
      </c>
      <c r="C10553" s="3" t="str">
        <f>IFERROR(__xludf.DUMMYFUNCTION("""COMPUTED_VALUE"""),"Skrumble Network")</f>
        <v>Skrumble Network</v>
      </c>
    </row>
    <row r="10554">
      <c r="A10554" s="3" t="str">
        <f>IFERROR(__xludf.DUMMYFUNCTION("""COMPUTED_VALUE"""),"skull")</f>
        <v>skull</v>
      </c>
      <c r="B10554" s="3" t="str">
        <f>IFERROR(__xludf.DUMMYFUNCTION("""COMPUTED_VALUE"""),"skull")</f>
        <v>skull</v>
      </c>
      <c r="C10554" s="3" t="str">
        <f>IFERROR(__xludf.DUMMYFUNCTION("""COMPUTED_VALUE"""),"Skull")</f>
        <v>Skull</v>
      </c>
    </row>
    <row r="10555">
      <c r="A10555" s="3" t="str">
        <f>IFERROR(__xludf.DUMMYFUNCTION("""COMPUTED_VALUE"""),"sky-bandit-coin")</f>
        <v>sky-bandit-coin</v>
      </c>
      <c r="B10555" s="3" t="str">
        <f>IFERROR(__xludf.DUMMYFUNCTION("""COMPUTED_VALUE"""),"sbc")</f>
        <v>sbc</v>
      </c>
      <c r="C10555" s="3" t="str">
        <f>IFERROR(__xludf.DUMMYFUNCTION("""COMPUTED_VALUE"""),"Sky Bandit Coin")</f>
        <v>Sky Bandit Coin</v>
      </c>
    </row>
    <row r="10556">
      <c r="A10556" s="3" t="str">
        <f>IFERROR(__xludf.DUMMYFUNCTION("""COMPUTED_VALUE"""),"skybridger")</f>
        <v>skybridger</v>
      </c>
      <c r="B10556" s="3" t="str">
        <f>IFERROR(__xludf.DUMMYFUNCTION("""COMPUTED_VALUE"""),"skbr")</f>
        <v>skbr</v>
      </c>
      <c r="C10556" s="3" t="str">
        <f>IFERROR(__xludf.DUMMYFUNCTION("""COMPUTED_VALUE"""),"SkyBridger")</f>
        <v>SkyBridger</v>
      </c>
    </row>
    <row r="10557">
      <c r="A10557" s="3" t="str">
        <f>IFERROR(__xludf.DUMMYFUNCTION("""COMPUTED_VALUE"""),"skycoin")</f>
        <v>skycoin</v>
      </c>
      <c r="B10557" s="3" t="str">
        <f>IFERROR(__xludf.DUMMYFUNCTION("""COMPUTED_VALUE"""),"sky")</f>
        <v>sky</v>
      </c>
      <c r="C10557" s="3" t="str">
        <f>IFERROR(__xludf.DUMMYFUNCTION("""COMPUTED_VALUE"""),"Skycoin")</f>
        <v>Skycoin</v>
      </c>
    </row>
    <row r="10558">
      <c r="A10558" s="3" t="str">
        <f>IFERROR(__xludf.DUMMYFUNCTION("""COMPUTED_VALUE"""),"skydos")</f>
        <v>skydos</v>
      </c>
      <c r="B10558" s="3" t="str">
        <f>IFERROR(__xludf.DUMMYFUNCTION("""COMPUTED_VALUE"""),"sdc")</f>
        <v>sdc</v>
      </c>
      <c r="C10558" s="3" t="str">
        <f>IFERROR(__xludf.DUMMYFUNCTION("""COMPUTED_VALUE"""),"SkyDOS")</f>
        <v>SkyDOS</v>
      </c>
    </row>
    <row r="10559">
      <c r="A10559" s="3" t="str">
        <f>IFERROR(__xludf.DUMMYFUNCTION("""COMPUTED_VALUE"""),"skylands")</f>
        <v>skylands</v>
      </c>
      <c r="B10559" s="3" t="str">
        <f>IFERROR(__xludf.DUMMYFUNCTION("""COMPUTED_VALUE"""),"skylands")</f>
        <v>skylands</v>
      </c>
      <c r="C10559" s="3" t="str">
        <f>IFERROR(__xludf.DUMMYFUNCTION("""COMPUTED_VALUE"""),"SkyLands")</f>
        <v>SkyLands</v>
      </c>
    </row>
    <row r="10560">
      <c r="A10560" s="3" t="str">
        <f>IFERROR(__xludf.DUMMYFUNCTION("""COMPUTED_VALUE"""),"skyplay")</f>
        <v>skyplay</v>
      </c>
      <c r="B10560" s="3" t="str">
        <f>IFERROR(__xludf.DUMMYFUNCTION("""COMPUTED_VALUE"""),"skp")</f>
        <v>skp</v>
      </c>
      <c r="C10560" s="3" t="str">
        <f>IFERROR(__xludf.DUMMYFUNCTION("""COMPUTED_VALUE"""),"SKYPlay")</f>
        <v>SKYPlay</v>
      </c>
    </row>
    <row r="10561">
      <c r="A10561" s="3" t="str">
        <f>IFERROR(__xludf.DUMMYFUNCTION("""COMPUTED_VALUE"""),"skyrim-finance")</f>
        <v>skyrim-finance</v>
      </c>
      <c r="B10561" s="3" t="str">
        <f>IFERROR(__xludf.DUMMYFUNCTION("""COMPUTED_VALUE"""),"skyrim")</f>
        <v>skyrim</v>
      </c>
      <c r="C10561" s="3" t="str">
        <f>IFERROR(__xludf.DUMMYFUNCTION("""COMPUTED_VALUE"""),"Skyrim Finance")</f>
        <v>Skyrim Finance</v>
      </c>
    </row>
    <row r="10562">
      <c r="A10562" s="3" t="str">
        <f>IFERROR(__xludf.DUMMYFUNCTION("""COMPUTED_VALUE"""),"sky-shiba")</f>
        <v>sky-shiba</v>
      </c>
      <c r="B10562" s="3" t="str">
        <f>IFERROR(__xludf.DUMMYFUNCTION("""COMPUTED_VALUE"""),"sky")</f>
        <v>sky</v>
      </c>
      <c r="C10562" s="3" t="str">
        <f>IFERROR(__xludf.DUMMYFUNCTION("""COMPUTED_VALUE"""),"Sky Shiba")</f>
        <v>Sky Shiba</v>
      </c>
    </row>
    <row r="10563">
      <c r="A10563" s="3" t="str">
        <f>IFERROR(__xludf.DUMMYFUNCTION("""COMPUTED_VALUE"""),"skyup")</f>
        <v>skyup</v>
      </c>
      <c r="B10563" s="3" t="str">
        <f>IFERROR(__xludf.DUMMYFUNCTION("""COMPUTED_VALUE"""),"su")</f>
        <v>su</v>
      </c>
      <c r="C10563" s="3" t="str">
        <f>IFERROR(__xludf.DUMMYFUNCTION("""COMPUTED_VALUE"""),"skyup")</f>
        <v>skyup</v>
      </c>
    </row>
    <row r="10564">
      <c r="A10564" s="3" t="str">
        <f>IFERROR(__xludf.DUMMYFUNCTION("""COMPUTED_VALUE"""),"sky-v2")</f>
        <v>sky-v2</v>
      </c>
      <c r="B10564" s="3" t="str">
        <f>IFERROR(__xludf.DUMMYFUNCTION("""COMPUTED_VALUE"""),"sky")</f>
        <v>sky</v>
      </c>
      <c r="C10564" s="3" t="str">
        <f>IFERROR(__xludf.DUMMYFUNCTION("""COMPUTED_VALUE"""),"SkyToken")</f>
        <v>SkyToken</v>
      </c>
    </row>
    <row r="10565">
      <c r="A10565" s="3" t="str">
        <f>IFERROR(__xludf.DUMMYFUNCTION("""COMPUTED_VALUE"""),"skyward-finance")</f>
        <v>skyward-finance</v>
      </c>
      <c r="B10565" s="3" t="str">
        <f>IFERROR(__xludf.DUMMYFUNCTION("""COMPUTED_VALUE"""),"skyward")</f>
        <v>skyward</v>
      </c>
      <c r="C10565" s="3" t="str">
        <f>IFERROR(__xludf.DUMMYFUNCTION("""COMPUTED_VALUE"""),"Skyward Finance")</f>
        <v>Skyward Finance</v>
      </c>
    </row>
    <row r="10566">
      <c r="A10566" s="3" t="str">
        <f>IFERROR(__xludf.DUMMYFUNCTION("""COMPUTED_VALUE"""),"slam-token")</f>
        <v>slam-token</v>
      </c>
      <c r="B10566" s="3" t="str">
        <f>IFERROR(__xludf.DUMMYFUNCTION("""COMPUTED_VALUE"""),"slam")</f>
        <v>slam</v>
      </c>
      <c r="C10566" s="3" t="str">
        <f>IFERROR(__xludf.DUMMYFUNCTION("""COMPUTED_VALUE"""),"Slam")</f>
        <v>Slam</v>
      </c>
    </row>
    <row r="10567">
      <c r="A10567" s="3" t="str">
        <f>IFERROR(__xludf.DUMMYFUNCTION("""COMPUTED_VALUE"""),"slay-to-earn")</f>
        <v>slay-to-earn</v>
      </c>
      <c r="B10567" s="3" t="str">
        <f>IFERROR(__xludf.DUMMYFUNCTION("""COMPUTED_VALUE"""),"slay2earn")</f>
        <v>slay2earn</v>
      </c>
      <c r="C10567" s="3" t="str">
        <f>IFERROR(__xludf.DUMMYFUNCTION("""COMPUTED_VALUE"""),"Slay To Earn")</f>
        <v>Slay To Earn</v>
      </c>
    </row>
    <row r="10568">
      <c r="A10568" s="3" t="str">
        <f>IFERROR(__xludf.DUMMYFUNCTION("""COMPUTED_VALUE"""),"sleep")</f>
        <v>sleep</v>
      </c>
      <c r="B10568" s="3" t="str">
        <f>IFERROR(__xludf.DUMMYFUNCTION("""COMPUTED_VALUE"""),"sleep")</f>
        <v>sleep</v>
      </c>
      <c r="C10568" s="3" t="str">
        <f>IFERROR(__xludf.DUMMYFUNCTION("""COMPUTED_VALUE"""),"SLEEP")</f>
        <v>SLEEP</v>
      </c>
    </row>
    <row r="10569">
      <c r="A10569" s="3" t="str">
        <f>IFERROR(__xludf.DUMMYFUNCTION("""COMPUTED_VALUE"""),"sleepearn-finance")</f>
        <v>sleepearn-finance</v>
      </c>
      <c r="B10569" s="3" t="str">
        <f>IFERROR(__xludf.DUMMYFUNCTION("""COMPUTED_VALUE"""),"sen")</f>
        <v>sen</v>
      </c>
      <c r="C10569" s="3" t="str">
        <f>IFERROR(__xludf.DUMMYFUNCTION("""COMPUTED_VALUE"""),"SleepEarn Finance")</f>
        <v>SleepEarn Finance</v>
      </c>
    </row>
    <row r="10570">
      <c r="A10570" s="3" t="str">
        <f>IFERROR(__xludf.DUMMYFUNCTION("""COMPUTED_VALUE"""),"sleepfuture")</f>
        <v>sleepfuture</v>
      </c>
      <c r="B10570" s="3" t="str">
        <f>IFERROR(__xludf.DUMMYFUNCTION("""COMPUTED_VALUE"""),"sleepee")</f>
        <v>sleepee</v>
      </c>
      <c r="C10570" s="3" t="str">
        <f>IFERROR(__xludf.DUMMYFUNCTION("""COMPUTED_VALUE"""),"SleepFuture")</f>
        <v>SleepFuture</v>
      </c>
    </row>
    <row r="10571">
      <c r="A10571" s="3" t="str">
        <f>IFERROR(__xludf.DUMMYFUNCTION("""COMPUTED_VALUE"""),"sleepy-shib")</f>
        <v>sleepy-shib</v>
      </c>
      <c r="B10571" s="3" t="str">
        <f>IFERROR(__xludf.DUMMYFUNCTION("""COMPUTED_VALUE"""),"sleepy-shib")</f>
        <v>sleepy-shib</v>
      </c>
      <c r="C10571" s="3" t="str">
        <f>IFERROR(__xludf.DUMMYFUNCTION("""COMPUTED_VALUE"""),"Sleepy-Shib")</f>
        <v>Sleepy-Shib</v>
      </c>
    </row>
    <row r="10572">
      <c r="A10572" s="3" t="str">
        <f>IFERROR(__xludf.DUMMYFUNCTION("""COMPUTED_VALUE"""),"sleepy-sloth")</f>
        <v>sleepy-sloth</v>
      </c>
      <c r="B10572" s="3" t="str">
        <f>IFERROR(__xludf.DUMMYFUNCTION("""COMPUTED_VALUE"""),"sleepy")</f>
        <v>sleepy</v>
      </c>
      <c r="C10572" s="3" t="str">
        <f>IFERROR(__xludf.DUMMYFUNCTION("""COMPUTED_VALUE"""),"Sleepy Sloth Finance")</f>
        <v>Sleepy Sloth Finance</v>
      </c>
    </row>
    <row r="10573">
      <c r="A10573" s="3" t="str">
        <f>IFERROR(__xludf.DUMMYFUNCTION("""COMPUTED_VALUE"""),"slimcoin")</f>
        <v>slimcoin</v>
      </c>
      <c r="B10573" s="3" t="str">
        <f>IFERROR(__xludf.DUMMYFUNCTION("""COMPUTED_VALUE"""),"slm")</f>
        <v>slm</v>
      </c>
      <c r="C10573" s="3" t="str">
        <f>IFERROR(__xludf.DUMMYFUNCTION("""COMPUTED_VALUE"""),"Slimcoin")</f>
        <v>Slimcoin</v>
      </c>
    </row>
    <row r="10574">
      <c r="A10574" s="3" t="str">
        <f>IFERROR(__xludf.DUMMYFUNCTION("""COMPUTED_VALUE"""),"slime-royale-cupid-essence")</f>
        <v>slime-royale-cupid-essence</v>
      </c>
      <c r="B10574" s="3" t="str">
        <f>IFERROR(__xludf.DUMMYFUNCTION("""COMPUTED_VALUE"""),"sce")</f>
        <v>sce</v>
      </c>
      <c r="C10574" s="3" t="str">
        <f>IFERROR(__xludf.DUMMYFUNCTION("""COMPUTED_VALUE"""),"Slime Royale Cupid Essence")</f>
        <v>Slime Royale Cupid Essence</v>
      </c>
    </row>
    <row r="10575">
      <c r="A10575" s="3" t="str">
        <f>IFERROR(__xludf.DUMMYFUNCTION("""COMPUTED_VALUE"""),"slime-royale-gold")</f>
        <v>slime-royale-gold</v>
      </c>
      <c r="B10575" s="3" t="str">
        <f>IFERROR(__xludf.DUMMYFUNCTION("""COMPUTED_VALUE"""),"srg")</f>
        <v>srg</v>
      </c>
      <c r="C10575" s="3" t="str">
        <f>IFERROR(__xludf.DUMMYFUNCTION("""COMPUTED_VALUE"""),"Slime Royale Gold")</f>
        <v>Slime Royale Gold</v>
      </c>
    </row>
    <row r="10576">
      <c r="A10576" s="3" t="str">
        <f>IFERROR(__xludf.DUMMYFUNCTION("""COMPUTED_VALUE"""),"slnv2")</f>
        <v>slnv2</v>
      </c>
      <c r="B10576" s="3" t="str">
        <f>IFERROR(__xludf.DUMMYFUNCTION("""COMPUTED_VALUE"""),"slnv2")</f>
        <v>slnv2</v>
      </c>
      <c r="C10576" s="3" t="str">
        <f>IFERROR(__xludf.DUMMYFUNCTION("""COMPUTED_VALUE"""),"SLNV2")</f>
        <v>SLNV2</v>
      </c>
    </row>
    <row r="10577">
      <c r="A10577" s="3" t="str">
        <f>IFERROR(__xludf.DUMMYFUNCTION("""COMPUTED_VALUE"""),"slothcoin")</f>
        <v>slothcoin</v>
      </c>
      <c r="B10577" s="3" t="str">
        <f>IFERROR(__xludf.DUMMYFUNCTION("""COMPUTED_VALUE"""),"sloth")</f>
        <v>sloth</v>
      </c>
      <c r="C10577" s="3" t="str">
        <f>IFERROR(__xludf.DUMMYFUNCTION("""COMPUTED_VALUE"""),"SlothCoin")</f>
        <v>SlothCoin</v>
      </c>
    </row>
    <row r="10578">
      <c r="A10578" s="3" t="str">
        <f>IFERROR(__xludf.DUMMYFUNCTION("""COMPUTED_VALUE"""),"small-doge")</f>
        <v>small-doge</v>
      </c>
      <c r="B10578" s="3" t="str">
        <f>IFERROR(__xludf.DUMMYFUNCTION("""COMPUTED_VALUE"""),"sdog")</f>
        <v>sdog</v>
      </c>
      <c r="C10578" s="3" t="str">
        <f>IFERROR(__xludf.DUMMYFUNCTION("""COMPUTED_VALUE"""),"Small Doge")</f>
        <v>Small Doge</v>
      </c>
    </row>
    <row r="10579">
      <c r="A10579" s="3" t="str">
        <f>IFERROR(__xludf.DUMMYFUNCTION("""COMPUTED_VALUE"""),"small-fish-cookie")</f>
        <v>small-fish-cookie</v>
      </c>
      <c r="B10579" s="3" t="str">
        <f>IFERROR(__xludf.DUMMYFUNCTION("""COMPUTED_VALUE"""),"sfc")</f>
        <v>sfc</v>
      </c>
      <c r="C10579" s="3" t="str">
        <f>IFERROR(__xludf.DUMMYFUNCTION("""COMPUTED_VALUE"""),"Small Fish Cookie")</f>
        <v>Small Fish Cookie</v>
      </c>
    </row>
    <row r="10580">
      <c r="A10580" s="3" t="str">
        <f>IFERROR(__xludf.DUMMYFUNCTION("""COMPUTED_VALUE"""),"smart-block-chain-city")</f>
        <v>smart-block-chain-city</v>
      </c>
      <c r="B10580" s="3" t="str">
        <f>IFERROR(__xludf.DUMMYFUNCTION("""COMPUTED_VALUE"""),"sbcc")</f>
        <v>sbcc</v>
      </c>
      <c r="C10580" s="3" t="str">
        <f>IFERROR(__xludf.DUMMYFUNCTION("""COMPUTED_VALUE"""),"Smart Block Chain City")</f>
        <v>Smart Block Chain City</v>
      </c>
    </row>
    <row r="10581">
      <c r="A10581" s="3" t="str">
        <f>IFERROR(__xludf.DUMMYFUNCTION("""COMPUTED_VALUE"""),"smart-busd")</f>
        <v>smart-busd</v>
      </c>
      <c r="B10581" s="3" t="str">
        <f>IFERROR(__xludf.DUMMYFUNCTION("""COMPUTED_VALUE"""),"sbusd")</f>
        <v>sbusd</v>
      </c>
      <c r="C10581" s="3" t="str">
        <f>IFERROR(__xludf.DUMMYFUNCTION("""COMPUTED_VALUE"""),"Smart BUSD")</f>
        <v>Smart BUSD</v>
      </c>
    </row>
    <row r="10582">
      <c r="A10582" s="3" t="str">
        <f>IFERROR(__xludf.DUMMYFUNCTION("""COMPUTED_VALUE"""),"smartcash")</f>
        <v>smartcash</v>
      </c>
      <c r="B10582" s="3" t="str">
        <f>IFERROR(__xludf.DUMMYFUNCTION("""COMPUTED_VALUE"""),"smart")</f>
        <v>smart</v>
      </c>
      <c r="C10582" s="3" t="str">
        <f>IFERROR(__xludf.DUMMYFUNCTION("""COMPUTED_VALUE"""),"SmartCash")</f>
        <v>SmartCash</v>
      </c>
    </row>
    <row r="10583">
      <c r="A10583" s="3" t="str">
        <f>IFERROR(__xludf.DUMMYFUNCTION("""COMPUTED_VALUE"""),"smartchem")</f>
        <v>smartchem</v>
      </c>
      <c r="B10583" s="3" t="str">
        <f>IFERROR(__xludf.DUMMYFUNCTION("""COMPUTED_VALUE"""),"smac")</f>
        <v>smac</v>
      </c>
      <c r="C10583" s="3" t="str">
        <f>IFERROR(__xludf.DUMMYFUNCTION("""COMPUTED_VALUE"""),"Smartchem")</f>
        <v>Smartchem</v>
      </c>
    </row>
    <row r="10584">
      <c r="A10584" s="3" t="str">
        <f>IFERROR(__xludf.DUMMYFUNCTION("""COMPUTED_VALUE"""),"smartcoin-2")</f>
        <v>smartcoin-2</v>
      </c>
      <c r="B10584" s="3" t="str">
        <f>IFERROR(__xludf.DUMMYFUNCTION("""COMPUTED_VALUE"""),"smrt")</f>
        <v>smrt</v>
      </c>
      <c r="C10584" s="3" t="str">
        <f>IFERROR(__xludf.DUMMYFUNCTION("""COMPUTED_VALUE"""),"SmartCoin")</f>
        <v>SmartCoin</v>
      </c>
    </row>
    <row r="10585">
      <c r="A10585" s="3" t="str">
        <f>IFERROR(__xludf.DUMMYFUNCTION("""COMPUTED_VALUE"""),"smart-coin-smrtr")</f>
        <v>smart-coin-smrtr</v>
      </c>
      <c r="B10585" s="3" t="str">
        <f>IFERROR(__xludf.DUMMYFUNCTION("""COMPUTED_VALUE"""),"smrtr")</f>
        <v>smrtr</v>
      </c>
      <c r="C10585" s="3" t="str">
        <f>IFERROR(__xludf.DUMMYFUNCTION("""COMPUTED_VALUE"""),"SmarterCoin")</f>
        <v>SmarterCoin</v>
      </c>
    </row>
    <row r="10586">
      <c r="A10586" s="3" t="str">
        <f>IFERROR(__xludf.DUMMYFUNCTION("""COMPUTED_VALUE"""),"smartcredit-token")</f>
        <v>smartcredit-token</v>
      </c>
      <c r="B10586" s="3" t="str">
        <f>IFERROR(__xludf.DUMMYFUNCTION("""COMPUTED_VALUE"""),"smartcredit")</f>
        <v>smartcredit</v>
      </c>
      <c r="C10586" s="3" t="str">
        <f>IFERROR(__xludf.DUMMYFUNCTION("""COMPUTED_VALUE"""),"SmartCredit")</f>
        <v>SmartCredit</v>
      </c>
    </row>
    <row r="10587">
      <c r="A10587" s="3" t="str">
        <f>IFERROR(__xludf.DUMMYFUNCTION("""COMPUTED_VALUE"""),"smart-donation-coin")</f>
        <v>smart-donation-coin</v>
      </c>
      <c r="B10587" s="3" t="str">
        <f>IFERROR(__xludf.DUMMYFUNCTION("""COMPUTED_VALUE"""),"sdc")</f>
        <v>sdc</v>
      </c>
      <c r="C10587" s="3" t="str">
        <f>IFERROR(__xludf.DUMMYFUNCTION("""COMPUTED_VALUE"""),"Smart Donation Coin")</f>
        <v>Smart Donation Coin</v>
      </c>
    </row>
    <row r="10588">
      <c r="A10588" s="3" t="str">
        <f>IFERROR(__xludf.DUMMYFUNCTION("""COMPUTED_VALUE"""),"smart-electrum")</f>
        <v>smart-electrum</v>
      </c>
      <c r="B10588" s="3" t="str">
        <f>IFERROR(__xludf.DUMMYFUNCTION("""COMPUTED_VALUE"""),"select")</f>
        <v>select</v>
      </c>
      <c r="C10588" s="3" t="str">
        <f>IFERROR(__xludf.DUMMYFUNCTION("""COMPUTED_VALUE"""),"Smart Electrum")</f>
        <v>Smart Electrum</v>
      </c>
    </row>
    <row r="10589">
      <c r="A10589" s="3" t="str">
        <f>IFERROR(__xludf.DUMMYFUNCTION("""COMPUTED_VALUE"""),"smartfi")</f>
        <v>smartfi</v>
      </c>
      <c r="B10589" s="3" t="str">
        <f>IFERROR(__xludf.DUMMYFUNCTION("""COMPUTED_VALUE"""),"smtf")</f>
        <v>smtf</v>
      </c>
      <c r="C10589" s="3" t="str">
        <f>IFERROR(__xludf.DUMMYFUNCTION("""COMPUTED_VALUE"""),"SmartFi")</f>
        <v>SmartFi</v>
      </c>
    </row>
    <row r="10590">
      <c r="A10590" s="3" t="str">
        <f>IFERROR(__xludf.DUMMYFUNCTION("""COMPUTED_VALUE"""),"smartlands")</f>
        <v>smartlands</v>
      </c>
      <c r="B10590" s="3" t="str">
        <f>IFERROR(__xludf.DUMMYFUNCTION("""COMPUTED_VALUE"""),"dnt")</f>
        <v>dnt</v>
      </c>
      <c r="C10590" s="3" t="str">
        <f>IFERROR(__xludf.DUMMYFUNCTION("""COMPUTED_VALUE"""),"Definder Network")</f>
        <v>Definder Network</v>
      </c>
    </row>
    <row r="10591">
      <c r="A10591" s="3" t="str">
        <f>IFERROR(__xludf.DUMMYFUNCTION("""COMPUTED_VALUE"""),"smartlink")</f>
        <v>smartlink</v>
      </c>
      <c r="B10591" s="3" t="str">
        <f>IFERROR(__xludf.DUMMYFUNCTION("""COMPUTED_VALUE"""),"smak")</f>
        <v>smak</v>
      </c>
      <c r="C10591" s="3" t="str">
        <f>IFERROR(__xludf.DUMMYFUNCTION("""COMPUTED_VALUE"""),"Smartlink")</f>
        <v>Smartlink</v>
      </c>
    </row>
    <row r="10592">
      <c r="A10592" s="3" t="str">
        <f>IFERROR(__xludf.DUMMYFUNCTION("""COMPUTED_VALUE"""),"smartlox")</f>
        <v>smartlox</v>
      </c>
      <c r="B10592" s="3" t="str">
        <f>IFERROR(__xludf.DUMMYFUNCTION("""COMPUTED_VALUE"""),"smartlox")</f>
        <v>smartlox</v>
      </c>
      <c r="C10592" s="3" t="str">
        <f>IFERROR(__xludf.DUMMYFUNCTION("""COMPUTED_VALUE"""),"SmartLOX")</f>
        <v>SmartLOX</v>
      </c>
    </row>
    <row r="10593">
      <c r="A10593" s="3" t="str">
        <f>IFERROR(__xludf.DUMMYFUNCTION("""COMPUTED_VALUE"""),"smart-marketing-token")</f>
        <v>smart-marketing-token</v>
      </c>
      <c r="B10593" s="3" t="str">
        <f>IFERROR(__xludf.DUMMYFUNCTION("""COMPUTED_VALUE"""),"smt")</f>
        <v>smt</v>
      </c>
      <c r="C10593" s="3" t="str">
        <f>IFERROR(__xludf.DUMMYFUNCTION("""COMPUTED_VALUE"""),"Smart Marketing")</f>
        <v>Smart Marketing</v>
      </c>
    </row>
    <row r="10594">
      <c r="A10594" s="3" t="str">
        <f>IFERROR(__xludf.DUMMYFUNCTION("""COMPUTED_VALUE"""),"smart-medical-coin")</f>
        <v>smart-medical-coin</v>
      </c>
      <c r="B10594" s="3" t="str">
        <f>IFERROR(__xludf.DUMMYFUNCTION("""COMPUTED_VALUE"""),"smc")</f>
        <v>smc</v>
      </c>
      <c r="C10594" s="3" t="str">
        <f>IFERROR(__xludf.DUMMYFUNCTION("""COMPUTED_VALUE"""),"Smart Medical Coin")</f>
        <v>Smart Medical Coin</v>
      </c>
    </row>
    <row r="10595">
      <c r="A10595" s="3" t="str">
        <f>IFERROR(__xludf.DUMMYFUNCTION("""COMPUTED_VALUE"""),"smartmesh")</f>
        <v>smartmesh</v>
      </c>
      <c r="B10595" s="3" t="str">
        <f>IFERROR(__xludf.DUMMYFUNCTION("""COMPUTED_VALUE"""),"smt")</f>
        <v>smt</v>
      </c>
      <c r="C10595" s="3" t="str">
        <f>IFERROR(__xludf.DUMMYFUNCTION("""COMPUTED_VALUE"""),"SmartMesh")</f>
        <v>SmartMesh</v>
      </c>
    </row>
    <row r="10596">
      <c r="A10596" s="3" t="str">
        <f>IFERROR(__xludf.DUMMYFUNCTION("""COMPUTED_VALUE"""),"smart-mfg")</f>
        <v>smart-mfg</v>
      </c>
      <c r="B10596" s="3" t="str">
        <f>IFERROR(__xludf.DUMMYFUNCTION("""COMPUTED_VALUE"""),"mfg")</f>
        <v>mfg</v>
      </c>
      <c r="C10596" s="3" t="str">
        <f>IFERROR(__xludf.DUMMYFUNCTION("""COMPUTED_VALUE"""),"Smart MFG")</f>
        <v>Smart MFG</v>
      </c>
    </row>
    <row r="10597">
      <c r="A10597" s="3" t="str">
        <f>IFERROR(__xludf.DUMMYFUNCTION("""COMPUTED_VALUE"""),"smart-money-coin")</f>
        <v>smart-money-coin</v>
      </c>
      <c r="B10597" s="3" t="str">
        <f>IFERROR(__xludf.DUMMYFUNCTION("""COMPUTED_VALUE"""),"smc")</f>
        <v>smc</v>
      </c>
      <c r="C10597" s="3" t="str">
        <f>IFERROR(__xludf.DUMMYFUNCTION("""COMPUTED_VALUE"""),"Smart Money Coin")</f>
        <v>Smart Money Coin</v>
      </c>
    </row>
    <row r="10598">
      <c r="A10598" s="3" t="str">
        <f>IFERROR(__xludf.DUMMYFUNCTION("""COMPUTED_VALUE"""),"smartnft")</f>
        <v>smartnft</v>
      </c>
      <c r="B10598" s="3" t="str">
        <f>IFERROR(__xludf.DUMMYFUNCTION("""COMPUTED_VALUE"""),"smartnft")</f>
        <v>smartnft</v>
      </c>
      <c r="C10598" s="3" t="str">
        <f>IFERROR(__xludf.DUMMYFUNCTION("""COMPUTED_VALUE"""),"SmartNFT")</f>
        <v>SmartNFT</v>
      </c>
    </row>
    <row r="10599">
      <c r="A10599" s="3" t="str">
        <f>IFERROR(__xludf.DUMMYFUNCTION("""COMPUTED_VALUE"""),"smartofgiving")</f>
        <v>smartofgiving</v>
      </c>
      <c r="B10599" s="3" t="str">
        <f>IFERROR(__xludf.DUMMYFUNCTION("""COMPUTED_VALUE"""),"aog")</f>
        <v>aog</v>
      </c>
      <c r="C10599" s="3" t="str">
        <f>IFERROR(__xludf.DUMMYFUNCTION("""COMPUTED_VALUE"""),"smARTOFGIVING")</f>
        <v>smARTOFGIVING</v>
      </c>
    </row>
    <row r="10600">
      <c r="A10600" s="3" t="str">
        <f>IFERROR(__xludf.DUMMYFUNCTION("""COMPUTED_VALUE"""),"smartpad-2")</f>
        <v>smartpad-2</v>
      </c>
      <c r="B10600" s="3" t="str">
        <f>IFERROR(__xludf.DUMMYFUNCTION("""COMPUTED_VALUE"""),"pad")</f>
        <v>pad</v>
      </c>
      <c r="C10600" s="3" t="str">
        <f>IFERROR(__xludf.DUMMYFUNCTION("""COMPUTED_VALUE"""),"SmartPad")</f>
        <v>SmartPad</v>
      </c>
    </row>
    <row r="10601">
      <c r="A10601" s="3" t="str">
        <f>IFERROR(__xludf.DUMMYFUNCTION("""COMPUTED_VALUE"""),"smart-palmare")</f>
        <v>smart-palmare</v>
      </c>
      <c r="B10601" s="3" t="str">
        <f>IFERROR(__xludf.DUMMYFUNCTION("""COMPUTED_VALUE"""),"spal")</f>
        <v>spal</v>
      </c>
      <c r="C10601" s="3" t="str">
        <f>IFERROR(__xludf.DUMMYFUNCTION("""COMPUTED_VALUE"""),"Smart Palmare")</f>
        <v>Smart Palmare</v>
      </c>
    </row>
    <row r="10602">
      <c r="A10602" s="3" t="str">
        <f>IFERROR(__xludf.DUMMYFUNCTION("""COMPUTED_VALUE"""),"smart-reward-token")</f>
        <v>smart-reward-token</v>
      </c>
      <c r="B10602" s="3" t="str">
        <f>IFERROR(__xludf.DUMMYFUNCTION("""COMPUTED_VALUE"""),"srt")</f>
        <v>srt</v>
      </c>
      <c r="C10602" s="3" t="str">
        <f>IFERROR(__xludf.DUMMYFUNCTION("""COMPUTED_VALUE"""),"Smart Reward Token")</f>
        <v>Smart Reward Token</v>
      </c>
    </row>
    <row r="10603">
      <c r="A10603" s="3" t="str">
        <f>IFERROR(__xludf.DUMMYFUNCTION("""COMPUTED_VALUE"""),"smartshare")</f>
        <v>smartshare</v>
      </c>
      <c r="B10603" s="3" t="str">
        <f>IFERROR(__xludf.DUMMYFUNCTION("""COMPUTED_VALUE"""),"ssp")</f>
        <v>ssp</v>
      </c>
      <c r="C10603" s="3" t="str">
        <f>IFERROR(__xludf.DUMMYFUNCTION("""COMPUTED_VALUE"""),"Smartshare")</f>
        <v>Smartshare</v>
      </c>
    </row>
    <row r="10604">
      <c r="A10604" s="3" t="str">
        <f>IFERROR(__xludf.DUMMYFUNCTION("""COMPUTED_VALUE"""),"smart-shiba")</f>
        <v>smart-shiba</v>
      </c>
      <c r="B10604" s="3" t="str">
        <f>IFERROR(__xludf.DUMMYFUNCTION("""COMPUTED_VALUE"""),"smartshib")</f>
        <v>smartshib</v>
      </c>
      <c r="C10604" s="3" t="str">
        <f>IFERROR(__xludf.DUMMYFUNCTION("""COMPUTED_VALUE"""),"Smart Shiba")</f>
        <v>Smart Shiba</v>
      </c>
    </row>
    <row r="10605">
      <c r="A10605" s="3" t="str">
        <f>IFERROR(__xludf.DUMMYFUNCTION("""COMPUTED_VALUE"""),"smart-token")</f>
        <v>smart-token</v>
      </c>
      <c r="B10605" s="3" t="str">
        <f>IFERROR(__xludf.DUMMYFUNCTION("""COMPUTED_VALUE"""),"smart")</f>
        <v>smart</v>
      </c>
      <c r="C10605" s="3" t="str">
        <f>IFERROR(__xludf.DUMMYFUNCTION("""COMPUTED_VALUE"""),"Smart")</f>
        <v>Smart</v>
      </c>
    </row>
    <row r="10606">
      <c r="A10606" s="3" t="str">
        <f>IFERROR(__xludf.DUMMYFUNCTION("""COMPUTED_VALUE"""),"smart-valor")</f>
        <v>smart-valor</v>
      </c>
      <c r="B10606" s="3" t="str">
        <f>IFERROR(__xludf.DUMMYFUNCTION("""COMPUTED_VALUE"""),"valor")</f>
        <v>valor</v>
      </c>
      <c r="C10606" s="3" t="str">
        <f>IFERROR(__xludf.DUMMYFUNCTION("""COMPUTED_VALUE"""),"Smart Valor")</f>
        <v>Smart Valor</v>
      </c>
    </row>
    <row r="10607">
      <c r="A10607" s="3" t="str">
        <f>IFERROR(__xludf.DUMMYFUNCTION("""COMPUTED_VALUE"""),"smart-wallet-token")</f>
        <v>smart-wallet-token</v>
      </c>
      <c r="B10607" s="3" t="str">
        <f>IFERROR(__xludf.DUMMYFUNCTION("""COMPUTED_VALUE"""),"swt")</f>
        <v>swt</v>
      </c>
      <c r="C10607" s="3" t="str">
        <f>IFERROR(__xludf.DUMMYFUNCTION("""COMPUTED_VALUE"""),"Smart Wallet")</f>
        <v>Smart Wallet</v>
      </c>
    </row>
    <row r="10608">
      <c r="A10608" s="3" t="str">
        <f>IFERROR(__xludf.DUMMYFUNCTION("""COMPUTED_VALUE"""),"smartway-finance")</f>
        <v>smartway-finance</v>
      </c>
      <c r="B10608" s="3" t="str">
        <f>IFERROR(__xludf.DUMMYFUNCTION("""COMPUTED_VALUE"""),"smart")</f>
        <v>smart</v>
      </c>
      <c r="C10608" s="3" t="str">
        <f>IFERROR(__xludf.DUMMYFUNCTION("""COMPUTED_VALUE"""),"Smartway.Finance")</f>
        <v>Smartway.Finance</v>
      </c>
    </row>
    <row r="10609">
      <c r="A10609" s="3" t="str">
        <f>IFERROR(__xludf.DUMMYFUNCTION("""COMPUTED_VALUE"""),"smart-world-union")</f>
        <v>smart-world-union</v>
      </c>
      <c r="B10609" s="3" t="str">
        <f>IFERROR(__xludf.DUMMYFUNCTION("""COMPUTED_VALUE"""),"swu")</f>
        <v>swu</v>
      </c>
      <c r="C10609" s="3" t="str">
        <f>IFERROR(__xludf.DUMMYFUNCTION("""COMPUTED_VALUE"""),"Smart World Union")</f>
        <v>Smart World Union</v>
      </c>
    </row>
    <row r="10610">
      <c r="A10610" s="3" t="str">
        <f>IFERROR(__xludf.DUMMYFUNCTION("""COMPUTED_VALUE"""),"smartx")</f>
        <v>smartx</v>
      </c>
      <c r="B10610" s="3" t="str">
        <f>IFERROR(__xludf.DUMMYFUNCTION("""COMPUTED_VALUE"""),"sat")</f>
        <v>sat</v>
      </c>
      <c r="C10610" s="3" t="str">
        <f>IFERROR(__xludf.DUMMYFUNCTION("""COMPUTED_VALUE"""),"SmartX")</f>
        <v>SmartX</v>
      </c>
    </row>
    <row r="10611">
      <c r="A10611" s="3" t="str">
        <f>IFERROR(__xludf.DUMMYFUNCTION("""COMPUTED_VALUE"""),"smarty-pay")</f>
        <v>smarty-pay</v>
      </c>
      <c r="B10611" s="3" t="str">
        <f>IFERROR(__xludf.DUMMYFUNCTION("""COMPUTED_VALUE"""),"spy")</f>
        <v>spy</v>
      </c>
      <c r="C10611" s="3" t="str">
        <f>IFERROR(__xludf.DUMMYFUNCTION("""COMPUTED_VALUE"""),"Smarty Pay")</f>
        <v>Smarty Pay</v>
      </c>
    </row>
    <row r="10612">
      <c r="A10612" s="3" t="str">
        <f>IFERROR(__xludf.DUMMYFUNCTION("""COMPUTED_VALUE"""),"smash-cash")</f>
        <v>smash-cash</v>
      </c>
      <c r="B10612" s="3" t="str">
        <f>IFERROR(__xludf.DUMMYFUNCTION("""COMPUTED_VALUE"""),"smash")</f>
        <v>smash</v>
      </c>
      <c r="C10612" s="3" t="str">
        <f>IFERROR(__xludf.DUMMYFUNCTION("""COMPUTED_VALUE"""),"Smash Cash")</f>
        <v>Smash Cash</v>
      </c>
    </row>
    <row r="10613">
      <c r="A10613" s="3" t="str">
        <f>IFERROR(__xludf.DUMMYFUNCTION("""COMPUTED_VALUE"""),"smaugs-nft")</f>
        <v>smaugs-nft</v>
      </c>
      <c r="B10613" s="3" t="str">
        <f>IFERROR(__xludf.DUMMYFUNCTION("""COMPUTED_VALUE"""),"smg")</f>
        <v>smg</v>
      </c>
      <c r="C10613" s="3" t="str">
        <f>IFERROR(__xludf.DUMMYFUNCTION("""COMPUTED_VALUE"""),"Smaugs NFT")</f>
        <v>Smaugs NFT</v>
      </c>
    </row>
    <row r="10614">
      <c r="A10614" s="3" t="str">
        <f>IFERROR(__xludf.DUMMYFUNCTION("""COMPUTED_VALUE"""),"smd-coin")</f>
        <v>smd-coin</v>
      </c>
      <c r="B10614" s="3" t="str">
        <f>IFERROR(__xludf.DUMMYFUNCTION("""COMPUTED_VALUE"""),"smd")</f>
        <v>smd</v>
      </c>
      <c r="C10614" s="3" t="str">
        <f>IFERROR(__xludf.DUMMYFUNCTION("""COMPUTED_VALUE"""),"SMD Coin")</f>
        <v>SMD Coin</v>
      </c>
    </row>
    <row r="10615">
      <c r="A10615" s="3" t="str">
        <f>IFERROR(__xludf.DUMMYFUNCTION("""COMPUTED_VALUE"""),"smegmars")</f>
        <v>smegmars</v>
      </c>
      <c r="B10615" s="3" t="str">
        <f>IFERROR(__xludf.DUMMYFUNCTION("""COMPUTED_VALUE"""),"smgm")</f>
        <v>smgm</v>
      </c>
      <c r="C10615" s="3" t="str">
        <f>IFERROR(__xludf.DUMMYFUNCTION("""COMPUTED_VALUE"""),"SMEGMARS")</f>
        <v>SMEGMARS</v>
      </c>
    </row>
    <row r="10616">
      <c r="A10616" s="3" t="str">
        <f>IFERROR(__xludf.DUMMYFUNCTION("""COMPUTED_VALUE"""),"smelt")</f>
        <v>smelt</v>
      </c>
      <c r="B10616" s="3" t="str">
        <f>IFERROR(__xludf.DUMMYFUNCTION("""COMPUTED_VALUE"""),"smelt")</f>
        <v>smelt</v>
      </c>
      <c r="C10616" s="3" t="str">
        <f>IFERROR(__xludf.DUMMYFUNCTION("""COMPUTED_VALUE"""),"Smelt")</f>
        <v>Smelt</v>
      </c>
    </row>
    <row r="10617">
      <c r="A10617" s="3" t="str">
        <f>IFERROR(__xludf.DUMMYFUNCTION("""COMPUTED_VALUE"""),"smg")</f>
        <v>smg</v>
      </c>
      <c r="B10617" s="3" t="str">
        <f>IFERROR(__xludf.DUMMYFUNCTION("""COMPUTED_VALUE"""),"smg")</f>
        <v>smg</v>
      </c>
      <c r="C10617" s="3" t="str">
        <f>IFERROR(__xludf.DUMMYFUNCTION("""COMPUTED_VALUE"""),"SMG")</f>
        <v>SMG</v>
      </c>
    </row>
    <row r="10618">
      <c r="A10618" s="3" t="str">
        <f>IFERROR(__xludf.DUMMYFUNCTION("""COMPUTED_VALUE"""),"smile-coin")</f>
        <v>smile-coin</v>
      </c>
      <c r="B10618" s="3" t="str">
        <f>IFERROR(__xludf.DUMMYFUNCTION("""COMPUTED_VALUE"""),"smile")</f>
        <v>smile</v>
      </c>
      <c r="C10618" s="3" t="str">
        <f>IFERROR(__xludf.DUMMYFUNCTION("""COMPUTED_VALUE"""),"Smile Coin")</f>
        <v>Smile Coin</v>
      </c>
    </row>
    <row r="10619">
      <c r="A10619" s="3" t="str">
        <f>IFERROR(__xludf.DUMMYFUNCTION("""COMPUTED_VALUE"""),"smileycoin")</f>
        <v>smileycoin</v>
      </c>
      <c r="B10619" s="3" t="str">
        <f>IFERROR(__xludf.DUMMYFUNCTION("""COMPUTED_VALUE"""),"smly")</f>
        <v>smly</v>
      </c>
      <c r="C10619" s="3" t="str">
        <f>IFERROR(__xludf.DUMMYFUNCTION("""COMPUTED_VALUE"""),"Smileycoin")</f>
        <v>Smileycoin</v>
      </c>
    </row>
    <row r="10620">
      <c r="A10620" s="3" t="str">
        <f>IFERROR(__xludf.DUMMYFUNCTION("""COMPUTED_VALUE"""),"smolting-inu")</f>
        <v>smolting-inu</v>
      </c>
      <c r="B10620" s="3" t="str">
        <f>IFERROR(__xludf.DUMMYFUNCTION("""COMPUTED_VALUE"""),"smol")</f>
        <v>smol</v>
      </c>
      <c r="C10620" s="3" t="str">
        <f>IFERROR(__xludf.DUMMYFUNCTION("""COMPUTED_VALUE"""),"Smolting Inu")</f>
        <v>Smolting Inu</v>
      </c>
    </row>
    <row r="10621">
      <c r="A10621" s="3" t="str">
        <f>IFERROR(__xludf.DUMMYFUNCTION("""COMPUTED_VALUE"""),"smooth-love-potion")</f>
        <v>smooth-love-potion</v>
      </c>
      <c r="B10621" s="3" t="str">
        <f>IFERROR(__xludf.DUMMYFUNCTION("""COMPUTED_VALUE"""),"slp")</f>
        <v>slp</v>
      </c>
      <c r="C10621" s="3" t="str">
        <f>IFERROR(__xludf.DUMMYFUNCTION("""COMPUTED_VALUE"""),"Smooth Love Potion")</f>
        <v>Smooth Love Potion</v>
      </c>
    </row>
    <row r="10622">
      <c r="A10622" s="3" t="str">
        <f>IFERROR(__xludf.DUMMYFUNCTION("""COMPUTED_VALUE"""),"smoothy")</f>
        <v>smoothy</v>
      </c>
      <c r="B10622" s="3" t="str">
        <f>IFERROR(__xludf.DUMMYFUNCTION("""COMPUTED_VALUE"""),"smty")</f>
        <v>smty</v>
      </c>
      <c r="C10622" s="3" t="str">
        <f>IFERROR(__xludf.DUMMYFUNCTION("""COMPUTED_VALUE"""),"Smoothy")</f>
        <v>Smoothy</v>
      </c>
    </row>
    <row r="10623">
      <c r="A10623" s="3" t="str">
        <f>IFERROR(__xludf.DUMMYFUNCTION("""COMPUTED_VALUE"""),"smpcoin")</f>
        <v>smpcoin</v>
      </c>
      <c r="B10623" s="3" t="str">
        <f>IFERROR(__xludf.DUMMYFUNCTION("""COMPUTED_VALUE"""),"smpc")</f>
        <v>smpc</v>
      </c>
      <c r="C10623" s="3" t="str">
        <f>IFERROR(__xludf.DUMMYFUNCTION("""COMPUTED_VALUE"""),"SMPCOIN")</f>
        <v>SMPCOIN</v>
      </c>
    </row>
    <row r="10624">
      <c r="A10624" s="3" t="str">
        <f>IFERROR(__xludf.DUMMYFUNCTION("""COMPUTED_VALUE"""),"smscodes")</f>
        <v>smscodes</v>
      </c>
      <c r="B10624" s="3" t="str">
        <f>IFERROR(__xludf.DUMMYFUNCTION("""COMPUTED_VALUE"""),"smsct")</f>
        <v>smsct</v>
      </c>
      <c r="C10624" s="3" t="str">
        <f>IFERROR(__xludf.DUMMYFUNCTION("""COMPUTED_VALUE"""),"SMSCodes")</f>
        <v>SMSCodes</v>
      </c>
    </row>
    <row r="10625">
      <c r="A10625" s="3" t="str">
        <f>IFERROR(__xludf.DUMMYFUNCTION("""COMPUTED_VALUE"""),"smurfsinu")</f>
        <v>smurfsinu</v>
      </c>
      <c r="B10625" s="3" t="str">
        <f>IFERROR(__xludf.DUMMYFUNCTION("""COMPUTED_VALUE"""),"smurf")</f>
        <v>smurf</v>
      </c>
      <c r="C10625" s="3" t="str">
        <f>IFERROR(__xludf.DUMMYFUNCTION("""COMPUTED_VALUE"""),"SmurfsINU")</f>
        <v>SmurfsINU</v>
      </c>
    </row>
    <row r="10626">
      <c r="A10626" s="3" t="str">
        <f>IFERROR(__xludf.DUMMYFUNCTION("""COMPUTED_VALUE"""),"snail-trail")</f>
        <v>snail-trail</v>
      </c>
      <c r="B10626" s="3" t="str">
        <f>IFERROR(__xludf.DUMMYFUNCTION("""COMPUTED_VALUE"""),"slime")</f>
        <v>slime</v>
      </c>
      <c r="C10626" s="3" t="str">
        <f>IFERROR(__xludf.DUMMYFUNCTION("""COMPUTED_VALUE"""),"Snail Trail")</f>
        <v>Snail Trail</v>
      </c>
    </row>
    <row r="10627">
      <c r="A10627" s="3" t="str">
        <f>IFERROR(__xludf.DUMMYFUNCTION("""COMPUTED_VALUE"""),"snake-city")</f>
        <v>snake-city</v>
      </c>
      <c r="B10627" s="3" t="str">
        <f>IFERROR(__xludf.DUMMYFUNCTION("""COMPUTED_VALUE"""),"snct")</f>
        <v>snct</v>
      </c>
      <c r="C10627" s="3" t="str">
        <f>IFERROR(__xludf.DUMMYFUNCTION("""COMPUTED_VALUE"""),"Snake City")</f>
        <v>Snake City</v>
      </c>
    </row>
    <row r="10628">
      <c r="A10628" s="3" t="str">
        <f>IFERROR(__xludf.DUMMYFUNCTION("""COMPUTED_VALUE"""),"snake-token")</f>
        <v>snake-token</v>
      </c>
      <c r="B10628" s="3" t="str">
        <f>IFERROR(__xludf.DUMMYFUNCTION("""COMPUTED_VALUE"""),"snk")</f>
        <v>snk</v>
      </c>
      <c r="C10628" s="3" t="str">
        <f>IFERROR(__xludf.DUMMYFUNCTION("""COMPUTED_VALUE"""),"CryptoSnake")</f>
        <v>CryptoSnake</v>
      </c>
    </row>
    <row r="10629">
      <c r="A10629" s="3" t="str">
        <f>IFERROR(__xludf.DUMMYFUNCTION("""COMPUTED_VALUE"""),"snapex")</f>
        <v>snapex</v>
      </c>
      <c r="B10629" s="3" t="str">
        <f>IFERROR(__xludf.DUMMYFUNCTION("""COMPUTED_VALUE"""),"snap")</f>
        <v>snap</v>
      </c>
      <c r="C10629" s="3" t="str">
        <f>IFERROR(__xludf.DUMMYFUNCTION("""COMPUTED_VALUE"""),"SnapEx")</f>
        <v>SnapEx</v>
      </c>
    </row>
    <row r="10630">
      <c r="A10630" s="3" t="str">
        <f>IFERROR(__xludf.DUMMYFUNCTION("""COMPUTED_VALUE"""),"snapy")</f>
        <v>snapy</v>
      </c>
      <c r="B10630" s="3" t="str">
        <f>IFERROR(__xludf.DUMMYFUNCTION("""COMPUTED_VALUE"""),"spy")</f>
        <v>spy</v>
      </c>
      <c r="C10630" s="3" t="str">
        <f>IFERROR(__xludf.DUMMYFUNCTION("""COMPUTED_VALUE"""),"Snapy")</f>
        <v>Snapy</v>
      </c>
    </row>
    <row r="10631">
      <c r="A10631" s="3" t="str">
        <f>IFERROR(__xludf.DUMMYFUNCTION("""COMPUTED_VALUE"""),"snetwork")</f>
        <v>snetwork</v>
      </c>
      <c r="B10631" s="3" t="str">
        <f>IFERROR(__xludf.DUMMYFUNCTION("""COMPUTED_VALUE"""),"snet")</f>
        <v>snet</v>
      </c>
      <c r="C10631" s="3" t="str">
        <f>IFERROR(__xludf.DUMMYFUNCTION("""COMPUTED_VALUE"""),"Snetwork")</f>
        <v>Snetwork</v>
      </c>
    </row>
    <row r="10632">
      <c r="A10632" s="3" t="str">
        <f>IFERROR(__xludf.DUMMYFUNCTION("""COMPUTED_VALUE"""),"snfts-seedify-nft-space")</f>
        <v>snfts-seedify-nft-space</v>
      </c>
      <c r="B10632" s="3" t="str">
        <f>IFERROR(__xludf.DUMMYFUNCTION("""COMPUTED_VALUE"""),"snfts")</f>
        <v>snfts</v>
      </c>
      <c r="C10632" s="3" t="str">
        <f>IFERROR(__xludf.DUMMYFUNCTION("""COMPUTED_VALUE"""),"Seedify NFT Space")</f>
        <v>Seedify NFT Space</v>
      </c>
    </row>
    <row r="10633">
      <c r="A10633" s="3" t="str">
        <f>IFERROR(__xludf.DUMMYFUNCTION("""COMPUTED_VALUE"""),"snglsdao-governance-token")</f>
        <v>snglsdao-governance-token</v>
      </c>
      <c r="B10633" s="3" t="str">
        <f>IFERROR(__xludf.DUMMYFUNCTION("""COMPUTED_VALUE"""),"sgt")</f>
        <v>sgt</v>
      </c>
      <c r="C10633" s="3" t="str">
        <f>IFERROR(__xludf.DUMMYFUNCTION("""COMPUTED_VALUE"""),"snglsDAO Governance")</f>
        <v>snglsDAO Governance</v>
      </c>
    </row>
    <row r="10634">
      <c r="A10634" s="3" t="str">
        <f>IFERROR(__xludf.DUMMYFUNCTION("""COMPUTED_VALUE"""),"snkrz")</f>
        <v>snkrz</v>
      </c>
      <c r="B10634" s="3" t="str">
        <f>IFERROR(__xludf.DUMMYFUNCTION("""COMPUTED_VALUE"""),"skz")</f>
        <v>skz</v>
      </c>
      <c r="C10634" s="3" t="str">
        <f>IFERROR(__xludf.DUMMYFUNCTION("""COMPUTED_VALUE"""),"SNKRZ")</f>
        <v>SNKRZ</v>
      </c>
    </row>
    <row r="10635">
      <c r="A10635" s="3" t="str">
        <f>IFERROR(__xludf.DUMMYFUNCTION("""COMPUTED_VALUE"""),"snook")</f>
        <v>snook</v>
      </c>
      <c r="B10635" s="3" t="str">
        <f>IFERROR(__xludf.DUMMYFUNCTION("""COMPUTED_VALUE"""),"snk")</f>
        <v>snk</v>
      </c>
      <c r="C10635" s="3" t="str">
        <f>IFERROR(__xludf.DUMMYFUNCTION("""COMPUTED_VALUE"""),"Snook")</f>
        <v>Snook</v>
      </c>
    </row>
    <row r="10636">
      <c r="A10636" s="3" t="str">
        <f>IFERROR(__xludf.DUMMYFUNCTION("""COMPUTED_VALUE"""),"snoshares")</f>
        <v>snoshares</v>
      </c>
      <c r="B10636" s="3" t="str">
        <f>IFERROR(__xludf.DUMMYFUNCTION("""COMPUTED_VALUE"""),"snoshare")</f>
        <v>snoshare</v>
      </c>
      <c r="C10636" s="3" t="str">
        <f>IFERROR(__xludf.DUMMYFUNCTION("""COMPUTED_VALUE"""),"Snoshares")</f>
        <v>Snoshares</v>
      </c>
    </row>
    <row r="10637">
      <c r="A10637" s="3" t="str">
        <f>IFERROR(__xludf.DUMMYFUNCTION("""COMPUTED_VALUE"""),"snovio")</f>
        <v>snovio</v>
      </c>
      <c r="B10637" s="3" t="str">
        <f>IFERROR(__xludf.DUMMYFUNCTION("""COMPUTED_VALUE"""),"snov")</f>
        <v>snov</v>
      </c>
      <c r="C10637" s="3" t="str">
        <f>IFERROR(__xludf.DUMMYFUNCTION("""COMPUTED_VALUE"""),"Snovian.Space")</f>
        <v>Snovian.Space</v>
      </c>
    </row>
    <row r="10638">
      <c r="A10638" s="3" t="str">
        <f>IFERROR(__xludf.DUMMYFUNCTION("""COMPUTED_VALUE"""),"snow")</f>
        <v>snow</v>
      </c>
      <c r="B10638" s="3" t="str">
        <f>IFERROR(__xludf.DUMMYFUNCTION("""COMPUTED_VALUE"""),"icz")</f>
        <v>icz</v>
      </c>
      <c r="C10638" s="3" t="str">
        <f>IFERROR(__xludf.DUMMYFUNCTION("""COMPUTED_VALUE"""),"Snow")</f>
        <v>Snow</v>
      </c>
    </row>
    <row r="10639">
      <c r="A10639" s="3" t="str">
        <f>IFERROR(__xludf.DUMMYFUNCTION("""COMPUTED_VALUE"""),"snowballtoken")</f>
        <v>snowballtoken</v>
      </c>
      <c r="B10639" s="3" t="str">
        <f>IFERROR(__xludf.DUMMYFUNCTION("""COMPUTED_VALUE"""),"snowball")</f>
        <v>snowball</v>
      </c>
      <c r="C10639" s="3" t="str">
        <f>IFERROR(__xludf.DUMMYFUNCTION("""COMPUTED_VALUE"""),"Snowball Token")</f>
        <v>Snowball Token</v>
      </c>
    </row>
    <row r="10640">
      <c r="A10640" s="3" t="str">
        <f>IFERROR(__xludf.DUMMYFUNCTION("""COMPUTED_VALUE"""),"snowball-token")</f>
        <v>snowball-token</v>
      </c>
      <c r="B10640" s="3" t="str">
        <f>IFERROR(__xludf.DUMMYFUNCTION("""COMPUTED_VALUE"""),"snob")</f>
        <v>snob</v>
      </c>
      <c r="C10640" s="3" t="str">
        <f>IFERROR(__xludf.DUMMYFUNCTION("""COMPUTED_VALUE"""),"Snowball")</f>
        <v>Snowball</v>
      </c>
    </row>
    <row r="10641">
      <c r="A10641" s="3" t="str">
        <f>IFERROR(__xludf.DUMMYFUNCTION("""COMPUTED_VALUE"""),"snowbank")</f>
        <v>snowbank</v>
      </c>
      <c r="B10641" s="3" t="str">
        <f>IFERROR(__xludf.DUMMYFUNCTION("""COMPUTED_VALUE"""),"sb")</f>
        <v>sb</v>
      </c>
      <c r="C10641" s="3" t="str">
        <f>IFERROR(__xludf.DUMMYFUNCTION("""COMPUTED_VALUE"""),"Snowbank")</f>
        <v>Snowbank</v>
      </c>
    </row>
    <row r="10642">
      <c r="A10642" s="3" t="str">
        <f>IFERROR(__xludf.DUMMYFUNCTION("""COMPUTED_VALUE"""),"snowblossom")</f>
        <v>snowblossom</v>
      </c>
      <c r="B10642" s="3" t="str">
        <f>IFERROR(__xludf.DUMMYFUNCTION("""COMPUTED_VALUE"""),"snow")</f>
        <v>snow</v>
      </c>
      <c r="C10642" s="3" t="str">
        <f>IFERROR(__xludf.DUMMYFUNCTION("""COMPUTED_VALUE"""),"SnowBlossom")</f>
        <v>SnowBlossom</v>
      </c>
    </row>
    <row r="10643">
      <c r="A10643" s="3" t="str">
        <f>IFERROR(__xludf.DUMMYFUNCTION("""COMPUTED_VALUE"""),"snowcrash-token")</f>
        <v>snowcrash-token</v>
      </c>
      <c r="B10643" s="3" t="str">
        <f>IFERROR(__xludf.DUMMYFUNCTION("""COMPUTED_VALUE"""),"nora")</f>
        <v>nora</v>
      </c>
      <c r="C10643" s="3" t="str">
        <f>IFERROR(__xludf.DUMMYFUNCTION("""COMPUTED_VALUE"""),"SnowCrash")</f>
        <v>SnowCrash</v>
      </c>
    </row>
    <row r="10644">
      <c r="A10644" s="3" t="str">
        <f>IFERROR(__xludf.DUMMYFUNCTION("""COMPUTED_VALUE"""),"snowdog")</f>
        <v>snowdog</v>
      </c>
      <c r="B10644" s="3" t="str">
        <f>IFERROR(__xludf.DUMMYFUNCTION("""COMPUTED_VALUE"""),"sdog")</f>
        <v>sdog</v>
      </c>
      <c r="C10644" s="3" t="str">
        <f>IFERROR(__xludf.DUMMYFUNCTION("""COMPUTED_VALUE"""),"Snowdog")</f>
        <v>Snowdog</v>
      </c>
    </row>
    <row r="10645">
      <c r="A10645" s="3" t="str">
        <f>IFERROR(__xludf.DUMMYFUNCTION("""COMPUTED_VALUE"""),"snowswap")</f>
        <v>snowswap</v>
      </c>
      <c r="B10645" s="3" t="str">
        <f>IFERROR(__xludf.DUMMYFUNCTION("""COMPUTED_VALUE"""),"snow")</f>
        <v>snow</v>
      </c>
      <c r="C10645" s="3" t="str">
        <f>IFERROR(__xludf.DUMMYFUNCTION("""COMPUTED_VALUE"""),"Snowswap")</f>
        <v>Snowswap</v>
      </c>
    </row>
    <row r="10646">
      <c r="A10646" s="3" t="str">
        <f>IFERROR(__xludf.DUMMYFUNCTION("""COMPUTED_VALUE"""),"snowtomb")</f>
        <v>snowtomb</v>
      </c>
      <c r="B10646" s="3" t="str">
        <f>IFERROR(__xludf.DUMMYFUNCTION("""COMPUTED_VALUE"""),"stomb")</f>
        <v>stomb</v>
      </c>
      <c r="C10646" s="3" t="str">
        <f>IFERROR(__xludf.DUMMYFUNCTION("""COMPUTED_VALUE"""),"Snowtomb")</f>
        <v>Snowtomb</v>
      </c>
    </row>
    <row r="10647">
      <c r="A10647" s="3" t="str">
        <f>IFERROR(__xludf.DUMMYFUNCTION("""COMPUTED_VALUE"""),"snowtomb-lot")</f>
        <v>snowtomb-lot</v>
      </c>
      <c r="B10647" s="3" t="str">
        <f>IFERROR(__xludf.DUMMYFUNCTION("""COMPUTED_VALUE"""),"slot")</f>
        <v>slot</v>
      </c>
      <c r="C10647" s="3" t="str">
        <f>IFERROR(__xludf.DUMMYFUNCTION("""COMPUTED_VALUE"""),"Snowtomb LOT")</f>
        <v>Snowtomb LOT</v>
      </c>
    </row>
    <row r="10648">
      <c r="A10648" s="3" t="str">
        <f>IFERROR(__xludf.DUMMYFUNCTION("""COMPUTED_VALUE"""),"soakmont")</f>
        <v>soakmont</v>
      </c>
      <c r="B10648" s="3" t="str">
        <f>IFERROR(__xludf.DUMMYFUNCTION("""COMPUTED_VALUE"""),"skmt")</f>
        <v>skmt</v>
      </c>
      <c r="C10648" s="3" t="str">
        <f>IFERROR(__xludf.DUMMYFUNCTION("""COMPUTED_VALUE"""),"Soakmont")</f>
        <v>Soakmont</v>
      </c>
    </row>
    <row r="10649">
      <c r="A10649" s="3" t="str">
        <f>IFERROR(__xludf.DUMMYFUNCTION("""COMPUTED_VALUE"""),"soba-token")</f>
        <v>soba-token</v>
      </c>
      <c r="B10649" s="3" t="str">
        <f>IFERROR(__xludf.DUMMYFUNCTION("""COMPUTED_VALUE"""),"soba")</f>
        <v>soba</v>
      </c>
      <c r="C10649" s="3" t="str">
        <f>IFERROR(__xludf.DUMMYFUNCTION("""COMPUTED_VALUE"""),"SOBA")</f>
        <v>SOBA</v>
      </c>
    </row>
    <row r="10650">
      <c r="A10650" s="3" t="str">
        <f>IFERROR(__xludf.DUMMYFUNCTION("""COMPUTED_VALUE"""),"so-cal")</f>
        <v>so-cal</v>
      </c>
      <c r="B10650" s="3" t="str">
        <f>IFERROR(__xludf.DUMMYFUNCTION("""COMPUTED_VALUE"""),"sct")</f>
        <v>sct</v>
      </c>
      <c r="C10650" s="3" t="str">
        <f>IFERROR(__xludf.DUMMYFUNCTION("""COMPUTED_VALUE"""),"So Cal")</f>
        <v>So Cal</v>
      </c>
    </row>
    <row r="10651">
      <c r="A10651" s="3" t="str">
        <f>IFERROR(__xludf.DUMMYFUNCTION("""COMPUTED_VALUE"""),"socaverse")</f>
        <v>socaverse</v>
      </c>
      <c r="B10651" s="3" t="str">
        <f>IFERROR(__xludf.DUMMYFUNCTION("""COMPUTED_VALUE"""),"soca")</f>
        <v>soca</v>
      </c>
      <c r="C10651" s="3" t="str">
        <f>IFERROR(__xludf.DUMMYFUNCTION("""COMPUTED_VALUE"""),"Socaverse")</f>
        <v>Socaverse</v>
      </c>
    </row>
    <row r="10652">
      <c r="A10652" s="3" t="str">
        <f>IFERROR(__xludf.DUMMYFUNCTION("""COMPUTED_VALUE"""),"soccer-galaxy")</f>
        <v>soccer-galaxy</v>
      </c>
      <c r="B10652" s="3" t="str">
        <f>IFERROR(__xludf.DUMMYFUNCTION("""COMPUTED_VALUE"""),"sog")</f>
        <v>sog</v>
      </c>
      <c r="C10652" s="3" t="str">
        <f>IFERROR(__xludf.DUMMYFUNCTION("""COMPUTED_VALUE"""),"Soccer Galaxy")</f>
        <v>Soccer Galaxy</v>
      </c>
    </row>
    <row r="10653">
      <c r="A10653" s="3" t="str">
        <f>IFERROR(__xludf.DUMMYFUNCTION("""COMPUTED_VALUE"""),"soccerhub")</f>
        <v>soccerhub</v>
      </c>
      <c r="B10653" s="3" t="str">
        <f>IFERROR(__xludf.DUMMYFUNCTION("""COMPUTED_VALUE"""),"sch")</f>
        <v>sch</v>
      </c>
      <c r="C10653" s="3" t="str">
        <f>IFERROR(__xludf.DUMMYFUNCTION("""COMPUTED_VALUE"""),"SoccerHub")</f>
        <v>SoccerHub</v>
      </c>
    </row>
    <row r="10654">
      <c r="A10654" s="3" t="str">
        <f>IFERROR(__xludf.DUMMYFUNCTION("""COMPUTED_VALUE"""),"soccer-infinity")</f>
        <v>soccer-infinity</v>
      </c>
      <c r="B10654" s="3" t="str">
        <f>IFERROR(__xludf.DUMMYFUNCTION("""COMPUTED_VALUE"""),"socin")</f>
        <v>socin</v>
      </c>
      <c r="C10654" s="3" t="str">
        <f>IFERROR(__xludf.DUMMYFUNCTION("""COMPUTED_VALUE"""),"Soccer Infinity")</f>
        <v>Soccer Infinity</v>
      </c>
    </row>
    <row r="10655">
      <c r="A10655" s="3" t="str">
        <f>IFERROR(__xludf.DUMMYFUNCTION("""COMPUTED_VALUE"""),"soccerinu")</f>
        <v>soccerinu</v>
      </c>
      <c r="B10655" s="3" t="str">
        <f>IFERROR(__xludf.DUMMYFUNCTION("""COMPUTED_VALUE"""),"soccer")</f>
        <v>soccer</v>
      </c>
      <c r="C10655" s="3" t="str">
        <f>IFERROR(__xludf.DUMMYFUNCTION("""COMPUTED_VALUE"""),"SoccerInu")</f>
        <v>SoccerInu</v>
      </c>
    </row>
    <row r="10656">
      <c r="A10656" s="3" t="str">
        <f>IFERROR(__xludf.DUMMYFUNCTION("""COMPUTED_VALUE"""),"soccers-dog")</f>
        <v>soccers-dog</v>
      </c>
      <c r="B10656" s="3" t="str">
        <f>IFERROR(__xludf.DUMMYFUNCTION("""COMPUTED_VALUE"""),"sd")</f>
        <v>sd</v>
      </c>
      <c r="C10656" s="3" t="str">
        <f>IFERROR(__xludf.DUMMYFUNCTION("""COMPUTED_VALUE"""),"Soccers Dog")</f>
        <v>Soccers Dog</v>
      </c>
    </row>
    <row r="10657">
      <c r="A10657" s="3" t="str">
        <f>IFERROR(__xludf.DUMMYFUNCTION("""COMPUTED_VALUE"""),"socean-staked-sol")</f>
        <v>socean-staked-sol</v>
      </c>
      <c r="B10657" s="3" t="str">
        <f>IFERROR(__xludf.DUMMYFUNCTION("""COMPUTED_VALUE"""),"scnsol")</f>
        <v>scnsol</v>
      </c>
      <c r="C10657" s="3" t="str">
        <f>IFERROR(__xludf.DUMMYFUNCTION("""COMPUTED_VALUE"""),"Socean Staked Sol")</f>
        <v>Socean Staked Sol</v>
      </c>
    </row>
    <row r="10658">
      <c r="A10658" s="3" t="str">
        <f>IFERROR(__xludf.DUMMYFUNCTION("""COMPUTED_VALUE"""),"socialblox")</f>
        <v>socialblox</v>
      </c>
      <c r="B10658" s="3" t="str">
        <f>IFERROR(__xludf.DUMMYFUNCTION("""COMPUTED_VALUE"""),"sblx")</f>
        <v>sblx</v>
      </c>
      <c r="C10658" s="3" t="str">
        <f>IFERROR(__xludf.DUMMYFUNCTION("""COMPUTED_VALUE"""),"SocialBlox")</f>
        <v>SocialBlox</v>
      </c>
    </row>
    <row r="10659">
      <c r="A10659" s="3" t="str">
        <f>IFERROR(__xludf.DUMMYFUNCTION("""COMPUTED_VALUE"""),"social-capitalism-2")</f>
        <v>social-capitalism-2</v>
      </c>
      <c r="B10659" s="3" t="str">
        <f>IFERROR(__xludf.DUMMYFUNCTION("""COMPUTED_VALUE"""),"socap")</f>
        <v>socap</v>
      </c>
      <c r="C10659" s="3" t="str">
        <f>IFERROR(__xludf.DUMMYFUNCTION("""COMPUTED_VALUE"""),"Social Capitalism")</f>
        <v>Social Capitalism</v>
      </c>
    </row>
    <row r="10660">
      <c r="A10660" s="3" t="str">
        <f>IFERROR(__xludf.DUMMYFUNCTION("""COMPUTED_VALUE"""),"social-good-project")</f>
        <v>social-good-project</v>
      </c>
      <c r="B10660" s="3" t="str">
        <f>IFERROR(__xludf.DUMMYFUNCTION("""COMPUTED_VALUE"""),"sg")</f>
        <v>sg</v>
      </c>
      <c r="C10660" s="3" t="str">
        <f>IFERROR(__xludf.DUMMYFUNCTION("""COMPUTED_VALUE"""),"SocialGood")</f>
        <v>SocialGood</v>
      </c>
    </row>
    <row r="10661">
      <c r="A10661" s="3" t="str">
        <f>IFERROR(__xludf.DUMMYFUNCTION("""COMPUTED_VALUE"""),"sociall")</f>
        <v>sociall</v>
      </c>
      <c r="B10661" s="3" t="str">
        <f>IFERROR(__xludf.DUMMYFUNCTION("""COMPUTED_VALUE"""),"scl")</f>
        <v>scl</v>
      </c>
      <c r="C10661" s="3" t="str">
        <f>IFERROR(__xludf.DUMMYFUNCTION("""COMPUTED_VALUE"""),"Sociall")</f>
        <v>Sociall</v>
      </c>
    </row>
    <row r="10662">
      <c r="A10662" s="3" t="str">
        <f>IFERROR(__xludf.DUMMYFUNCTION("""COMPUTED_VALUE"""),"social-rocket")</f>
        <v>social-rocket</v>
      </c>
      <c r="B10662" s="3" t="str">
        <f>IFERROR(__xludf.DUMMYFUNCTION("""COMPUTED_VALUE"""),"rocks")</f>
        <v>rocks</v>
      </c>
      <c r="C10662" s="3" t="str">
        <f>IFERROR(__xludf.DUMMYFUNCTION("""COMPUTED_VALUE"""),"Social Rocket")</f>
        <v>Social Rocket</v>
      </c>
    </row>
    <row r="10663">
      <c r="A10663" s="3" t="str">
        <f>IFERROR(__xludf.DUMMYFUNCTION("""COMPUTED_VALUE"""),"social-send")</f>
        <v>social-send</v>
      </c>
      <c r="B10663" s="3" t="str">
        <f>IFERROR(__xludf.DUMMYFUNCTION("""COMPUTED_VALUE"""),"send")</f>
        <v>send</v>
      </c>
      <c r="C10663" s="3" t="str">
        <f>IFERROR(__xludf.DUMMYFUNCTION("""COMPUTED_VALUE"""),"Social Send")</f>
        <v>Social Send</v>
      </c>
    </row>
    <row r="10664">
      <c r="A10664" s="3" t="str">
        <f>IFERROR(__xludf.DUMMYFUNCTION("""COMPUTED_VALUE"""),"socialswap-token")</f>
        <v>socialswap-token</v>
      </c>
      <c r="B10664" s="3" t="str">
        <f>IFERROR(__xludf.DUMMYFUNCTION("""COMPUTED_VALUE"""),"sst")</f>
        <v>sst</v>
      </c>
      <c r="C10664" s="3" t="str">
        <f>IFERROR(__xludf.DUMMYFUNCTION("""COMPUTED_VALUE"""),"Social Swap")</f>
        <v>Social Swap</v>
      </c>
    </row>
    <row r="10665">
      <c r="A10665" s="3" t="str">
        <f>IFERROR(__xludf.DUMMYFUNCTION("""COMPUTED_VALUE"""),"socialx-2")</f>
        <v>socialx-2</v>
      </c>
      <c r="B10665" s="3" t="str">
        <f>IFERROR(__xludf.DUMMYFUNCTION("""COMPUTED_VALUE"""),"sosx")</f>
        <v>sosx</v>
      </c>
      <c r="C10665" s="3" t="str">
        <f>IFERROR(__xludf.DUMMYFUNCTION("""COMPUTED_VALUE"""),"SocialX")</f>
        <v>SocialX</v>
      </c>
    </row>
    <row r="10666">
      <c r="A10666" s="3" t="str">
        <f>IFERROR(__xludf.DUMMYFUNCTION("""COMPUTED_VALUE"""),"socialxclub")</f>
        <v>socialxclub</v>
      </c>
      <c r="B10666" s="3" t="str">
        <f>IFERROR(__xludf.DUMMYFUNCTION("""COMPUTED_VALUE"""),"sxc")</f>
        <v>sxc</v>
      </c>
      <c r="C10666" s="3" t="str">
        <f>IFERROR(__xludf.DUMMYFUNCTION("""COMPUTED_VALUE"""),"SocialxClub")</f>
        <v>SocialxClub</v>
      </c>
    </row>
    <row r="10667">
      <c r="A10667" s="3" t="str">
        <f>IFERROR(__xludf.DUMMYFUNCTION("""COMPUTED_VALUE"""),"society-of-galactic-exploration")</f>
        <v>society-of-galactic-exploration</v>
      </c>
      <c r="B10667" s="3" t="str">
        <f>IFERROR(__xludf.DUMMYFUNCTION("""COMPUTED_VALUE"""),"sge")</f>
        <v>sge</v>
      </c>
      <c r="C10667" s="3" t="str">
        <f>IFERROR(__xludf.DUMMYFUNCTION("""COMPUTED_VALUE"""),"Society of Galactic Exploration")</f>
        <v>Society of Galactic Exploration</v>
      </c>
    </row>
    <row r="10668">
      <c r="A10668" s="3" t="str">
        <f>IFERROR(__xludf.DUMMYFUNCTION("""COMPUTED_VALUE"""),"socilink")</f>
        <v>socilink</v>
      </c>
      <c r="B10668" s="3" t="str">
        <f>IFERROR(__xludf.DUMMYFUNCTION("""COMPUTED_VALUE"""),"soc")</f>
        <v>soc</v>
      </c>
      <c r="C10668" s="3" t="str">
        <f>IFERROR(__xludf.DUMMYFUNCTION("""COMPUTED_VALUE"""),"SociLink")</f>
        <v>SociLink</v>
      </c>
    </row>
    <row r="10669">
      <c r="A10669" s="3" t="str">
        <f>IFERROR(__xludf.DUMMYFUNCTION("""COMPUTED_VALUE"""),"soda-coin")</f>
        <v>soda-coin</v>
      </c>
      <c r="B10669" s="3" t="str">
        <f>IFERROR(__xludf.DUMMYFUNCTION("""COMPUTED_VALUE"""),"soc")</f>
        <v>soc</v>
      </c>
      <c r="C10669" s="3" t="str">
        <f>IFERROR(__xludf.DUMMYFUNCTION("""COMPUTED_VALUE"""),"SODA Coin")</f>
        <v>SODA Coin</v>
      </c>
    </row>
    <row r="10670">
      <c r="A10670" s="3" t="str">
        <f>IFERROR(__xludf.DUMMYFUNCTION("""COMPUTED_VALUE"""),"sodatsu")</f>
        <v>sodatsu</v>
      </c>
      <c r="B10670" s="3" t="str">
        <f>IFERROR(__xludf.DUMMYFUNCTION("""COMPUTED_VALUE"""),"sodatsu")</f>
        <v>sodatsu</v>
      </c>
      <c r="C10670" s="3" t="str">
        <f>IFERROR(__xludf.DUMMYFUNCTION("""COMPUTED_VALUE"""),"Sodatsu")</f>
        <v>Sodatsu</v>
      </c>
    </row>
    <row r="10671">
      <c r="A10671" s="3" t="str">
        <f>IFERROR(__xludf.DUMMYFUNCTION("""COMPUTED_VALUE"""),"softchain")</f>
        <v>softchain</v>
      </c>
      <c r="B10671" s="3" t="str">
        <f>IFERROR(__xludf.DUMMYFUNCTION("""COMPUTED_VALUE"""),"scc")</f>
        <v>scc</v>
      </c>
      <c r="C10671" s="3" t="str">
        <f>IFERROR(__xludf.DUMMYFUNCTION("""COMPUTED_VALUE"""),"SoftChain")</f>
        <v>SoftChain</v>
      </c>
    </row>
    <row r="10672">
      <c r="A10672" s="3" t="str">
        <f>IFERROR(__xludf.DUMMYFUNCTION("""COMPUTED_VALUE"""),"soga-project")</f>
        <v>soga-project</v>
      </c>
      <c r="B10672" s="3" t="str">
        <f>IFERROR(__xludf.DUMMYFUNCTION("""COMPUTED_VALUE"""),"soga")</f>
        <v>soga</v>
      </c>
      <c r="C10672" s="3" t="str">
        <f>IFERROR(__xludf.DUMMYFUNCTION("""COMPUTED_VALUE"""),"SOGA Project")</f>
        <v>SOGA Project</v>
      </c>
    </row>
    <row r="10673">
      <c r="A10673" s="3" t="str">
        <f>IFERROR(__xludf.DUMMYFUNCTION("""COMPUTED_VALUE"""),"sokuswap")</f>
        <v>sokuswap</v>
      </c>
      <c r="B10673" s="3" t="str">
        <f>IFERROR(__xludf.DUMMYFUNCTION("""COMPUTED_VALUE"""),"soku")</f>
        <v>soku</v>
      </c>
      <c r="C10673" s="3" t="str">
        <f>IFERROR(__xludf.DUMMYFUNCTION("""COMPUTED_VALUE"""),"SokuSwap")</f>
        <v>SokuSwap</v>
      </c>
    </row>
    <row r="10674">
      <c r="A10674" s="3" t="str">
        <f>IFERROR(__xludf.DUMMYFUNCTION("""COMPUTED_VALUE"""),"solabrador")</f>
        <v>solabrador</v>
      </c>
      <c r="B10674" s="3" t="str">
        <f>IFERROR(__xludf.DUMMYFUNCTION("""COMPUTED_VALUE"""),"solab")</f>
        <v>solab</v>
      </c>
      <c r="C10674" s="3" t="str">
        <f>IFERROR(__xludf.DUMMYFUNCTION("""COMPUTED_VALUE"""),"Solabrador")</f>
        <v>Solabrador</v>
      </c>
    </row>
    <row r="10675">
      <c r="A10675" s="3" t="str">
        <f>IFERROR(__xludf.DUMMYFUNCTION("""COMPUTED_VALUE"""),"solace")</f>
        <v>solace</v>
      </c>
      <c r="B10675" s="3" t="str">
        <f>IFERROR(__xludf.DUMMYFUNCTION("""COMPUTED_VALUE"""),"solace")</f>
        <v>solace</v>
      </c>
      <c r="C10675" s="3" t="str">
        <f>IFERROR(__xludf.DUMMYFUNCTION("""COMPUTED_VALUE"""),"SOLACE")</f>
        <v>SOLACE</v>
      </c>
    </row>
    <row r="10676">
      <c r="A10676" s="3" t="str">
        <f>IFERROR(__xludf.DUMMYFUNCTION("""COMPUTED_VALUE"""),"solace-coin")</f>
        <v>solace-coin</v>
      </c>
      <c r="B10676" s="3" t="str">
        <f>IFERROR(__xludf.DUMMYFUNCTION("""COMPUTED_VALUE"""),"solace")</f>
        <v>solace</v>
      </c>
      <c r="C10676" s="3" t="str">
        <f>IFERROR(__xludf.DUMMYFUNCTION("""COMPUTED_VALUE"""),"Solace Coin")</f>
        <v>Solace Coin</v>
      </c>
    </row>
    <row r="10677">
      <c r="A10677" s="3" t="str">
        <f>IFERROR(__xludf.DUMMYFUNCTION("""COMPUTED_VALUE"""),"solalambo")</f>
        <v>solalambo</v>
      </c>
      <c r="B10677" s="3" t="str">
        <f>IFERROR(__xludf.DUMMYFUNCTION("""COMPUTED_VALUE"""),"sob")</f>
        <v>sob</v>
      </c>
      <c r="C10677" s="3" t="str">
        <f>IFERROR(__xludf.DUMMYFUNCTION("""COMPUTED_VALUE"""),"SolaLambo")</f>
        <v>SolaLambo</v>
      </c>
    </row>
    <row r="10678">
      <c r="A10678" s="3" t="str">
        <f>IFERROR(__xludf.DUMMYFUNCTION("""COMPUTED_VALUE"""),"solana")</f>
        <v>solana</v>
      </c>
      <c r="B10678" s="3" t="str">
        <f>IFERROR(__xludf.DUMMYFUNCTION("""COMPUTED_VALUE"""),"sol")</f>
        <v>sol</v>
      </c>
      <c r="C10678" s="3" t="str">
        <f>IFERROR(__xludf.DUMMYFUNCTION("""COMPUTED_VALUE"""),"Solana")</f>
        <v>Solana</v>
      </c>
    </row>
    <row r="10679">
      <c r="A10679" s="3" t="str">
        <f>IFERROR(__xludf.DUMMYFUNCTION("""COMPUTED_VALUE"""),"solana-ecosystem-index")</f>
        <v>solana-ecosystem-index</v>
      </c>
      <c r="B10679" s="3" t="str">
        <f>IFERROR(__xludf.DUMMYFUNCTION("""COMPUTED_VALUE"""),"soli")</f>
        <v>soli</v>
      </c>
      <c r="C10679" s="3" t="str">
        <f>IFERROR(__xludf.DUMMYFUNCTION("""COMPUTED_VALUE"""),"Solana Ecosystem Index")</f>
        <v>Solana Ecosystem Index</v>
      </c>
    </row>
    <row r="10680">
      <c r="A10680" s="3" t="str">
        <f>IFERROR(__xludf.DUMMYFUNCTION("""COMPUTED_VALUE"""),"solana-inu")</f>
        <v>solana-inu</v>
      </c>
      <c r="B10680" s="3" t="str">
        <f>IFERROR(__xludf.DUMMYFUNCTION("""COMPUTED_VALUE"""),"inu")</f>
        <v>inu</v>
      </c>
      <c r="C10680" s="3" t="str">
        <f>IFERROR(__xludf.DUMMYFUNCTION("""COMPUTED_VALUE"""),"Solana Inu")</f>
        <v>Solana Inu</v>
      </c>
    </row>
    <row r="10681">
      <c r="A10681" s="3" t="str">
        <f>IFERROR(__xludf.DUMMYFUNCTION("""COMPUTED_VALUE"""),"solana-nut")</f>
        <v>solana-nut</v>
      </c>
      <c r="B10681" s="3" t="str">
        <f>IFERROR(__xludf.DUMMYFUNCTION("""COMPUTED_VALUE"""),"solnut")</f>
        <v>solnut</v>
      </c>
      <c r="C10681" s="3" t="str">
        <f>IFERROR(__xludf.DUMMYFUNCTION("""COMPUTED_VALUE"""),"Solana Nut")</f>
        <v>Solana Nut</v>
      </c>
    </row>
    <row r="10682">
      <c r="A10682" s="3" t="str">
        <f>IFERROR(__xludf.DUMMYFUNCTION("""COMPUTED_VALUE"""),"solana-paws")</f>
        <v>solana-paws</v>
      </c>
      <c r="B10682" s="3" t="str">
        <f>IFERROR(__xludf.DUMMYFUNCTION("""COMPUTED_VALUE"""),"paws")</f>
        <v>paws</v>
      </c>
      <c r="C10682" s="3" t="str">
        <f>IFERROR(__xludf.DUMMYFUNCTION("""COMPUTED_VALUE"""),"Solana Paws")</f>
        <v>Solana Paws</v>
      </c>
    </row>
    <row r="10683">
      <c r="A10683" s="3" t="str">
        <f>IFERROR(__xludf.DUMMYFUNCTION("""COMPUTED_VALUE"""),"solanaprime")</f>
        <v>solanaprime</v>
      </c>
      <c r="B10683" s="3" t="str">
        <f>IFERROR(__xludf.DUMMYFUNCTION("""COMPUTED_VALUE"""),"prime")</f>
        <v>prime</v>
      </c>
      <c r="C10683" s="3" t="str">
        <f>IFERROR(__xludf.DUMMYFUNCTION("""COMPUTED_VALUE"""),"SolanaPrime")</f>
        <v>SolanaPrime</v>
      </c>
    </row>
    <row r="10684">
      <c r="A10684" s="3" t="str">
        <f>IFERROR(__xludf.DUMMYFUNCTION("""COMPUTED_VALUE"""),"solanasail-governance-token")</f>
        <v>solanasail-governance-token</v>
      </c>
      <c r="B10684" s="3" t="str">
        <f>IFERROR(__xludf.DUMMYFUNCTION("""COMPUTED_VALUE"""),"gsail")</f>
        <v>gsail</v>
      </c>
      <c r="C10684" s="3" t="str">
        <f>IFERROR(__xludf.DUMMYFUNCTION("""COMPUTED_VALUE"""),"SolanaSail Governance")</f>
        <v>SolanaSail Governance</v>
      </c>
    </row>
    <row r="10685">
      <c r="A10685" s="3" t="str">
        <f>IFERROR(__xludf.DUMMYFUNCTION("""COMPUTED_VALUE"""),"solanax")</f>
        <v>solanax</v>
      </c>
      <c r="B10685" s="3" t="str">
        <f>IFERROR(__xludf.DUMMYFUNCTION("""COMPUTED_VALUE"""),"sold")</f>
        <v>sold</v>
      </c>
      <c r="C10685" s="3" t="str">
        <f>IFERROR(__xludf.DUMMYFUNCTION("""COMPUTED_VALUE"""),"Solanax")</f>
        <v>Solanax</v>
      </c>
    </row>
    <row r="10686">
      <c r="A10686" s="3" t="str">
        <f>IFERROR(__xludf.DUMMYFUNCTION("""COMPUTED_VALUE"""),"sola-ninja")</f>
        <v>sola-ninja</v>
      </c>
      <c r="B10686" s="3" t="str">
        <f>IFERROR(__xludf.DUMMYFUNCTION("""COMPUTED_VALUE"""),"snj")</f>
        <v>snj</v>
      </c>
      <c r="C10686" s="3" t="str">
        <f>IFERROR(__xludf.DUMMYFUNCTION("""COMPUTED_VALUE"""),"Sola Ninja")</f>
        <v>Sola Ninja</v>
      </c>
    </row>
    <row r="10687">
      <c r="A10687" s="3" t="str">
        <f>IFERROR(__xludf.DUMMYFUNCTION("""COMPUTED_VALUE"""),"solanium")</f>
        <v>solanium</v>
      </c>
      <c r="B10687" s="3" t="str">
        <f>IFERROR(__xludf.DUMMYFUNCTION("""COMPUTED_VALUE"""),"slim")</f>
        <v>slim</v>
      </c>
      <c r="C10687" s="3" t="str">
        <f>IFERROR(__xludf.DUMMYFUNCTION("""COMPUTED_VALUE"""),"Solanium")</f>
        <v>Solanium</v>
      </c>
    </row>
    <row r="10688">
      <c r="A10688" s="3" t="str">
        <f>IFERROR(__xludf.DUMMYFUNCTION("""COMPUTED_VALUE"""),"solanyx")</f>
        <v>solanyx</v>
      </c>
      <c r="B10688" s="3" t="str">
        <f>IFERROR(__xludf.DUMMYFUNCTION("""COMPUTED_VALUE"""),"syx")</f>
        <v>syx</v>
      </c>
      <c r="C10688" s="3" t="str">
        <f>IFERROR(__xludf.DUMMYFUNCTION("""COMPUTED_VALUE"""),"Solanyx")</f>
        <v>Solanyx</v>
      </c>
    </row>
    <row r="10689">
      <c r="A10689" s="3" t="str">
        <f>IFERROR(__xludf.DUMMYFUNCTION("""COMPUTED_VALUE"""),"solape-token")</f>
        <v>solape-token</v>
      </c>
      <c r="B10689" s="3" t="str">
        <f>IFERROR(__xludf.DUMMYFUNCTION("""COMPUTED_VALUE"""),"solape")</f>
        <v>solape</v>
      </c>
      <c r="C10689" s="3" t="str">
        <f>IFERROR(__xludf.DUMMYFUNCTION("""COMPUTED_VALUE"""),"SOLAPE")</f>
        <v>SOLAPE</v>
      </c>
    </row>
    <row r="10690">
      <c r="A10690" s="3" t="str">
        <f>IFERROR(__xludf.DUMMYFUNCTION("""COMPUTED_VALUE"""),"solar")</f>
        <v>solar</v>
      </c>
      <c r="B10690" s="3" t="str">
        <f>IFERROR(__xludf.DUMMYFUNCTION("""COMPUTED_VALUE"""),"solar")</f>
        <v>solar</v>
      </c>
      <c r="C10690" s="3" t="str">
        <f>IFERROR(__xludf.DUMMYFUNCTION("""COMPUTED_VALUE"""),"Solar")</f>
        <v>Solar</v>
      </c>
    </row>
    <row r="10691">
      <c r="A10691" s="3" t="str">
        <f>IFERROR(__xludf.DUMMYFUNCTION("""COMPUTED_VALUE"""),"solarbeam")</f>
        <v>solarbeam</v>
      </c>
      <c r="B10691" s="3" t="str">
        <f>IFERROR(__xludf.DUMMYFUNCTION("""COMPUTED_VALUE"""),"solar")</f>
        <v>solar</v>
      </c>
      <c r="C10691" s="3" t="str">
        <f>IFERROR(__xludf.DUMMYFUNCTION("""COMPUTED_VALUE"""),"Solarbeam")</f>
        <v>Solarbeam</v>
      </c>
    </row>
    <row r="10692">
      <c r="A10692" s="3" t="str">
        <f>IFERROR(__xludf.DUMMYFUNCTION("""COMPUTED_VALUE"""),"solar-bear")</f>
        <v>solar-bear</v>
      </c>
      <c r="B10692" s="3" t="str">
        <f>IFERROR(__xludf.DUMMYFUNCTION("""COMPUTED_VALUE"""),"solbear")</f>
        <v>solbear</v>
      </c>
      <c r="C10692" s="3" t="str">
        <f>IFERROR(__xludf.DUMMYFUNCTION("""COMPUTED_VALUE"""),"Solar Bear")</f>
        <v>Solar Bear</v>
      </c>
    </row>
    <row r="10693">
      <c r="A10693" s="3" t="str">
        <f>IFERROR(__xludf.DUMMYFUNCTION("""COMPUTED_VALUE"""),"solar-energy")</f>
        <v>solar-energy</v>
      </c>
      <c r="B10693" s="3" t="str">
        <f>IFERROR(__xludf.DUMMYFUNCTION("""COMPUTED_VALUE"""),"seg")</f>
        <v>seg</v>
      </c>
      <c r="C10693" s="3" t="str">
        <f>IFERROR(__xludf.DUMMYFUNCTION("""COMPUTED_VALUE"""),"Solar Energy")</f>
        <v>Solar Energy</v>
      </c>
    </row>
    <row r="10694">
      <c r="A10694" s="3" t="str">
        <f>IFERROR(__xludf.DUMMYFUNCTION("""COMPUTED_VALUE"""),"solareum-wallet")</f>
        <v>solareum-wallet</v>
      </c>
      <c r="B10694" s="3" t="str">
        <f>IFERROR(__xludf.DUMMYFUNCTION("""COMPUTED_VALUE"""),"xsb")</f>
        <v>xsb</v>
      </c>
      <c r="C10694" s="3" t="str">
        <f>IFERROR(__xludf.DUMMYFUNCTION("""COMPUTED_VALUE"""),"Solareum Wallet")</f>
        <v>Solareum Wallet</v>
      </c>
    </row>
    <row r="10695">
      <c r="A10695" s="3" t="str">
        <f>IFERROR(__xludf.DUMMYFUNCTION("""COMPUTED_VALUE"""),"solarfare")</f>
        <v>solarfare</v>
      </c>
      <c r="B10695" s="3" t="str">
        <f>IFERROR(__xludf.DUMMYFUNCTION("""COMPUTED_VALUE"""),"slf")</f>
        <v>slf</v>
      </c>
      <c r="C10695" s="3" t="str">
        <f>IFERROR(__xludf.DUMMYFUNCTION("""COMPUTED_VALUE"""),"Solarfare")</f>
        <v>Solarfare</v>
      </c>
    </row>
    <row r="10696">
      <c r="A10696" s="3" t="str">
        <f>IFERROR(__xludf.DUMMYFUNCTION("""COMPUTED_VALUE"""),"solarflare")</f>
        <v>solarflare</v>
      </c>
      <c r="B10696" s="3" t="str">
        <f>IFERROR(__xludf.DUMMYFUNCTION("""COMPUTED_VALUE"""),"flare")</f>
        <v>flare</v>
      </c>
      <c r="C10696" s="3" t="str">
        <f>IFERROR(__xludf.DUMMYFUNCTION("""COMPUTED_VALUE"""),"Solarflare")</f>
        <v>Solarflare</v>
      </c>
    </row>
    <row r="10697">
      <c r="A10697" s="3" t="str">
        <f>IFERROR(__xludf.DUMMYFUNCTION("""COMPUTED_VALUE"""),"solar-full-cycle")</f>
        <v>solar-full-cycle</v>
      </c>
      <c r="B10697" s="3" t="str">
        <f>IFERROR(__xludf.DUMMYFUNCTION("""COMPUTED_VALUE"""),"sfc")</f>
        <v>sfc</v>
      </c>
      <c r="C10697" s="3" t="str">
        <f>IFERROR(__xludf.DUMMYFUNCTION("""COMPUTED_VALUE"""),"Solar Full Cycle")</f>
        <v>Solar Full Cycle</v>
      </c>
    </row>
    <row r="10698">
      <c r="A10698" s="3" t="str">
        <f>IFERROR(__xludf.DUMMYFUNCTION("""COMPUTED_VALUE"""),"solaris-betting-token")</f>
        <v>solaris-betting-token</v>
      </c>
      <c r="B10698" s="3" t="str">
        <f>IFERROR(__xludf.DUMMYFUNCTION("""COMPUTED_VALUE"""),"sbt")</f>
        <v>sbt</v>
      </c>
      <c r="C10698" s="3" t="str">
        <f>IFERROR(__xludf.DUMMYFUNCTION("""COMPUTED_VALUE"""),"Solaris Betting Token")</f>
        <v>Solaris Betting Token</v>
      </c>
    </row>
    <row r="10699">
      <c r="A10699" s="3" t="str">
        <f>IFERROR(__xludf.DUMMYFUNCTION("""COMPUTED_VALUE"""),"solaris-finance")</f>
        <v>solaris-finance</v>
      </c>
      <c r="B10699" s="3" t="str">
        <f>IFERROR(__xludf.DUMMYFUNCTION("""COMPUTED_VALUE"""),"slr")</f>
        <v>slr</v>
      </c>
      <c r="C10699" s="3" t="str">
        <f>IFERROR(__xludf.DUMMYFUNCTION("""COMPUTED_VALUE"""),"Solaris Finance")</f>
        <v>Solaris Finance</v>
      </c>
    </row>
    <row r="10700">
      <c r="A10700" s="3" t="str">
        <f>IFERROR(__xludf.DUMMYFUNCTION("""COMPUTED_VALUE"""),"solarix")</f>
        <v>solarix</v>
      </c>
      <c r="B10700" s="3" t="str">
        <f>IFERROR(__xludf.DUMMYFUNCTION("""COMPUTED_VALUE"""),"solarix")</f>
        <v>solarix</v>
      </c>
      <c r="C10700" s="3" t="str">
        <f>IFERROR(__xludf.DUMMYFUNCTION("""COMPUTED_VALUE"""),"SOLARIX")</f>
        <v>SOLARIX</v>
      </c>
    </row>
    <row r="10701">
      <c r="A10701" s="3" t="str">
        <f>IFERROR(__xludf.DUMMYFUNCTION("""COMPUTED_VALUE"""),"solarminex")</f>
        <v>solarminex</v>
      </c>
      <c r="B10701" s="3" t="str">
        <f>IFERROR(__xludf.DUMMYFUNCTION("""COMPUTED_VALUE"""),"smx")</f>
        <v>smx</v>
      </c>
      <c r="C10701" s="3" t="str">
        <f>IFERROR(__xludf.DUMMYFUNCTION("""COMPUTED_VALUE"""),"SolarMineX")</f>
        <v>SolarMineX</v>
      </c>
    </row>
    <row r="10702">
      <c r="A10702" s="3" t="str">
        <f>IFERROR(__xludf.DUMMYFUNCTION("""COMPUTED_VALUE"""),"solarmoon")</f>
        <v>solarmoon</v>
      </c>
      <c r="B10702" s="3" t="str">
        <f>IFERROR(__xludf.DUMMYFUNCTION("""COMPUTED_VALUE"""),"solar")</f>
        <v>solar</v>
      </c>
      <c r="C10702" s="3" t="str">
        <f>IFERROR(__xludf.DUMMYFUNCTION("""COMPUTED_VALUE"""),"Solarmoon")</f>
        <v>Solarmoon</v>
      </c>
    </row>
    <row r="10703">
      <c r="A10703" s="3" t="str">
        <f>IFERROR(__xludf.DUMMYFUNCTION("""COMPUTED_VALUE"""),"solarr")</f>
        <v>solarr</v>
      </c>
      <c r="B10703" s="3" t="str">
        <f>IFERROR(__xludf.DUMMYFUNCTION("""COMPUTED_VALUE"""),"slrr")</f>
        <v>slrr</v>
      </c>
      <c r="C10703" s="3" t="str">
        <f>IFERROR(__xludf.DUMMYFUNCTION("""COMPUTED_VALUE"""),"Solarr")</f>
        <v>Solarr</v>
      </c>
    </row>
    <row r="10704">
      <c r="A10704" s="3" t="str">
        <f>IFERROR(__xludf.DUMMYFUNCTION("""COMPUTED_VALUE"""),"sola-token")</f>
        <v>sola-token</v>
      </c>
      <c r="B10704" s="3" t="str">
        <f>IFERROR(__xludf.DUMMYFUNCTION("""COMPUTED_VALUE"""),"sola")</f>
        <v>sola</v>
      </c>
      <c r="C10704" s="3" t="str">
        <f>IFERROR(__xludf.DUMMYFUNCTION("""COMPUTED_VALUE"""),"SOLA")</f>
        <v>SOLA</v>
      </c>
    </row>
    <row r="10705">
      <c r="A10705" s="3" t="str">
        <f>IFERROR(__xludf.DUMMYFUNCTION("""COMPUTED_VALUE"""),"sol-baby-doge")</f>
        <v>sol-baby-doge</v>
      </c>
      <c r="B10705" s="3" t="str">
        <f>IFERROR(__xludf.DUMMYFUNCTION("""COMPUTED_VALUE"""),"sbabydoge")</f>
        <v>sbabydoge</v>
      </c>
      <c r="C10705" s="3" t="str">
        <f>IFERROR(__xludf.DUMMYFUNCTION("""COMPUTED_VALUE"""),"SOL Baby Doge")</f>
        <v>SOL Baby Doge</v>
      </c>
    </row>
    <row r="10706">
      <c r="A10706" s="3" t="str">
        <f>IFERROR(__xludf.DUMMYFUNCTION("""COMPUTED_VALUE"""),"solbank-token")</f>
        <v>solbank-token</v>
      </c>
      <c r="B10706" s="3" t="str">
        <f>IFERROR(__xludf.DUMMYFUNCTION("""COMPUTED_VALUE"""),"sbnk")</f>
        <v>sbnk</v>
      </c>
      <c r="C10706" s="3" t="str">
        <f>IFERROR(__xludf.DUMMYFUNCTION("""COMPUTED_VALUE"""),"Solbank")</f>
        <v>Solbank</v>
      </c>
    </row>
    <row r="10707">
      <c r="A10707" s="3" t="str">
        <f>IFERROR(__xludf.DUMMYFUNCTION("""COMPUTED_VALUE"""),"solberg")</f>
        <v>solberg</v>
      </c>
      <c r="B10707" s="3" t="str">
        <f>IFERROR(__xludf.DUMMYFUNCTION("""COMPUTED_VALUE"""),"slb")</f>
        <v>slb</v>
      </c>
      <c r="C10707" s="3" t="str">
        <f>IFERROR(__xludf.DUMMYFUNCTION("""COMPUTED_VALUE"""),"Solberg")</f>
        <v>Solberg</v>
      </c>
    </row>
    <row r="10708">
      <c r="A10708" s="3" t="str">
        <f>IFERROR(__xludf.DUMMYFUNCTION("""COMPUTED_VALUE"""),"solberry")</f>
        <v>solberry</v>
      </c>
      <c r="B10708" s="3" t="str">
        <f>IFERROR(__xludf.DUMMYFUNCTION("""COMPUTED_VALUE"""),"solberry")</f>
        <v>solberry</v>
      </c>
      <c r="C10708" s="3" t="str">
        <f>IFERROR(__xludf.DUMMYFUNCTION("""COMPUTED_VALUE"""),"SolBerry")</f>
        <v>SolBerry</v>
      </c>
    </row>
    <row r="10709">
      <c r="A10709" s="3" t="str">
        <f>IFERROR(__xludf.DUMMYFUNCTION("""COMPUTED_VALUE"""),"solbit")</f>
        <v>solbit</v>
      </c>
      <c r="B10709" s="3" t="str">
        <f>IFERROR(__xludf.DUMMYFUNCTION("""COMPUTED_VALUE"""),"sbt")</f>
        <v>sbt</v>
      </c>
      <c r="C10709" s="3" t="str">
        <f>IFERROR(__xludf.DUMMYFUNCTION("""COMPUTED_VALUE"""),"SOLBIT")</f>
        <v>SOLBIT</v>
      </c>
    </row>
    <row r="10710">
      <c r="A10710" s="3" t="str">
        <f>IFERROR(__xludf.DUMMYFUNCTION("""COMPUTED_VALUE"""),"solcash")</f>
        <v>solcash</v>
      </c>
      <c r="B10710" s="3" t="str">
        <f>IFERROR(__xludf.DUMMYFUNCTION("""COMPUTED_VALUE"""),"solcash")</f>
        <v>solcash</v>
      </c>
      <c r="C10710" s="3" t="str">
        <f>IFERROR(__xludf.DUMMYFUNCTION("""COMPUTED_VALUE"""),"SOLCash")</f>
        <v>SOLCash</v>
      </c>
    </row>
    <row r="10711">
      <c r="A10711" s="3" t="str">
        <f>IFERROR(__xludf.DUMMYFUNCTION("""COMPUTED_VALUE"""),"solcats")</f>
        <v>solcats</v>
      </c>
      <c r="B10711" s="3" t="str">
        <f>IFERROR(__xludf.DUMMYFUNCTION("""COMPUTED_VALUE"""),"meow")</f>
        <v>meow</v>
      </c>
      <c r="C10711" s="3" t="str">
        <f>IFERROR(__xludf.DUMMYFUNCTION("""COMPUTED_VALUE"""),"Solcats")</f>
        <v>Solcats</v>
      </c>
    </row>
    <row r="10712">
      <c r="A10712" s="3" t="str">
        <f>IFERROR(__xludf.DUMMYFUNCTION("""COMPUTED_VALUE"""),"solchicks-shards")</f>
        <v>solchicks-shards</v>
      </c>
      <c r="B10712" s="3" t="str">
        <f>IFERROR(__xludf.DUMMYFUNCTION("""COMPUTED_VALUE"""),"shards")</f>
        <v>shards</v>
      </c>
      <c r="C10712" s="3" t="str">
        <f>IFERROR(__xludf.DUMMYFUNCTION("""COMPUTED_VALUE"""),"SolChicks Shards")</f>
        <v>SolChicks Shards</v>
      </c>
    </row>
    <row r="10713">
      <c r="A10713" s="3" t="str">
        <f>IFERROR(__xludf.DUMMYFUNCTION("""COMPUTED_VALUE"""),"solchicks-token")</f>
        <v>solchicks-token</v>
      </c>
      <c r="B10713" s="3" t="str">
        <f>IFERROR(__xludf.DUMMYFUNCTION("""COMPUTED_VALUE"""),"chicks")</f>
        <v>chicks</v>
      </c>
      <c r="C10713" s="3" t="str">
        <f>IFERROR(__xludf.DUMMYFUNCTION("""COMPUTED_VALUE"""),"SolChicks")</f>
        <v>SolChicks</v>
      </c>
    </row>
    <row r="10714">
      <c r="A10714" s="3" t="str">
        <f>IFERROR(__xludf.DUMMYFUNCTION("""COMPUTED_VALUE"""),"solcial")</f>
        <v>solcial</v>
      </c>
      <c r="B10714" s="3" t="str">
        <f>IFERROR(__xludf.DUMMYFUNCTION("""COMPUTED_VALUE"""),"slcl")</f>
        <v>slcl</v>
      </c>
      <c r="C10714" s="3" t="str">
        <f>IFERROR(__xludf.DUMMYFUNCTION("""COMPUTED_VALUE"""),"Solcial")</f>
        <v>Solcial</v>
      </c>
    </row>
    <row r="10715">
      <c r="A10715" s="3" t="str">
        <f>IFERROR(__xludf.DUMMYFUNCTION("""COMPUTED_VALUE"""),"solclout")</f>
        <v>solclout</v>
      </c>
      <c r="B10715" s="3" t="str">
        <f>IFERROR(__xludf.DUMMYFUNCTION("""COMPUTED_VALUE"""),"sct")</f>
        <v>sct</v>
      </c>
      <c r="C10715" s="3" t="str">
        <f>IFERROR(__xludf.DUMMYFUNCTION("""COMPUTED_VALUE"""),"SolClout")</f>
        <v>SolClout</v>
      </c>
    </row>
    <row r="10716">
      <c r="A10716" s="3" t="str">
        <f>IFERROR(__xludf.DUMMYFUNCTION("""COMPUTED_VALUE"""),"solcondoms")</f>
        <v>solcondoms</v>
      </c>
      <c r="B10716" s="3" t="str">
        <f>IFERROR(__xludf.DUMMYFUNCTION("""COMPUTED_VALUE"""),"condoms")</f>
        <v>condoms</v>
      </c>
      <c r="C10716" s="3" t="str">
        <f>IFERROR(__xludf.DUMMYFUNCTION("""COMPUTED_VALUE"""),"SolCondoms")</f>
        <v>SolCondoms</v>
      </c>
    </row>
    <row r="10717">
      <c r="A10717" s="3" t="str">
        <f>IFERROR(__xludf.DUMMYFUNCTION("""COMPUTED_VALUE"""),"solcubator")</f>
        <v>solcubator</v>
      </c>
      <c r="B10717" s="3" t="str">
        <f>IFERROR(__xludf.DUMMYFUNCTION("""COMPUTED_VALUE"""),"solc")</f>
        <v>solc</v>
      </c>
      <c r="C10717" s="3" t="str">
        <f>IFERROR(__xludf.DUMMYFUNCTION("""COMPUTED_VALUE"""),"Solcubator")</f>
        <v>Solcubator</v>
      </c>
    </row>
    <row r="10718">
      <c r="A10718" s="3" t="str">
        <f>IFERROR(__xludf.DUMMYFUNCTION("""COMPUTED_VALUE"""),"soldate-token")</f>
        <v>soldate-token</v>
      </c>
      <c r="B10718" s="3" t="str">
        <f>IFERROR(__xludf.DUMMYFUNCTION("""COMPUTED_VALUE"""),"date")</f>
        <v>date</v>
      </c>
      <c r="C10718" s="3" t="str">
        <f>IFERROR(__xludf.DUMMYFUNCTION("""COMPUTED_VALUE"""),"SolDate")</f>
        <v>SolDate</v>
      </c>
    </row>
    <row r="10719">
      <c r="A10719" s="3" t="str">
        <f>IFERROR(__xludf.DUMMYFUNCTION("""COMPUTED_VALUE"""),"solderland")</f>
        <v>solderland</v>
      </c>
      <c r="B10719" s="3" t="str">
        <f>IFERROR(__xludf.DUMMYFUNCTION("""COMPUTED_VALUE"""),"sldr")</f>
        <v>sldr</v>
      </c>
      <c r="C10719" s="3" t="str">
        <f>IFERROR(__xludf.DUMMYFUNCTION("""COMPUTED_VALUE"""),"Solderland")</f>
        <v>Solderland</v>
      </c>
    </row>
    <row r="10720">
      <c r="A10720" s="3" t="str">
        <f>IFERROR(__xludf.DUMMYFUNCTION("""COMPUTED_VALUE"""),"soldex")</f>
        <v>soldex</v>
      </c>
      <c r="B10720" s="3" t="str">
        <f>IFERROR(__xludf.DUMMYFUNCTION("""COMPUTED_VALUE"""),"solx")</f>
        <v>solx</v>
      </c>
      <c r="C10720" s="3" t="str">
        <f>IFERROR(__xludf.DUMMYFUNCTION("""COMPUTED_VALUE"""),"Soldex")</f>
        <v>Soldex</v>
      </c>
    </row>
    <row r="10721">
      <c r="A10721" s="3" t="str">
        <f>IFERROR(__xludf.DUMMYFUNCTION("""COMPUTED_VALUE"""),"soldiernodes")</f>
        <v>soldiernodes</v>
      </c>
      <c r="B10721" s="3" t="str">
        <f>IFERROR(__xludf.DUMMYFUNCTION("""COMPUTED_VALUE"""),"sld")</f>
        <v>sld</v>
      </c>
      <c r="C10721" s="3" t="str">
        <f>IFERROR(__xludf.DUMMYFUNCTION("""COMPUTED_VALUE"""),"SoldierNodes")</f>
        <v>SoldierNodes</v>
      </c>
    </row>
    <row r="10722">
      <c r="A10722" s="3" t="str">
        <f>IFERROR(__xludf.DUMMYFUNCTION("""COMPUTED_VALUE"""),"soldo")</f>
        <v>soldo</v>
      </c>
      <c r="B10722" s="3" t="str">
        <f>IFERROR(__xludf.DUMMYFUNCTION("""COMPUTED_VALUE"""),"sld")</f>
        <v>sld</v>
      </c>
      <c r="C10722" s="3" t="str">
        <f>IFERROR(__xludf.DUMMYFUNCTION("""COMPUTED_VALUE"""),"Soldo")</f>
        <v>Soldo</v>
      </c>
    </row>
    <row r="10723">
      <c r="A10723" s="3" t="str">
        <f>IFERROR(__xludf.DUMMYFUNCTION("""COMPUTED_VALUE"""),"soldoge")</f>
        <v>soldoge</v>
      </c>
      <c r="B10723" s="3" t="str">
        <f>IFERROR(__xludf.DUMMYFUNCTION("""COMPUTED_VALUE"""),"sdoge")</f>
        <v>sdoge</v>
      </c>
      <c r="C10723" s="3" t="str">
        <f>IFERROR(__xludf.DUMMYFUNCTION("""COMPUTED_VALUE"""),"SolDoge")</f>
        <v>SolDoge</v>
      </c>
    </row>
    <row r="10724">
      <c r="A10724" s="3" t="str">
        <f>IFERROR(__xludf.DUMMYFUNCTION("""COMPUTED_VALUE"""),"solend")</f>
        <v>solend</v>
      </c>
      <c r="B10724" s="3" t="str">
        <f>IFERROR(__xludf.DUMMYFUNCTION("""COMPUTED_VALUE"""),"slnd")</f>
        <v>slnd</v>
      </c>
      <c r="C10724" s="3" t="str">
        <f>IFERROR(__xludf.DUMMYFUNCTION("""COMPUTED_VALUE"""),"Solend")</f>
        <v>Solend</v>
      </c>
    </row>
    <row r="10725">
      <c r="A10725" s="3" t="str">
        <f>IFERROR(__xludf.DUMMYFUNCTION("""COMPUTED_VALUE"""),"solex-finance")</f>
        <v>solex-finance</v>
      </c>
      <c r="B10725" s="3" t="str">
        <f>IFERROR(__xludf.DUMMYFUNCTION("""COMPUTED_VALUE"""),"slx")</f>
        <v>slx</v>
      </c>
      <c r="C10725" s="3" t="str">
        <f>IFERROR(__xludf.DUMMYFUNCTION("""COMPUTED_VALUE"""),"Solex Finance")</f>
        <v>Solex Finance</v>
      </c>
    </row>
    <row r="10726">
      <c r="A10726" s="3" t="str">
        <f>IFERROR(__xludf.DUMMYFUNCTION("""COMPUTED_VALUE"""),"solfarm")</f>
        <v>solfarm</v>
      </c>
      <c r="B10726" s="3" t="str">
        <f>IFERROR(__xludf.DUMMYFUNCTION("""COMPUTED_VALUE"""),"tulip")</f>
        <v>tulip</v>
      </c>
      <c r="C10726" s="3" t="str">
        <f>IFERROR(__xludf.DUMMYFUNCTION("""COMPUTED_VALUE"""),"Tulip Protocol")</f>
        <v>Tulip Protocol</v>
      </c>
    </row>
    <row r="10727">
      <c r="A10727" s="3" t="str">
        <f>IFERROR(__xludf.DUMMYFUNCTION("""COMPUTED_VALUE"""),"solfina")</f>
        <v>solfina</v>
      </c>
      <c r="B10727" s="3" t="str">
        <f>IFERROR(__xludf.DUMMYFUNCTION("""COMPUTED_VALUE"""),"solfi")</f>
        <v>solfi</v>
      </c>
      <c r="C10727" s="3" t="str">
        <f>IFERROR(__xludf.DUMMYFUNCTION("""COMPUTED_VALUE"""),"Solfina")</f>
        <v>Solfina</v>
      </c>
    </row>
    <row r="10728">
      <c r="A10728" s="3" t="str">
        <f>IFERROR(__xludf.DUMMYFUNCTION("""COMPUTED_VALUE"""),"solfire-finance")</f>
        <v>solfire-finance</v>
      </c>
      <c r="B10728" s="3" t="str">
        <f>IFERROR(__xludf.DUMMYFUNCTION("""COMPUTED_VALUE"""),"fire")</f>
        <v>fire</v>
      </c>
      <c r="C10728" s="3" t="str">
        <f>IFERROR(__xludf.DUMMYFUNCTION("""COMPUTED_VALUE"""),"Solfire Finance")</f>
        <v>Solfire Finance</v>
      </c>
    </row>
    <row r="10729">
      <c r="A10729" s="3" t="str">
        <f>IFERROR(__xludf.DUMMYFUNCTION("""COMPUTED_VALUE"""),"sol-flowers")</f>
        <v>sol-flowers</v>
      </c>
      <c r="B10729" s="3" t="str">
        <f>IFERROR(__xludf.DUMMYFUNCTION("""COMPUTED_VALUE"""),"flwr")</f>
        <v>flwr</v>
      </c>
      <c r="C10729" s="3" t="str">
        <f>IFERROR(__xludf.DUMMYFUNCTION("""COMPUTED_VALUE"""),"SOL Flowers")</f>
        <v>SOL Flowers</v>
      </c>
    </row>
    <row r="10730">
      <c r="A10730" s="3" t="str">
        <f>IFERROR(__xludf.DUMMYFUNCTION("""COMPUTED_VALUE"""),"solice")</f>
        <v>solice</v>
      </c>
      <c r="B10730" s="3" t="str">
        <f>IFERROR(__xludf.DUMMYFUNCTION("""COMPUTED_VALUE"""),"slc")</f>
        <v>slc</v>
      </c>
      <c r="C10730" s="3" t="str">
        <f>IFERROR(__xludf.DUMMYFUNCTION("""COMPUTED_VALUE"""),"Solice")</f>
        <v>Solice</v>
      </c>
    </row>
    <row r="10731">
      <c r="A10731" s="3" t="str">
        <f>IFERROR(__xludf.DUMMYFUNCTION("""COMPUTED_VALUE"""),"solideth")</f>
        <v>solideth</v>
      </c>
      <c r="B10731" s="3" t="str">
        <f>IFERROR(__xludf.DUMMYFUNCTION("""COMPUTED_VALUE"""),"solideth")</f>
        <v>solideth</v>
      </c>
      <c r="C10731" s="3" t="str">
        <f>IFERROR(__xludf.DUMMYFUNCTION("""COMPUTED_VALUE"""),"SolidETH")</f>
        <v>SolidETH</v>
      </c>
    </row>
    <row r="10732">
      <c r="A10732" s="3" t="str">
        <f>IFERROR(__xludf.DUMMYFUNCTION("""COMPUTED_VALUE"""),"solidex")</f>
        <v>solidex</v>
      </c>
      <c r="B10732" s="3" t="str">
        <f>IFERROR(__xludf.DUMMYFUNCTION("""COMPUTED_VALUE"""),"sex")</f>
        <v>sex</v>
      </c>
      <c r="C10732" s="3" t="str">
        <f>IFERROR(__xludf.DUMMYFUNCTION("""COMPUTED_VALUE"""),"Solidex")</f>
        <v>Solidex</v>
      </c>
    </row>
    <row r="10733">
      <c r="A10733" s="3" t="str">
        <f>IFERROR(__xludf.DUMMYFUNCTION("""COMPUTED_VALUE"""),"solidly")</f>
        <v>solidly</v>
      </c>
      <c r="B10733" s="3" t="str">
        <f>IFERROR(__xludf.DUMMYFUNCTION("""COMPUTED_VALUE"""),"solid")</f>
        <v>solid</v>
      </c>
      <c r="C10733" s="3" t="str">
        <f>IFERROR(__xludf.DUMMYFUNCTION("""COMPUTED_VALUE"""),"Solidly")</f>
        <v>Solidly</v>
      </c>
    </row>
    <row r="10734">
      <c r="A10734" s="3" t="str">
        <f>IFERROR(__xludf.DUMMYFUNCTION("""COMPUTED_VALUE"""),"solid-protocol")</f>
        <v>solid-protocol</v>
      </c>
      <c r="B10734" s="3" t="str">
        <f>IFERROR(__xludf.DUMMYFUNCTION("""COMPUTED_VALUE"""),"solid")</f>
        <v>solid</v>
      </c>
      <c r="C10734" s="3" t="str">
        <f>IFERROR(__xludf.DUMMYFUNCTION("""COMPUTED_VALUE"""),"Solid Protocol")</f>
        <v>Solid Protocol</v>
      </c>
    </row>
    <row r="10735">
      <c r="A10735" s="3" t="str">
        <f>IFERROR(__xludf.DUMMYFUNCTION("""COMPUTED_VALUE"""),"solidsex-tokenized-vesolid")</f>
        <v>solidsex-tokenized-vesolid</v>
      </c>
      <c r="B10735" s="3" t="str">
        <f>IFERROR(__xludf.DUMMYFUNCTION("""COMPUTED_VALUE"""),"solidsex")</f>
        <v>solidsex</v>
      </c>
      <c r="C10735" s="3" t="str">
        <f>IFERROR(__xludf.DUMMYFUNCTION("""COMPUTED_VALUE"""),"SOLIDsex: Tokenized veSOLID")</f>
        <v>SOLIDsex: Tokenized veSOLID</v>
      </c>
    </row>
    <row r="10736">
      <c r="A10736" s="3" t="str">
        <f>IFERROR(__xludf.DUMMYFUNCTION("""COMPUTED_VALUE"""),"solily-protocol")</f>
        <v>solily-protocol</v>
      </c>
      <c r="B10736" s="3" t="str">
        <f>IFERROR(__xludf.DUMMYFUNCTION("""COMPUTED_VALUE"""),"lily")</f>
        <v>lily</v>
      </c>
      <c r="C10736" s="3" t="str">
        <f>IFERROR(__xludf.DUMMYFUNCTION("""COMPUTED_VALUE"""),"Solily Protocol")</f>
        <v>Solily Protocol</v>
      </c>
    </row>
    <row r="10737">
      <c r="A10737" s="3" t="str">
        <f>IFERROR(__xludf.DUMMYFUNCTION("""COMPUTED_VALUE"""),"solit")</f>
        <v>solit</v>
      </c>
      <c r="B10737" s="3" t="str">
        <f>IFERROR(__xludf.DUMMYFUNCTION("""COMPUTED_VALUE"""),"slt")</f>
        <v>slt</v>
      </c>
      <c r="C10737" s="3" t="str">
        <f>IFERROR(__xludf.DUMMYFUNCTION("""COMPUTED_VALUE"""),"Solit")</f>
        <v>Solit</v>
      </c>
    </row>
    <row r="10738">
      <c r="A10738" s="3" t="str">
        <f>IFERROR(__xludf.DUMMYFUNCTION("""COMPUTED_VALUE"""),"solminter")</f>
        <v>solminter</v>
      </c>
      <c r="B10738" s="3" t="str">
        <f>IFERROR(__xludf.DUMMYFUNCTION("""COMPUTED_VALUE"""),"smrt")</f>
        <v>smrt</v>
      </c>
      <c r="C10738" s="3" t="str">
        <f>IFERROR(__xludf.DUMMYFUNCTION("""COMPUTED_VALUE"""),"Solminter")</f>
        <v>Solminter</v>
      </c>
    </row>
    <row r="10739">
      <c r="A10739" s="3" t="str">
        <f>IFERROR(__xludf.DUMMYFUNCTION("""COMPUTED_VALUE"""),"solmoon")</f>
        <v>solmoon</v>
      </c>
      <c r="B10739" s="3" t="str">
        <f>IFERROR(__xludf.DUMMYFUNCTION("""COMPUTED_VALUE"""),"solmo")</f>
        <v>solmo</v>
      </c>
      <c r="C10739" s="3" t="str">
        <f>IFERROR(__xludf.DUMMYFUNCTION("""COMPUTED_VALUE"""),"SolMoon")</f>
        <v>SolMoon</v>
      </c>
    </row>
    <row r="10740">
      <c r="A10740" s="3" t="str">
        <f>IFERROR(__xludf.DUMMYFUNCTION("""COMPUTED_VALUE"""),"solo-coin")</f>
        <v>solo-coin</v>
      </c>
      <c r="B10740" s="3" t="str">
        <f>IFERROR(__xludf.DUMMYFUNCTION("""COMPUTED_VALUE"""),"solo")</f>
        <v>solo</v>
      </c>
      <c r="C10740" s="3" t="str">
        <f>IFERROR(__xludf.DUMMYFUNCTION("""COMPUTED_VALUE"""),"Sologenic")</f>
        <v>Sologenic</v>
      </c>
    </row>
    <row r="10741">
      <c r="A10741" s="3" t="str">
        <f>IFERROR(__xludf.DUMMYFUNCTION("""COMPUTED_VALUE"""),"solomon-defi")</f>
        <v>solomon-defi</v>
      </c>
      <c r="B10741" s="3" t="str">
        <f>IFERROR(__xludf.DUMMYFUNCTION("""COMPUTED_VALUE"""),"slm")</f>
        <v>slm</v>
      </c>
      <c r="C10741" s="3" t="str">
        <f>IFERROR(__xludf.DUMMYFUNCTION("""COMPUTED_VALUE"""),"Solomon Defi")</f>
        <v>Solomon Defi</v>
      </c>
    </row>
    <row r="10742">
      <c r="A10742" s="3" t="str">
        <f>IFERROR(__xludf.DUMMYFUNCTION("""COMPUTED_VALUE"""),"solootbox-dao")</f>
        <v>solootbox-dao</v>
      </c>
      <c r="B10742" s="3" t="str">
        <f>IFERROR(__xludf.DUMMYFUNCTION("""COMPUTED_VALUE"""),"box")</f>
        <v>box</v>
      </c>
      <c r="C10742" s="3" t="str">
        <f>IFERROR(__xludf.DUMMYFUNCTION("""COMPUTED_VALUE"""),"Solootbox DAO")</f>
        <v>Solootbox DAO</v>
      </c>
    </row>
    <row r="10743">
      <c r="A10743" s="3" t="str">
        <f>IFERROR(__xludf.DUMMYFUNCTION("""COMPUTED_VALUE"""),"solo-vault-nftx")</f>
        <v>solo-vault-nftx</v>
      </c>
      <c r="B10743" s="3" t="str">
        <f>IFERROR(__xludf.DUMMYFUNCTION("""COMPUTED_VALUE"""),"solo")</f>
        <v>solo</v>
      </c>
      <c r="C10743" s="3" t="str">
        <f>IFERROR(__xludf.DUMMYFUNCTION("""COMPUTED_VALUE"""),"SOLO Vault (NFTX)")</f>
        <v>SOLO Vault (NFTX)</v>
      </c>
    </row>
    <row r="10744">
      <c r="A10744" s="3" t="str">
        <f>IFERROR(__xludf.DUMMYFUNCTION("""COMPUTED_VALUE"""),"soloxcoin")</f>
        <v>soloxcoin</v>
      </c>
      <c r="B10744" s="3" t="str">
        <f>IFERROR(__xludf.DUMMYFUNCTION("""COMPUTED_VALUE"""),"sl")</f>
        <v>sl</v>
      </c>
      <c r="C10744" s="3" t="str">
        <f>IFERROR(__xludf.DUMMYFUNCTION("""COMPUTED_VALUE"""),"SoloxCoin")</f>
        <v>SoloxCoin</v>
      </c>
    </row>
    <row r="10745">
      <c r="A10745" s="3" t="str">
        <f>IFERROR(__xludf.DUMMYFUNCTION("""COMPUTED_VALUE"""),"solpad-finance")</f>
        <v>solpad-finance</v>
      </c>
      <c r="B10745" s="3" t="str">
        <f>IFERROR(__xludf.DUMMYFUNCTION("""COMPUTED_VALUE"""),"solpad")</f>
        <v>solpad</v>
      </c>
      <c r="C10745" s="3" t="str">
        <f>IFERROR(__xludf.DUMMYFUNCTION("""COMPUTED_VALUE"""),"Solpad Finance")</f>
        <v>Solpad Finance</v>
      </c>
    </row>
    <row r="10746">
      <c r="A10746" s="3" t="str">
        <f>IFERROR(__xludf.DUMMYFUNCTION("""COMPUTED_VALUE"""),"solpatrol-bail")</f>
        <v>solpatrol-bail</v>
      </c>
      <c r="B10746" s="3" t="str">
        <f>IFERROR(__xludf.DUMMYFUNCTION("""COMPUTED_VALUE"""),"bail")</f>
        <v>bail</v>
      </c>
      <c r="C10746" s="3" t="str">
        <f>IFERROR(__xludf.DUMMYFUNCTION("""COMPUTED_VALUE"""),"SolPatrol Bail")</f>
        <v>SolPatrol Bail</v>
      </c>
    </row>
    <row r="10747">
      <c r="A10747" s="3" t="str">
        <f>IFERROR(__xludf.DUMMYFUNCTION("""COMPUTED_VALUE"""),"solpay-finance")</f>
        <v>solpay-finance</v>
      </c>
      <c r="B10747" s="3" t="str">
        <f>IFERROR(__xludf.DUMMYFUNCTION("""COMPUTED_VALUE"""),"solpay")</f>
        <v>solpay</v>
      </c>
      <c r="C10747" s="3" t="str">
        <f>IFERROR(__xludf.DUMMYFUNCTION("""COMPUTED_VALUE"""),"SolPay Finance")</f>
        <v>SolPay Finance</v>
      </c>
    </row>
    <row r="10748">
      <c r="A10748" s="3" t="str">
        <f>IFERROR(__xludf.DUMMYFUNCTION("""COMPUTED_VALUE"""),"solrazr")</f>
        <v>solrazr</v>
      </c>
      <c r="B10748" s="3" t="str">
        <f>IFERROR(__xludf.DUMMYFUNCTION("""COMPUTED_VALUE"""),"solr")</f>
        <v>solr</v>
      </c>
      <c r="C10748" s="3" t="str">
        <f>IFERROR(__xludf.DUMMYFUNCTION("""COMPUTED_VALUE"""),"SolRazr")</f>
        <v>SolRazr</v>
      </c>
    </row>
    <row r="10749">
      <c r="A10749" s="3" t="str">
        <f>IFERROR(__xludf.DUMMYFUNCTION("""COMPUTED_VALUE"""),"solrise-finance")</f>
        <v>solrise-finance</v>
      </c>
      <c r="B10749" s="3" t="str">
        <f>IFERROR(__xludf.DUMMYFUNCTION("""COMPUTED_VALUE"""),"slrs")</f>
        <v>slrs</v>
      </c>
      <c r="C10749" s="3" t="str">
        <f>IFERROR(__xludf.DUMMYFUNCTION("""COMPUTED_VALUE"""),"Solrise Finance")</f>
        <v>Solrise Finance</v>
      </c>
    </row>
    <row r="10750">
      <c r="A10750" s="3" t="str">
        <f>IFERROR(__xludf.DUMMYFUNCTION("""COMPUTED_VALUE"""),"solster")</f>
        <v>solster</v>
      </c>
      <c r="B10750" s="3" t="str">
        <f>IFERROR(__xludf.DUMMYFUNCTION("""COMPUTED_VALUE"""),"str")</f>
        <v>str</v>
      </c>
      <c r="C10750" s="3" t="str">
        <f>IFERROR(__xludf.DUMMYFUNCTION("""COMPUTED_VALUE"""),"Solster")</f>
        <v>Solster</v>
      </c>
    </row>
    <row r="10751">
      <c r="A10751" s="3" t="str">
        <f>IFERROR(__xludf.DUMMYFUNCTION("""COMPUTED_VALUE"""),"soltato-fries")</f>
        <v>soltato-fries</v>
      </c>
      <c r="B10751" s="3" t="str">
        <f>IFERROR(__xludf.DUMMYFUNCTION("""COMPUTED_VALUE"""),"fries")</f>
        <v>fries</v>
      </c>
      <c r="C10751" s="3" t="str">
        <f>IFERROR(__xludf.DUMMYFUNCTION("""COMPUTED_VALUE"""),"Soltato FRIES")</f>
        <v>Soltato FRIES</v>
      </c>
    </row>
    <row r="10752">
      <c r="A10752" s="3" t="str">
        <f>IFERROR(__xludf.DUMMYFUNCTION("""COMPUTED_VALUE"""),"solum")</f>
        <v>solum</v>
      </c>
      <c r="B10752" s="3" t="str">
        <f>IFERROR(__xludf.DUMMYFUNCTION("""COMPUTED_VALUE"""),"solum")</f>
        <v>solum</v>
      </c>
      <c r="C10752" s="3" t="str">
        <f>IFERROR(__xludf.DUMMYFUNCTION("""COMPUTED_VALUE"""),"Solum")</f>
        <v>Solum</v>
      </c>
    </row>
    <row r="10753">
      <c r="A10753" s="3" t="str">
        <f>IFERROR(__xludf.DUMMYFUNCTION("""COMPUTED_VALUE"""),"soluna")</f>
        <v>soluna</v>
      </c>
      <c r="B10753" s="3" t="str">
        <f>IFERROR(__xludf.DUMMYFUNCTION("""COMPUTED_VALUE"""),"slna")</f>
        <v>slna</v>
      </c>
      <c r="C10753" s="3" t="str">
        <f>IFERROR(__xludf.DUMMYFUNCTION("""COMPUTED_VALUE"""),"Soluna")</f>
        <v>Soluna</v>
      </c>
    </row>
    <row r="10754">
      <c r="A10754" s="3" t="str">
        <f>IFERROR(__xludf.DUMMYFUNCTION("""COMPUTED_VALUE"""),"solunavax-index")</f>
        <v>solunavax-index</v>
      </c>
      <c r="B10754" s="3" t="str">
        <f>IFERROR(__xludf.DUMMYFUNCTION("""COMPUTED_VALUE"""),"solunavax")</f>
        <v>solunavax</v>
      </c>
      <c r="C10754" s="3" t="str">
        <f>IFERROR(__xludf.DUMMYFUNCTION("""COMPUTED_VALUE"""),"SOLUNAVAX Index")</f>
        <v>SOLUNAVAX Index</v>
      </c>
    </row>
    <row r="10755">
      <c r="A10755" s="3" t="str">
        <f>IFERROR(__xludf.DUMMYFUNCTION("""COMPUTED_VALUE"""),"solust")</f>
        <v>solust</v>
      </c>
      <c r="B10755" s="3" t="str">
        <f>IFERROR(__xludf.DUMMYFUNCTION("""COMPUTED_VALUE"""),"solust")</f>
        <v>solust</v>
      </c>
      <c r="C10755" s="3" t="str">
        <f>IFERROR(__xludf.DUMMYFUNCTION("""COMPUTED_VALUE"""),"solUST")</f>
        <v>solUST</v>
      </c>
    </row>
    <row r="10756">
      <c r="A10756" s="3" t="str">
        <f>IFERROR(__xludf.DUMMYFUNCTION("""COMPUTED_VALUE"""),"solve-care")</f>
        <v>solve-care</v>
      </c>
      <c r="B10756" s="3" t="str">
        <f>IFERROR(__xludf.DUMMYFUNCTION("""COMPUTED_VALUE"""),"solve")</f>
        <v>solve</v>
      </c>
      <c r="C10756" s="3" t="str">
        <f>IFERROR(__xludf.DUMMYFUNCTION("""COMPUTED_VALUE"""),"SOLVE")</f>
        <v>SOLVE</v>
      </c>
    </row>
    <row r="10757">
      <c r="A10757" s="3" t="str">
        <f>IFERROR(__xludf.DUMMYFUNCTION("""COMPUTED_VALUE"""),"solvent")</f>
        <v>solvent</v>
      </c>
      <c r="B10757" s="3" t="str">
        <f>IFERROR(__xludf.DUMMYFUNCTION("""COMPUTED_VALUE"""),"svt")</f>
        <v>svt</v>
      </c>
      <c r="C10757" s="3" t="str">
        <f>IFERROR(__xludf.DUMMYFUNCTION("""COMPUTED_VALUE"""),"Solvent")</f>
        <v>Solvent</v>
      </c>
    </row>
    <row r="10758">
      <c r="A10758" s="3" t="str">
        <f>IFERROR(__xludf.DUMMYFUNCTION("""COMPUTED_VALUE"""),"solvia")</f>
        <v>solvia</v>
      </c>
      <c r="B10758" s="3" t="str">
        <f>IFERROR(__xludf.DUMMYFUNCTION("""COMPUTED_VALUE"""),"sva")</f>
        <v>sva</v>
      </c>
      <c r="C10758" s="3" t="str">
        <f>IFERROR(__xludf.DUMMYFUNCTION("""COMPUTED_VALUE"""),"Solvia")</f>
        <v>Solvia</v>
      </c>
    </row>
    <row r="10759">
      <c r="A10759" s="3" t="str">
        <f>IFERROR(__xludf.DUMMYFUNCTION("""COMPUTED_VALUE"""),"solview")</f>
        <v>solview</v>
      </c>
      <c r="B10759" s="3" t="str">
        <f>IFERROR(__xludf.DUMMYFUNCTION("""COMPUTED_VALUE"""),"solv")</f>
        <v>solv</v>
      </c>
      <c r="C10759" s="3" t="str">
        <f>IFERROR(__xludf.DUMMYFUNCTION("""COMPUTED_VALUE"""),"Solview")</f>
        <v>Solview</v>
      </c>
    </row>
    <row r="10760">
      <c r="A10760" s="3" t="str">
        <f>IFERROR(__xludf.DUMMYFUNCTION("""COMPUTED_VALUE"""),"solv-protocol")</f>
        <v>solv-protocol</v>
      </c>
      <c r="B10760" s="3" t="str">
        <f>IFERROR(__xludf.DUMMYFUNCTION("""COMPUTED_VALUE"""),"solv")</f>
        <v>solv</v>
      </c>
      <c r="C10760" s="3" t="str">
        <f>IFERROR(__xludf.DUMMYFUNCTION("""COMPUTED_VALUE"""),"Solv Protocol")</f>
        <v>Solv Protocol</v>
      </c>
    </row>
    <row r="10761">
      <c r="A10761" s="3" t="str">
        <f>IFERROR(__xludf.DUMMYFUNCTION("""COMPUTED_VALUE"""),"sol-wormhole")</f>
        <v>sol-wormhole</v>
      </c>
      <c r="B10761" s="3" t="str">
        <f>IFERROR(__xludf.DUMMYFUNCTION("""COMPUTED_VALUE"""),"sol")</f>
        <v>sol</v>
      </c>
      <c r="C10761" s="3" t="str">
        <f>IFERROR(__xludf.DUMMYFUNCTION("""COMPUTED_VALUE"""),"SOL (Wormhole)")</f>
        <v>SOL (Wormhole)</v>
      </c>
    </row>
    <row r="10762">
      <c r="A10762" s="3" t="str">
        <f>IFERROR(__xludf.DUMMYFUNCTION("""COMPUTED_VALUE"""),"solx-gaming-guild")</f>
        <v>solx-gaming-guild</v>
      </c>
      <c r="B10762" s="3" t="str">
        <f>IFERROR(__xludf.DUMMYFUNCTION("""COMPUTED_VALUE"""),"sgg")</f>
        <v>sgg</v>
      </c>
      <c r="C10762" s="3" t="str">
        <f>IFERROR(__xludf.DUMMYFUNCTION("""COMPUTED_VALUE"""),"SolX Gaming Guild")</f>
        <v>SolX Gaming Guild</v>
      </c>
    </row>
    <row r="10763">
      <c r="A10763" s="3" t="str">
        <f>IFERROR(__xludf.DUMMYFUNCTION("""COMPUTED_VALUE"""),"solyard-finance")</f>
        <v>solyard-finance</v>
      </c>
      <c r="B10763" s="3" t="str">
        <f>IFERROR(__xludf.DUMMYFUNCTION("""COMPUTED_VALUE"""),"yard")</f>
        <v>yard</v>
      </c>
      <c r="C10763" s="3" t="str">
        <f>IFERROR(__xludf.DUMMYFUNCTION("""COMPUTED_VALUE"""),"Solyard Finance")</f>
        <v>Solyard Finance</v>
      </c>
    </row>
    <row r="10764">
      <c r="A10764" s="3" t="str">
        <f>IFERROR(__xludf.DUMMYFUNCTION("""COMPUTED_VALUE"""),"sombra-network")</f>
        <v>sombra-network</v>
      </c>
      <c r="B10764" s="3" t="str">
        <f>IFERROR(__xludf.DUMMYFUNCTION("""COMPUTED_VALUE"""),"smbr")</f>
        <v>smbr</v>
      </c>
      <c r="C10764" s="3" t="str">
        <f>IFERROR(__xludf.DUMMYFUNCTION("""COMPUTED_VALUE"""),"Sombra")</f>
        <v>Sombra</v>
      </c>
    </row>
    <row r="10765">
      <c r="A10765" s="3" t="str">
        <f>IFERROR(__xludf.DUMMYFUNCTION("""COMPUTED_VALUE"""),"somdej")</f>
        <v>somdej</v>
      </c>
      <c r="B10765" s="3" t="str">
        <f>IFERROR(__xludf.DUMMYFUNCTION("""COMPUTED_VALUE"""),"sdc")</f>
        <v>sdc</v>
      </c>
      <c r="C10765" s="3" t="str">
        <f>IFERROR(__xludf.DUMMYFUNCTION("""COMPUTED_VALUE"""),"Somdej")</f>
        <v>Somdej</v>
      </c>
    </row>
    <row r="10766">
      <c r="A10766" s="3" t="str">
        <f>IFERROR(__xludf.DUMMYFUNCTION("""COMPUTED_VALUE"""),"somee-advertising-token")</f>
        <v>somee-advertising-token</v>
      </c>
      <c r="B10766" s="3" t="str">
        <f>IFERROR(__xludf.DUMMYFUNCTION("""COMPUTED_VALUE"""),"sat")</f>
        <v>sat</v>
      </c>
      <c r="C10766" s="3" t="str">
        <f>IFERROR(__xludf.DUMMYFUNCTION("""COMPUTED_VALUE"""),"SoMee Advertising")</f>
        <v>SoMee Advertising</v>
      </c>
    </row>
    <row r="10767">
      <c r="A10767" s="3" t="str">
        <f>IFERROR(__xludf.DUMMYFUNCTION("""COMPUTED_VALUE"""),"somee-social")</f>
        <v>somee-social</v>
      </c>
      <c r="B10767" s="3" t="str">
        <f>IFERROR(__xludf.DUMMYFUNCTION("""COMPUTED_VALUE"""),"somee")</f>
        <v>somee</v>
      </c>
      <c r="C10767" s="3" t="str">
        <f>IFERROR(__xludf.DUMMYFUNCTION("""COMPUTED_VALUE"""),"SoMee.Social")</f>
        <v>SoMee.Social</v>
      </c>
    </row>
    <row r="10768">
      <c r="A10768" s="3" t="str">
        <f>IFERROR(__xludf.DUMMYFUNCTION("""COMPUTED_VALUE"""),"somee-social-old")</f>
        <v>somee-social-old</v>
      </c>
      <c r="B10768" s="3" t="str">
        <f>IFERROR(__xludf.DUMMYFUNCTION("""COMPUTED_VALUE"""),"ong")</f>
        <v>ong</v>
      </c>
      <c r="C10768" s="3" t="str">
        <f>IFERROR(__xludf.DUMMYFUNCTION("""COMPUTED_VALUE"""),"SoMee.Social [OLD]")</f>
        <v>SoMee.Social [OLD]</v>
      </c>
    </row>
    <row r="10769">
      <c r="A10769" s="3" t="str">
        <f>IFERROR(__xludf.DUMMYFUNCTION("""COMPUTED_VALUE"""),"somesing")</f>
        <v>somesing</v>
      </c>
      <c r="B10769" s="3" t="str">
        <f>IFERROR(__xludf.DUMMYFUNCTION("""COMPUTED_VALUE"""),"ssx")</f>
        <v>ssx</v>
      </c>
      <c r="C10769" s="3" t="str">
        <f>IFERROR(__xludf.DUMMYFUNCTION("""COMPUTED_VALUE"""),"SOMESING")</f>
        <v>SOMESING</v>
      </c>
    </row>
    <row r="10770">
      <c r="A10770" s="3" t="str">
        <f>IFERROR(__xludf.DUMMYFUNCTION("""COMPUTED_VALUE"""),"sommelier")</f>
        <v>sommelier</v>
      </c>
      <c r="B10770" s="3" t="str">
        <f>IFERROR(__xludf.DUMMYFUNCTION("""COMPUTED_VALUE"""),"somm")</f>
        <v>somm</v>
      </c>
      <c r="C10770" s="3" t="str">
        <f>IFERROR(__xludf.DUMMYFUNCTION("""COMPUTED_VALUE"""),"Sommelier")</f>
        <v>Sommelier</v>
      </c>
    </row>
    <row r="10771">
      <c r="A10771" s="3" t="str">
        <f>IFERROR(__xludf.DUMMYFUNCTION("""COMPUTED_VALUE"""),"somnium")</f>
        <v>somnium</v>
      </c>
      <c r="B10771" s="3" t="str">
        <f>IFERROR(__xludf.DUMMYFUNCTION("""COMPUTED_VALUE"""),"som")</f>
        <v>som</v>
      </c>
      <c r="C10771" s="3" t="str">
        <f>IFERROR(__xludf.DUMMYFUNCTION("""COMPUTED_VALUE"""),"Somnium")</f>
        <v>Somnium</v>
      </c>
    </row>
    <row r="10772">
      <c r="A10772" s="3" t="str">
        <f>IFERROR(__xludf.DUMMYFUNCTION("""COMPUTED_VALUE"""),"somnium-space-cubes")</f>
        <v>somnium-space-cubes</v>
      </c>
      <c r="B10772" s="3" t="str">
        <f>IFERROR(__xludf.DUMMYFUNCTION("""COMPUTED_VALUE"""),"cube")</f>
        <v>cube</v>
      </c>
      <c r="C10772" s="3" t="str">
        <f>IFERROR(__xludf.DUMMYFUNCTION("""COMPUTED_VALUE"""),"Somnium Space CUBEs")</f>
        <v>Somnium Space CUBEs</v>
      </c>
    </row>
    <row r="10773">
      <c r="A10773" s="3" t="str">
        <f>IFERROR(__xludf.DUMMYFUNCTION("""COMPUTED_VALUE"""),"sonar")</f>
        <v>sonar</v>
      </c>
      <c r="B10773" s="3" t="str">
        <f>IFERROR(__xludf.DUMMYFUNCTION("""COMPUTED_VALUE"""),"ping")</f>
        <v>ping</v>
      </c>
      <c r="C10773" s="3" t="str">
        <f>IFERROR(__xludf.DUMMYFUNCTION("""COMPUTED_VALUE"""),"Sonar")</f>
        <v>Sonar</v>
      </c>
    </row>
    <row r="10774">
      <c r="A10774" s="3" t="str">
        <f>IFERROR(__xludf.DUMMYFUNCTION("""COMPUTED_VALUE"""),"sonarwatch")</f>
        <v>sonarwatch</v>
      </c>
      <c r="B10774" s="3" t="str">
        <f>IFERROR(__xludf.DUMMYFUNCTION("""COMPUTED_VALUE"""),"sonar")</f>
        <v>sonar</v>
      </c>
      <c r="C10774" s="3" t="str">
        <f>IFERROR(__xludf.DUMMYFUNCTION("""COMPUTED_VALUE"""),"SonarWatch")</f>
        <v>SonarWatch</v>
      </c>
    </row>
    <row r="10775">
      <c r="A10775" s="3" t="str">
        <f>IFERROR(__xludf.DUMMYFUNCTION("""COMPUTED_VALUE"""),"songbird")</f>
        <v>songbird</v>
      </c>
      <c r="B10775" s="3" t="str">
        <f>IFERROR(__xludf.DUMMYFUNCTION("""COMPUTED_VALUE"""),"sgb")</f>
        <v>sgb</v>
      </c>
      <c r="C10775" s="3" t="str">
        <f>IFERROR(__xludf.DUMMYFUNCTION("""COMPUTED_VALUE"""),"Songbird")</f>
        <v>Songbird</v>
      </c>
    </row>
    <row r="10776">
      <c r="A10776" s="3" t="str">
        <f>IFERROR(__xludf.DUMMYFUNCTION("""COMPUTED_VALUE"""),"songcoin")</f>
        <v>songcoin</v>
      </c>
      <c r="B10776" s="3" t="str">
        <f>IFERROR(__xludf.DUMMYFUNCTION("""COMPUTED_VALUE"""),"song")</f>
        <v>song</v>
      </c>
      <c r="C10776" s="3" t="str">
        <f>IFERROR(__xludf.DUMMYFUNCTION("""COMPUTED_VALUE"""),"SongCoin")</f>
        <v>SongCoin</v>
      </c>
    </row>
    <row r="10777">
      <c r="A10777" s="3" t="str">
        <f>IFERROR(__xludf.DUMMYFUNCTION("""COMPUTED_VALUE"""),"sonm")</f>
        <v>sonm</v>
      </c>
      <c r="B10777" s="3" t="str">
        <f>IFERROR(__xludf.DUMMYFUNCTION("""COMPUTED_VALUE"""),"snm")</f>
        <v>snm</v>
      </c>
      <c r="C10777" s="3" t="str">
        <f>IFERROR(__xludf.DUMMYFUNCTION("""COMPUTED_VALUE"""),"SONM")</f>
        <v>SONM</v>
      </c>
    </row>
    <row r="10778">
      <c r="A10778" s="3" t="str">
        <f>IFERROR(__xludf.DUMMYFUNCTION("""COMPUTED_VALUE"""),"sonne-finance")</f>
        <v>sonne-finance</v>
      </c>
      <c r="B10778" s="3" t="str">
        <f>IFERROR(__xludf.DUMMYFUNCTION("""COMPUTED_VALUE"""),"sonne")</f>
        <v>sonne</v>
      </c>
      <c r="C10778" s="3" t="str">
        <f>IFERROR(__xludf.DUMMYFUNCTION("""COMPUTED_VALUE"""),"Sonne Finance")</f>
        <v>Sonne Finance</v>
      </c>
    </row>
    <row r="10779">
      <c r="A10779" s="3" t="str">
        <f>IFERROR(__xludf.DUMMYFUNCTION("""COMPUTED_VALUE"""),"sonocoin")</f>
        <v>sonocoin</v>
      </c>
      <c r="B10779" s="3" t="str">
        <f>IFERROR(__xludf.DUMMYFUNCTION("""COMPUTED_VALUE"""),"sono")</f>
        <v>sono</v>
      </c>
      <c r="C10779" s="3" t="str">
        <f>IFERROR(__xludf.DUMMYFUNCTION("""COMPUTED_VALUE"""),"SonoCoin")</f>
        <v>SonoCoin</v>
      </c>
    </row>
    <row r="10780">
      <c r="A10780" s="3" t="str">
        <f>IFERROR(__xludf.DUMMYFUNCTION("""COMPUTED_VALUE"""),"son-of-doge-v2")</f>
        <v>son-of-doge-v2</v>
      </c>
      <c r="B10780" s="3" t="str">
        <f>IFERROR(__xludf.DUMMYFUNCTION("""COMPUTED_VALUE"""),"sod")</f>
        <v>sod</v>
      </c>
      <c r="C10780" s="3" t="str">
        <f>IFERROR(__xludf.DUMMYFUNCTION("""COMPUTED_VALUE"""),"Son of Doge")</f>
        <v>Son of Doge</v>
      </c>
    </row>
    <row r="10781">
      <c r="A10781" s="3" t="str">
        <f>IFERROR(__xludf.DUMMYFUNCTION("""COMPUTED_VALUE"""),"sonofshib")</f>
        <v>sonofshib</v>
      </c>
      <c r="B10781" s="3" t="str">
        <f>IFERROR(__xludf.DUMMYFUNCTION("""COMPUTED_VALUE"""),"son")</f>
        <v>son</v>
      </c>
      <c r="C10781" s="3" t="str">
        <f>IFERROR(__xludf.DUMMYFUNCTION("""COMPUTED_VALUE"""),"SONofSHIB")</f>
        <v>SONofSHIB</v>
      </c>
    </row>
    <row r="10782">
      <c r="A10782" s="3" t="str">
        <f>IFERROR(__xludf.DUMMYFUNCTION("""COMPUTED_VALUE"""),"soonaverse")</f>
        <v>soonaverse</v>
      </c>
      <c r="B10782" s="3" t="str">
        <f>IFERROR(__xludf.DUMMYFUNCTION("""COMPUTED_VALUE"""),"soon")</f>
        <v>soon</v>
      </c>
      <c r="C10782" s="3" t="str">
        <f>IFERROR(__xludf.DUMMYFUNCTION("""COMPUTED_VALUE"""),"Soonaverse")</f>
        <v>Soonaverse</v>
      </c>
    </row>
    <row r="10783">
      <c r="A10783" s="3" t="str">
        <f>IFERROR(__xludf.DUMMYFUNCTION("""COMPUTED_VALUE"""),"sopay")</f>
        <v>sopay</v>
      </c>
      <c r="B10783" s="3" t="str">
        <f>IFERROR(__xludf.DUMMYFUNCTION("""COMPUTED_VALUE"""),"sop")</f>
        <v>sop</v>
      </c>
      <c r="C10783" s="3" t="str">
        <f>IFERROR(__xludf.DUMMYFUNCTION("""COMPUTED_VALUE"""),"SoPay")</f>
        <v>SoPay</v>
      </c>
    </row>
    <row r="10784">
      <c r="A10784" s="3" t="str">
        <f>IFERROR(__xludf.DUMMYFUNCTION("""COMPUTED_VALUE"""),"sophiatx")</f>
        <v>sophiatx</v>
      </c>
      <c r="B10784" s="3" t="str">
        <f>IFERROR(__xludf.DUMMYFUNCTION("""COMPUTED_VALUE"""),"sphtx")</f>
        <v>sphtx</v>
      </c>
      <c r="C10784" s="3" t="str">
        <f>IFERROR(__xludf.DUMMYFUNCTION("""COMPUTED_VALUE"""),"SophiaTX")</f>
        <v>SophiaTX</v>
      </c>
    </row>
    <row r="10785">
      <c r="A10785" s="3" t="str">
        <f>IFERROR(__xludf.DUMMYFUNCTION("""COMPUTED_VALUE"""),"sora")</f>
        <v>sora</v>
      </c>
      <c r="B10785" s="3" t="str">
        <f>IFERROR(__xludf.DUMMYFUNCTION("""COMPUTED_VALUE"""),"xor")</f>
        <v>xor</v>
      </c>
      <c r="C10785" s="3" t="str">
        <f>IFERROR(__xludf.DUMMYFUNCTION("""COMPUTED_VALUE"""),"Sora")</f>
        <v>Sora</v>
      </c>
    </row>
    <row r="10786">
      <c r="A10786" s="3" t="str">
        <f>IFERROR(__xludf.DUMMYFUNCTION("""COMPUTED_VALUE"""),"sorachancoin")</f>
        <v>sorachancoin</v>
      </c>
      <c r="B10786" s="3" t="str">
        <f>IFERROR(__xludf.DUMMYFUNCTION("""COMPUTED_VALUE"""),"sora")</f>
        <v>sora</v>
      </c>
      <c r="C10786" s="3" t="str">
        <f>IFERROR(__xludf.DUMMYFUNCTION("""COMPUTED_VALUE"""),"SorachanCoin")</f>
        <v>SorachanCoin</v>
      </c>
    </row>
    <row r="10787">
      <c r="A10787" s="3" t="str">
        <f>IFERROR(__xludf.DUMMYFUNCTION("""COMPUTED_VALUE"""),"sora-synthetics")</f>
        <v>sora-synthetics</v>
      </c>
      <c r="B10787" s="3" t="str">
        <f>IFERROR(__xludf.DUMMYFUNCTION("""COMPUTED_VALUE"""),"xst")</f>
        <v>xst</v>
      </c>
      <c r="C10787" s="3" t="str">
        <f>IFERROR(__xludf.DUMMYFUNCTION("""COMPUTED_VALUE"""),"SORA Synthetics")</f>
        <v>SORA Synthetics</v>
      </c>
    </row>
    <row r="10788">
      <c r="A10788" s="3" t="str">
        <f>IFERROR(__xludf.DUMMYFUNCTION("""COMPUTED_VALUE"""),"sora-synthetic-usd")</f>
        <v>sora-synthetic-usd</v>
      </c>
      <c r="B10788" s="3" t="str">
        <f>IFERROR(__xludf.DUMMYFUNCTION("""COMPUTED_VALUE"""),"xstusd")</f>
        <v>xstusd</v>
      </c>
      <c r="C10788" s="3" t="str">
        <f>IFERROR(__xludf.DUMMYFUNCTION("""COMPUTED_VALUE"""),"SORA Synthetic USD")</f>
        <v>SORA Synthetic USD</v>
      </c>
    </row>
    <row r="10789">
      <c r="A10789" s="3" t="str">
        <f>IFERROR(__xludf.DUMMYFUNCTION("""COMPUTED_VALUE"""),"sora-validator-token")</f>
        <v>sora-validator-token</v>
      </c>
      <c r="B10789" s="3" t="str">
        <f>IFERROR(__xludf.DUMMYFUNCTION("""COMPUTED_VALUE"""),"val")</f>
        <v>val</v>
      </c>
      <c r="C10789" s="3" t="str">
        <f>IFERROR(__xludf.DUMMYFUNCTION("""COMPUTED_VALUE"""),"Sora Validator")</f>
        <v>Sora Validator</v>
      </c>
    </row>
    <row r="10790">
      <c r="A10790" s="3" t="str">
        <f>IFERROR(__xludf.DUMMYFUNCTION("""COMPUTED_VALUE"""),"sosf")</f>
        <v>sosf</v>
      </c>
      <c r="B10790" s="3" t="str">
        <f>IFERROR(__xludf.DUMMYFUNCTION("""COMPUTED_VALUE"""),"sosf")</f>
        <v>sosf</v>
      </c>
      <c r="C10790" s="3" t="str">
        <f>IFERROR(__xludf.DUMMYFUNCTION("""COMPUTED_VALUE"""),"SOS Fidelity")</f>
        <v>SOS Fidelity</v>
      </c>
    </row>
    <row r="10791">
      <c r="A10791" s="3" t="str">
        <f>IFERROR(__xludf.DUMMYFUNCTION("""COMPUTED_VALUE"""),"sos-foundation")</f>
        <v>sos-foundation</v>
      </c>
      <c r="B10791" s="3" t="str">
        <f>IFERROR(__xludf.DUMMYFUNCTION("""COMPUTED_VALUE"""),"sos")</f>
        <v>sos</v>
      </c>
      <c r="C10791" s="3" t="str">
        <f>IFERROR(__xludf.DUMMYFUNCTION("""COMPUTED_VALUE"""),"SOS Foundation")</f>
        <v>SOS Foundation</v>
      </c>
    </row>
    <row r="10792">
      <c r="A10792" s="3" t="str">
        <f>IFERROR(__xludf.DUMMYFUNCTION("""COMPUTED_VALUE"""),"sota-finance")</f>
        <v>sota-finance</v>
      </c>
      <c r="B10792" s="3" t="str">
        <f>IFERROR(__xludf.DUMMYFUNCTION("""COMPUTED_VALUE"""),"sota")</f>
        <v>sota</v>
      </c>
      <c r="C10792" s="3" t="str">
        <f>IFERROR(__xludf.DUMMYFUNCTION("""COMPUTED_VALUE"""),"SOTA Finance")</f>
        <v>SOTA Finance</v>
      </c>
    </row>
    <row r="10793">
      <c r="A10793" s="3" t="str">
        <f>IFERROR(__xludf.DUMMYFUNCTION("""COMPUTED_VALUE"""),"soul-dog-city-bones")</f>
        <v>soul-dog-city-bones</v>
      </c>
      <c r="B10793" s="3" t="str">
        <f>IFERROR(__xludf.DUMMYFUNCTION("""COMPUTED_VALUE"""),"bones")</f>
        <v>bones</v>
      </c>
      <c r="C10793" s="3" t="str">
        <f>IFERROR(__xludf.DUMMYFUNCTION("""COMPUTED_VALUE"""),"Soul Dogs City Bones")</f>
        <v>Soul Dogs City Bones</v>
      </c>
    </row>
    <row r="10794">
      <c r="A10794" s="3" t="str">
        <f>IFERROR(__xludf.DUMMYFUNCTION("""COMPUTED_VALUE"""),"soulocoin")</f>
        <v>soulocoin</v>
      </c>
      <c r="B10794" s="3" t="str">
        <f>IFERROR(__xludf.DUMMYFUNCTION("""COMPUTED_VALUE"""),"soulo")</f>
        <v>soulo</v>
      </c>
      <c r="C10794" s="3" t="str">
        <f>IFERROR(__xludf.DUMMYFUNCTION("""COMPUTED_VALUE"""),"SouloCoin")</f>
        <v>SouloCoin</v>
      </c>
    </row>
    <row r="10795">
      <c r="A10795" s="3" t="str">
        <f>IFERROR(__xludf.DUMMYFUNCTION("""COMPUTED_VALUE"""),"soulsaver")</f>
        <v>soulsaver</v>
      </c>
      <c r="B10795" s="3" t="str">
        <f>IFERROR(__xludf.DUMMYFUNCTION("""COMPUTED_VALUE"""),"soul")</f>
        <v>soul</v>
      </c>
      <c r="C10795" s="3" t="str">
        <f>IFERROR(__xludf.DUMMYFUNCTION("""COMPUTED_VALUE"""),"Soulsaver")</f>
        <v>Soulsaver</v>
      </c>
    </row>
    <row r="10796">
      <c r="A10796" s="3" t="str">
        <f>IFERROR(__xludf.DUMMYFUNCTION("""COMPUTED_VALUE"""),"souls-of-meta")</f>
        <v>souls-of-meta</v>
      </c>
      <c r="B10796" s="3" t="str">
        <f>IFERROR(__xludf.DUMMYFUNCTION("""COMPUTED_VALUE"""),"som")</f>
        <v>som</v>
      </c>
      <c r="C10796" s="3" t="str">
        <f>IFERROR(__xludf.DUMMYFUNCTION("""COMPUTED_VALUE"""),"Souls of Meta")</f>
        <v>Souls of Meta</v>
      </c>
    </row>
    <row r="10797">
      <c r="A10797" s="3" t="str">
        <f>IFERROR(__xludf.DUMMYFUNCTION("""COMPUTED_VALUE"""),"soul-stone")</f>
        <v>soul-stone</v>
      </c>
      <c r="B10797" s="3" t="str">
        <f>IFERROR(__xludf.DUMMYFUNCTION("""COMPUTED_VALUE"""),"sst")</f>
        <v>sst</v>
      </c>
      <c r="C10797" s="3" t="str">
        <f>IFERROR(__xludf.DUMMYFUNCTION("""COMPUTED_VALUE"""),"Soul Stone")</f>
        <v>Soul Stone</v>
      </c>
    </row>
    <row r="10798">
      <c r="A10798" s="3" t="str">
        <f>IFERROR(__xludf.DUMMYFUNCTION("""COMPUTED_VALUE"""),"soul-swap")</f>
        <v>soul-swap</v>
      </c>
      <c r="B10798" s="3" t="str">
        <f>IFERROR(__xludf.DUMMYFUNCTION("""COMPUTED_VALUE"""),"soul")</f>
        <v>soul</v>
      </c>
      <c r="C10798" s="3" t="str">
        <f>IFERROR(__xludf.DUMMYFUNCTION("""COMPUTED_VALUE"""),"Soul Swap")</f>
        <v>Soul Swap</v>
      </c>
    </row>
    <row r="10799">
      <c r="A10799" s="3" t="str">
        <f>IFERROR(__xludf.DUMMYFUNCTION("""COMPUTED_VALUE"""),"sound-coin")</f>
        <v>sound-coin</v>
      </c>
      <c r="B10799" s="3" t="str">
        <f>IFERROR(__xludf.DUMMYFUNCTION("""COMPUTED_VALUE"""),"sound")</f>
        <v>sound</v>
      </c>
      <c r="C10799" s="3" t="str">
        <f>IFERROR(__xludf.DUMMYFUNCTION("""COMPUTED_VALUE"""),"Sound Coin")</f>
        <v>Sound Coin</v>
      </c>
    </row>
    <row r="10800">
      <c r="A10800" s="3" t="str">
        <f>IFERROR(__xludf.DUMMYFUNCTION("""COMPUTED_VALUE"""),"souni-token")</f>
        <v>souni-token</v>
      </c>
      <c r="B10800" s="3" t="str">
        <f>IFERROR(__xludf.DUMMYFUNCTION("""COMPUTED_VALUE"""),"son")</f>
        <v>son</v>
      </c>
      <c r="C10800" s="3" t="str">
        <f>IFERROR(__xludf.DUMMYFUNCTION("""COMPUTED_VALUE"""),"Souni")</f>
        <v>Souni</v>
      </c>
    </row>
    <row r="10801">
      <c r="A10801" s="3" t="str">
        <f>IFERROR(__xludf.DUMMYFUNCTION("""COMPUTED_VALUE"""),"sourceless")</f>
        <v>sourceless</v>
      </c>
      <c r="B10801" s="3" t="str">
        <f>IFERROR(__xludf.DUMMYFUNCTION("""COMPUTED_VALUE"""),"str")</f>
        <v>str</v>
      </c>
      <c r="C10801" s="3" t="str">
        <f>IFERROR(__xludf.DUMMYFUNCTION("""COMPUTED_VALUE"""),"Sourceless")</f>
        <v>Sourceless</v>
      </c>
    </row>
    <row r="10802">
      <c r="A10802" s="3" t="str">
        <f>IFERROR(__xludf.DUMMYFUNCTION("""COMPUTED_VALUE"""),"source-protocol")</f>
        <v>source-protocol</v>
      </c>
      <c r="B10802" s="3" t="str">
        <f>IFERROR(__xludf.DUMMYFUNCTION("""COMPUTED_VALUE"""),"srcx")</f>
        <v>srcx</v>
      </c>
      <c r="C10802" s="3" t="str">
        <f>IFERROR(__xludf.DUMMYFUNCTION("""COMPUTED_VALUE"""),"Source Protocol")</f>
        <v>Source Protocol</v>
      </c>
    </row>
    <row r="10803">
      <c r="A10803" s="3" t="str">
        <f>IFERROR(__xludf.DUMMYFUNCTION("""COMPUTED_VALUE"""),"southxchange-coin")</f>
        <v>southxchange-coin</v>
      </c>
      <c r="B10803" s="3" t="str">
        <f>IFERROR(__xludf.DUMMYFUNCTION("""COMPUTED_VALUE"""),"sxcc")</f>
        <v>sxcc</v>
      </c>
      <c r="C10803" s="3" t="str">
        <f>IFERROR(__xludf.DUMMYFUNCTION("""COMPUTED_VALUE"""),"SouthXchange Coin")</f>
        <v>SouthXchange Coin</v>
      </c>
    </row>
    <row r="10804">
      <c r="A10804" s="3" t="str">
        <f>IFERROR(__xludf.DUMMYFUNCTION("""COMPUTED_VALUE"""),"sov")</f>
        <v>sov</v>
      </c>
      <c r="B10804" s="3" t="str">
        <f>IFERROR(__xludf.DUMMYFUNCTION("""COMPUTED_VALUE"""),"sov")</f>
        <v>sov</v>
      </c>
      <c r="C10804" s="3" t="str">
        <f>IFERROR(__xludf.DUMMYFUNCTION("""COMPUTED_VALUE"""),"SOV")</f>
        <v>SOV</v>
      </c>
    </row>
    <row r="10805">
      <c r="A10805" s="3" t="str">
        <f>IFERROR(__xludf.DUMMYFUNCTION("""COMPUTED_VALUE"""),"sovi-token")</f>
        <v>sovi-token</v>
      </c>
      <c r="B10805" s="3" t="str">
        <f>IFERROR(__xludf.DUMMYFUNCTION("""COMPUTED_VALUE"""),"sovi")</f>
        <v>sovi</v>
      </c>
      <c r="C10805" s="3" t="str">
        <f>IFERROR(__xludf.DUMMYFUNCTION("""COMPUTED_VALUE"""),"Sovi")</f>
        <v>Sovi</v>
      </c>
    </row>
    <row r="10806">
      <c r="A10806" s="3" t="str">
        <f>IFERROR(__xludf.DUMMYFUNCTION("""COMPUTED_VALUE"""),"sovryn")</f>
        <v>sovryn</v>
      </c>
      <c r="B10806" s="3" t="str">
        <f>IFERROR(__xludf.DUMMYFUNCTION("""COMPUTED_VALUE"""),"sov")</f>
        <v>sov</v>
      </c>
      <c r="C10806" s="3" t="str">
        <f>IFERROR(__xludf.DUMMYFUNCTION("""COMPUTED_VALUE"""),"Sovryn")</f>
        <v>Sovryn</v>
      </c>
    </row>
    <row r="10807">
      <c r="A10807" s="3" t="str">
        <f>IFERROR(__xludf.DUMMYFUNCTION("""COMPUTED_VALUE"""),"sowl")</f>
        <v>sowl</v>
      </c>
      <c r="B10807" s="3" t="str">
        <f>IFERROR(__xludf.DUMMYFUNCTION("""COMPUTED_VALUE"""),"sowl")</f>
        <v>sowl</v>
      </c>
      <c r="C10807" s="3" t="str">
        <f>IFERROR(__xludf.DUMMYFUNCTION("""COMPUTED_VALUE"""),"SOWL")</f>
        <v>SOWL</v>
      </c>
    </row>
    <row r="10808">
      <c r="A10808" s="3" t="str">
        <f>IFERROR(__xludf.DUMMYFUNCTION("""COMPUTED_VALUE"""),"soy-finance")</f>
        <v>soy-finance</v>
      </c>
      <c r="B10808" s="3" t="str">
        <f>IFERROR(__xludf.DUMMYFUNCTION("""COMPUTED_VALUE"""),"soy")</f>
        <v>soy</v>
      </c>
      <c r="C10808" s="3" t="str">
        <f>IFERROR(__xludf.DUMMYFUNCTION("""COMPUTED_VALUE"""),"Soy Finance")</f>
        <v>Soy Finance</v>
      </c>
    </row>
    <row r="10809">
      <c r="A10809" s="3" t="str">
        <f>IFERROR(__xludf.DUMMYFUNCTION("""COMPUTED_VALUE"""),"spacechain-erc-20")</f>
        <v>spacechain-erc-20</v>
      </c>
      <c r="B10809" s="3" t="str">
        <f>IFERROR(__xludf.DUMMYFUNCTION("""COMPUTED_VALUE"""),"spc")</f>
        <v>spc</v>
      </c>
      <c r="C10809" s="3" t="str">
        <f>IFERROR(__xludf.DUMMYFUNCTION("""COMPUTED_VALUE"""),"SpaceChain (ERC-20)")</f>
        <v>SpaceChain (ERC-20)</v>
      </c>
    </row>
    <row r="10810">
      <c r="A10810" s="3" t="str">
        <f>IFERROR(__xludf.DUMMYFUNCTION("""COMPUTED_VALUE"""),"spacecoin")</f>
        <v>spacecoin</v>
      </c>
      <c r="B10810" s="3" t="str">
        <f>IFERROR(__xludf.DUMMYFUNCTION("""COMPUTED_VALUE"""),"space")</f>
        <v>space</v>
      </c>
      <c r="C10810" s="3" t="str">
        <f>IFERROR(__xludf.DUMMYFUNCTION("""COMPUTED_VALUE"""),"Spacecoin")</f>
        <v>Spacecoin</v>
      </c>
    </row>
    <row r="10811">
      <c r="A10811" s="3" t="str">
        <f>IFERROR(__xludf.DUMMYFUNCTION("""COMPUTED_VALUE"""),"spacecorgi")</f>
        <v>spacecorgi</v>
      </c>
      <c r="B10811" s="3" t="str">
        <f>IFERROR(__xludf.DUMMYFUNCTION("""COMPUTED_VALUE"""),"scorgi")</f>
        <v>scorgi</v>
      </c>
      <c r="C10811" s="3" t="str">
        <f>IFERROR(__xludf.DUMMYFUNCTION("""COMPUTED_VALUE"""),"SpaceCorgi")</f>
        <v>SpaceCorgi</v>
      </c>
    </row>
    <row r="10812">
      <c r="A10812" s="3" t="str">
        <f>IFERROR(__xludf.DUMMYFUNCTION("""COMPUTED_VALUE"""),"space-corsair-key")</f>
        <v>space-corsair-key</v>
      </c>
      <c r="B10812" s="3" t="str">
        <f>IFERROR(__xludf.DUMMYFUNCTION("""COMPUTED_VALUE"""),"sck")</f>
        <v>sck</v>
      </c>
      <c r="C10812" s="3" t="str">
        <f>IFERROR(__xludf.DUMMYFUNCTION("""COMPUTED_VALUE"""),"Space Corsair Key")</f>
        <v>Space Corsair Key</v>
      </c>
    </row>
    <row r="10813">
      <c r="A10813" s="3" t="str">
        <f>IFERROR(__xludf.DUMMYFUNCTION("""COMPUTED_VALUE"""),"spacecowboy")</f>
        <v>spacecowboy</v>
      </c>
      <c r="B10813" s="3" t="str">
        <f>IFERROR(__xludf.DUMMYFUNCTION("""COMPUTED_VALUE"""),"scb")</f>
        <v>scb</v>
      </c>
      <c r="C10813" s="3" t="str">
        <f>IFERROR(__xludf.DUMMYFUNCTION("""COMPUTED_VALUE"""),"SpaceCowBoy")</f>
        <v>SpaceCowBoy</v>
      </c>
    </row>
    <row r="10814">
      <c r="A10814" s="3" t="str">
        <f>IFERROR(__xludf.DUMMYFUNCTION("""COMPUTED_VALUE"""),"space-crypto")</f>
        <v>space-crypto</v>
      </c>
      <c r="B10814" s="3" t="str">
        <f>IFERROR(__xludf.DUMMYFUNCTION("""COMPUTED_VALUE"""),"spg")</f>
        <v>spg</v>
      </c>
      <c r="C10814" s="3" t="str">
        <f>IFERROR(__xludf.DUMMYFUNCTION("""COMPUTED_VALUE"""),"Space Crypto")</f>
        <v>Space Crypto</v>
      </c>
    </row>
    <row r="10815">
      <c r="A10815" s="3" t="str">
        <f>IFERROR(__xludf.DUMMYFUNCTION("""COMPUTED_VALUE"""),"spacedawgs")</f>
        <v>spacedawgs</v>
      </c>
      <c r="B10815" s="3" t="str">
        <f>IFERROR(__xludf.DUMMYFUNCTION("""COMPUTED_VALUE"""),"dawgs")</f>
        <v>dawgs</v>
      </c>
      <c r="C10815" s="3" t="str">
        <f>IFERROR(__xludf.DUMMYFUNCTION("""COMPUTED_VALUE"""),"SpaceDawgs")</f>
        <v>SpaceDawgs</v>
      </c>
    </row>
    <row r="10816">
      <c r="A10816" s="3" t="str">
        <f>IFERROR(__xludf.DUMMYFUNCTION("""COMPUTED_VALUE"""),"spacefalcon")</f>
        <v>spacefalcon</v>
      </c>
      <c r="B10816" s="3" t="str">
        <f>IFERROR(__xludf.DUMMYFUNCTION("""COMPUTED_VALUE"""),"fcon")</f>
        <v>fcon</v>
      </c>
      <c r="C10816" s="3" t="str">
        <f>IFERROR(__xludf.DUMMYFUNCTION("""COMPUTED_VALUE"""),"SpaceFalcon")</f>
        <v>SpaceFalcon</v>
      </c>
    </row>
    <row r="10817">
      <c r="A10817" s="3" t="str">
        <f>IFERROR(__xludf.DUMMYFUNCTION("""COMPUTED_VALUE"""),"spacefi")</f>
        <v>spacefi</v>
      </c>
      <c r="B10817" s="3" t="str">
        <f>IFERROR(__xludf.DUMMYFUNCTION("""COMPUTED_VALUE"""),"star")</f>
        <v>star</v>
      </c>
      <c r="C10817" s="3" t="str">
        <f>IFERROR(__xludf.DUMMYFUNCTION("""COMPUTED_VALUE"""),"SpaceFi")</f>
        <v>SpaceFi</v>
      </c>
    </row>
    <row r="10818">
      <c r="A10818" s="3" t="str">
        <f>IFERROR(__xludf.DUMMYFUNCTION("""COMPUTED_VALUE"""),"spacegoat-token")</f>
        <v>spacegoat-token</v>
      </c>
      <c r="B10818" s="3" t="str">
        <f>IFERROR(__xludf.DUMMYFUNCTION("""COMPUTED_VALUE"""),"sgt")</f>
        <v>sgt</v>
      </c>
      <c r="C10818" s="3" t="str">
        <f>IFERROR(__xludf.DUMMYFUNCTION("""COMPUTED_VALUE"""),"SpaceGoat")</f>
        <v>SpaceGoat</v>
      </c>
    </row>
    <row r="10819">
      <c r="A10819" s="3" t="str">
        <f>IFERROR(__xludf.DUMMYFUNCTION("""COMPUTED_VALUE"""),"spacegrime")</f>
        <v>spacegrime</v>
      </c>
      <c r="B10819" s="3" t="str">
        <f>IFERROR(__xludf.DUMMYFUNCTION("""COMPUTED_VALUE"""),"grimex")</f>
        <v>grimex</v>
      </c>
      <c r="C10819" s="3" t="str">
        <f>IFERROR(__xludf.DUMMYFUNCTION("""COMPUTED_VALUE"""),"SpaceGrime")</f>
        <v>SpaceGrime</v>
      </c>
    </row>
    <row r="10820">
      <c r="A10820" s="3" t="str">
        <f>IFERROR(__xludf.DUMMYFUNCTION("""COMPUTED_VALUE"""),"space-hamster")</f>
        <v>space-hamster</v>
      </c>
      <c r="B10820" s="3" t="str">
        <f>IFERROR(__xludf.DUMMYFUNCTION("""COMPUTED_VALUE"""),"hams")</f>
        <v>hams</v>
      </c>
      <c r="C10820" s="3" t="str">
        <f>IFERROR(__xludf.DUMMYFUNCTION("""COMPUTED_VALUE"""),"Space Hamster")</f>
        <v>Space Hamster</v>
      </c>
    </row>
    <row r="10821">
      <c r="A10821" s="3" t="str">
        <f>IFERROR(__xludf.DUMMYFUNCTION("""COMPUTED_VALUE"""),"space-iz")</f>
        <v>space-iz</v>
      </c>
      <c r="B10821" s="3" t="str">
        <f>IFERROR(__xludf.DUMMYFUNCTION("""COMPUTED_VALUE"""),"spiz")</f>
        <v>spiz</v>
      </c>
      <c r="C10821" s="3" t="str">
        <f>IFERROR(__xludf.DUMMYFUNCTION("""COMPUTED_VALUE"""),"SPACE-iZ")</f>
        <v>SPACE-iZ</v>
      </c>
    </row>
    <row r="10822">
      <c r="A10822" s="3" t="str">
        <f>IFERROR(__xludf.DUMMYFUNCTION("""COMPUTED_VALUE"""),"spacelens")</f>
        <v>spacelens</v>
      </c>
      <c r="B10822" s="3" t="str">
        <f>IFERROR(__xludf.DUMMYFUNCTION("""COMPUTED_VALUE"""),"space")</f>
        <v>space</v>
      </c>
      <c r="C10822" s="3" t="str">
        <f>IFERROR(__xludf.DUMMYFUNCTION("""COMPUTED_VALUE"""),"Spacelens")</f>
        <v>Spacelens</v>
      </c>
    </row>
    <row r="10823">
      <c r="A10823" s="3" t="str">
        <f>IFERROR(__xludf.DUMMYFUNCTION("""COMPUTED_VALUE"""),"space-link")</f>
        <v>space-link</v>
      </c>
      <c r="B10823" s="3" t="str">
        <f>IFERROR(__xludf.DUMMYFUNCTION("""COMPUTED_VALUE"""),"splink")</f>
        <v>splink</v>
      </c>
      <c r="C10823" s="3" t="str">
        <f>IFERROR(__xludf.DUMMYFUNCTION("""COMPUTED_VALUE"""),"Space Link")</f>
        <v>Space Link</v>
      </c>
    </row>
    <row r="10824">
      <c r="A10824" s="3" t="str">
        <f>IFERROR(__xludf.DUMMYFUNCTION("""COMPUTED_VALUE"""),"spacemeta")</f>
        <v>spacemeta</v>
      </c>
      <c r="B10824" s="3" t="str">
        <f>IFERROR(__xludf.DUMMYFUNCTION("""COMPUTED_VALUE"""),"spmeta")</f>
        <v>spmeta</v>
      </c>
      <c r="C10824" s="3" t="str">
        <f>IFERROR(__xludf.DUMMYFUNCTION("""COMPUTED_VALUE"""),"SpaceMeta")</f>
        <v>SpaceMeta</v>
      </c>
    </row>
    <row r="10825">
      <c r="A10825" s="3" t="str">
        <f>IFERROR(__xludf.DUMMYFUNCTION("""COMPUTED_VALUE"""),"spacemine")</f>
        <v>spacemine</v>
      </c>
      <c r="B10825" s="3" t="str">
        <f>IFERROR(__xludf.DUMMYFUNCTION("""COMPUTED_VALUE"""),"mine")</f>
        <v>mine</v>
      </c>
      <c r="C10825" s="3" t="str">
        <f>IFERROR(__xludf.DUMMYFUNCTION("""COMPUTED_VALUE"""),"SpaceMine")</f>
        <v>SpaceMine</v>
      </c>
    </row>
    <row r="10826">
      <c r="A10826" s="3" t="str">
        <f>IFERROR(__xludf.DUMMYFUNCTION("""COMPUTED_VALUE"""),"space-misfits")</f>
        <v>space-misfits</v>
      </c>
      <c r="B10826" s="3" t="str">
        <f>IFERROR(__xludf.DUMMYFUNCTION("""COMPUTED_VALUE"""),"smcw")</f>
        <v>smcw</v>
      </c>
      <c r="C10826" s="3" t="str">
        <f>IFERROR(__xludf.DUMMYFUNCTION("""COMPUTED_VALUE"""),"Space Misfits")</f>
        <v>Space Misfits</v>
      </c>
    </row>
    <row r="10827">
      <c r="A10827" s="3" t="str">
        <f>IFERROR(__xludf.DUMMYFUNCTION("""COMPUTED_VALUE"""),"space-monkey-token")</f>
        <v>space-monkey-token</v>
      </c>
      <c r="B10827" s="3" t="str">
        <f>IFERROR(__xludf.DUMMYFUNCTION("""COMPUTED_VALUE"""),"monke")</f>
        <v>monke</v>
      </c>
      <c r="C10827" s="3" t="str">
        <f>IFERROR(__xludf.DUMMYFUNCTION("""COMPUTED_VALUE"""),"Space Monkey MONKE")</f>
        <v>Space Monkey MONKE</v>
      </c>
    </row>
    <row r="10828">
      <c r="A10828" s="3" t="str">
        <f>IFERROR(__xludf.DUMMYFUNCTION("""COMPUTED_VALUE"""),"spacen")</f>
        <v>spacen</v>
      </c>
      <c r="B10828" s="3" t="str">
        <f>IFERROR(__xludf.DUMMYFUNCTION("""COMPUTED_VALUE"""),"sn")</f>
        <v>sn</v>
      </c>
      <c r="C10828" s="3" t="str">
        <f>IFERROR(__xludf.DUMMYFUNCTION("""COMPUTED_VALUE"""),"SpaceN")</f>
        <v>SpaceN</v>
      </c>
    </row>
    <row r="10829">
      <c r="A10829" s="3" t="str">
        <f>IFERROR(__xludf.DUMMYFUNCTION("""COMPUTED_VALUE"""),"space-ore")</f>
        <v>space-ore</v>
      </c>
      <c r="B10829" s="3" t="str">
        <f>IFERROR(__xludf.DUMMYFUNCTION("""COMPUTED_VALUE"""),"spo")</f>
        <v>spo</v>
      </c>
      <c r="C10829" s="3" t="str">
        <f>IFERROR(__xludf.DUMMYFUNCTION("""COMPUTED_VALUE"""),"Space Ore")</f>
        <v>Space Ore</v>
      </c>
    </row>
    <row r="10830">
      <c r="A10830" s="3" t="str">
        <f>IFERROR(__xludf.DUMMYFUNCTION("""COMPUTED_VALUE"""),"spacepi")</f>
        <v>spacepi</v>
      </c>
      <c r="B10830" s="3" t="str">
        <f>IFERROR(__xludf.DUMMYFUNCTION("""COMPUTED_VALUE"""),"spacepi")</f>
        <v>spacepi</v>
      </c>
      <c r="C10830" s="3" t="str">
        <f>IFERROR(__xludf.DUMMYFUNCTION("""COMPUTED_VALUE"""),"SpacePi")</f>
        <v>SpacePi</v>
      </c>
    </row>
    <row r="10831">
      <c r="A10831" s="3" t="str">
        <f>IFERROR(__xludf.DUMMYFUNCTION("""COMPUTED_VALUE"""),"spaceport-universe")</f>
        <v>spaceport-universe</v>
      </c>
      <c r="B10831" s="3" t="str">
        <f>IFERROR(__xludf.DUMMYFUNCTION("""COMPUTED_VALUE"""),"spu")</f>
        <v>spu</v>
      </c>
      <c r="C10831" s="3" t="str">
        <f>IFERROR(__xludf.DUMMYFUNCTION("""COMPUTED_VALUE"""),"SpacePort Universe")</f>
        <v>SpacePort Universe</v>
      </c>
    </row>
    <row r="10832">
      <c r="A10832" s="3" t="str">
        <f>IFERROR(__xludf.DUMMYFUNCTION("""COMPUTED_VALUE"""),"spacerat")</f>
        <v>spacerat</v>
      </c>
      <c r="B10832" s="3" t="str">
        <f>IFERROR(__xludf.DUMMYFUNCTION("""COMPUTED_VALUE"""),"srat")</f>
        <v>srat</v>
      </c>
      <c r="C10832" s="3" t="str">
        <f>IFERROR(__xludf.DUMMYFUNCTION("""COMPUTED_VALUE"""),"SpaceRat")</f>
        <v>SpaceRat</v>
      </c>
    </row>
    <row r="10833">
      <c r="A10833" s="3" t="str">
        <f>IFERROR(__xludf.DUMMYFUNCTION("""COMPUTED_VALUE"""),"space-rebase")</f>
        <v>space-rebase</v>
      </c>
      <c r="B10833" s="3" t="str">
        <f>IFERROR(__xludf.DUMMYFUNCTION("""COMPUTED_VALUE"""),"space")</f>
        <v>space</v>
      </c>
      <c r="C10833" s="3" t="str">
        <f>IFERROR(__xludf.DUMMYFUNCTION("""COMPUTED_VALUE"""),"Space Rebase")</f>
        <v>Space Rebase</v>
      </c>
    </row>
    <row r="10834">
      <c r="A10834" s="3" t="str">
        <f>IFERROR(__xludf.DUMMYFUNCTION("""COMPUTED_VALUE"""),"spacerobotdao")</f>
        <v>spacerobotdao</v>
      </c>
      <c r="B10834" s="3" t="str">
        <f>IFERROR(__xludf.DUMMYFUNCTION("""COMPUTED_VALUE"""),"srd")</f>
        <v>srd</v>
      </c>
      <c r="C10834" s="3" t="str">
        <f>IFERROR(__xludf.DUMMYFUNCTION("""COMPUTED_VALUE"""),"SpaceRobotDao")</f>
        <v>SpaceRobotDao</v>
      </c>
    </row>
    <row r="10835">
      <c r="A10835" s="3" t="str">
        <f>IFERROR(__xludf.DUMMYFUNCTION("""COMPUTED_VALUE"""),"spaceship-war")</f>
        <v>spaceship-war</v>
      </c>
      <c r="B10835" s="3" t="str">
        <f>IFERROR(__xludf.DUMMYFUNCTION("""COMPUTED_VALUE"""),"spw")</f>
        <v>spw</v>
      </c>
      <c r="C10835" s="3" t="str">
        <f>IFERROR(__xludf.DUMMYFUNCTION("""COMPUTED_VALUE"""),"Spaceship War")</f>
        <v>Spaceship War</v>
      </c>
    </row>
    <row r="10836">
      <c r="A10836" s="3" t="str">
        <f>IFERROR(__xludf.DUMMYFUNCTION("""COMPUTED_VALUE"""),"spaceshipx")</f>
        <v>spaceshipx</v>
      </c>
      <c r="B10836" s="3" t="str">
        <f>IFERROR(__xludf.DUMMYFUNCTION("""COMPUTED_VALUE"""),"xship")</f>
        <v>xship</v>
      </c>
      <c r="C10836" s="3" t="str">
        <f>IFERROR(__xludf.DUMMYFUNCTION("""COMPUTED_VALUE"""),"SpaceShipX")</f>
        <v>SpaceShipX</v>
      </c>
    </row>
    <row r="10837">
      <c r="A10837" s="3" t="str">
        <f>IFERROR(__xludf.DUMMYFUNCTION("""COMPUTED_VALUE"""),"space-sip")</f>
        <v>space-sip</v>
      </c>
      <c r="B10837" s="3" t="str">
        <f>IFERROR(__xludf.DUMMYFUNCTION("""COMPUTED_VALUE"""),"sip")</f>
        <v>sip</v>
      </c>
      <c r="C10837" s="3" t="str">
        <f>IFERROR(__xludf.DUMMYFUNCTION("""COMPUTED_VALUE"""),"Space SIP")</f>
        <v>Space SIP</v>
      </c>
    </row>
    <row r="10838">
      <c r="A10838" s="3" t="str">
        <f>IFERROR(__xludf.DUMMYFUNCTION("""COMPUTED_VALUE"""),"space-soldier")</f>
        <v>space-soldier</v>
      </c>
      <c r="B10838" s="3" t="str">
        <f>IFERROR(__xludf.DUMMYFUNCTION("""COMPUTED_VALUE"""),"soldier")</f>
        <v>soldier</v>
      </c>
      <c r="C10838" s="3" t="str">
        <f>IFERROR(__xludf.DUMMYFUNCTION("""COMPUTED_VALUE"""),"Space Soldier")</f>
        <v>Space Soldier</v>
      </c>
    </row>
    <row r="10839">
      <c r="A10839" s="3" t="str">
        <f>IFERROR(__xludf.DUMMYFUNCTION("""COMPUTED_VALUE"""),"spaceswap-milk2")</f>
        <v>spaceswap-milk2</v>
      </c>
      <c r="B10839" s="3" t="str">
        <f>IFERROR(__xludf.DUMMYFUNCTION("""COMPUTED_VALUE"""),"milk2")</f>
        <v>milk2</v>
      </c>
      <c r="C10839" s="3" t="str">
        <f>IFERROR(__xludf.DUMMYFUNCTION("""COMPUTED_VALUE"""),"Spaceswap MILK2")</f>
        <v>Spaceswap MILK2</v>
      </c>
    </row>
    <row r="10840">
      <c r="A10840" s="3" t="str">
        <f>IFERROR(__xludf.DUMMYFUNCTION("""COMPUTED_VALUE"""),"spaceswap-shake")</f>
        <v>spaceswap-shake</v>
      </c>
      <c r="B10840" s="3" t="str">
        <f>IFERROR(__xludf.DUMMYFUNCTION("""COMPUTED_VALUE"""),"shake")</f>
        <v>shake</v>
      </c>
      <c r="C10840" s="3" t="str">
        <f>IFERROR(__xludf.DUMMYFUNCTION("""COMPUTED_VALUE"""),"Spaceswap SHAKE")</f>
        <v>Spaceswap SHAKE</v>
      </c>
    </row>
    <row r="10841">
      <c r="A10841" s="3" t="str">
        <f>IFERROR(__xludf.DUMMYFUNCTION("""COMPUTED_VALUE"""),"spacetoast")</f>
        <v>spacetoast</v>
      </c>
      <c r="B10841" s="3" t="str">
        <f>IFERROR(__xludf.DUMMYFUNCTION("""COMPUTED_VALUE"""),"spacetoast")</f>
        <v>spacetoast</v>
      </c>
      <c r="C10841" s="3" t="str">
        <f>IFERROR(__xludf.DUMMYFUNCTION("""COMPUTED_VALUE"""),"SpaceToast")</f>
        <v>SpaceToast</v>
      </c>
    </row>
    <row r="10842">
      <c r="A10842" s="3" t="str">
        <f>IFERROR(__xludf.DUMMYFUNCTION("""COMPUTED_VALUE"""),"space-token")</f>
        <v>space-token</v>
      </c>
      <c r="B10842" s="3" t="str">
        <f>IFERROR(__xludf.DUMMYFUNCTION("""COMPUTED_VALUE"""),"space")</f>
        <v>space</v>
      </c>
      <c r="C10842" s="3" t="str">
        <f>IFERROR(__xludf.DUMMYFUNCTION("""COMPUTED_VALUE"""),"ApeRocket Space")</f>
        <v>ApeRocket Space</v>
      </c>
    </row>
    <row r="10843">
      <c r="A10843" s="3" t="str">
        <f>IFERROR(__xludf.DUMMYFUNCTION("""COMPUTED_VALUE"""),"space-token-bsc")</f>
        <v>space-token-bsc</v>
      </c>
      <c r="B10843" s="3" t="str">
        <f>IFERROR(__xludf.DUMMYFUNCTION("""COMPUTED_VALUE"""),"space")</f>
        <v>space</v>
      </c>
      <c r="C10843" s="3" t="str">
        <f>IFERROR(__xludf.DUMMYFUNCTION("""COMPUTED_VALUE"""),"Space Token BSC")</f>
        <v>Space Token BSC</v>
      </c>
    </row>
    <row r="10844">
      <c r="A10844" s="3" t="str">
        <f>IFERROR(__xludf.DUMMYFUNCTION("""COMPUTED_VALUE"""),"spacevikings")</f>
        <v>spacevikings</v>
      </c>
      <c r="B10844" s="3" t="str">
        <f>IFERROR(__xludf.DUMMYFUNCTION("""COMPUTED_VALUE"""),"svt")</f>
        <v>svt</v>
      </c>
      <c r="C10844" s="3" t="str">
        <f>IFERROR(__xludf.DUMMYFUNCTION("""COMPUTED_VALUE"""),"SpaceVikings")</f>
        <v>SpaceVikings</v>
      </c>
    </row>
    <row r="10845">
      <c r="A10845" s="3" t="str">
        <f>IFERROR(__xludf.DUMMYFUNCTION("""COMPUTED_VALUE"""),"spacexlife")</f>
        <v>spacexlife</v>
      </c>
      <c r="B10845" s="3" t="str">
        <f>IFERROR(__xludf.DUMMYFUNCTION("""COMPUTED_VALUE"""),"safe")</f>
        <v>safe</v>
      </c>
      <c r="C10845" s="3" t="str">
        <f>IFERROR(__xludf.DUMMYFUNCTION("""COMPUTED_VALUE"""),"SpaceXliFe")</f>
        <v>SpaceXliFe</v>
      </c>
    </row>
    <row r="10846">
      <c r="A10846" s="3" t="str">
        <f>IFERROR(__xludf.DUMMYFUNCTION("""COMPUTED_VALUE"""),"spacey-2025")</f>
        <v>spacey-2025</v>
      </c>
      <c r="B10846" s="3" t="str">
        <f>IFERROR(__xludf.DUMMYFUNCTION("""COMPUTED_VALUE"""),"spay")</f>
        <v>spay</v>
      </c>
      <c r="C10846" s="3" t="str">
        <f>IFERROR(__xludf.DUMMYFUNCTION("""COMPUTED_VALUE"""),"SpaceY 2025")</f>
        <v>SpaceY 2025</v>
      </c>
    </row>
    <row r="10847">
      <c r="A10847" s="3" t="str">
        <f>IFERROR(__xludf.DUMMYFUNCTION("""COMPUTED_VALUE"""),"spain-national-fan-token")</f>
        <v>spain-national-fan-token</v>
      </c>
      <c r="B10847" s="3" t="str">
        <f>IFERROR(__xludf.DUMMYFUNCTION("""COMPUTED_VALUE"""),"snft")</f>
        <v>snft</v>
      </c>
      <c r="C10847" s="3" t="str">
        <f>IFERROR(__xludf.DUMMYFUNCTION("""COMPUTED_VALUE"""),"Spain National Football Team Fan Token")</f>
        <v>Spain National Football Team Fan Token</v>
      </c>
    </row>
    <row r="10848">
      <c r="A10848" s="3" t="str">
        <f>IFERROR(__xludf.DUMMYFUNCTION("""COMPUTED_VALUE"""),"spankchain")</f>
        <v>spankchain</v>
      </c>
      <c r="B10848" s="3" t="str">
        <f>IFERROR(__xludf.DUMMYFUNCTION("""COMPUTED_VALUE"""),"spank")</f>
        <v>spank</v>
      </c>
      <c r="C10848" s="3" t="str">
        <f>IFERROR(__xludf.DUMMYFUNCTION("""COMPUTED_VALUE"""),"SpankChain")</f>
        <v>SpankChain</v>
      </c>
    </row>
    <row r="10849">
      <c r="A10849" s="3" t="str">
        <f>IFERROR(__xludf.DUMMYFUNCTION("""COMPUTED_VALUE"""),"spantale")</f>
        <v>spantale</v>
      </c>
      <c r="B10849" s="3" t="str">
        <f>IFERROR(__xludf.DUMMYFUNCTION("""COMPUTED_VALUE"""),"ael")</f>
        <v>ael</v>
      </c>
      <c r="C10849" s="3" t="str">
        <f>IFERROR(__xludf.DUMMYFUNCTION("""COMPUTED_VALUE"""),"Spantale")</f>
        <v>Spantale</v>
      </c>
    </row>
    <row r="10850">
      <c r="A10850" s="3" t="str">
        <f>IFERROR(__xludf.DUMMYFUNCTION("""COMPUTED_VALUE"""),"sparklab")</f>
        <v>sparklab</v>
      </c>
      <c r="B10850" s="3" t="str">
        <f>IFERROR(__xludf.DUMMYFUNCTION("""COMPUTED_VALUE"""),"spark")</f>
        <v>spark</v>
      </c>
      <c r="C10850" s="3" t="str">
        <f>IFERROR(__xludf.DUMMYFUNCTION("""COMPUTED_VALUE"""),"SparkLab")</f>
        <v>SparkLab</v>
      </c>
    </row>
    <row r="10851">
      <c r="A10851" s="3" t="str">
        <f>IFERROR(__xludf.DUMMYFUNCTION("""COMPUTED_VALUE"""),"sparkle-coin")</f>
        <v>sparkle-coin</v>
      </c>
      <c r="B10851" s="3" t="str">
        <f>IFERROR(__xludf.DUMMYFUNCTION("""COMPUTED_VALUE"""),"sctk")</f>
        <v>sctk</v>
      </c>
      <c r="C10851" s="3" t="str">
        <f>IFERROR(__xludf.DUMMYFUNCTION("""COMPUTED_VALUE"""),"Sparkle Coin")</f>
        <v>Sparkle Coin</v>
      </c>
    </row>
    <row r="10852">
      <c r="A10852" s="3" t="str">
        <f>IFERROR(__xludf.DUMMYFUNCTION("""COMPUTED_VALUE"""),"sparkpoint")</f>
        <v>sparkpoint</v>
      </c>
      <c r="B10852" s="3" t="str">
        <f>IFERROR(__xludf.DUMMYFUNCTION("""COMPUTED_VALUE"""),"srk")</f>
        <v>srk</v>
      </c>
      <c r="C10852" s="3" t="str">
        <f>IFERROR(__xludf.DUMMYFUNCTION("""COMPUTED_VALUE"""),"SparkPoint")</f>
        <v>SparkPoint</v>
      </c>
    </row>
    <row r="10853">
      <c r="A10853" s="3" t="str">
        <f>IFERROR(__xludf.DUMMYFUNCTION("""COMPUTED_VALUE"""),"sparkpoint-fuel")</f>
        <v>sparkpoint-fuel</v>
      </c>
      <c r="B10853" s="3" t="str">
        <f>IFERROR(__xludf.DUMMYFUNCTION("""COMPUTED_VALUE"""),"sfuel")</f>
        <v>sfuel</v>
      </c>
      <c r="C10853" s="3" t="str">
        <f>IFERROR(__xludf.DUMMYFUNCTION("""COMPUTED_VALUE"""),"SparkPoint Fuel")</f>
        <v>SparkPoint Fuel</v>
      </c>
    </row>
    <row r="10854">
      <c r="A10854" s="3" t="str">
        <f>IFERROR(__xludf.DUMMYFUNCTION("""COMPUTED_VALUE"""),"sparks")</f>
        <v>sparks</v>
      </c>
      <c r="B10854" s="3" t="str">
        <f>IFERROR(__xludf.DUMMYFUNCTION("""COMPUTED_VALUE"""),"spk")</f>
        <v>spk</v>
      </c>
      <c r="C10854" s="3" t="str">
        <f>IFERROR(__xludf.DUMMYFUNCTION("""COMPUTED_VALUE"""),"SparksPay")</f>
        <v>SparksPay</v>
      </c>
    </row>
    <row r="10855">
      <c r="A10855" s="3" t="str">
        <f>IFERROR(__xludf.DUMMYFUNCTION("""COMPUTED_VALUE"""),"sparq")</f>
        <v>sparq</v>
      </c>
      <c r="B10855" s="3" t="str">
        <f>IFERROR(__xludf.DUMMYFUNCTION("""COMPUTED_VALUE"""),"sparq")</f>
        <v>sparq</v>
      </c>
      <c r="C10855" s="3" t="str">
        <f>IFERROR(__xludf.DUMMYFUNCTION("""COMPUTED_VALUE"""),"Sparq")</f>
        <v>Sparq</v>
      </c>
    </row>
    <row r="10856">
      <c r="A10856" s="3" t="str">
        <f>IFERROR(__xludf.DUMMYFUNCTION("""COMPUTED_VALUE"""),"spartacats")</f>
        <v>spartacats</v>
      </c>
      <c r="B10856" s="3" t="str">
        <f>IFERROR(__xludf.DUMMYFUNCTION("""COMPUTED_VALUE"""),"purr")</f>
        <v>purr</v>
      </c>
      <c r="C10856" s="3" t="str">
        <f>IFERROR(__xludf.DUMMYFUNCTION("""COMPUTED_VALUE"""),"Spartacats")</f>
        <v>Spartacats</v>
      </c>
    </row>
    <row r="10857">
      <c r="A10857" s="3" t="str">
        <f>IFERROR(__xludf.DUMMYFUNCTION("""COMPUTED_VALUE"""),"spartacus")</f>
        <v>spartacus</v>
      </c>
      <c r="B10857" s="3" t="str">
        <f>IFERROR(__xludf.DUMMYFUNCTION("""COMPUTED_VALUE"""),"spa")</f>
        <v>spa</v>
      </c>
      <c r="C10857" s="3" t="str">
        <f>IFERROR(__xludf.DUMMYFUNCTION("""COMPUTED_VALUE"""),"Spartacus")</f>
        <v>Spartacus</v>
      </c>
    </row>
    <row r="10858">
      <c r="A10858" s="3" t="str">
        <f>IFERROR(__xludf.DUMMYFUNCTION("""COMPUTED_VALUE"""),"spartacus-money")</f>
        <v>spartacus-money</v>
      </c>
      <c r="B10858" s="3" t="str">
        <f>IFERROR(__xludf.DUMMYFUNCTION("""COMPUTED_VALUE"""),"lambda")</f>
        <v>lambda</v>
      </c>
      <c r="C10858" s="3" t="str">
        <f>IFERROR(__xludf.DUMMYFUNCTION("""COMPUTED_VALUE"""),"Spartacus Money")</f>
        <v>Spartacus Money</v>
      </c>
    </row>
    <row r="10859">
      <c r="A10859" s="3" t="str">
        <f>IFERROR(__xludf.DUMMYFUNCTION("""COMPUTED_VALUE"""),"spartan")</f>
        <v>spartan</v>
      </c>
      <c r="B10859" s="3" t="str">
        <f>IFERROR(__xludf.DUMMYFUNCTION("""COMPUTED_VALUE"""),"300")</f>
        <v>300</v>
      </c>
      <c r="C10859" s="3" t="str">
        <f>IFERROR(__xludf.DUMMYFUNCTION("""COMPUTED_VALUE"""),"Spartan")</f>
        <v>Spartan</v>
      </c>
    </row>
    <row r="10860">
      <c r="A10860" s="3" t="str">
        <f>IFERROR(__xludf.DUMMYFUNCTION("""COMPUTED_VALUE"""),"spartancoin")</f>
        <v>spartancoin</v>
      </c>
      <c r="B10860" s="3" t="str">
        <f>IFERROR(__xludf.DUMMYFUNCTION("""COMPUTED_VALUE"""),"spn")</f>
        <v>spn</v>
      </c>
      <c r="C10860" s="3" t="str">
        <f>IFERROR(__xludf.DUMMYFUNCTION("""COMPUTED_VALUE"""),"SpartanCoin")</f>
        <v>SpartanCoin</v>
      </c>
    </row>
    <row r="10861">
      <c r="A10861" s="3" t="str">
        <f>IFERROR(__xludf.DUMMYFUNCTION("""COMPUTED_VALUE"""),"spartan-protocol-token")</f>
        <v>spartan-protocol-token</v>
      </c>
      <c r="B10861" s="3" t="str">
        <f>IFERROR(__xludf.DUMMYFUNCTION("""COMPUTED_VALUE"""),"sparta")</f>
        <v>sparta</v>
      </c>
      <c r="C10861" s="3" t="str">
        <f>IFERROR(__xludf.DUMMYFUNCTION("""COMPUTED_VALUE"""),"Spartan Protocol")</f>
        <v>Spartan Protocol</v>
      </c>
    </row>
    <row r="10862">
      <c r="A10862" s="3" t="str">
        <f>IFERROR(__xludf.DUMMYFUNCTION("""COMPUTED_VALUE"""),"spartan-token")</f>
        <v>spartan-token</v>
      </c>
      <c r="B10862" s="3" t="str">
        <f>IFERROR(__xludf.DUMMYFUNCTION("""COMPUTED_VALUE"""),"spa")</f>
        <v>spa</v>
      </c>
      <c r="C10862" s="3" t="str">
        <f>IFERROR(__xludf.DUMMYFUNCTION("""COMPUTED_VALUE"""),"Spartans")</f>
        <v>Spartans</v>
      </c>
    </row>
    <row r="10863">
      <c r="A10863" s="3" t="str">
        <f>IFERROR(__xludf.DUMMYFUNCTION("""COMPUTED_VALUE"""),"spdr-s-p-500-etf-trust-defichain")</f>
        <v>spdr-s-p-500-etf-trust-defichain</v>
      </c>
      <c r="B10863" s="3" t="str">
        <f>IFERROR(__xludf.DUMMYFUNCTION("""COMPUTED_VALUE"""),"dspy")</f>
        <v>dspy</v>
      </c>
      <c r="C10863" s="3" t="str">
        <f>IFERROR(__xludf.DUMMYFUNCTION("""COMPUTED_VALUE"""),"SPDR S&amp;P 500 ETF Trust Defichain")</f>
        <v>SPDR S&amp;P 500 ETF Trust Defichain</v>
      </c>
    </row>
    <row r="10864">
      <c r="A10864" s="3" t="str">
        <f>IFERROR(__xludf.DUMMYFUNCTION("""COMPUTED_VALUE"""),"spear-finance")</f>
        <v>spear-finance</v>
      </c>
      <c r="B10864" s="3" t="str">
        <f>IFERROR(__xludf.DUMMYFUNCTION("""COMPUTED_VALUE"""),"spear")</f>
        <v>spear</v>
      </c>
      <c r="C10864" s="3" t="str">
        <f>IFERROR(__xludf.DUMMYFUNCTION("""COMPUTED_VALUE"""),"Spear Finance")</f>
        <v>Spear Finance</v>
      </c>
    </row>
    <row r="10865">
      <c r="A10865" s="3" t="str">
        <f>IFERROR(__xludf.DUMMYFUNCTION("""COMPUTED_VALUE"""),"spectra")</f>
        <v>spectra</v>
      </c>
      <c r="B10865" s="3" t="str">
        <f>IFERROR(__xludf.DUMMYFUNCTION("""COMPUTED_VALUE"""),"spc")</f>
        <v>spc</v>
      </c>
      <c r="C10865" s="3" t="str">
        <f>IFERROR(__xludf.DUMMYFUNCTION("""COMPUTED_VALUE"""),"Spectra")</f>
        <v>Spectra</v>
      </c>
    </row>
    <row r="10866">
      <c r="A10866" s="3" t="str">
        <f>IFERROR(__xludf.DUMMYFUNCTION("""COMPUTED_VALUE"""),"spectrecoin")</f>
        <v>spectrecoin</v>
      </c>
      <c r="B10866" s="3" t="str">
        <f>IFERROR(__xludf.DUMMYFUNCTION("""COMPUTED_VALUE"""),"alias")</f>
        <v>alias</v>
      </c>
      <c r="C10866" s="3" t="str">
        <f>IFERROR(__xludf.DUMMYFUNCTION("""COMPUTED_VALUE"""),"Alias")</f>
        <v>Alias</v>
      </c>
    </row>
    <row r="10867">
      <c r="A10867" s="3" t="str">
        <f>IFERROR(__xludf.DUMMYFUNCTION("""COMPUTED_VALUE"""),"spectre-dividend-token")</f>
        <v>spectre-dividend-token</v>
      </c>
      <c r="B10867" s="3" t="str">
        <f>IFERROR(__xludf.DUMMYFUNCTION("""COMPUTED_VALUE"""),"sxdt")</f>
        <v>sxdt</v>
      </c>
      <c r="C10867" s="3" t="str">
        <f>IFERROR(__xludf.DUMMYFUNCTION("""COMPUTED_VALUE"""),"Spectre.ai Dividend")</f>
        <v>Spectre.ai Dividend</v>
      </c>
    </row>
    <row r="10868">
      <c r="A10868" s="3" t="str">
        <f>IFERROR(__xludf.DUMMYFUNCTION("""COMPUTED_VALUE"""),"spectresecuritycoin")</f>
        <v>spectresecuritycoin</v>
      </c>
      <c r="B10868" s="3" t="str">
        <f>IFERROR(__xludf.DUMMYFUNCTION("""COMPUTED_VALUE"""),"xspc")</f>
        <v>xspc</v>
      </c>
      <c r="C10868" s="3" t="str">
        <f>IFERROR(__xludf.DUMMYFUNCTION("""COMPUTED_VALUE"""),"SpectreSecurityCoin")</f>
        <v>SpectreSecurityCoin</v>
      </c>
    </row>
    <row r="10869">
      <c r="A10869" s="3" t="str">
        <f>IFERROR(__xludf.DUMMYFUNCTION("""COMPUTED_VALUE"""),"spectrum")</f>
        <v>spectrum</v>
      </c>
      <c r="B10869" s="3" t="str">
        <f>IFERROR(__xludf.DUMMYFUNCTION("""COMPUTED_VALUE"""),"spt")</f>
        <v>spt</v>
      </c>
      <c r="C10869" s="3" t="str">
        <f>IFERROR(__xludf.DUMMYFUNCTION("""COMPUTED_VALUE"""),"SPECTRUM")</f>
        <v>SPECTRUM</v>
      </c>
    </row>
    <row r="10870">
      <c r="A10870" s="3" t="str">
        <f>IFERROR(__xludf.DUMMYFUNCTION("""COMPUTED_VALUE"""),"spectrum-token")</f>
        <v>spectrum-token</v>
      </c>
      <c r="B10870" s="3" t="str">
        <f>IFERROR(__xludf.DUMMYFUNCTION("""COMPUTED_VALUE"""),"spec")</f>
        <v>spec</v>
      </c>
      <c r="C10870" s="3" t="str">
        <f>IFERROR(__xludf.DUMMYFUNCTION("""COMPUTED_VALUE"""),"Spectrum Protocol")</f>
        <v>Spectrum Protocol</v>
      </c>
    </row>
    <row r="10871">
      <c r="A10871" s="3" t="str">
        <f>IFERROR(__xludf.DUMMYFUNCTION("""COMPUTED_VALUE"""),"speedcash")</f>
        <v>speedcash</v>
      </c>
      <c r="B10871" s="3" t="str">
        <f>IFERROR(__xludf.DUMMYFUNCTION("""COMPUTED_VALUE"""),"scs")</f>
        <v>scs</v>
      </c>
      <c r="C10871" s="3" t="str">
        <f>IFERROR(__xludf.DUMMYFUNCTION("""COMPUTED_VALUE"""),"Speedcash")</f>
        <v>Speedcash</v>
      </c>
    </row>
    <row r="10872">
      <c r="A10872" s="3" t="str">
        <f>IFERROR(__xludf.DUMMYFUNCTION("""COMPUTED_VALUE"""),"speed-mining-service")</f>
        <v>speed-mining-service</v>
      </c>
      <c r="B10872" s="3" t="str">
        <f>IFERROR(__xludf.DUMMYFUNCTION("""COMPUTED_VALUE"""),"sms")</f>
        <v>sms</v>
      </c>
      <c r="C10872" s="3" t="str">
        <f>IFERROR(__xludf.DUMMYFUNCTION("""COMPUTED_VALUE"""),"Speed Mining Service")</f>
        <v>Speed Mining Service</v>
      </c>
    </row>
    <row r="10873">
      <c r="A10873" s="3" t="str">
        <f>IFERROR(__xludf.DUMMYFUNCTION("""COMPUTED_VALUE"""),"speed-star-joc")</f>
        <v>speed-star-joc</v>
      </c>
      <c r="B10873" s="3" t="str">
        <f>IFERROR(__xludf.DUMMYFUNCTION("""COMPUTED_VALUE"""),"joc")</f>
        <v>joc</v>
      </c>
      <c r="C10873" s="3" t="str">
        <f>IFERROR(__xludf.DUMMYFUNCTION("""COMPUTED_VALUE"""),"Speed Star JOC")</f>
        <v>Speed Star JOC</v>
      </c>
    </row>
    <row r="10874">
      <c r="A10874" s="3" t="str">
        <f>IFERROR(__xludf.DUMMYFUNCTION("""COMPUTED_VALUE"""),"speed-star-speed")</f>
        <v>speed-star-speed</v>
      </c>
      <c r="B10874" s="3" t="str">
        <f>IFERROR(__xludf.DUMMYFUNCTION("""COMPUTED_VALUE"""),"speed")</f>
        <v>speed</v>
      </c>
      <c r="C10874" s="3" t="str">
        <f>IFERROR(__xludf.DUMMYFUNCTION("""COMPUTED_VALUE"""),"Speed Star SPEED")</f>
        <v>Speed Star SPEED</v>
      </c>
    </row>
    <row r="10875">
      <c r="A10875" s="3" t="str">
        <f>IFERROR(__xludf.DUMMYFUNCTION("""COMPUTED_VALUE"""),"speed-star-star")</f>
        <v>speed-star-star</v>
      </c>
      <c r="B10875" s="3" t="str">
        <f>IFERROR(__xludf.DUMMYFUNCTION("""COMPUTED_VALUE"""),"star")</f>
        <v>star</v>
      </c>
      <c r="C10875" s="3" t="str">
        <f>IFERROR(__xludf.DUMMYFUNCTION("""COMPUTED_VALUE"""),"Speed Star STAR")</f>
        <v>Speed Star STAR</v>
      </c>
    </row>
    <row r="10876">
      <c r="A10876" s="3" t="str">
        <f>IFERROR(__xludf.DUMMYFUNCTION("""COMPUTED_VALUE"""),"spellfire")</f>
        <v>spellfire</v>
      </c>
      <c r="B10876" s="3" t="str">
        <f>IFERROR(__xludf.DUMMYFUNCTION("""COMPUTED_VALUE"""),"spellfire")</f>
        <v>spellfire</v>
      </c>
      <c r="C10876" s="3" t="str">
        <f>IFERROR(__xludf.DUMMYFUNCTION("""COMPUTED_VALUE"""),"Spellfire")</f>
        <v>Spellfire</v>
      </c>
    </row>
    <row r="10877">
      <c r="A10877" s="3" t="str">
        <f>IFERROR(__xludf.DUMMYFUNCTION("""COMPUTED_VALUE"""),"spell-token")</f>
        <v>spell-token</v>
      </c>
      <c r="B10877" s="3" t="str">
        <f>IFERROR(__xludf.DUMMYFUNCTION("""COMPUTED_VALUE"""),"spell")</f>
        <v>spell</v>
      </c>
      <c r="C10877" s="3" t="str">
        <f>IFERROR(__xludf.DUMMYFUNCTION("""COMPUTED_VALUE"""),"Spell")</f>
        <v>Spell</v>
      </c>
    </row>
    <row r="10878">
      <c r="A10878" s="3" t="str">
        <f>IFERROR(__xludf.DUMMYFUNCTION("""COMPUTED_VALUE"""),"spender-x")</f>
        <v>spender-x</v>
      </c>
      <c r="B10878" s="3" t="str">
        <f>IFERROR(__xludf.DUMMYFUNCTION("""COMPUTED_VALUE"""),"spdx")</f>
        <v>spdx</v>
      </c>
      <c r="C10878" s="3" t="str">
        <f>IFERROR(__xludf.DUMMYFUNCTION("""COMPUTED_VALUE"""),"SPENDER-X")</f>
        <v>SPENDER-X</v>
      </c>
    </row>
    <row r="10879">
      <c r="A10879" s="3" t="str">
        <f>IFERROR(__xludf.DUMMYFUNCTION("""COMPUTED_VALUE"""),"sperax")</f>
        <v>sperax</v>
      </c>
      <c r="B10879" s="3" t="str">
        <f>IFERROR(__xludf.DUMMYFUNCTION("""COMPUTED_VALUE"""),"spa")</f>
        <v>spa</v>
      </c>
      <c r="C10879" s="3" t="str">
        <f>IFERROR(__xludf.DUMMYFUNCTION("""COMPUTED_VALUE"""),"Sperax")</f>
        <v>Sperax</v>
      </c>
    </row>
    <row r="10880">
      <c r="A10880" s="3" t="str">
        <f>IFERROR(__xludf.DUMMYFUNCTION("""COMPUTED_VALUE"""),"sperax-usd")</f>
        <v>sperax-usd</v>
      </c>
      <c r="B10880" s="3" t="str">
        <f>IFERROR(__xludf.DUMMYFUNCTION("""COMPUTED_VALUE"""),"usds")</f>
        <v>usds</v>
      </c>
      <c r="C10880" s="3" t="str">
        <f>IFERROR(__xludf.DUMMYFUNCTION("""COMPUTED_VALUE"""),"Sperax USD")</f>
        <v>Sperax USD</v>
      </c>
    </row>
    <row r="10881">
      <c r="A10881" s="3" t="str">
        <f>IFERROR(__xludf.DUMMYFUNCTION("""COMPUTED_VALUE"""),"sphere")</f>
        <v>sphere</v>
      </c>
      <c r="B10881" s="3" t="str">
        <f>IFERROR(__xludf.DUMMYFUNCTION("""COMPUTED_VALUE"""),"sphr")</f>
        <v>sphr</v>
      </c>
      <c r="C10881" s="3" t="str">
        <f>IFERROR(__xludf.DUMMYFUNCTION("""COMPUTED_VALUE"""),"Sphere")</f>
        <v>Sphere</v>
      </c>
    </row>
    <row r="10882">
      <c r="A10882" s="3" t="str">
        <f>IFERROR(__xludf.DUMMYFUNCTION("""COMPUTED_VALUE"""),"sphere-finance")</f>
        <v>sphere-finance</v>
      </c>
      <c r="B10882" s="3" t="str">
        <f>IFERROR(__xludf.DUMMYFUNCTION("""COMPUTED_VALUE"""),"sphere")</f>
        <v>sphere</v>
      </c>
      <c r="C10882" s="3" t="str">
        <f>IFERROR(__xludf.DUMMYFUNCTION("""COMPUTED_VALUE"""),"Sphere Finance")</f>
        <v>Sphere Finance</v>
      </c>
    </row>
    <row r="10883">
      <c r="A10883" s="3" t="str">
        <f>IFERROR(__xludf.DUMMYFUNCTION("""COMPUTED_VALUE"""),"sphere-social")</f>
        <v>sphere-social</v>
      </c>
      <c r="B10883" s="3" t="str">
        <f>IFERROR(__xludf.DUMMYFUNCTION("""COMPUTED_VALUE"""),"sat")</f>
        <v>sat</v>
      </c>
      <c r="C10883" s="3" t="str">
        <f>IFERROR(__xludf.DUMMYFUNCTION("""COMPUTED_VALUE"""),"Social Activity")</f>
        <v>Social Activity</v>
      </c>
    </row>
    <row r="10884">
      <c r="A10884" s="3" t="str">
        <f>IFERROR(__xludf.DUMMYFUNCTION("""COMPUTED_VALUE"""),"spheresxs")</f>
        <v>spheresxs</v>
      </c>
      <c r="B10884" s="3" t="str">
        <f>IFERROR(__xludf.DUMMYFUNCTION("""COMPUTED_VALUE"""),"sxs")</f>
        <v>sxs</v>
      </c>
      <c r="C10884" s="3" t="str">
        <f>IFERROR(__xludf.DUMMYFUNCTION("""COMPUTED_VALUE"""),"SphereSXS")</f>
        <v>SphereSXS</v>
      </c>
    </row>
    <row r="10885">
      <c r="A10885" s="3" t="str">
        <f>IFERROR(__xludf.DUMMYFUNCTION("""COMPUTED_VALUE"""),"spherium")</f>
        <v>spherium</v>
      </c>
      <c r="B10885" s="3" t="str">
        <f>IFERROR(__xludf.DUMMYFUNCTION("""COMPUTED_VALUE"""),"sphri")</f>
        <v>sphri</v>
      </c>
      <c r="C10885" s="3" t="str">
        <f>IFERROR(__xludf.DUMMYFUNCTION("""COMPUTED_VALUE"""),"Spherium")</f>
        <v>Spherium</v>
      </c>
    </row>
    <row r="10886">
      <c r="A10886" s="3" t="str">
        <f>IFERROR(__xludf.DUMMYFUNCTION("""COMPUTED_VALUE"""),"spheroid-universe")</f>
        <v>spheroid-universe</v>
      </c>
      <c r="B10886" s="3" t="str">
        <f>IFERROR(__xludf.DUMMYFUNCTION("""COMPUTED_VALUE"""),"sph")</f>
        <v>sph</v>
      </c>
      <c r="C10886" s="3" t="str">
        <f>IFERROR(__xludf.DUMMYFUNCTION("""COMPUTED_VALUE"""),"Spheroid Universe")</f>
        <v>Spheroid Universe</v>
      </c>
    </row>
    <row r="10887">
      <c r="A10887" s="3" t="str">
        <f>IFERROR(__xludf.DUMMYFUNCTION("""COMPUTED_VALUE"""),"sphinxel")</f>
        <v>sphinxel</v>
      </c>
      <c r="B10887" s="3" t="str">
        <f>IFERROR(__xludf.DUMMYFUNCTION("""COMPUTED_VALUE"""),"spx")</f>
        <v>spx</v>
      </c>
      <c r="C10887" s="3" t="str">
        <f>IFERROR(__xludf.DUMMYFUNCTION("""COMPUTED_VALUE"""),"Sphinxel")</f>
        <v>Sphinxel</v>
      </c>
    </row>
    <row r="10888">
      <c r="A10888" s="3" t="str">
        <f>IFERROR(__xludf.DUMMYFUNCTION("""COMPUTED_VALUE"""),"sphynx")</f>
        <v>sphynx</v>
      </c>
      <c r="B10888" s="3" t="str">
        <f>IFERROR(__xludf.DUMMYFUNCTION("""COMPUTED_VALUE"""),"sphynx")</f>
        <v>sphynx</v>
      </c>
      <c r="C10888" s="3" t="str">
        <f>IFERROR(__xludf.DUMMYFUNCTION("""COMPUTED_VALUE"""),"Sphynx")</f>
        <v>Sphynx</v>
      </c>
    </row>
    <row r="10889">
      <c r="A10889" s="3" t="str">
        <f>IFERROR(__xludf.DUMMYFUNCTION("""COMPUTED_VALUE"""),"sphynxfi")</f>
        <v>sphynxfi</v>
      </c>
      <c r="B10889" s="3" t="str">
        <f>IFERROR(__xludf.DUMMYFUNCTION("""COMPUTED_VALUE"""),"sf")</f>
        <v>sf</v>
      </c>
      <c r="C10889" s="3" t="str">
        <f>IFERROR(__xludf.DUMMYFUNCTION("""COMPUTED_VALUE"""),"SphynxFi")</f>
        <v>SphynxFi</v>
      </c>
    </row>
    <row r="10890">
      <c r="A10890" s="3" t="str">
        <f>IFERROR(__xludf.DUMMYFUNCTION("""COMPUTED_VALUE"""),"sphynx-labs")</f>
        <v>sphynx-labs</v>
      </c>
      <c r="B10890" s="3" t="str">
        <f>IFERROR(__xludf.DUMMYFUNCTION("""COMPUTED_VALUE"""),"sphynx")</f>
        <v>sphynx</v>
      </c>
      <c r="C10890" s="3" t="str">
        <f>IFERROR(__xludf.DUMMYFUNCTION("""COMPUTED_VALUE"""),"Sphynx Labs")</f>
        <v>Sphynx Labs</v>
      </c>
    </row>
    <row r="10891">
      <c r="A10891" s="3" t="str">
        <f>IFERROR(__xludf.DUMMYFUNCTION("""COMPUTED_VALUE"""),"spice")</f>
        <v>spice</v>
      </c>
      <c r="B10891" s="3" t="str">
        <f>IFERROR(__xludf.DUMMYFUNCTION("""COMPUTED_VALUE"""),"spice")</f>
        <v>spice</v>
      </c>
      <c r="C10891" s="3" t="str">
        <f>IFERROR(__xludf.DUMMYFUNCTION("""COMPUTED_VALUE"""),"Spice Token")</f>
        <v>Spice Token</v>
      </c>
    </row>
    <row r="10892">
      <c r="A10892" s="3" t="str">
        <f>IFERROR(__xludf.DUMMYFUNCTION("""COMPUTED_VALUE"""),"spice-dao")</f>
        <v>spice-dao</v>
      </c>
      <c r="B10892" s="3" t="str">
        <f>IFERROR(__xludf.DUMMYFUNCTION("""COMPUTED_VALUE"""),"spice")</f>
        <v>spice</v>
      </c>
      <c r="C10892" s="3" t="str">
        <f>IFERROR(__xludf.DUMMYFUNCTION("""COMPUTED_VALUE"""),"Spice DAO")</f>
        <v>Spice DAO</v>
      </c>
    </row>
    <row r="10893">
      <c r="A10893" s="3" t="str">
        <f>IFERROR(__xludf.DUMMYFUNCTION("""COMPUTED_VALUE"""),"spiceeuro")</f>
        <v>spiceeuro</v>
      </c>
      <c r="B10893" s="3" t="str">
        <f>IFERROR(__xludf.DUMMYFUNCTION("""COMPUTED_VALUE"""),"euros")</f>
        <v>euros</v>
      </c>
      <c r="C10893" s="3" t="str">
        <f>IFERROR(__xludf.DUMMYFUNCTION("""COMPUTED_VALUE"""),"SpiceEURO")</f>
        <v>SpiceEURO</v>
      </c>
    </row>
    <row r="10894">
      <c r="A10894" s="3" t="str">
        <f>IFERROR(__xludf.DUMMYFUNCTION("""COMPUTED_VALUE"""),"spice-finance")</f>
        <v>spice-finance</v>
      </c>
      <c r="B10894" s="3" t="str">
        <f>IFERROR(__xludf.DUMMYFUNCTION("""COMPUTED_VALUE"""),"spice")</f>
        <v>spice</v>
      </c>
      <c r="C10894" s="3" t="str">
        <f>IFERROR(__xludf.DUMMYFUNCTION("""COMPUTED_VALUE"""),"SPICE")</f>
        <v>SPICE</v>
      </c>
    </row>
    <row r="10895">
      <c r="A10895" s="3" t="str">
        <f>IFERROR(__xludf.DUMMYFUNCTION("""COMPUTED_VALUE"""),"spice-trade")</f>
        <v>spice-trade</v>
      </c>
      <c r="B10895" s="3" t="str">
        <f>IFERROR(__xludf.DUMMYFUNCTION("""COMPUTED_VALUE"""),"spice")</f>
        <v>spice</v>
      </c>
      <c r="C10895" s="3" t="str">
        <f>IFERROR(__xludf.DUMMYFUNCTION("""COMPUTED_VALUE"""),"Spice Trade")</f>
        <v>Spice Trade</v>
      </c>
    </row>
    <row r="10896">
      <c r="A10896" s="3" t="str">
        <f>IFERROR(__xludf.DUMMYFUNCTION("""COMPUTED_VALUE"""),"spiceusd")</f>
        <v>spiceusd</v>
      </c>
      <c r="B10896" s="3" t="str">
        <f>IFERROR(__xludf.DUMMYFUNCTION("""COMPUTED_VALUE"""),"usds")</f>
        <v>usds</v>
      </c>
      <c r="C10896" s="3" t="str">
        <f>IFERROR(__xludf.DUMMYFUNCTION("""COMPUTED_VALUE"""),"SpiceUSD")</f>
        <v>SpiceUSD</v>
      </c>
    </row>
    <row r="10897">
      <c r="A10897" s="3" t="str">
        <f>IFERROR(__xludf.DUMMYFUNCTION("""COMPUTED_VALUE"""),"spiderdao")</f>
        <v>spiderdao</v>
      </c>
      <c r="B10897" s="3" t="str">
        <f>IFERROR(__xludf.DUMMYFUNCTION("""COMPUTED_VALUE"""),"spdr")</f>
        <v>spdr</v>
      </c>
      <c r="C10897" s="3" t="str">
        <f>IFERROR(__xludf.DUMMYFUNCTION("""COMPUTED_VALUE"""),"SpiderDAO")</f>
        <v>SpiderDAO</v>
      </c>
    </row>
    <row r="10898">
      <c r="A10898" s="3" t="str">
        <f>IFERROR(__xludf.DUMMYFUNCTION("""COMPUTED_VALUE"""),"spinada-cash")</f>
        <v>spinada-cash</v>
      </c>
      <c r="B10898" s="3" t="str">
        <f>IFERROR(__xludf.DUMMYFUNCTION("""COMPUTED_VALUE"""),"spin")</f>
        <v>spin</v>
      </c>
      <c r="C10898" s="3" t="str">
        <f>IFERROR(__xludf.DUMMYFUNCTION("""COMPUTED_VALUE"""),"Spinada Cash")</f>
        <v>Spinada Cash</v>
      </c>
    </row>
    <row r="10899">
      <c r="A10899" s="3" t="str">
        <f>IFERROR(__xludf.DUMMYFUNCTION("""COMPUTED_VALUE"""),"spindle")</f>
        <v>spindle</v>
      </c>
      <c r="B10899" s="3" t="str">
        <f>IFERROR(__xludf.DUMMYFUNCTION("""COMPUTED_VALUE"""),"spd")</f>
        <v>spd</v>
      </c>
      <c r="C10899" s="3" t="str">
        <f>IFERROR(__xludf.DUMMYFUNCTION("""COMPUTED_VALUE"""),"SPINDLE")</f>
        <v>SPINDLE</v>
      </c>
    </row>
    <row r="10900">
      <c r="A10900" s="3" t="str">
        <f>IFERROR(__xludf.DUMMYFUNCTION("""COMPUTED_VALUE"""),"spintop")</f>
        <v>spintop</v>
      </c>
      <c r="B10900" s="3" t="str">
        <f>IFERROR(__xludf.DUMMYFUNCTION("""COMPUTED_VALUE"""),"spin")</f>
        <v>spin</v>
      </c>
      <c r="C10900" s="3" t="str">
        <f>IFERROR(__xludf.DUMMYFUNCTION("""COMPUTED_VALUE"""),"Spintop")</f>
        <v>Spintop</v>
      </c>
    </row>
    <row r="10901">
      <c r="A10901" s="3" t="str">
        <f>IFERROR(__xludf.DUMMYFUNCTION("""COMPUTED_VALUE"""),"spiral")</f>
        <v>spiral</v>
      </c>
      <c r="B10901" s="3" t="str">
        <f>IFERROR(__xludf.DUMMYFUNCTION("""COMPUTED_VALUE"""),"spr")</f>
        <v>spr</v>
      </c>
      <c r="C10901" s="3" t="str">
        <f>IFERROR(__xludf.DUMMYFUNCTION("""COMPUTED_VALUE"""),"Spiral")</f>
        <v>Spiral</v>
      </c>
    </row>
    <row r="10902">
      <c r="A10902" s="3" t="str">
        <f>IFERROR(__xludf.DUMMYFUNCTION("""COMPUTED_VALUE"""),"spiritdao-ghost")</f>
        <v>spiritdao-ghost</v>
      </c>
      <c r="B10902" s="3" t="str">
        <f>IFERROR(__xludf.DUMMYFUNCTION("""COMPUTED_VALUE"""),"ghost")</f>
        <v>ghost</v>
      </c>
      <c r="C10902" s="3" t="str">
        <f>IFERROR(__xludf.DUMMYFUNCTION("""COMPUTED_VALUE"""),"SpiritDAO Ghost")</f>
        <v>SpiritDAO Ghost</v>
      </c>
    </row>
    <row r="10903">
      <c r="A10903" s="3" t="str">
        <f>IFERROR(__xludf.DUMMYFUNCTION("""COMPUTED_VALUE"""),"spiritswap")</f>
        <v>spiritswap</v>
      </c>
      <c r="B10903" s="3" t="str">
        <f>IFERROR(__xludf.DUMMYFUNCTION("""COMPUTED_VALUE"""),"spirit")</f>
        <v>spirit</v>
      </c>
      <c r="C10903" s="3" t="str">
        <f>IFERROR(__xludf.DUMMYFUNCTION("""COMPUTED_VALUE"""),"SpiritSwap")</f>
        <v>SpiritSwap</v>
      </c>
    </row>
    <row r="10904">
      <c r="A10904" s="3" t="str">
        <f>IFERROR(__xludf.DUMMYFUNCTION("""COMPUTED_VALUE"""),"spitz-chain")</f>
        <v>spitz-chain</v>
      </c>
      <c r="B10904" s="3" t="str">
        <f>IFERROR(__xludf.DUMMYFUNCTION("""COMPUTED_VALUE"""),"spc")</f>
        <v>spc</v>
      </c>
      <c r="C10904" s="3" t="str">
        <f>IFERROR(__xludf.DUMMYFUNCTION("""COMPUTED_VALUE"""),"Spitz Chain")</f>
        <v>Spitz Chain</v>
      </c>
    </row>
    <row r="10905">
      <c r="A10905" s="3" t="str">
        <f>IFERROR(__xludf.DUMMYFUNCTION("""COMPUTED_VALUE"""),"splash")</f>
        <v>splash</v>
      </c>
      <c r="B10905" s="3" t="str">
        <f>IFERROR(__xludf.DUMMYFUNCTION("""COMPUTED_VALUE"""),"spl")</f>
        <v>spl</v>
      </c>
      <c r="C10905" s="3" t="str">
        <f>IFERROR(__xludf.DUMMYFUNCTION("""COMPUTED_VALUE"""),"Splash")</f>
        <v>Splash</v>
      </c>
    </row>
    <row r="10906">
      <c r="A10906" s="3" t="str">
        <f>IFERROR(__xludf.DUMMYFUNCTION("""COMPUTED_VALUE"""),"splinterlands")</f>
        <v>splinterlands</v>
      </c>
      <c r="B10906" s="3" t="str">
        <f>IFERROR(__xludf.DUMMYFUNCTION("""COMPUTED_VALUE"""),"sps")</f>
        <v>sps</v>
      </c>
      <c r="C10906" s="3" t="str">
        <f>IFERROR(__xludf.DUMMYFUNCTION("""COMPUTED_VALUE"""),"Splintershards")</f>
        <v>Splintershards</v>
      </c>
    </row>
    <row r="10907">
      <c r="A10907" s="3" t="str">
        <f>IFERROR(__xludf.DUMMYFUNCTION("""COMPUTED_VALUE"""),"splyt")</f>
        <v>splyt</v>
      </c>
      <c r="B10907" s="3" t="str">
        <f>IFERROR(__xludf.DUMMYFUNCTION("""COMPUTED_VALUE"""),"shopx")</f>
        <v>shopx</v>
      </c>
      <c r="C10907" s="3" t="str">
        <f>IFERROR(__xludf.DUMMYFUNCTION("""COMPUTED_VALUE"""),"SHOPX")</f>
        <v>SHOPX</v>
      </c>
    </row>
    <row r="10908">
      <c r="A10908" s="3" t="str">
        <f>IFERROR(__xludf.DUMMYFUNCTION("""COMPUTED_VALUE"""),"spookeletons-token")</f>
        <v>spookeletons-token</v>
      </c>
      <c r="B10908" s="3" t="str">
        <f>IFERROR(__xludf.DUMMYFUNCTION("""COMPUTED_VALUE"""),"spkl")</f>
        <v>spkl</v>
      </c>
      <c r="C10908" s="3" t="str">
        <f>IFERROR(__xludf.DUMMYFUNCTION("""COMPUTED_VALUE"""),"Spookeletons")</f>
        <v>Spookeletons</v>
      </c>
    </row>
    <row r="10909">
      <c r="A10909" s="3" t="str">
        <f>IFERROR(__xludf.DUMMYFUNCTION("""COMPUTED_VALUE"""),"spookyhalloweenfloki")</f>
        <v>spookyhalloweenfloki</v>
      </c>
      <c r="B10909" s="3" t="str">
        <f>IFERROR(__xludf.DUMMYFUNCTION("""COMPUTED_VALUE"""),"shf")</f>
        <v>shf</v>
      </c>
      <c r="C10909" s="3" t="str">
        <f>IFERROR(__xludf.DUMMYFUNCTION("""COMPUTED_VALUE"""),"SpookyHalloweenFloki")</f>
        <v>SpookyHalloweenFloki</v>
      </c>
    </row>
    <row r="10910">
      <c r="A10910" s="3" t="str">
        <f>IFERROR(__xludf.DUMMYFUNCTION("""COMPUTED_VALUE"""),"spookyshiba-2")</f>
        <v>spookyshiba-2</v>
      </c>
      <c r="B10910" s="3" t="str">
        <f>IFERROR(__xludf.DUMMYFUNCTION("""COMPUTED_VALUE"""),"spky")</f>
        <v>spky</v>
      </c>
      <c r="C10910" s="3" t="str">
        <f>IFERROR(__xludf.DUMMYFUNCTION("""COMPUTED_VALUE"""),"SpookyShiba")</f>
        <v>SpookyShiba</v>
      </c>
    </row>
    <row r="10911">
      <c r="A10911" s="3" t="str">
        <f>IFERROR(__xludf.DUMMYFUNCTION("""COMPUTED_VALUE"""),"spookyswap")</f>
        <v>spookyswap</v>
      </c>
      <c r="B10911" s="3" t="str">
        <f>IFERROR(__xludf.DUMMYFUNCTION("""COMPUTED_VALUE"""),"boo")</f>
        <v>boo</v>
      </c>
      <c r="C10911" s="3" t="str">
        <f>IFERROR(__xludf.DUMMYFUNCTION("""COMPUTED_VALUE"""),"Spookyswap")</f>
        <v>Spookyswap</v>
      </c>
    </row>
    <row r="10912">
      <c r="A10912" s="3" t="str">
        <f>IFERROR(__xludf.DUMMYFUNCTION("""COMPUTED_VALUE"""),"spooky-uni")</f>
        <v>spooky-uni</v>
      </c>
      <c r="B10912" s="3" t="str">
        <f>IFERROR(__xludf.DUMMYFUNCTION("""COMPUTED_VALUE"""),"spku")</f>
        <v>spku</v>
      </c>
      <c r="C10912" s="3" t="str">
        <f>IFERROR(__xludf.DUMMYFUNCTION("""COMPUTED_VALUE"""),"Spooky Uni")</f>
        <v>Spooky Uni</v>
      </c>
    </row>
    <row r="10913">
      <c r="A10913" s="3" t="str">
        <f>IFERROR(__xludf.DUMMYFUNCTION("""COMPUTED_VALUE"""),"spool-dao-token")</f>
        <v>spool-dao-token</v>
      </c>
      <c r="B10913" s="3" t="str">
        <f>IFERROR(__xludf.DUMMYFUNCTION("""COMPUTED_VALUE"""),"spool")</f>
        <v>spool</v>
      </c>
      <c r="C10913" s="3" t="str">
        <f>IFERROR(__xludf.DUMMYFUNCTION("""COMPUTED_VALUE"""),"Spool DAO")</f>
        <v>Spool DAO</v>
      </c>
    </row>
    <row r="10914">
      <c r="A10914" s="3" t="str">
        <f>IFERROR(__xludf.DUMMYFUNCTION("""COMPUTED_VALUE"""),"spore")</f>
        <v>spore</v>
      </c>
      <c r="B10914" s="3" t="str">
        <f>IFERROR(__xludf.DUMMYFUNCTION("""COMPUTED_VALUE"""),"spore")</f>
        <v>spore</v>
      </c>
      <c r="C10914" s="3" t="str">
        <f>IFERROR(__xludf.DUMMYFUNCTION("""COMPUTED_VALUE"""),"Spore")</f>
        <v>Spore</v>
      </c>
    </row>
    <row r="10915">
      <c r="A10915" s="3" t="str">
        <f>IFERROR(__xludf.DUMMYFUNCTION("""COMPUTED_VALUE"""),"spores-network")</f>
        <v>spores-network</v>
      </c>
      <c r="B10915" s="3" t="str">
        <f>IFERROR(__xludf.DUMMYFUNCTION("""COMPUTED_VALUE"""),"spo")</f>
        <v>spo</v>
      </c>
      <c r="C10915" s="3" t="str">
        <f>IFERROR(__xludf.DUMMYFUNCTION("""COMPUTED_VALUE"""),"Spores Network")</f>
        <v>Spores Network</v>
      </c>
    </row>
    <row r="10916">
      <c r="A10916" s="3" t="str">
        <f>IFERROR(__xludf.DUMMYFUNCTION("""COMPUTED_VALUE"""),"sporkdao")</f>
        <v>sporkdao</v>
      </c>
      <c r="B10916" s="3" t="str">
        <f>IFERROR(__xludf.DUMMYFUNCTION("""COMPUTED_VALUE"""),"spork")</f>
        <v>spork</v>
      </c>
      <c r="C10916" s="3" t="str">
        <f>IFERROR(__xludf.DUMMYFUNCTION("""COMPUTED_VALUE"""),"SporkDAO")</f>
        <v>SporkDAO</v>
      </c>
    </row>
    <row r="10917">
      <c r="A10917" s="3" t="str">
        <f>IFERROR(__xludf.DUMMYFUNCTION("""COMPUTED_VALUE"""),"sport")</f>
        <v>sport</v>
      </c>
      <c r="B10917" s="3" t="str">
        <f>IFERROR(__xludf.DUMMYFUNCTION("""COMPUTED_VALUE"""),"sport")</f>
        <v>sport</v>
      </c>
      <c r="C10917" s="3" t="str">
        <f>IFERROR(__xludf.DUMMYFUNCTION("""COMPUTED_VALUE"""),"SPORT")</f>
        <v>SPORT</v>
      </c>
    </row>
    <row r="10918">
      <c r="A10918" s="3" t="str">
        <f>IFERROR(__xludf.DUMMYFUNCTION("""COMPUTED_VALUE"""),"sport-and-leisure")</f>
        <v>sport-and-leisure</v>
      </c>
      <c r="B10918" s="3" t="str">
        <f>IFERROR(__xludf.DUMMYFUNCTION("""COMPUTED_VALUE"""),"snl")</f>
        <v>snl</v>
      </c>
      <c r="C10918" s="3" t="str">
        <f>IFERROR(__xludf.DUMMYFUNCTION("""COMPUTED_VALUE"""),"Sport and Leisure")</f>
        <v>Sport and Leisure</v>
      </c>
    </row>
    <row r="10919">
      <c r="A10919" s="3" t="str">
        <f>IFERROR(__xludf.DUMMYFUNCTION("""COMPUTED_VALUE"""),"sportium")</f>
        <v>sportium</v>
      </c>
      <c r="B10919" s="3" t="str">
        <f>IFERROR(__xludf.DUMMYFUNCTION("""COMPUTED_VALUE"""),"sprt")</f>
        <v>sprt</v>
      </c>
      <c r="C10919" s="3" t="str">
        <f>IFERROR(__xludf.DUMMYFUNCTION("""COMPUTED_VALUE"""),"Sportium")</f>
        <v>Sportium</v>
      </c>
    </row>
    <row r="10920">
      <c r="A10920" s="3" t="str">
        <f>IFERROR(__xludf.DUMMYFUNCTION("""COMPUTED_VALUE"""),"sportoken")</f>
        <v>sportoken</v>
      </c>
      <c r="B10920" s="3" t="str">
        <f>IFERROR(__xludf.DUMMYFUNCTION("""COMPUTED_VALUE"""),"spt")</f>
        <v>spt</v>
      </c>
      <c r="C10920" s="3" t="str">
        <f>IFERROR(__xludf.DUMMYFUNCTION("""COMPUTED_VALUE"""),"Sportoken")</f>
        <v>Sportoken</v>
      </c>
    </row>
    <row r="10921">
      <c r="A10921" s="3" t="str">
        <f>IFERROR(__xludf.DUMMYFUNCTION("""COMPUTED_VALUE"""),"sports-2k75")</f>
        <v>sports-2k75</v>
      </c>
      <c r="B10921" s="3" t="str">
        <f>IFERROR(__xludf.DUMMYFUNCTION("""COMPUTED_VALUE"""),"s2k")</f>
        <v>s2k</v>
      </c>
      <c r="C10921" s="3" t="str">
        <f>IFERROR(__xludf.DUMMYFUNCTION("""COMPUTED_VALUE"""),"Sports 2K75")</f>
        <v>Sports 2K75</v>
      </c>
    </row>
    <row r="10922">
      <c r="A10922" s="3" t="str">
        <f>IFERROR(__xludf.DUMMYFUNCTION("""COMPUTED_VALUE"""),"sports-bet")</f>
        <v>sports-bet</v>
      </c>
      <c r="B10922" s="3" t="str">
        <f>IFERROR(__xludf.DUMMYFUNCTION("""COMPUTED_VALUE"""),"sbet")</f>
        <v>sbet</v>
      </c>
      <c r="C10922" s="3" t="str">
        <f>IFERROR(__xludf.DUMMYFUNCTION("""COMPUTED_VALUE"""),"Sports Bet")</f>
        <v>Sports Bet</v>
      </c>
    </row>
    <row r="10923">
      <c r="A10923" s="3" t="str">
        <f>IFERROR(__xludf.DUMMYFUNCTION("""COMPUTED_VALUE"""),"sportsicon")</f>
        <v>sportsicon</v>
      </c>
      <c r="B10923" s="3" t="str">
        <f>IFERROR(__xludf.DUMMYFUNCTION("""COMPUTED_VALUE"""),"$icons")</f>
        <v>$icons</v>
      </c>
      <c r="C10923" s="3" t="str">
        <f>IFERROR(__xludf.DUMMYFUNCTION("""COMPUTED_VALUE"""),"SportsIcon")</f>
        <v>SportsIcon</v>
      </c>
    </row>
    <row r="10924">
      <c r="A10924" s="3" t="str">
        <f>IFERROR(__xludf.DUMMYFUNCTION("""COMPUTED_VALUE"""),"sportsverse")</f>
        <v>sportsverse</v>
      </c>
      <c r="B10924" s="3" t="str">
        <f>IFERROR(__xludf.DUMMYFUNCTION("""COMPUTED_VALUE"""),"sv")</f>
        <v>sv</v>
      </c>
      <c r="C10924" s="3" t="str">
        <f>IFERROR(__xludf.DUMMYFUNCTION("""COMPUTED_VALUE"""),"Sportsverse")</f>
        <v>Sportsverse</v>
      </c>
    </row>
    <row r="10925">
      <c r="A10925" s="3" t="str">
        <f>IFERROR(__xludf.DUMMYFUNCTION("""COMPUTED_VALUE"""),"sporty")</f>
        <v>sporty</v>
      </c>
      <c r="B10925" s="3" t="str">
        <f>IFERROR(__xludf.DUMMYFUNCTION("""COMPUTED_VALUE"""),"sporty")</f>
        <v>sporty</v>
      </c>
      <c r="C10925" s="3" t="str">
        <f>IFERROR(__xludf.DUMMYFUNCTION("""COMPUTED_VALUE"""),"Sporty")</f>
        <v>Sporty</v>
      </c>
    </row>
    <row r="10926">
      <c r="A10926" s="3" t="str">
        <f>IFERROR(__xludf.DUMMYFUNCTION("""COMPUTED_VALUE"""),"sportzchain")</f>
        <v>sportzchain</v>
      </c>
      <c r="B10926" s="3" t="str">
        <f>IFERROR(__xludf.DUMMYFUNCTION("""COMPUTED_VALUE"""),"spn")</f>
        <v>spn</v>
      </c>
      <c r="C10926" s="3" t="str">
        <f>IFERROR(__xludf.DUMMYFUNCTION("""COMPUTED_VALUE"""),"Sportzchain")</f>
        <v>Sportzchain</v>
      </c>
    </row>
    <row r="10927">
      <c r="A10927" s="3" t="str">
        <f>IFERROR(__xludf.DUMMYFUNCTION("""COMPUTED_VALUE"""),"spotrax")</f>
        <v>spotrax</v>
      </c>
      <c r="B10927" s="3" t="str">
        <f>IFERROR(__xludf.DUMMYFUNCTION("""COMPUTED_VALUE"""),"spox")</f>
        <v>spox</v>
      </c>
      <c r="C10927" s="3" t="str">
        <f>IFERROR(__xludf.DUMMYFUNCTION("""COMPUTED_VALUE"""),"Spotrax")</f>
        <v>Spotrax</v>
      </c>
    </row>
    <row r="10928">
      <c r="A10928" s="3" t="str">
        <f>IFERROR(__xludf.DUMMYFUNCTION("""COMPUTED_VALUE"""),"spots")</f>
        <v>spots</v>
      </c>
      <c r="B10928" s="3" t="str">
        <f>IFERROR(__xludf.DUMMYFUNCTION("""COMPUTED_VALUE"""),"spt")</f>
        <v>spt</v>
      </c>
      <c r="C10928" s="3" t="str">
        <f>IFERROR(__xludf.DUMMYFUNCTION("""COMPUTED_VALUE"""),"Spots")</f>
        <v>Spots</v>
      </c>
    </row>
    <row r="10929">
      <c r="A10929" s="3" t="str">
        <f>IFERROR(__xludf.DUMMYFUNCTION("""COMPUTED_VALUE"""),"spring")</f>
        <v>spring</v>
      </c>
      <c r="B10929" s="3" t="str">
        <f>IFERROR(__xludf.DUMMYFUNCTION("""COMPUTED_VALUE"""),"spring")</f>
        <v>spring</v>
      </c>
      <c r="C10929" s="3" t="str">
        <f>IFERROR(__xludf.DUMMYFUNCTION("""COMPUTED_VALUE"""),"Spring")</f>
        <v>Spring</v>
      </c>
    </row>
    <row r="10930">
      <c r="A10930" s="3" t="str">
        <f>IFERROR(__xludf.DUMMYFUNCTION("""COMPUTED_VALUE"""),"spring-game")</f>
        <v>spring-game</v>
      </c>
      <c r="B10930" s="3" t="str">
        <f>IFERROR(__xludf.DUMMYFUNCTION("""COMPUTED_VALUE"""),"spr")</f>
        <v>spr</v>
      </c>
      <c r="C10930" s="3" t="str">
        <f>IFERROR(__xludf.DUMMYFUNCTION("""COMPUTED_VALUE"""),"Spring Game")</f>
        <v>Spring Game</v>
      </c>
    </row>
    <row r="10931">
      <c r="A10931" s="3" t="str">
        <f>IFERROR(__xludf.DUMMYFUNCTION("""COMPUTED_VALUE"""),"sprink")</f>
        <v>sprink</v>
      </c>
      <c r="B10931" s="3" t="str">
        <f>IFERROR(__xludf.DUMMYFUNCTION("""COMPUTED_VALUE"""),"sprink")</f>
        <v>sprink</v>
      </c>
      <c r="C10931" s="3" t="str">
        <f>IFERROR(__xludf.DUMMYFUNCTION("""COMPUTED_VALUE"""),"Sprink")</f>
        <v>Sprink</v>
      </c>
    </row>
    <row r="10932">
      <c r="A10932" s="3" t="str">
        <f>IFERROR(__xludf.DUMMYFUNCTION("""COMPUTED_VALUE"""),"sprint-coin")</f>
        <v>sprint-coin</v>
      </c>
      <c r="B10932" s="3" t="str">
        <f>IFERROR(__xludf.DUMMYFUNCTION("""COMPUTED_VALUE"""),"sprx")</f>
        <v>sprx</v>
      </c>
      <c r="C10932" s="3" t="str">
        <f>IFERROR(__xludf.DUMMYFUNCTION("""COMPUTED_VALUE"""),"Sprint Coin")</f>
        <v>Sprint Coin</v>
      </c>
    </row>
    <row r="10933">
      <c r="A10933" s="3" t="str">
        <f>IFERROR(__xludf.DUMMYFUNCTION("""COMPUTED_VALUE"""),"spritzmoon-crypto")</f>
        <v>spritzmoon-crypto</v>
      </c>
      <c r="B10933" s="3" t="str">
        <f>IFERROR(__xludf.DUMMYFUNCTION("""COMPUTED_VALUE"""),"spritzmoon")</f>
        <v>spritzmoon</v>
      </c>
      <c r="C10933" s="3" t="str">
        <f>IFERROR(__xludf.DUMMYFUNCTION("""COMPUTED_VALUE"""),"SpritzMoon Crypto")</f>
        <v>SpritzMoon Crypto</v>
      </c>
    </row>
    <row r="10934">
      <c r="A10934" s="3" t="str">
        <f>IFERROR(__xludf.DUMMYFUNCTION("""COMPUTED_VALUE"""),"sprouts")</f>
        <v>sprouts</v>
      </c>
      <c r="B10934" s="3" t="str">
        <f>IFERROR(__xludf.DUMMYFUNCTION("""COMPUTED_VALUE"""),"sprts")</f>
        <v>sprts</v>
      </c>
      <c r="C10934" s="3" t="str">
        <f>IFERROR(__xludf.DUMMYFUNCTION("""COMPUTED_VALUE"""),"Sprouts")</f>
        <v>Sprouts</v>
      </c>
    </row>
    <row r="10935">
      <c r="A10935" s="3" t="str">
        <f>IFERROR(__xludf.DUMMYFUNCTION("""COMPUTED_VALUE"""),"sproutsextreme")</f>
        <v>sproutsextreme</v>
      </c>
      <c r="B10935" s="3" t="str">
        <f>IFERROR(__xludf.DUMMYFUNCTION("""COMPUTED_VALUE"""),"spex")</f>
        <v>spex</v>
      </c>
      <c r="C10935" s="3" t="str">
        <f>IFERROR(__xludf.DUMMYFUNCTION("""COMPUTED_VALUE"""),"SproutsExtreme")</f>
        <v>SproutsExtreme</v>
      </c>
    </row>
    <row r="10936">
      <c r="A10936" s="3" t="str">
        <f>IFERROR(__xludf.DUMMYFUNCTION("""COMPUTED_VALUE"""),"spume")</f>
        <v>spume</v>
      </c>
      <c r="B10936" s="3" t="str">
        <f>IFERROR(__xludf.DUMMYFUNCTION("""COMPUTED_VALUE"""),"spume")</f>
        <v>spume</v>
      </c>
      <c r="C10936" s="3" t="str">
        <f>IFERROR(__xludf.DUMMYFUNCTION("""COMPUTED_VALUE"""),"Spume")</f>
        <v>Spume</v>
      </c>
    </row>
    <row r="10937">
      <c r="A10937" s="3" t="str">
        <f>IFERROR(__xludf.DUMMYFUNCTION("""COMPUTED_VALUE"""),"spunk-vault-nftx")</f>
        <v>spunk-vault-nftx</v>
      </c>
      <c r="B10937" s="3" t="str">
        <f>IFERROR(__xludf.DUMMYFUNCTION("""COMPUTED_VALUE"""),"spunk")</f>
        <v>spunk</v>
      </c>
      <c r="C10937" s="3" t="str">
        <f>IFERROR(__xludf.DUMMYFUNCTION("""COMPUTED_VALUE"""),"SPUNK Vault (NFTX)")</f>
        <v>SPUNK Vault (NFTX)</v>
      </c>
    </row>
    <row r="10938">
      <c r="A10938" s="3" t="str">
        <f>IFERROR(__xludf.DUMMYFUNCTION("""COMPUTED_VALUE"""),"sqgl-vault-nftx")</f>
        <v>sqgl-vault-nftx</v>
      </c>
      <c r="B10938" s="3" t="str">
        <f>IFERROR(__xludf.DUMMYFUNCTION("""COMPUTED_VALUE"""),"sqgl")</f>
        <v>sqgl</v>
      </c>
      <c r="C10938" s="3" t="str">
        <f>IFERROR(__xludf.DUMMYFUNCTION("""COMPUTED_VALUE"""),"SQGL Vault (NFTX)")</f>
        <v>SQGL Vault (NFTX)</v>
      </c>
    </row>
    <row r="10939">
      <c r="A10939" s="3" t="str">
        <f>IFERROR(__xludf.DUMMYFUNCTION("""COMPUTED_VALUE"""),"square-token")</f>
        <v>square-token</v>
      </c>
      <c r="B10939" s="3" t="str">
        <f>IFERROR(__xludf.DUMMYFUNCTION("""COMPUTED_VALUE"""),"squa")</f>
        <v>squa</v>
      </c>
      <c r="C10939" s="3" t="str">
        <f>IFERROR(__xludf.DUMMYFUNCTION("""COMPUTED_VALUE"""),"Square")</f>
        <v>Square</v>
      </c>
    </row>
    <row r="10940">
      <c r="A10940" s="3" t="str">
        <f>IFERROR(__xludf.DUMMYFUNCTION("""COMPUTED_VALUE"""),"squawk")</f>
        <v>squawk</v>
      </c>
      <c r="B10940" s="3" t="str">
        <f>IFERROR(__xludf.DUMMYFUNCTION("""COMPUTED_VALUE"""),"squawk")</f>
        <v>squawk</v>
      </c>
      <c r="C10940" s="3" t="str">
        <f>IFERROR(__xludf.DUMMYFUNCTION("""COMPUTED_VALUE"""),"Squawk [OLD]")</f>
        <v>Squawk [OLD]</v>
      </c>
    </row>
    <row r="10941">
      <c r="A10941" s="3" t="str">
        <f>IFERROR(__xludf.DUMMYFUNCTION("""COMPUTED_VALUE"""),"squawk-2")</f>
        <v>squawk-2</v>
      </c>
      <c r="B10941" s="3" t="str">
        <f>IFERROR(__xludf.DUMMYFUNCTION("""COMPUTED_VALUE"""),"squawk")</f>
        <v>squawk</v>
      </c>
      <c r="C10941" s="3" t="str">
        <f>IFERROR(__xludf.DUMMYFUNCTION("""COMPUTED_VALUE"""),"Squawk")</f>
        <v>Squawk</v>
      </c>
    </row>
    <row r="10942">
      <c r="A10942" s="3" t="str">
        <f>IFERROR(__xludf.DUMMYFUNCTION("""COMPUTED_VALUE"""),"squeeze-token")</f>
        <v>squeeze-token</v>
      </c>
      <c r="B10942" s="3" t="str">
        <f>IFERROR(__xludf.DUMMYFUNCTION("""COMPUTED_VALUE"""),"squeeze")</f>
        <v>squeeze</v>
      </c>
      <c r="C10942" s="3" t="str">
        <f>IFERROR(__xludf.DUMMYFUNCTION("""COMPUTED_VALUE"""),"Squeeze")</f>
        <v>Squeeze</v>
      </c>
    </row>
    <row r="10943">
      <c r="A10943" s="3" t="str">
        <f>IFERROR(__xludf.DUMMYFUNCTION("""COMPUTED_VALUE"""),"squid-2")</f>
        <v>squid-2</v>
      </c>
      <c r="B10943" s="3" t="str">
        <f>IFERROR(__xludf.DUMMYFUNCTION("""COMPUTED_VALUE"""),"squid")</f>
        <v>squid</v>
      </c>
      <c r="C10943" s="3" t="str">
        <f>IFERROR(__xludf.DUMMYFUNCTION("""COMPUTED_VALUE"""),"SQUID Finance")</f>
        <v>SQUID Finance</v>
      </c>
    </row>
    <row r="10944">
      <c r="A10944" s="3" t="str">
        <f>IFERROR(__xludf.DUMMYFUNCTION("""COMPUTED_VALUE"""),"squid-game")</f>
        <v>squid-game</v>
      </c>
      <c r="B10944" s="3" t="str">
        <f>IFERROR(__xludf.DUMMYFUNCTION("""COMPUTED_VALUE"""),"squid")</f>
        <v>squid</v>
      </c>
      <c r="C10944" s="3" t="str">
        <f>IFERROR(__xludf.DUMMYFUNCTION("""COMPUTED_VALUE"""),"Squid Game")</f>
        <v>Squid Game</v>
      </c>
    </row>
    <row r="10945">
      <c r="A10945" s="3" t="str">
        <f>IFERROR(__xludf.DUMMYFUNCTION("""COMPUTED_VALUE"""),"squidgrow")</f>
        <v>squidgrow</v>
      </c>
      <c r="B10945" s="3" t="str">
        <f>IFERROR(__xludf.DUMMYFUNCTION("""COMPUTED_VALUE"""),"squidgrow")</f>
        <v>squidgrow</v>
      </c>
      <c r="C10945" s="3" t="str">
        <f>IFERROR(__xludf.DUMMYFUNCTION("""COMPUTED_VALUE"""),"SquidGrow")</f>
        <v>SquidGrow</v>
      </c>
    </row>
    <row r="10946">
      <c r="A10946" s="3" t="str">
        <f>IFERROR(__xludf.DUMMYFUNCTION("""COMPUTED_VALUE"""),"squid-moon")</f>
        <v>squid-moon</v>
      </c>
      <c r="B10946" s="3" t="str">
        <f>IFERROR(__xludf.DUMMYFUNCTION("""COMPUTED_VALUE"""),"sqm")</f>
        <v>sqm</v>
      </c>
      <c r="C10946" s="3" t="str">
        <f>IFERROR(__xludf.DUMMYFUNCTION("""COMPUTED_VALUE"""),"Squid Moon")</f>
        <v>Squid Moon</v>
      </c>
    </row>
    <row r="10947">
      <c r="A10947" s="3" t="str">
        <f>IFERROR(__xludf.DUMMYFUNCTION("""COMPUTED_VALUE"""),"squirrel-finance")</f>
        <v>squirrel-finance</v>
      </c>
      <c r="B10947" s="3" t="str">
        <f>IFERROR(__xludf.DUMMYFUNCTION("""COMPUTED_VALUE"""),"nuts")</f>
        <v>nuts</v>
      </c>
      <c r="C10947" s="3" t="str">
        <f>IFERROR(__xludf.DUMMYFUNCTION("""COMPUTED_VALUE"""),"Squirrel Finance")</f>
        <v>Squirrel Finance</v>
      </c>
    </row>
    <row r="10948">
      <c r="A10948" s="3" t="str">
        <f>IFERROR(__xludf.DUMMYFUNCTION("""COMPUTED_VALUE"""),"squirt-game")</f>
        <v>squirt-game</v>
      </c>
      <c r="B10948" s="3" t="str">
        <f>IFERROR(__xludf.DUMMYFUNCTION("""COMPUTED_VALUE"""),"squirt")</f>
        <v>squirt</v>
      </c>
      <c r="C10948" s="3" t="str">
        <f>IFERROR(__xludf.DUMMYFUNCTION("""COMPUTED_VALUE"""),"Squirt Game")</f>
        <v>Squirt Game</v>
      </c>
    </row>
    <row r="10949">
      <c r="A10949" s="3" t="str">
        <f>IFERROR(__xludf.DUMMYFUNCTION("""COMPUTED_VALUE"""),"squishiverse")</f>
        <v>squishiverse</v>
      </c>
      <c r="B10949" s="3" t="str">
        <f>IFERROR(__xludf.DUMMYFUNCTION("""COMPUTED_VALUE"""),"slime")</f>
        <v>slime</v>
      </c>
      <c r="C10949" s="3" t="str">
        <f>IFERROR(__xludf.DUMMYFUNCTION("""COMPUTED_VALUE"""),"SquishiVerse")</f>
        <v>SquishiVerse</v>
      </c>
    </row>
    <row r="10950">
      <c r="A10950" s="3" t="str">
        <f>IFERROR(__xludf.DUMMYFUNCTION("""COMPUTED_VALUE"""),"squoge-coin")</f>
        <v>squoge-coin</v>
      </c>
      <c r="B10950" s="3" t="str">
        <f>IFERROR(__xludf.DUMMYFUNCTION("""COMPUTED_VALUE"""),"sqc")</f>
        <v>sqc</v>
      </c>
      <c r="C10950" s="3" t="str">
        <f>IFERROR(__xludf.DUMMYFUNCTION("""COMPUTED_VALUE"""),"Squoge Coin")</f>
        <v>Squoge Coin</v>
      </c>
    </row>
    <row r="10951">
      <c r="A10951" s="3" t="str">
        <f>IFERROR(__xludf.DUMMYFUNCTION("""COMPUTED_VALUE"""),"srnartgallery")</f>
        <v>srnartgallery</v>
      </c>
      <c r="B10951" s="3" t="str">
        <f>IFERROR(__xludf.DUMMYFUNCTION("""COMPUTED_VALUE"""),"sact")</f>
        <v>sact</v>
      </c>
      <c r="C10951" s="3" t="str">
        <f>IFERROR(__xludf.DUMMYFUNCTION("""COMPUTED_VALUE"""),"srnArtGallery")</f>
        <v>srnArtGallery</v>
      </c>
    </row>
    <row r="10952">
      <c r="A10952" s="3" t="str">
        <f>IFERROR(__xludf.DUMMYFUNCTION("""COMPUTED_VALUE"""),"srnartgallery-tokenized-arts")</f>
        <v>srnartgallery-tokenized-arts</v>
      </c>
      <c r="B10952" s="3" t="str">
        <f>IFERROR(__xludf.DUMMYFUNCTION("""COMPUTED_VALUE"""),"sista")</f>
        <v>sista</v>
      </c>
      <c r="C10952" s="3" t="str">
        <f>IFERROR(__xludf.DUMMYFUNCTION("""COMPUTED_VALUE"""),"srnArtGallery Tokenized Arts")</f>
        <v>srnArtGallery Tokenized Arts</v>
      </c>
    </row>
    <row r="10953">
      <c r="A10953" s="3" t="str">
        <f>IFERROR(__xludf.DUMMYFUNCTION("""COMPUTED_VALUE"""),"srune")</f>
        <v>srune</v>
      </c>
      <c r="B10953" s="3" t="str">
        <f>IFERROR(__xludf.DUMMYFUNCTION("""COMPUTED_VALUE"""),"srune")</f>
        <v>srune</v>
      </c>
      <c r="C10953" s="3" t="str">
        <f>IFERROR(__xludf.DUMMYFUNCTION("""COMPUTED_VALUE"""),"sRUNE")</f>
        <v>sRUNE</v>
      </c>
    </row>
    <row r="10954">
      <c r="A10954" s="3" t="str">
        <f>IFERROR(__xludf.DUMMYFUNCTION("""COMPUTED_VALUE"""),"ssv-network")</f>
        <v>ssv-network</v>
      </c>
      <c r="B10954" s="3" t="str">
        <f>IFERROR(__xludf.DUMMYFUNCTION("""COMPUTED_VALUE"""),"ssv")</f>
        <v>ssv</v>
      </c>
      <c r="C10954" s="3" t="str">
        <f>IFERROR(__xludf.DUMMYFUNCTION("""COMPUTED_VALUE"""),"SSV Network")</f>
        <v>SSV Network</v>
      </c>
    </row>
    <row r="10955">
      <c r="A10955" s="3" t="str">
        <f>IFERROR(__xludf.DUMMYFUNCTION("""COMPUTED_VALUE"""),"stabilize")</f>
        <v>stabilize</v>
      </c>
      <c r="B10955" s="3" t="str">
        <f>IFERROR(__xludf.DUMMYFUNCTION("""COMPUTED_VALUE"""),"stbz")</f>
        <v>stbz</v>
      </c>
      <c r="C10955" s="3" t="str">
        <f>IFERROR(__xludf.DUMMYFUNCTION("""COMPUTED_VALUE"""),"Stabilize")</f>
        <v>Stabilize</v>
      </c>
    </row>
    <row r="10956">
      <c r="A10956" s="3" t="str">
        <f>IFERROR(__xludf.DUMMYFUNCTION("""COMPUTED_VALUE"""),"stabilize-bsc")</f>
        <v>stabilize-bsc</v>
      </c>
      <c r="B10956" s="3" t="str">
        <f>IFERROR(__xludf.DUMMYFUNCTION("""COMPUTED_VALUE"""),"stbb")</f>
        <v>stbb</v>
      </c>
      <c r="C10956" s="3" t="str">
        <f>IFERROR(__xludf.DUMMYFUNCTION("""COMPUTED_VALUE"""),"Stabilize BSC")</f>
        <v>Stabilize BSC</v>
      </c>
    </row>
    <row r="10957">
      <c r="A10957" s="3" t="str">
        <f>IFERROR(__xludf.DUMMYFUNCTION("""COMPUTED_VALUE"""),"stabilize-token")</f>
        <v>stabilize-token</v>
      </c>
      <c r="B10957" s="3" t="str">
        <f>IFERROR(__xludf.DUMMYFUNCTION("""COMPUTED_VALUE"""),"set")</f>
        <v>set</v>
      </c>
      <c r="C10957" s="3" t="str">
        <f>IFERROR(__xludf.DUMMYFUNCTION("""COMPUTED_VALUE"""),"Stabilize SET")</f>
        <v>Stabilize SET</v>
      </c>
    </row>
    <row r="10958">
      <c r="A10958" s="3" t="str">
        <f>IFERROR(__xludf.DUMMYFUNCTION("""COMPUTED_VALUE"""),"stabilize-usd")</f>
        <v>stabilize-usd</v>
      </c>
      <c r="B10958" s="3" t="str">
        <f>IFERROR(__xludf.DUMMYFUNCTION("""COMPUTED_VALUE"""),"susd")</f>
        <v>susd</v>
      </c>
      <c r="C10958" s="3" t="str">
        <f>IFERROR(__xludf.DUMMYFUNCTION("""COMPUTED_VALUE"""),"Stabilize USD")</f>
        <v>Stabilize USD</v>
      </c>
    </row>
    <row r="10959">
      <c r="A10959" s="3" t="str">
        <f>IFERROR(__xludf.DUMMYFUNCTION("""COMPUTED_VALUE"""),"stable-1inch")</f>
        <v>stable-1inch</v>
      </c>
      <c r="B10959" s="3" t="str">
        <f>IFERROR(__xludf.DUMMYFUNCTION("""COMPUTED_VALUE"""),"one1inch")</f>
        <v>one1inch</v>
      </c>
      <c r="C10959" s="3" t="str">
        <f>IFERROR(__xludf.DUMMYFUNCTION("""COMPUTED_VALUE"""),"Stable 1inch")</f>
        <v>Stable 1inch</v>
      </c>
    </row>
    <row r="10960">
      <c r="A10960" s="3" t="str">
        <f>IFERROR(__xludf.DUMMYFUNCTION("""COMPUTED_VALUE"""),"stable-asset")</f>
        <v>stable-asset</v>
      </c>
      <c r="B10960" s="3" t="str">
        <f>IFERROR(__xludf.DUMMYFUNCTION("""COMPUTED_VALUE"""),"sta")</f>
        <v>sta</v>
      </c>
      <c r="C10960" s="3" t="str">
        <f>IFERROR(__xludf.DUMMYFUNCTION("""COMPUTED_VALUE"""),"STABLE ASSET")</f>
        <v>STABLE ASSET</v>
      </c>
    </row>
    <row r="10961">
      <c r="A10961" s="3" t="str">
        <f>IFERROR(__xludf.DUMMYFUNCTION("""COMPUTED_VALUE"""),"stabledoc-token")</f>
        <v>stabledoc-token</v>
      </c>
      <c r="B10961" s="3" t="str">
        <f>IFERROR(__xludf.DUMMYFUNCTION("""COMPUTED_VALUE"""),"sdt")</f>
        <v>sdt</v>
      </c>
      <c r="C10961" s="3" t="str">
        <f>IFERROR(__xludf.DUMMYFUNCTION("""COMPUTED_VALUE"""),"Stabledoc")</f>
        <v>Stabledoc</v>
      </c>
    </row>
    <row r="10962">
      <c r="A10962" s="3" t="str">
        <f>IFERROR(__xludf.DUMMYFUNCTION("""COMPUTED_VALUE"""),"stable-one-rocket")</f>
        <v>stable-one-rocket</v>
      </c>
      <c r="B10962" s="3" t="str">
        <f>IFERROR(__xludf.DUMMYFUNCTION("""COMPUTED_VALUE"""),"srocket")</f>
        <v>srocket</v>
      </c>
      <c r="C10962" s="3" t="str">
        <f>IFERROR(__xludf.DUMMYFUNCTION("""COMPUTED_VALUE"""),"Stable One Rocket")</f>
        <v>Stable One Rocket</v>
      </c>
    </row>
    <row r="10963">
      <c r="A10963" s="3" t="str">
        <f>IFERROR(__xludf.DUMMYFUNCTION("""COMPUTED_VALUE"""),"stableusd")</f>
        <v>stableusd</v>
      </c>
      <c r="B10963" s="3" t="str">
        <f>IFERROR(__xludf.DUMMYFUNCTION("""COMPUTED_VALUE"""),"usds")</f>
        <v>usds</v>
      </c>
      <c r="C10963" s="3" t="str">
        <f>IFERROR(__xludf.DUMMYFUNCTION("""COMPUTED_VALUE"""),"Stably USDS")</f>
        <v>Stably USDS</v>
      </c>
    </row>
    <row r="10964">
      <c r="A10964" s="3" t="str">
        <f>IFERROR(__xludf.DUMMYFUNCTION("""COMPUTED_VALUE"""),"stablexswap")</f>
        <v>stablexswap</v>
      </c>
      <c r="B10964" s="3" t="str">
        <f>IFERROR(__xludf.DUMMYFUNCTION("""COMPUTED_VALUE"""),"stax")</f>
        <v>stax</v>
      </c>
      <c r="C10964" s="3" t="str">
        <f>IFERROR(__xludf.DUMMYFUNCTION("""COMPUTED_VALUE"""),"StableXSwap")</f>
        <v>StableXSwap</v>
      </c>
    </row>
    <row r="10965">
      <c r="A10965" s="3" t="str">
        <f>IFERROR(__xludf.DUMMYFUNCTION("""COMPUTED_VALUE"""),"stabl-fi")</f>
        <v>stabl-fi</v>
      </c>
      <c r="B10965" s="3" t="str">
        <f>IFERROR(__xludf.DUMMYFUNCTION("""COMPUTED_VALUE"""),"cash")</f>
        <v>cash</v>
      </c>
      <c r="C10965" s="4" t="str">
        <f>IFERROR(__xludf.DUMMYFUNCTION("""COMPUTED_VALUE"""),"Stabl.fi")</f>
        <v>Stabl.fi</v>
      </c>
    </row>
    <row r="10966">
      <c r="A10966" s="3" t="str">
        <f>IFERROR(__xludf.DUMMYFUNCTION("""COMPUTED_VALUE"""),"stacker-ventures")</f>
        <v>stacker-ventures</v>
      </c>
      <c r="B10966" s="3" t="str">
        <f>IFERROR(__xludf.DUMMYFUNCTION("""COMPUTED_VALUE"""),"stack")</f>
        <v>stack</v>
      </c>
      <c r="C10966" s="3" t="str">
        <f>IFERROR(__xludf.DUMMYFUNCTION("""COMPUTED_VALUE"""),"Stacker Ventures")</f>
        <v>Stacker Ventures</v>
      </c>
    </row>
    <row r="10967">
      <c r="A10967" s="3" t="str">
        <f>IFERROR(__xludf.DUMMYFUNCTION("""COMPUTED_VALUE"""),"stackos")</f>
        <v>stackos</v>
      </c>
      <c r="B10967" s="3" t="str">
        <f>IFERROR(__xludf.DUMMYFUNCTION("""COMPUTED_VALUE"""),"stack")</f>
        <v>stack</v>
      </c>
      <c r="C10967" s="3" t="str">
        <f>IFERROR(__xludf.DUMMYFUNCTION("""COMPUTED_VALUE"""),"StackOS")</f>
        <v>StackOS</v>
      </c>
    </row>
    <row r="10968">
      <c r="A10968" s="3" t="str">
        <f>IFERROR(__xludf.DUMMYFUNCTION("""COMPUTED_VALUE"""),"stacktical")</f>
        <v>stacktical</v>
      </c>
      <c r="B10968" s="3" t="str">
        <f>IFERROR(__xludf.DUMMYFUNCTION("""COMPUTED_VALUE"""),"dsla")</f>
        <v>dsla</v>
      </c>
      <c r="C10968" s="3" t="str">
        <f>IFERROR(__xludf.DUMMYFUNCTION("""COMPUTED_VALUE"""),"DSLA Protocol")</f>
        <v>DSLA Protocol</v>
      </c>
    </row>
    <row r="10969">
      <c r="A10969" s="3" t="str">
        <f>IFERROR(__xludf.DUMMYFUNCTION("""COMPUTED_VALUE"""),"stacy")</f>
        <v>stacy</v>
      </c>
      <c r="B10969" s="3" t="str">
        <f>IFERROR(__xludf.DUMMYFUNCTION("""COMPUTED_VALUE"""),"stacy")</f>
        <v>stacy</v>
      </c>
      <c r="C10969" s="3" t="str">
        <f>IFERROR(__xludf.DUMMYFUNCTION("""COMPUTED_VALUE"""),"Stacy")</f>
        <v>Stacy</v>
      </c>
    </row>
    <row r="10970">
      <c r="A10970" s="3" t="str">
        <f>IFERROR(__xludf.DUMMYFUNCTION("""COMPUTED_VALUE"""),"stader")</f>
        <v>stader</v>
      </c>
      <c r="B10970" s="3" t="str">
        <f>IFERROR(__xludf.DUMMYFUNCTION("""COMPUTED_VALUE"""),"sd")</f>
        <v>sd</v>
      </c>
      <c r="C10970" s="3" t="str">
        <f>IFERROR(__xludf.DUMMYFUNCTION("""COMPUTED_VALUE"""),"Stader")</f>
        <v>Stader</v>
      </c>
    </row>
    <row r="10971">
      <c r="A10971" s="3" t="str">
        <f>IFERROR(__xludf.DUMMYFUNCTION("""COMPUTED_VALUE"""),"stader-bnbx")</f>
        <v>stader-bnbx</v>
      </c>
      <c r="B10971" s="3" t="str">
        <f>IFERROR(__xludf.DUMMYFUNCTION("""COMPUTED_VALUE"""),"bnbx")</f>
        <v>bnbx</v>
      </c>
      <c r="C10971" s="3" t="str">
        <f>IFERROR(__xludf.DUMMYFUNCTION("""COMPUTED_VALUE"""),"Stader BNBx")</f>
        <v>Stader BNBx</v>
      </c>
    </row>
    <row r="10972">
      <c r="A10972" s="3" t="str">
        <f>IFERROR(__xludf.DUMMYFUNCTION("""COMPUTED_VALUE"""),"stader-maticx")</f>
        <v>stader-maticx</v>
      </c>
      <c r="B10972" s="3" t="str">
        <f>IFERROR(__xludf.DUMMYFUNCTION("""COMPUTED_VALUE"""),"maticx")</f>
        <v>maticx</v>
      </c>
      <c r="C10972" s="3" t="str">
        <f>IFERROR(__xludf.DUMMYFUNCTION("""COMPUTED_VALUE"""),"Stader MaticX")</f>
        <v>Stader MaticX</v>
      </c>
    </row>
    <row r="10973">
      <c r="A10973" s="3" t="str">
        <f>IFERROR(__xludf.DUMMYFUNCTION("""COMPUTED_VALUE"""),"stader-nearx")</f>
        <v>stader-nearx</v>
      </c>
      <c r="B10973" s="3" t="str">
        <f>IFERROR(__xludf.DUMMYFUNCTION("""COMPUTED_VALUE"""),"nearx")</f>
        <v>nearx</v>
      </c>
      <c r="C10973" s="3" t="str">
        <f>IFERROR(__xludf.DUMMYFUNCTION("""COMPUTED_VALUE"""),"Stader NearX")</f>
        <v>Stader NearX</v>
      </c>
    </row>
    <row r="10974">
      <c r="A10974" s="3" t="str">
        <f>IFERROR(__xludf.DUMMYFUNCTION("""COMPUTED_VALUE"""),"stader-sftmx")</f>
        <v>stader-sftmx</v>
      </c>
      <c r="B10974" s="3" t="str">
        <f>IFERROR(__xludf.DUMMYFUNCTION("""COMPUTED_VALUE"""),"sftmx")</f>
        <v>sftmx</v>
      </c>
      <c r="C10974" s="3" t="str">
        <f>IFERROR(__xludf.DUMMYFUNCTION("""COMPUTED_VALUE"""),"Stader sFTMX")</f>
        <v>Stader sFTMX</v>
      </c>
    </row>
    <row r="10975">
      <c r="A10975" s="3" t="str">
        <f>IFERROR(__xludf.DUMMYFUNCTION("""COMPUTED_VALUE"""),"stadium")</f>
        <v>stadium</v>
      </c>
      <c r="B10975" s="3" t="str">
        <f>IFERROR(__xludf.DUMMYFUNCTION("""COMPUTED_VALUE"""),"std")</f>
        <v>std</v>
      </c>
      <c r="C10975" s="3" t="str">
        <f>IFERROR(__xludf.DUMMYFUNCTION("""COMPUTED_VALUE"""),"Stadium")</f>
        <v>Stadium</v>
      </c>
    </row>
    <row r="10976">
      <c r="A10976" s="3" t="str">
        <f>IFERROR(__xludf.DUMMYFUNCTION("""COMPUTED_VALUE"""),"stadium-pepe")</f>
        <v>stadium-pepe</v>
      </c>
      <c r="B10976" s="3" t="str">
        <f>IFERROR(__xludf.DUMMYFUNCTION("""COMPUTED_VALUE"""),"spep")</f>
        <v>spep</v>
      </c>
      <c r="C10976" s="3" t="str">
        <f>IFERROR(__xludf.DUMMYFUNCTION("""COMPUTED_VALUE"""),"Stadium Pepe")</f>
        <v>Stadium Pepe</v>
      </c>
    </row>
    <row r="10977">
      <c r="A10977" s="3" t="str">
        <f>IFERROR(__xludf.DUMMYFUNCTION("""COMPUTED_VALUE"""),"stafi")</f>
        <v>stafi</v>
      </c>
      <c r="B10977" s="3" t="str">
        <f>IFERROR(__xludf.DUMMYFUNCTION("""COMPUTED_VALUE"""),"fis")</f>
        <v>fis</v>
      </c>
      <c r="C10977" s="3" t="str">
        <f>IFERROR(__xludf.DUMMYFUNCTION("""COMPUTED_VALUE"""),"Stafi")</f>
        <v>Stafi</v>
      </c>
    </row>
    <row r="10978">
      <c r="A10978" s="3" t="str">
        <f>IFERROR(__xludf.DUMMYFUNCTION("""COMPUTED_VALUE"""),"stakeborg-dao")</f>
        <v>stakeborg-dao</v>
      </c>
      <c r="B10978" s="3" t="str">
        <f>IFERROR(__xludf.DUMMYFUNCTION("""COMPUTED_VALUE"""),"standard")</f>
        <v>standard</v>
      </c>
      <c r="C10978" s="3" t="str">
        <f>IFERROR(__xludf.DUMMYFUNCTION("""COMPUTED_VALUE"""),"Stakeborg DAO")</f>
        <v>Stakeborg DAO</v>
      </c>
    </row>
    <row r="10979">
      <c r="A10979" s="3" t="str">
        <f>IFERROR(__xludf.DUMMYFUNCTION("""COMPUTED_VALUE"""),"stakecube")</f>
        <v>stakecube</v>
      </c>
      <c r="B10979" s="3" t="str">
        <f>IFERROR(__xludf.DUMMYFUNCTION("""COMPUTED_VALUE"""),"scc")</f>
        <v>scc</v>
      </c>
      <c r="C10979" s="3" t="str">
        <f>IFERROR(__xludf.DUMMYFUNCTION("""COMPUTED_VALUE"""),"Stakecube")</f>
        <v>Stakecube</v>
      </c>
    </row>
    <row r="10980">
      <c r="A10980" s="3" t="str">
        <f>IFERROR(__xludf.DUMMYFUNCTION("""COMPUTED_VALUE"""),"staked-aave-balancer-pool-token")</f>
        <v>staked-aave-balancer-pool-token</v>
      </c>
      <c r="B10980" s="3" t="str">
        <f>IFERROR(__xludf.DUMMYFUNCTION("""COMPUTED_VALUE"""),"stkabpt")</f>
        <v>stkabpt</v>
      </c>
      <c r="C10980" s="3" t="str">
        <f>IFERROR(__xludf.DUMMYFUNCTION("""COMPUTED_VALUE"""),"Staked Aave Balancer Pool Token")</f>
        <v>Staked Aave Balancer Pool Token</v>
      </c>
    </row>
    <row r="10981">
      <c r="A10981" s="3" t="str">
        <f>IFERROR(__xludf.DUMMYFUNCTION("""COMPUTED_VALUE"""),"stake-dao")</f>
        <v>stake-dao</v>
      </c>
      <c r="B10981" s="3" t="str">
        <f>IFERROR(__xludf.DUMMYFUNCTION("""COMPUTED_VALUE"""),"sdt")</f>
        <v>sdt</v>
      </c>
      <c r="C10981" s="3" t="str">
        <f>IFERROR(__xludf.DUMMYFUNCTION("""COMPUTED_VALUE"""),"Stake DAO")</f>
        <v>Stake DAO</v>
      </c>
    </row>
    <row r="10982">
      <c r="A10982" s="3" t="str">
        <f>IFERROR(__xludf.DUMMYFUNCTION("""COMPUTED_VALUE"""),"stake-dao-balancer")</f>
        <v>stake-dao-balancer</v>
      </c>
      <c r="B10982" s="3" t="str">
        <f>IFERROR(__xludf.DUMMYFUNCTION("""COMPUTED_VALUE"""),"sdbal")</f>
        <v>sdbal</v>
      </c>
      <c r="C10982" s="3" t="str">
        <f>IFERROR(__xludf.DUMMYFUNCTION("""COMPUTED_VALUE"""),"Stake DAO Balancer")</f>
        <v>Stake DAO Balancer</v>
      </c>
    </row>
    <row r="10983">
      <c r="A10983" s="3" t="str">
        <f>IFERROR(__xludf.DUMMYFUNCTION("""COMPUTED_VALUE"""),"stake-dao-crv")</f>
        <v>stake-dao-crv</v>
      </c>
      <c r="B10983" s="3" t="str">
        <f>IFERROR(__xludf.DUMMYFUNCTION("""COMPUTED_VALUE"""),"sdcrv")</f>
        <v>sdcrv</v>
      </c>
      <c r="C10983" s="3" t="str">
        <f>IFERROR(__xludf.DUMMYFUNCTION("""COMPUTED_VALUE"""),"Stake DAO CRV")</f>
        <v>Stake DAO CRV</v>
      </c>
    </row>
    <row r="10984">
      <c r="A10984" s="3" t="str">
        <f>IFERROR(__xludf.DUMMYFUNCTION("""COMPUTED_VALUE"""),"staked-celo")</f>
        <v>staked-celo</v>
      </c>
      <c r="B10984" s="3" t="str">
        <f>IFERROR(__xludf.DUMMYFUNCTION("""COMPUTED_VALUE"""),"stcelo")</f>
        <v>stcelo</v>
      </c>
      <c r="C10984" s="3" t="str">
        <f>IFERROR(__xludf.DUMMYFUNCTION("""COMPUTED_VALUE"""),"Staked Celo")</f>
        <v>Staked Celo</v>
      </c>
    </row>
    <row r="10985">
      <c r="A10985" s="3" t="str">
        <f>IFERROR(__xludf.DUMMYFUNCTION("""COMPUTED_VALUE"""),"staked-ether")</f>
        <v>staked-ether</v>
      </c>
      <c r="B10985" s="3" t="str">
        <f>IFERROR(__xludf.DUMMYFUNCTION("""COMPUTED_VALUE"""),"steth")</f>
        <v>steth</v>
      </c>
      <c r="C10985" s="3" t="str">
        <f>IFERROR(__xludf.DUMMYFUNCTION("""COMPUTED_VALUE"""),"Lido Staked Ether")</f>
        <v>Lido Staked Ether</v>
      </c>
    </row>
    <row r="10986">
      <c r="A10986" s="3" t="str">
        <f>IFERROR(__xludf.DUMMYFUNCTION("""COMPUTED_VALUE"""),"staked-eth-harbour")</f>
        <v>staked-eth-harbour</v>
      </c>
      <c r="B10986" s="3" t="str">
        <f>IFERROR(__xludf.DUMMYFUNCTION("""COMPUTED_VALUE"""),"seth-h")</f>
        <v>seth-h</v>
      </c>
      <c r="C10986" s="3" t="str">
        <f>IFERROR(__xludf.DUMMYFUNCTION("""COMPUTED_VALUE"""),"Staked ETH Harbour")</f>
        <v>Staked ETH Harbour</v>
      </c>
    </row>
    <row r="10987">
      <c r="A10987" s="3" t="str">
        <f>IFERROR(__xludf.DUMMYFUNCTION("""COMPUTED_VALUE"""),"staked-icx")</f>
        <v>staked-icx</v>
      </c>
      <c r="B10987" s="3" t="str">
        <f>IFERROR(__xludf.DUMMYFUNCTION("""COMPUTED_VALUE"""),"sicx")</f>
        <v>sicx</v>
      </c>
      <c r="C10987" s="3" t="str">
        <f>IFERROR(__xludf.DUMMYFUNCTION("""COMPUTED_VALUE"""),"Staked ICX")</f>
        <v>Staked ICX</v>
      </c>
    </row>
    <row r="10988">
      <c r="A10988" s="3" t="str">
        <f>IFERROR(__xludf.DUMMYFUNCTION("""COMPUTED_VALUE"""),"staked-kcs")</f>
        <v>staked-kcs</v>
      </c>
      <c r="B10988" s="3" t="str">
        <f>IFERROR(__xludf.DUMMYFUNCTION("""COMPUTED_VALUE"""),"skcs")</f>
        <v>skcs</v>
      </c>
      <c r="C10988" s="3" t="str">
        <f>IFERROR(__xludf.DUMMYFUNCTION("""COMPUTED_VALUE"""),"Staked KCS")</f>
        <v>Staked KCS</v>
      </c>
    </row>
    <row r="10989">
      <c r="A10989" s="3" t="str">
        <f>IFERROR(__xludf.DUMMYFUNCTION("""COMPUTED_VALUE"""),"staked-near")</f>
        <v>staked-near</v>
      </c>
      <c r="B10989" s="3" t="str">
        <f>IFERROR(__xludf.DUMMYFUNCTION("""COMPUTED_VALUE"""),"stnear")</f>
        <v>stnear</v>
      </c>
      <c r="C10989" s="3" t="str">
        <f>IFERROR(__xludf.DUMMYFUNCTION("""COMPUTED_VALUE"""),"Staked NEAR")</f>
        <v>Staked NEAR</v>
      </c>
    </row>
    <row r="10990">
      <c r="A10990" s="3" t="str">
        <f>IFERROR(__xludf.DUMMYFUNCTION("""COMPUTED_VALUE"""),"staked-tarot")</f>
        <v>staked-tarot</v>
      </c>
      <c r="B10990" s="3" t="str">
        <f>IFERROR(__xludf.DUMMYFUNCTION("""COMPUTED_VALUE"""),"xtarot")</f>
        <v>xtarot</v>
      </c>
      <c r="C10990" s="3" t="str">
        <f>IFERROR(__xludf.DUMMYFUNCTION("""COMPUTED_VALUE"""),"Staked TAROT")</f>
        <v>Staked TAROT</v>
      </c>
    </row>
    <row r="10991">
      <c r="A10991" s="3" t="str">
        <f>IFERROR(__xludf.DUMMYFUNCTION("""COMPUTED_VALUE"""),"stakedthorus")</f>
        <v>stakedthorus</v>
      </c>
      <c r="B10991" s="3" t="str">
        <f>IFERROR(__xludf.DUMMYFUNCTION("""COMPUTED_VALUE"""),"stho")</f>
        <v>stho</v>
      </c>
      <c r="C10991" s="3" t="str">
        <f>IFERROR(__xludf.DUMMYFUNCTION("""COMPUTED_VALUE"""),"Staked Thorus")</f>
        <v>Staked Thorus</v>
      </c>
    </row>
    <row r="10992">
      <c r="A10992" s="3" t="str">
        <f>IFERROR(__xludf.DUMMYFUNCTION("""COMPUTED_VALUE"""),"staked-yearn-crv-vault")</f>
        <v>staked-yearn-crv-vault</v>
      </c>
      <c r="B10992" s="3" t="str">
        <f>IFERROR(__xludf.DUMMYFUNCTION("""COMPUTED_VALUE"""),"st-ycrv")</f>
        <v>st-ycrv</v>
      </c>
      <c r="C10992" s="3" t="str">
        <f>IFERROR(__xludf.DUMMYFUNCTION("""COMPUTED_VALUE"""),"Staked Yearn CRV Vault")</f>
        <v>Staked Yearn CRV Vault</v>
      </c>
    </row>
    <row r="10993">
      <c r="A10993" s="3" t="str">
        <f>IFERROR(__xludf.DUMMYFUNCTION("""COMPUTED_VALUE"""),"stakeeasy-bjuno")</f>
        <v>stakeeasy-bjuno</v>
      </c>
      <c r="B10993" s="3" t="str">
        <f>IFERROR(__xludf.DUMMYFUNCTION("""COMPUTED_VALUE"""),"bjuno")</f>
        <v>bjuno</v>
      </c>
      <c r="C10993" s="3" t="str">
        <f>IFERROR(__xludf.DUMMYFUNCTION("""COMPUTED_VALUE"""),"StakeEasy bJuno")</f>
        <v>StakeEasy bJuno</v>
      </c>
    </row>
    <row r="10994">
      <c r="A10994" s="3" t="str">
        <f>IFERROR(__xludf.DUMMYFUNCTION("""COMPUTED_VALUE"""),"stakeeasy-juno-derivative")</f>
        <v>stakeeasy-juno-derivative</v>
      </c>
      <c r="B10994" s="3" t="str">
        <f>IFERROR(__xludf.DUMMYFUNCTION("""COMPUTED_VALUE"""),"sejuno")</f>
        <v>sejuno</v>
      </c>
      <c r="C10994" s="3" t="str">
        <f>IFERROR(__xludf.DUMMYFUNCTION("""COMPUTED_VALUE"""),"StakeEasy Juno Derivative")</f>
        <v>StakeEasy Juno Derivative</v>
      </c>
    </row>
    <row r="10995">
      <c r="A10995" s="3" t="str">
        <f>IFERROR(__xludf.DUMMYFUNCTION("""COMPUTED_VALUE"""),"stakemoon")</f>
        <v>stakemoon</v>
      </c>
      <c r="B10995" s="3" t="str">
        <f>IFERROR(__xludf.DUMMYFUNCTION("""COMPUTED_VALUE"""),"smoon")</f>
        <v>smoon</v>
      </c>
      <c r="C10995" s="3" t="str">
        <f>IFERROR(__xludf.DUMMYFUNCTION("""COMPUTED_VALUE"""),"Stakemoon")</f>
        <v>Stakemoon</v>
      </c>
    </row>
    <row r="10996">
      <c r="A10996" s="3" t="str">
        <f>IFERROR(__xludf.DUMMYFUNCTION("""COMPUTED_VALUE"""),"staker")</f>
        <v>staker</v>
      </c>
      <c r="B10996" s="3" t="str">
        <f>IFERROR(__xludf.DUMMYFUNCTION("""COMPUTED_VALUE"""),"str")</f>
        <v>str</v>
      </c>
      <c r="C10996" s="3" t="str">
        <f>IFERROR(__xludf.DUMMYFUNCTION("""COMPUTED_VALUE"""),"Staker")</f>
        <v>Staker</v>
      </c>
    </row>
    <row r="10997">
      <c r="A10997" s="3" t="str">
        <f>IFERROR(__xludf.DUMMYFUNCTION("""COMPUTED_VALUE"""),"staker-dao")</f>
        <v>staker-dao</v>
      </c>
      <c r="B10997" s="3" t="str">
        <f>IFERROR(__xludf.DUMMYFUNCTION("""COMPUTED_VALUE"""),"stkr")</f>
        <v>stkr</v>
      </c>
      <c r="C10997" s="3" t="str">
        <f>IFERROR(__xludf.DUMMYFUNCTION("""COMPUTED_VALUE"""),"Staker DAO")</f>
        <v>Staker DAO</v>
      </c>
    </row>
    <row r="10998">
      <c r="A10998" s="3" t="str">
        <f>IFERROR(__xludf.DUMMYFUNCTION("""COMPUTED_VALUE"""),"stakewise")</f>
        <v>stakewise</v>
      </c>
      <c r="B10998" s="3" t="str">
        <f>IFERROR(__xludf.DUMMYFUNCTION("""COMPUTED_VALUE"""),"swise")</f>
        <v>swise</v>
      </c>
      <c r="C10998" s="3" t="str">
        <f>IFERROR(__xludf.DUMMYFUNCTION("""COMPUTED_VALUE"""),"StakeWise")</f>
        <v>StakeWise</v>
      </c>
    </row>
    <row r="10999">
      <c r="A10999" s="3" t="str">
        <f>IFERROR(__xludf.DUMMYFUNCTION("""COMPUTED_VALUE"""),"stakewise-reward-gno")</f>
        <v>stakewise-reward-gno</v>
      </c>
      <c r="B10999" s="3" t="str">
        <f>IFERROR(__xludf.DUMMYFUNCTION("""COMPUTED_VALUE"""),"rgno")</f>
        <v>rgno</v>
      </c>
      <c r="C10999" s="3" t="str">
        <f>IFERROR(__xludf.DUMMYFUNCTION("""COMPUTED_VALUE"""),"StakeWise Reward GNO")</f>
        <v>StakeWise Reward GNO</v>
      </c>
    </row>
    <row r="11000">
      <c r="A11000" s="3" t="str">
        <f>IFERROR(__xludf.DUMMYFUNCTION("""COMPUTED_VALUE"""),"stamen-tellus-token")</f>
        <v>stamen-tellus-token</v>
      </c>
      <c r="B11000" s="3" t="str">
        <f>IFERROR(__xludf.DUMMYFUNCTION("""COMPUTED_VALUE"""),"stt")</f>
        <v>stt</v>
      </c>
      <c r="C11000" s="3" t="str">
        <f>IFERROR(__xludf.DUMMYFUNCTION("""COMPUTED_VALUE"""),"Stamen Tellus Token")</f>
        <v>Stamen Tellus Token</v>
      </c>
    </row>
    <row r="11001">
      <c r="A11001" s="3" t="str">
        <f>IFERROR(__xludf.DUMMYFUNCTION("""COMPUTED_VALUE"""),"standard-euro")</f>
        <v>standard-euro</v>
      </c>
      <c r="B11001" s="3" t="str">
        <f>IFERROR(__xludf.DUMMYFUNCTION("""COMPUTED_VALUE"""),"seuro")</f>
        <v>seuro</v>
      </c>
      <c r="C11001" s="3" t="str">
        <f>IFERROR(__xludf.DUMMYFUNCTION("""COMPUTED_VALUE"""),"Standard Euro")</f>
        <v>Standard Euro</v>
      </c>
    </row>
    <row r="11002">
      <c r="A11002" s="3" t="str">
        <f>IFERROR(__xludf.DUMMYFUNCTION("""COMPUTED_VALUE"""),"standard-protocol")</f>
        <v>standard-protocol</v>
      </c>
      <c r="B11002" s="3" t="str">
        <f>IFERROR(__xludf.DUMMYFUNCTION("""COMPUTED_VALUE"""),"stnd")</f>
        <v>stnd</v>
      </c>
      <c r="C11002" s="3" t="str">
        <f>IFERROR(__xludf.DUMMYFUNCTION("""COMPUTED_VALUE"""),"Standard Protocol")</f>
        <v>Standard Protocol</v>
      </c>
    </row>
    <row r="11003">
      <c r="A11003" s="3" t="str">
        <f>IFERROR(__xludf.DUMMYFUNCTION("""COMPUTED_VALUE"""),"standard-token")</f>
        <v>standard-token</v>
      </c>
      <c r="B11003" s="3" t="str">
        <f>IFERROR(__xludf.DUMMYFUNCTION("""COMPUTED_VALUE"""),"tst")</f>
        <v>tst</v>
      </c>
      <c r="C11003" s="4" t="str">
        <f>IFERROR(__xludf.DUMMYFUNCTION("""COMPUTED_VALUE"""),"TheStandard.io")</f>
        <v>TheStandard.io</v>
      </c>
    </row>
    <row r="11004">
      <c r="A11004" s="3" t="str">
        <f>IFERROR(__xludf.DUMMYFUNCTION("""COMPUTED_VALUE"""),"stand-cash")</f>
        <v>stand-cash</v>
      </c>
      <c r="B11004" s="3" t="str">
        <f>IFERROR(__xludf.DUMMYFUNCTION("""COMPUTED_VALUE"""),"sac")</f>
        <v>sac</v>
      </c>
      <c r="C11004" s="3" t="str">
        <f>IFERROR(__xludf.DUMMYFUNCTION("""COMPUTED_VALUE"""),"Stand Cash")</f>
        <v>Stand Cash</v>
      </c>
    </row>
    <row r="11005">
      <c r="A11005" s="3" t="str">
        <f>IFERROR(__xludf.DUMMYFUNCTION("""COMPUTED_VALUE"""),"stand-share")</f>
        <v>stand-share</v>
      </c>
      <c r="B11005" s="3" t="str">
        <f>IFERROR(__xludf.DUMMYFUNCTION("""COMPUTED_VALUE"""),"sas")</f>
        <v>sas</v>
      </c>
      <c r="C11005" s="3" t="str">
        <f>IFERROR(__xludf.DUMMYFUNCTION("""COMPUTED_VALUE"""),"Stand Share")</f>
        <v>Stand Share</v>
      </c>
    </row>
    <row r="11006">
      <c r="A11006" s="3" t="str">
        <f>IFERROR(__xludf.DUMMYFUNCTION("""COMPUTED_VALUE"""),"star-atlas")</f>
        <v>star-atlas</v>
      </c>
      <c r="B11006" s="3" t="str">
        <f>IFERROR(__xludf.DUMMYFUNCTION("""COMPUTED_VALUE"""),"atlas")</f>
        <v>atlas</v>
      </c>
      <c r="C11006" s="3" t="str">
        <f>IFERROR(__xludf.DUMMYFUNCTION("""COMPUTED_VALUE"""),"Star Atlas")</f>
        <v>Star Atlas</v>
      </c>
    </row>
    <row r="11007">
      <c r="A11007" s="3" t="str">
        <f>IFERROR(__xludf.DUMMYFUNCTION("""COMPUTED_VALUE"""),"star-atlas-dao")</f>
        <v>star-atlas-dao</v>
      </c>
      <c r="B11007" s="3" t="str">
        <f>IFERROR(__xludf.DUMMYFUNCTION("""COMPUTED_VALUE"""),"polis")</f>
        <v>polis</v>
      </c>
      <c r="C11007" s="3" t="str">
        <f>IFERROR(__xludf.DUMMYFUNCTION("""COMPUTED_VALUE"""),"Star Atlas DAO")</f>
        <v>Star Atlas DAO</v>
      </c>
    </row>
    <row r="11008">
      <c r="A11008" s="3" t="str">
        <f>IFERROR(__xludf.DUMMYFUNCTION("""COMPUTED_VALUE"""),"starbase")</f>
        <v>starbase</v>
      </c>
      <c r="B11008" s="3" t="str">
        <f>IFERROR(__xludf.DUMMYFUNCTION("""COMPUTED_VALUE"""),"star")</f>
        <v>star</v>
      </c>
      <c r="C11008" s="3" t="str">
        <f>IFERROR(__xludf.DUMMYFUNCTION("""COMPUTED_VALUE"""),"Starbase")</f>
        <v>Starbase</v>
      </c>
    </row>
    <row r="11009">
      <c r="A11009" s="3" t="str">
        <f>IFERROR(__xludf.DUMMYFUNCTION("""COMPUTED_VALUE"""),"starbaseuniverse")</f>
        <v>starbaseuniverse</v>
      </c>
      <c r="B11009" s="3" t="str">
        <f>IFERROR(__xludf.DUMMYFUNCTION("""COMPUTED_VALUE"""),"suni")</f>
        <v>suni</v>
      </c>
      <c r="C11009" s="3" t="str">
        <f>IFERROR(__xludf.DUMMYFUNCTION("""COMPUTED_VALUE"""),"StarbaseUniverse")</f>
        <v>StarbaseUniverse</v>
      </c>
    </row>
    <row r="11010">
      <c r="A11010" s="3" t="str">
        <f>IFERROR(__xludf.DUMMYFUNCTION("""COMPUTED_VALUE"""),"starbots")</f>
        <v>starbots</v>
      </c>
      <c r="B11010" s="3" t="str">
        <f>IFERROR(__xludf.DUMMYFUNCTION("""COMPUTED_VALUE"""),"bot")</f>
        <v>bot</v>
      </c>
      <c r="C11010" s="3" t="str">
        <f>IFERROR(__xludf.DUMMYFUNCTION("""COMPUTED_VALUE"""),"Starbots")</f>
        <v>Starbots</v>
      </c>
    </row>
    <row r="11011">
      <c r="A11011" s="3" t="str">
        <f>IFERROR(__xludf.DUMMYFUNCTION("""COMPUTED_VALUE"""),"starbots-gear")</f>
        <v>starbots-gear</v>
      </c>
      <c r="B11011" s="3" t="str">
        <f>IFERROR(__xludf.DUMMYFUNCTION("""COMPUTED_VALUE"""),"gear")</f>
        <v>gear</v>
      </c>
      <c r="C11011" s="3" t="str">
        <f>IFERROR(__xludf.DUMMYFUNCTION("""COMPUTED_VALUE"""),"Starbots GEAR")</f>
        <v>Starbots GEAR</v>
      </c>
    </row>
    <row r="11012">
      <c r="A11012" s="3" t="str">
        <f>IFERROR(__xludf.DUMMYFUNCTION("""COMPUTED_VALUE"""),"starchain")</f>
        <v>starchain</v>
      </c>
      <c r="B11012" s="3" t="str">
        <f>IFERROR(__xludf.DUMMYFUNCTION("""COMPUTED_VALUE"""),"stc")</f>
        <v>stc</v>
      </c>
      <c r="C11012" s="3" t="str">
        <f>IFERROR(__xludf.DUMMYFUNCTION("""COMPUTED_VALUE"""),"StarChain")</f>
        <v>StarChain</v>
      </c>
    </row>
    <row r="11013">
      <c r="A11013" s="3" t="str">
        <f>IFERROR(__xludf.DUMMYFUNCTION("""COMPUTED_VALUE"""),"star-chain")</f>
        <v>star-chain</v>
      </c>
      <c r="B11013" s="3" t="str">
        <f>IFERROR(__xludf.DUMMYFUNCTION("""COMPUTED_VALUE"""),"star")</f>
        <v>star</v>
      </c>
      <c r="C11013" s="3" t="str">
        <f>IFERROR(__xludf.DUMMYFUNCTION("""COMPUTED_VALUE"""),"Star Chain")</f>
        <v>Star Chain</v>
      </c>
    </row>
    <row r="11014">
      <c r="A11014" s="3" t="str">
        <f>IFERROR(__xludf.DUMMYFUNCTION("""COMPUTED_VALUE"""),"starchi")</f>
        <v>starchi</v>
      </c>
      <c r="B11014" s="3" t="str">
        <f>IFERROR(__xludf.DUMMYFUNCTION("""COMPUTED_VALUE"""),"elixir")</f>
        <v>elixir</v>
      </c>
      <c r="C11014" s="3" t="str">
        <f>IFERROR(__xludf.DUMMYFUNCTION("""COMPUTED_VALUE"""),"Starchi")</f>
        <v>Starchi</v>
      </c>
    </row>
    <row r="11015">
      <c r="A11015" s="3" t="str">
        <f>IFERROR(__xludf.DUMMYFUNCTION("""COMPUTED_VALUE"""),"starcoin")</f>
        <v>starcoin</v>
      </c>
      <c r="B11015" s="3" t="str">
        <f>IFERROR(__xludf.DUMMYFUNCTION("""COMPUTED_VALUE"""),"stc")</f>
        <v>stc</v>
      </c>
      <c r="C11015" s="3" t="str">
        <f>IFERROR(__xludf.DUMMYFUNCTION("""COMPUTED_VALUE"""),"Starcoin")</f>
        <v>Starcoin</v>
      </c>
    </row>
    <row r="11016">
      <c r="A11016" s="3" t="str">
        <f>IFERROR(__xludf.DUMMYFUNCTION("""COMPUTED_VALUE"""),"starduke")</f>
        <v>starduke</v>
      </c>
      <c r="B11016" s="3" t="str">
        <f>IFERROR(__xludf.DUMMYFUNCTION("""COMPUTED_VALUE"""),"sdk")</f>
        <v>sdk</v>
      </c>
      <c r="C11016" s="3" t="str">
        <f>IFERROR(__xludf.DUMMYFUNCTION("""COMPUTED_VALUE"""),"StarDuke")</f>
        <v>StarDuke</v>
      </c>
    </row>
    <row r="11017">
      <c r="A11017" s="3" t="str">
        <f>IFERROR(__xludf.DUMMYFUNCTION("""COMPUTED_VALUE"""),"starfish-finance")</f>
        <v>starfish-finance</v>
      </c>
      <c r="B11017" s="3" t="str">
        <f>IFERROR(__xludf.DUMMYFUNCTION("""COMPUTED_VALUE"""),"sean")</f>
        <v>sean</v>
      </c>
      <c r="C11017" s="3" t="str">
        <f>IFERROR(__xludf.DUMMYFUNCTION("""COMPUTED_VALUE"""),"Starfish Finance")</f>
        <v>Starfish Finance</v>
      </c>
    </row>
    <row r="11018">
      <c r="A11018" s="3" t="str">
        <f>IFERROR(__xludf.DUMMYFUNCTION("""COMPUTED_VALUE"""),"starfish-os")</f>
        <v>starfish-os</v>
      </c>
      <c r="B11018" s="3" t="str">
        <f>IFERROR(__xludf.DUMMYFUNCTION("""COMPUTED_VALUE"""),"sfo")</f>
        <v>sfo</v>
      </c>
      <c r="C11018" s="3" t="str">
        <f>IFERROR(__xludf.DUMMYFUNCTION("""COMPUTED_VALUE"""),"StarFish OS")</f>
        <v>StarFish OS</v>
      </c>
    </row>
    <row r="11019">
      <c r="A11019" s="3" t="str">
        <f>IFERROR(__xludf.DUMMYFUNCTION("""COMPUTED_VALUE"""),"starfish-os-igt")</f>
        <v>starfish-os-igt</v>
      </c>
      <c r="B11019" s="3" t="str">
        <f>IFERROR(__xludf.DUMMYFUNCTION("""COMPUTED_VALUE"""),"igt")</f>
        <v>igt</v>
      </c>
      <c r="C11019" s="3" t="str">
        <f>IFERROR(__xludf.DUMMYFUNCTION("""COMPUTED_VALUE"""),"Starfish OS IGT")</f>
        <v>Starfish OS IGT</v>
      </c>
    </row>
    <row r="11020">
      <c r="A11020" s="3" t="str">
        <f>IFERROR(__xludf.DUMMYFUNCTION("""COMPUTED_VALUE"""),"stargate-finance")</f>
        <v>stargate-finance</v>
      </c>
      <c r="B11020" s="3" t="str">
        <f>IFERROR(__xludf.DUMMYFUNCTION("""COMPUTED_VALUE"""),"stg")</f>
        <v>stg</v>
      </c>
      <c r="C11020" s="3" t="str">
        <f>IFERROR(__xludf.DUMMYFUNCTION("""COMPUTED_VALUE"""),"Stargate Finance")</f>
        <v>Stargate Finance</v>
      </c>
    </row>
    <row r="11021">
      <c r="A11021" s="3" t="str">
        <f>IFERROR(__xludf.DUMMYFUNCTION("""COMPUTED_VALUE"""),"stargaze")</f>
        <v>stargaze</v>
      </c>
      <c r="B11021" s="3" t="str">
        <f>IFERROR(__xludf.DUMMYFUNCTION("""COMPUTED_VALUE"""),"stars")</f>
        <v>stars</v>
      </c>
      <c r="C11021" s="3" t="str">
        <f>IFERROR(__xludf.DUMMYFUNCTION("""COMPUTED_VALUE"""),"Stargaze")</f>
        <v>Stargaze</v>
      </c>
    </row>
    <row r="11022">
      <c r="A11022" s="3" t="str">
        <f>IFERROR(__xludf.DUMMYFUNCTION("""COMPUTED_VALUE"""),"stargazer-protocol")</f>
        <v>stargazer-protocol</v>
      </c>
      <c r="B11022" s="3" t="str">
        <f>IFERROR(__xludf.DUMMYFUNCTION("""COMPUTED_VALUE"""),"stardust")</f>
        <v>stardust</v>
      </c>
      <c r="C11022" s="3" t="str">
        <f>IFERROR(__xludf.DUMMYFUNCTION("""COMPUTED_VALUE"""),"Stargazer Protocol")</f>
        <v>Stargazer Protocol</v>
      </c>
    </row>
    <row r="11023">
      <c r="A11023" s="3" t="str">
        <f>IFERROR(__xludf.DUMMYFUNCTION("""COMPUTED_VALUE"""),"starkmeta")</f>
        <v>starkmeta</v>
      </c>
      <c r="B11023" s="3" t="str">
        <f>IFERROR(__xludf.DUMMYFUNCTION("""COMPUTED_VALUE"""),"smeta")</f>
        <v>smeta</v>
      </c>
      <c r="C11023" s="3" t="str">
        <f>IFERROR(__xludf.DUMMYFUNCTION("""COMPUTED_VALUE"""),"StarkMeta")</f>
        <v>StarkMeta</v>
      </c>
    </row>
    <row r="11024">
      <c r="A11024" s="3" t="str">
        <f>IFERROR(__xludf.DUMMYFUNCTION("""COMPUTED_VALUE"""),"starknet")</f>
        <v>starknet</v>
      </c>
      <c r="B11024" s="3" t="str">
        <f>IFERROR(__xludf.DUMMYFUNCTION("""COMPUTED_VALUE"""),"strk")</f>
        <v>strk</v>
      </c>
      <c r="C11024" s="3" t="str">
        <f>IFERROR(__xludf.DUMMYFUNCTION("""COMPUTED_VALUE"""),"StarkNet")</f>
        <v>StarkNet</v>
      </c>
    </row>
    <row r="11025">
      <c r="A11025" s="3" t="str">
        <f>IFERROR(__xludf.DUMMYFUNCTION("""COMPUTED_VALUE"""),"starlaunch")</f>
        <v>starlaunch</v>
      </c>
      <c r="B11025" s="3" t="str">
        <f>IFERROR(__xludf.DUMMYFUNCTION("""COMPUTED_VALUE"""),"stars")</f>
        <v>stars</v>
      </c>
      <c r="C11025" s="3" t="str">
        <f>IFERROR(__xludf.DUMMYFUNCTION("""COMPUTED_VALUE"""),"StarLaunch")</f>
        <v>StarLaunch</v>
      </c>
    </row>
    <row r="11026">
      <c r="A11026" s="3" t="str">
        <f>IFERROR(__xludf.DUMMYFUNCTION("""COMPUTED_VALUE"""),"starlay-finance")</f>
        <v>starlay-finance</v>
      </c>
      <c r="B11026" s="3" t="str">
        <f>IFERROR(__xludf.DUMMYFUNCTION("""COMPUTED_VALUE"""),"lay")</f>
        <v>lay</v>
      </c>
      <c r="C11026" s="3" t="str">
        <f>IFERROR(__xludf.DUMMYFUNCTION("""COMPUTED_VALUE"""),"Starlay Finance")</f>
        <v>Starlay Finance</v>
      </c>
    </row>
    <row r="11027">
      <c r="A11027" s="3" t="str">
        <f>IFERROR(__xludf.DUMMYFUNCTION("""COMPUTED_VALUE"""),"starlink")</f>
        <v>starlink</v>
      </c>
      <c r="B11027" s="3" t="str">
        <f>IFERROR(__xludf.DUMMYFUNCTION("""COMPUTED_VALUE"""),"starl")</f>
        <v>starl</v>
      </c>
      <c r="C11027" s="3" t="str">
        <f>IFERROR(__xludf.DUMMYFUNCTION("""COMPUTED_VALUE"""),"StarLink")</f>
        <v>StarLink</v>
      </c>
    </row>
    <row r="11028">
      <c r="A11028" s="3" t="str">
        <f>IFERROR(__xludf.DUMMYFUNCTION("""COMPUTED_VALUE"""),"starly")</f>
        <v>starly</v>
      </c>
      <c r="B11028" s="3" t="str">
        <f>IFERROR(__xludf.DUMMYFUNCTION("""COMPUTED_VALUE"""),"starly")</f>
        <v>starly</v>
      </c>
      <c r="C11028" s="3" t="str">
        <f>IFERROR(__xludf.DUMMYFUNCTION("""COMPUTED_VALUE"""),"Starly")</f>
        <v>Starly</v>
      </c>
    </row>
    <row r="11029">
      <c r="A11029" s="3" t="str">
        <f>IFERROR(__xludf.DUMMYFUNCTION("""COMPUTED_VALUE"""),"starmon-token")</f>
        <v>starmon-token</v>
      </c>
      <c r="B11029" s="3" t="str">
        <f>IFERROR(__xludf.DUMMYFUNCTION("""COMPUTED_VALUE"""),"smon")</f>
        <v>smon</v>
      </c>
      <c r="C11029" s="3" t="str">
        <f>IFERROR(__xludf.DUMMYFUNCTION("""COMPUTED_VALUE"""),"StarMon")</f>
        <v>StarMon</v>
      </c>
    </row>
    <row r="11030">
      <c r="A11030" s="3" t="str">
        <f>IFERROR(__xludf.DUMMYFUNCTION("""COMPUTED_VALUE"""),"starname")</f>
        <v>starname</v>
      </c>
      <c r="B11030" s="3" t="str">
        <f>IFERROR(__xludf.DUMMYFUNCTION("""COMPUTED_VALUE"""),"iov")</f>
        <v>iov</v>
      </c>
      <c r="C11030" s="3" t="str">
        <f>IFERROR(__xludf.DUMMYFUNCTION("""COMPUTED_VALUE"""),"Starname")</f>
        <v>Starname</v>
      </c>
    </row>
    <row r="11031">
      <c r="A11031" s="3" t="str">
        <f>IFERROR(__xludf.DUMMYFUNCTION("""COMPUTED_VALUE"""),"starpad")</f>
        <v>starpad</v>
      </c>
      <c r="B11031" s="3" t="str">
        <f>IFERROR(__xludf.DUMMYFUNCTION("""COMPUTED_VALUE"""),"srp")</f>
        <v>srp</v>
      </c>
      <c r="C11031" s="3" t="str">
        <f>IFERROR(__xludf.DUMMYFUNCTION("""COMPUTED_VALUE"""),"Starpad")</f>
        <v>Starpad</v>
      </c>
    </row>
    <row r="11032">
      <c r="A11032" s="3" t="str">
        <f>IFERROR(__xludf.DUMMYFUNCTION("""COMPUTED_VALUE"""),"starpark")</f>
        <v>starpark</v>
      </c>
      <c r="B11032" s="3" t="str">
        <f>IFERROR(__xludf.DUMMYFUNCTION("""COMPUTED_VALUE"""),"starp")</f>
        <v>starp</v>
      </c>
      <c r="C11032" s="3" t="str">
        <f>IFERROR(__xludf.DUMMYFUNCTION("""COMPUTED_VALUE"""),"STARPARK")</f>
        <v>STARPARK</v>
      </c>
    </row>
    <row r="11033">
      <c r="A11033" s="3" t="str">
        <f>IFERROR(__xludf.DUMMYFUNCTION("""COMPUTED_VALUE"""),"starplay")</f>
        <v>starplay</v>
      </c>
      <c r="B11033" s="3" t="str">
        <f>IFERROR(__xludf.DUMMYFUNCTION("""COMPUTED_VALUE"""),"stpc")</f>
        <v>stpc</v>
      </c>
      <c r="C11033" s="3" t="str">
        <f>IFERROR(__xludf.DUMMYFUNCTION("""COMPUTED_VALUE"""),"StarPlay")</f>
        <v>StarPlay</v>
      </c>
    </row>
    <row r="11034">
      <c r="A11034" s="3" t="str">
        <f>IFERROR(__xludf.DUMMYFUNCTION("""COMPUTED_VALUE"""),"starsharks")</f>
        <v>starsharks</v>
      </c>
      <c r="B11034" s="3" t="str">
        <f>IFERROR(__xludf.DUMMYFUNCTION("""COMPUTED_VALUE"""),"sss")</f>
        <v>sss</v>
      </c>
      <c r="C11034" s="3" t="str">
        <f>IFERROR(__xludf.DUMMYFUNCTION("""COMPUTED_VALUE"""),"StarSharks")</f>
        <v>StarSharks</v>
      </c>
    </row>
    <row r="11035">
      <c r="A11035" s="3" t="str">
        <f>IFERROR(__xludf.DUMMYFUNCTION("""COMPUTED_VALUE"""),"starsharks-sea")</f>
        <v>starsharks-sea</v>
      </c>
      <c r="B11035" s="3" t="str">
        <f>IFERROR(__xludf.DUMMYFUNCTION("""COMPUTED_VALUE"""),"sea")</f>
        <v>sea</v>
      </c>
      <c r="C11035" s="3" t="str">
        <f>IFERROR(__xludf.DUMMYFUNCTION("""COMPUTED_VALUE"""),"StarSharks SEA")</f>
        <v>StarSharks SEA</v>
      </c>
    </row>
    <row r="11036">
      <c r="A11036" s="3" t="str">
        <f>IFERROR(__xludf.DUMMYFUNCTION("""COMPUTED_VALUE"""),"starship")</f>
        <v>starship</v>
      </c>
      <c r="B11036" s="3" t="str">
        <f>IFERROR(__xludf.DUMMYFUNCTION("""COMPUTED_VALUE"""),"starship")</f>
        <v>starship</v>
      </c>
      <c r="C11036" s="3" t="str">
        <f>IFERROR(__xludf.DUMMYFUNCTION("""COMPUTED_VALUE"""),"StarShip")</f>
        <v>StarShip</v>
      </c>
    </row>
    <row r="11037">
      <c r="A11037" s="3" t="str">
        <f>IFERROR(__xludf.DUMMYFUNCTION("""COMPUTED_VALUE"""),"star-ship-royal")</f>
        <v>star-ship-royal</v>
      </c>
      <c r="B11037" s="3" t="str">
        <f>IFERROR(__xludf.DUMMYFUNCTION("""COMPUTED_VALUE"""),"ssr")</f>
        <v>ssr</v>
      </c>
      <c r="C11037" s="3" t="str">
        <f>IFERROR(__xludf.DUMMYFUNCTION("""COMPUTED_VALUE"""),"Star Ship Royal")</f>
        <v>Star Ship Royal</v>
      </c>
    </row>
    <row r="11038">
      <c r="A11038" s="3" t="str">
        <f>IFERROR(__xludf.DUMMYFUNCTION("""COMPUTED_VALUE"""),"starship-token")</f>
        <v>starship-token</v>
      </c>
      <c r="B11038" s="3" t="str">
        <f>IFERROR(__xludf.DUMMYFUNCTION("""COMPUTED_VALUE"""),"stars")</f>
        <v>stars</v>
      </c>
      <c r="C11038" s="3" t="str">
        <f>IFERROR(__xludf.DUMMYFUNCTION("""COMPUTED_VALUE"""),"StarShip Stars")</f>
        <v>StarShip Stars</v>
      </c>
    </row>
    <row r="11039">
      <c r="A11039" s="3" t="str">
        <f>IFERROR(__xludf.DUMMYFUNCTION("""COMPUTED_VALUE"""),"starslax")</f>
        <v>starslax</v>
      </c>
      <c r="B11039" s="3" t="str">
        <f>IFERROR(__xludf.DUMMYFUNCTION("""COMPUTED_VALUE"""),"sslx")</f>
        <v>sslx</v>
      </c>
      <c r="C11039" s="3" t="str">
        <f>IFERROR(__xludf.DUMMYFUNCTION("""COMPUTED_VALUE"""),"StarSlax")</f>
        <v>StarSlax</v>
      </c>
    </row>
    <row r="11040">
      <c r="A11040" s="3" t="str">
        <f>IFERROR(__xludf.DUMMYFUNCTION("""COMPUTED_VALUE"""),"starswap")</f>
        <v>starswap</v>
      </c>
      <c r="B11040" s="3" t="str">
        <f>IFERROR(__xludf.DUMMYFUNCTION("""COMPUTED_VALUE"""),"star")</f>
        <v>star</v>
      </c>
      <c r="C11040" s="3" t="str">
        <f>IFERROR(__xludf.DUMMYFUNCTION("""COMPUTED_VALUE"""),"StarSwap")</f>
        <v>StarSwap</v>
      </c>
    </row>
    <row r="11041">
      <c r="A11041" s="3" t="str">
        <f>IFERROR(__xludf.DUMMYFUNCTION("""COMPUTED_VALUE"""),"star-wars-cat")</f>
        <v>star-wars-cat</v>
      </c>
      <c r="B11041" s="3" t="str">
        <f>IFERROR(__xludf.DUMMYFUNCTION("""COMPUTED_VALUE"""),"swcat")</f>
        <v>swcat</v>
      </c>
      <c r="C11041" s="3" t="str">
        <f>IFERROR(__xludf.DUMMYFUNCTION("""COMPUTED_VALUE"""),"Star Wars Cat")</f>
        <v>Star Wars Cat</v>
      </c>
    </row>
    <row r="11042">
      <c r="A11042" s="3" t="str">
        <f>IFERROR(__xludf.DUMMYFUNCTION("""COMPUTED_VALUE"""),"starwire")</f>
        <v>starwire</v>
      </c>
      <c r="B11042" s="3" t="str">
        <f>IFERROR(__xludf.DUMMYFUNCTION("""COMPUTED_VALUE"""),"str")</f>
        <v>str</v>
      </c>
      <c r="C11042" s="3" t="str">
        <f>IFERROR(__xludf.DUMMYFUNCTION("""COMPUTED_VALUE"""),"Starwire")</f>
        <v>Starwire</v>
      </c>
    </row>
    <row r="11043">
      <c r="A11043" s="3" t="str">
        <f>IFERROR(__xludf.DUMMYFUNCTION("""COMPUTED_VALUE"""),"starworks-global-ecosystem")</f>
        <v>starworks-global-ecosystem</v>
      </c>
      <c r="B11043" s="3" t="str">
        <f>IFERROR(__xludf.DUMMYFUNCTION("""COMPUTED_VALUE"""),"starx")</f>
        <v>starx</v>
      </c>
      <c r="C11043" s="3" t="str">
        <f>IFERROR(__xludf.DUMMYFUNCTION("""COMPUTED_VALUE"""),"STARX")</f>
        <v>STARX</v>
      </c>
    </row>
    <row r="11044">
      <c r="A11044" s="3" t="str">
        <f>IFERROR(__xludf.DUMMYFUNCTION("""COMPUTED_VALUE"""),"starz")</f>
        <v>starz</v>
      </c>
      <c r="B11044" s="3" t="str">
        <f>IFERROR(__xludf.DUMMYFUNCTION("""COMPUTED_VALUE"""),"stz")</f>
        <v>stz</v>
      </c>
      <c r="C11044" s="3" t="str">
        <f>IFERROR(__xludf.DUMMYFUNCTION("""COMPUTED_VALUE"""),"Starz")</f>
        <v>Starz</v>
      </c>
    </row>
    <row r="11045">
      <c r="A11045" s="3" t="str">
        <f>IFERROR(__xludf.DUMMYFUNCTION("""COMPUTED_VALUE"""),"stasis-eurs")</f>
        <v>stasis-eurs</v>
      </c>
      <c r="B11045" s="3" t="str">
        <f>IFERROR(__xludf.DUMMYFUNCTION("""COMPUTED_VALUE"""),"eurs")</f>
        <v>eurs</v>
      </c>
      <c r="C11045" s="3" t="str">
        <f>IFERROR(__xludf.DUMMYFUNCTION("""COMPUTED_VALUE"""),"STASIS EURO")</f>
        <v>STASIS EURO</v>
      </c>
    </row>
    <row r="11046">
      <c r="A11046" s="3" t="str">
        <f>IFERROR(__xludf.DUMMYFUNCTION("""COMPUTED_VALUE"""),"stat")</f>
        <v>stat</v>
      </c>
      <c r="B11046" s="3" t="str">
        <f>IFERROR(__xludf.DUMMYFUNCTION("""COMPUTED_VALUE"""),"stat")</f>
        <v>stat</v>
      </c>
      <c r="C11046" s="3" t="str">
        <f>IFERROR(__xludf.DUMMYFUNCTION("""COMPUTED_VALUE"""),"STAT")</f>
        <v>STAT</v>
      </c>
    </row>
    <row r="11047">
      <c r="A11047" s="3" t="str">
        <f>IFERROR(__xludf.DUMMYFUNCTION("""COMPUTED_VALUE"""),"stater")</f>
        <v>stater</v>
      </c>
      <c r="B11047" s="3" t="str">
        <f>IFERROR(__xludf.DUMMYFUNCTION("""COMPUTED_VALUE"""),"str")</f>
        <v>str</v>
      </c>
      <c r="C11047" s="3" t="str">
        <f>IFERROR(__xludf.DUMMYFUNCTION("""COMPUTED_VALUE"""),"Stater")</f>
        <v>Stater</v>
      </c>
    </row>
    <row r="11048">
      <c r="A11048" s="3" t="str">
        <f>IFERROR(__xludf.DUMMYFUNCTION("""COMPUTED_VALUE"""),"statera")</f>
        <v>statera</v>
      </c>
      <c r="B11048" s="3" t="str">
        <f>IFERROR(__xludf.DUMMYFUNCTION("""COMPUTED_VALUE"""),"sta")</f>
        <v>sta</v>
      </c>
      <c r="C11048" s="3" t="str">
        <f>IFERROR(__xludf.DUMMYFUNCTION("""COMPUTED_VALUE"""),"Statera")</f>
        <v>Statera</v>
      </c>
    </row>
    <row r="11049">
      <c r="A11049" s="3" t="str">
        <f>IFERROR(__xludf.DUMMYFUNCTION("""COMPUTED_VALUE"""),"statik")</f>
        <v>statik</v>
      </c>
      <c r="B11049" s="3" t="str">
        <f>IFERROR(__xludf.DUMMYFUNCTION("""COMPUTED_VALUE"""),"statik")</f>
        <v>statik</v>
      </c>
      <c r="C11049" s="3" t="str">
        <f>IFERROR(__xludf.DUMMYFUNCTION("""COMPUTED_VALUE"""),"Statik")</f>
        <v>Statik</v>
      </c>
    </row>
    <row r="11050">
      <c r="A11050" s="3" t="str">
        <f>IFERROR(__xludf.DUMMYFUNCTION("""COMPUTED_VALUE"""),"sta-token")</f>
        <v>sta-token</v>
      </c>
      <c r="B11050" s="3" t="str">
        <f>IFERROR(__xludf.DUMMYFUNCTION("""COMPUTED_VALUE"""),"sta")</f>
        <v>sta</v>
      </c>
      <c r="C11050" s="3" t="str">
        <f>IFERROR(__xludf.DUMMYFUNCTION("""COMPUTED_VALUE"""),"STA")</f>
        <v>STA</v>
      </c>
    </row>
    <row r="11051">
      <c r="A11051" s="3" t="str">
        <f>IFERROR(__xludf.DUMMYFUNCTION("""COMPUTED_VALUE"""),"status")</f>
        <v>status</v>
      </c>
      <c r="B11051" s="3" t="str">
        <f>IFERROR(__xludf.DUMMYFUNCTION("""COMPUTED_VALUE"""),"snt")</f>
        <v>snt</v>
      </c>
      <c r="C11051" s="3" t="str">
        <f>IFERROR(__xludf.DUMMYFUNCTION("""COMPUTED_VALUE"""),"Status")</f>
        <v>Status</v>
      </c>
    </row>
    <row r="11052">
      <c r="A11052" s="3" t="str">
        <f>IFERROR(__xludf.DUMMYFUNCTION("""COMPUTED_VALUE"""),"stay")</f>
        <v>stay</v>
      </c>
      <c r="B11052" s="3" t="str">
        <f>IFERROR(__xludf.DUMMYFUNCTION("""COMPUTED_VALUE"""),"stay")</f>
        <v>stay</v>
      </c>
      <c r="C11052" s="3" t="str">
        <f>IFERROR(__xludf.DUMMYFUNCTION("""COMPUTED_VALUE"""),"STAY")</f>
        <v>STAY</v>
      </c>
    </row>
    <row r="11053">
      <c r="A11053" s="3" t="str">
        <f>IFERROR(__xludf.DUMMYFUNCTION("""COMPUTED_VALUE"""),"stay-in-destiny-world")</f>
        <v>stay-in-destiny-world</v>
      </c>
      <c r="B11053" s="3" t="str">
        <f>IFERROR(__xludf.DUMMYFUNCTION("""COMPUTED_VALUE"""),"siw")</f>
        <v>siw</v>
      </c>
      <c r="C11053" s="3" t="str">
        <f>IFERROR(__xludf.DUMMYFUNCTION("""COMPUTED_VALUE"""),"Stay In Destiny World")</f>
        <v>Stay In Destiny World</v>
      </c>
    </row>
    <row r="11054">
      <c r="A11054" s="3" t="str">
        <f>IFERROR(__xludf.DUMMYFUNCTION("""COMPUTED_VALUE"""),"staykx")</f>
        <v>staykx</v>
      </c>
      <c r="B11054" s="3" t="str">
        <f>IFERROR(__xludf.DUMMYFUNCTION("""COMPUTED_VALUE"""),"stx")</f>
        <v>stx</v>
      </c>
      <c r="C11054" s="3" t="str">
        <f>IFERROR(__xludf.DUMMYFUNCTION("""COMPUTED_VALUE"""),"StaykX")</f>
        <v>StaykX</v>
      </c>
    </row>
    <row r="11055">
      <c r="A11055" s="3" t="str">
        <f>IFERROR(__xludf.DUMMYFUNCTION("""COMPUTED_VALUE"""),"staysafu")</f>
        <v>staysafu</v>
      </c>
      <c r="B11055" s="3" t="str">
        <f>IFERROR(__xludf.DUMMYFUNCTION("""COMPUTED_VALUE"""),"safu")</f>
        <v>safu</v>
      </c>
      <c r="C11055" s="3" t="str">
        <f>IFERROR(__xludf.DUMMYFUNCTION("""COMPUTED_VALUE"""),"StaySAFU")</f>
        <v>StaySAFU</v>
      </c>
    </row>
    <row r="11056">
      <c r="A11056" s="3" t="str">
        <f>IFERROR(__xludf.DUMMYFUNCTION("""COMPUTED_VALUE"""),"staysbase")</f>
        <v>staysbase</v>
      </c>
      <c r="B11056" s="3" t="str">
        <f>IFERROR(__xludf.DUMMYFUNCTION("""COMPUTED_VALUE"""),"sbs")</f>
        <v>sbs</v>
      </c>
      <c r="C11056" s="3" t="str">
        <f>IFERROR(__xludf.DUMMYFUNCTION("""COMPUTED_VALUE"""),"StaysBASE")</f>
        <v>StaysBASE</v>
      </c>
    </row>
    <row r="11057">
      <c r="A11057" s="3" t="str">
        <f>IFERROR(__xludf.DUMMYFUNCTION("""COMPUTED_VALUE"""),"steakbank-finance")</f>
        <v>steakbank-finance</v>
      </c>
      <c r="B11057" s="3" t="str">
        <f>IFERROR(__xludf.DUMMYFUNCTION("""COMPUTED_VALUE"""),"sbf")</f>
        <v>sbf</v>
      </c>
      <c r="C11057" s="3" t="str">
        <f>IFERROR(__xludf.DUMMYFUNCTION("""COMPUTED_VALUE"""),"SteakBank Finance")</f>
        <v>SteakBank Finance</v>
      </c>
    </row>
    <row r="11058">
      <c r="A11058" s="3" t="str">
        <f>IFERROR(__xludf.DUMMYFUNCTION("""COMPUTED_VALUE"""),"steakhut-finance")</f>
        <v>steakhut-finance</v>
      </c>
      <c r="B11058" s="3" t="str">
        <f>IFERROR(__xludf.DUMMYFUNCTION("""COMPUTED_VALUE"""),"steak")</f>
        <v>steak</v>
      </c>
      <c r="C11058" s="3" t="str">
        <f>IFERROR(__xludf.DUMMYFUNCTION("""COMPUTED_VALUE"""),"SteakHut Finance")</f>
        <v>SteakHut Finance</v>
      </c>
    </row>
    <row r="11059">
      <c r="A11059" s="3" t="str">
        <f>IFERROR(__xludf.DUMMYFUNCTION("""COMPUTED_VALUE"""),"steaks-finance")</f>
        <v>steaks-finance</v>
      </c>
      <c r="B11059" s="3" t="str">
        <f>IFERROR(__xludf.DUMMYFUNCTION("""COMPUTED_VALUE"""),"steak")</f>
        <v>steak</v>
      </c>
      <c r="C11059" s="3" t="str">
        <f>IFERROR(__xludf.DUMMYFUNCTION("""COMPUTED_VALUE"""),"Steaks Finance")</f>
        <v>Steaks Finance</v>
      </c>
    </row>
    <row r="11060">
      <c r="A11060" s="3" t="str">
        <f>IFERROR(__xludf.DUMMYFUNCTION("""COMPUTED_VALUE"""),"stealthcoin")</f>
        <v>stealthcoin</v>
      </c>
      <c r="B11060" s="3" t="str">
        <f>IFERROR(__xludf.DUMMYFUNCTION("""COMPUTED_VALUE"""),"xst")</f>
        <v>xst</v>
      </c>
      <c r="C11060" s="3" t="str">
        <f>IFERROR(__xludf.DUMMYFUNCTION("""COMPUTED_VALUE"""),"Stealth")</f>
        <v>Stealth</v>
      </c>
    </row>
    <row r="11061">
      <c r="A11061" s="3" t="str">
        <f>IFERROR(__xludf.DUMMYFUNCTION("""COMPUTED_VALUE"""),"steam-exchange")</f>
        <v>steam-exchange</v>
      </c>
      <c r="B11061" s="3" t="str">
        <f>IFERROR(__xludf.DUMMYFUNCTION("""COMPUTED_VALUE"""),"steamx")</f>
        <v>steamx</v>
      </c>
      <c r="C11061" s="3" t="str">
        <f>IFERROR(__xludf.DUMMYFUNCTION("""COMPUTED_VALUE"""),"Steam Exchange")</f>
        <v>Steam Exchange</v>
      </c>
    </row>
    <row r="11062">
      <c r="A11062" s="3" t="str">
        <f>IFERROR(__xludf.DUMMYFUNCTION("""COMPUTED_VALUE"""),"steel")</f>
        <v>steel</v>
      </c>
      <c r="B11062" s="3" t="str">
        <f>IFERROR(__xludf.DUMMYFUNCTION("""COMPUTED_VALUE"""),"steel")</f>
        <v>steel</v>
      </c>
      <c r="C11062" s="3" t="str">
        <f>IFERROR(__xludf.DUMMYFUNCTION("""COMPUTED_VALUE"""),"Steel")</f>
        <v>Steel</v>
      </c>
    </row>
    <row r="11063">
      <c r="A11063" s="3" t="str">
        <f>IFERROR(__xludf.DUMMYFUNCTION("""COMPUTED_VALUE"""),"steem")</f>
        <v>steem</v>
      </c>
      <c r="B11063" s="3" t="str">
        <f>IFERROR(__xludf.DUMMYFUNCTION("""COMPUTED_VALUE"""),"steem")</f>
        <v>steem</v>
      </c>
      <c r="C11063" s="3" t="str">
        <f>IFERROR(__xludf.DUMMYFUNCTION("""COMPUTED_VALUE"""),"Steem")</f>
        <v>Steem</v>
      </c>
    </row>
    <row r="11064">
      <c r="A11064" s="3" t="str">
        <f>IFERROR(__xludf.DUMMYFUNCTION("""COMPUTED_VALUE"""),"steem-dollars")</f>
        <v>steem-dollars</v>
      </c>
      <c r="B11064" s="3" t="str">
        <f>IFERROR(__xludf.DUMMYFUNCTION("""COMPUTED_VALUE"""),"sbd")</f>
        <v>sbd</v>
      </c>
      <c r="C11064" s="3" t="str">
        <f>IFERROR(__xludf.DUMMYFUNCTION("""COMPUTED_VALUE"""),"Steem Dollars")</f>
        <v>Steem Dollars</v>
      </c>
    </row>
    <row r="11065">
      <c r="A11065" s="3" t="str">
        <f>IFERROR(__xludf.DUMMYFUNCTION("""COMPUTED_VALUE"""),"stelia")</f>
        <v>stelia</v>
      </c>
      <c r="B11065" s="3" t="str">
        <f>IFERROR(__xludf.DUMMYFUNCTION("""COMPUTED_VALUE"""),"stelia")</f>
        <v>stelia</v>
      </c>
      <c r="C11065" s="3" t="str">
        <f>IFERROR(__xludf.DUMMYFUNCTION("""COMPUTED_VALUE"""),"Stelia")</f>
        <v>Stelia</v>
      </c>
    </row>
    <row r="11066">
      <c r="A11066" s="3" t="str">
        <f>IFERROR(__xludf.DUMMYFUNCTION("""COMPUTED_VALUE"""),"stellar")</f>
        <v>stellar</v>
      </c>
      <c r="B11066" s="3" t="str">
        <f>IFERROR(__xludf.DUMMYFUNCTION("""COMPUTED_VALUE"""),"xlm")</f>
        <v>xlm</v>
      </c>
      <c r="C11066" s="3" t="str">
        <f>IFERROR(__xludf.DUMMYFUNCTION("""COMPUTED_VALUE"""),"Stellar")</f>
        <v>Stellar</v>
      </c>
    </row>
    <row r="11067">
      <c r="A11067" s="3" t="str">
        <f>IFERROR(__xludf.DUMMYFUNCTION("""COMPUTED_VALUE"""),"stellar-diamond")</f>
        <v>stellar-diamond</v>
      </c>
      <c r="B11067" s="3" t="str">
        <f>IFERROR(__xludf.DUMMYFUNCTION("""COMPUTED_VALUE"""),"xld")</f>
        <v>xld</v>
      </c>
      <c r="C11067" s="3" t="str">
        <f>IFERROR(__xludf.DUMMYFUNCTION("""COMPUTED_VALUE"""),"Stellar Diamond")</f>
        <v>Stellar Diamond</v>
      </c>
    </row>
    <row r="11068">
      <c r="A11068" s="3" t="str">
        <f>IFERROR(__xludf.DUMMYFUNCTION("""COMPUTED_VALUE"""),"stellarinu")</f>
        <v>stellarinu</v>
      </c>
      <c r="B11068" s="3" t="str">
        <f>IFERROR(__xludf.DUMMYFUNCTION("""COMPUTED_VALUE"""),"stellarinu")</f>
        <v>stellarinu</v>
      </c>
      <c r="C11068" s="3" t="str">
        <f>IFERROR(__xludf.DUMMYFUNCTION("""COMPUTED_VALUE"""),"StellarInu")</f>
        <v>StellarInu</v>
      </c>
    </row>
    <row r="11069">
      <c r="A11069" s="3" t="str">
        <f>IFERROR(__xludf.DUMMYFUNCTION("""COMPUTED_VALUE"""),"stellaswap")</f>
        <v>stellaswap</v>
      </c>
      <c r="B11069" s="3" t="str">
        <f>IFERROR(__xludf.DUMMYFUNCTION("""COMPUTED_VALUE"""),"stella")</f>
        <v>stella</v>
      </c>
      <c r="C11069" s="3" t="str">
        <f>IFERROR(__xludf.DUMMYFUNCTION("""COMPUTED_VALUE"""),"StellaSwap")</f>
        <v>StellaSwap</v>
      </c>
    </row>
    <row r="11070">
      <c r="A11070" s="3" t="str">
        <f>IFERROR(__xludf.DUMMYFUNCTION("""COMPUTED_VALUE"""),"stellite")</f>
        <v>stellite</v>
      </c>
      <c r="B11070" s="3" t="str">
        <f>IFERROR(__xludf.DUMMYFUNCTION("""COMPUTED_VALUE"""),"xla")</f>
        <v>xla</v>
      </c>
      <c r="C11070" s="3" t="str">
        <f>IFERROR(__xludf.DUMMYFUNCTION("""COMPUTED_VALUE"""),"Scala")</f>
        <v>Scala</v>
      </c>
    </row>
    <row r="11071">
      <c r="A11071" s="3" t="str">
        <f>IFERROR(__xludf.DUMMYFUNCTION("""COMPUTED_VALUE"""),"stemx")</f>
        <v>stemx</v>
      </c>
      <c r="B11071" s="3" t="str">
        <f>IFERROR(__xludf.DUMMYFUNCTION("""COMPUTED_VALUE"""),"stemx")</f>
        <v>stemx</v>
      </c>
      <c r="C11071" s="3" t="str">
        <f>IFERROR(__xludf.DUMMYFUNCTION("""COMPUTED_VALUE"""),"STEMX")</f>
        <v>STEMX</v>
      </c>
    </row>
    <row r="11072">
      <c r="A11072" s="3" t="str">
        <f>IFERROR(__xludf.DUMMYFUNCTION("""COMPUTED_VALUE"""),"step")</f>
        <v>step</v>
      </c>
      <c r="B11072" s="3" t="str">
        <f>IFERROR(__xludf.DUMMYFUNCTION("""COMPUTED_VALUE"""),"step")</f>
        <v>step</v>
      </c>
      <c r="C11072" s="3" t="str">
        <f>IFERROR(__xludf.DUMMYFUNCTION("""COMPUTED_VALUE"""),"Step")</f>
        <v>Step</v>
      </c>
    </row>
    <row r="11073">
      <c r="A11073" s="3" t="str">
        <f>IFERROR(__xludf.DUMMYFUNCTION("""COMPUTED_VALUE"""),"step-app-fitfi")</f>
        <v>step-app-fitfi</v>
      </c>
      <c r="B11073" s="3" t="str">
        <f>IFERROR(__xludf.DUMMYFUNCTION("""COMPUTED_VALUE"""),"fitfi")</f>
        <v>fitfi</v>
      </c>
      <c r="C11073" s="3" t="str">
        <f>IFERROR(__xludf.DUMMYFUNCTION("""COMPUTED_VALUE"""),"Step App")</f>
        <v>Step App</v>
      </c>
    </row>
    <row r="11074">
      <c r="A11074" s="3" t="str">
        <f>IFERROR(__xludf.DUMMYFUNCTION("""COMPUTED_VALUE"""),"step-c")</f>
        <v>step-c</v>
      </c>
      <c r="B11074" s="3" t="str">
        <f>IFERROR(__xludf.DUMMYFUNCTION("""COMPUTED_VALUE"""),"stc")</f>
        <v>stc</v>
      </c>
      <c r="C11074" s="3" t="str">
        <f>IFERROR(__xludf.DUMMYFUNCTION("""COMPUTED_VALUE"""),"Step C")</f>
        <v>Step C</v>
      </c>
    </row>
    <row r="11075">
      <c r="A11075" s="3" t="str">
        <f>IFERROR(__xludf.DUMMYFUNCTION("""COMPUTED_VALUE"""),"stepex")</f>
        <v>stepex</v>
      </c>
      <c r="B11075" s="3" t="str">
        <f>IFERROR(__xludf.DUMMYFUNCTION("""COMPUTED_VALUE"""),"spex")</f>
        <v>spex</v>
      </c>
      <c r="C11075" s="3" t="str">
        <f>IFERROR(__xludf.DUMMYFUNCTION("""COMPUTED_VALUE"""),"StepEx")</f>
        <v>StepEx</v>
      </c>
    </row>
    <row r="11076">
      <c r="A11076" s="3" t="str">
        <f>IFERROR(__xludf.DUMMYFUNCTION("""COMPUTED_VALUE"""),"step-finance")</f>
        <v>step-finance</v>
      </c>
      <c r="B11076" s="3" t="str">
        <f>IFERROR(__xludf.DUMMYFUNCTION("""COMPUTED_VALUE"""),"step")</f>
        <v>step</v>
      </c>
      <c r="C11076" s="3" t="str">
        <f>IFERROR(__xludf.DUMMYFUNCTION("""COMPUTED_VALUE"""),"Step Finance")</f>
        <v>Step Finance</v>
      </c>
    </row>
    <row r="11077">
      <c r="A11077" s="3" t="str">
        <f>IFERROR(__xludf.DUMMYFUNCTION("""COMPUTED_VALUE"""),"stepg")</f>
        <v>stepg</v>
      </c>
      <c r="B11077" s="3" t="str">
        <f>IFERROR(__xludf.DUMMYFUNCTION("""COMPUTED_VALUE"""),"stepg")</f>
        <v>stepg</v>
      </c>
      <c r="C11077" s="3" t="str">
        <f>IFERROR(__xludf.DUMMYFUNCTION("""COMPUTED_VALUE"""),"STEPG")</f>
        <v>STEPG</v>
      </c>
    </row>
    <row r="11078">
      <c r="A11078" s="3" t="str">
        <f>IFERROR(__xludf.DUMMYFUNCTION("""COMPUTED_VALUE"""),"step-hero")</f>
        <v>step-hero</v>
      </c>
      <c r="B11078" s="3" t="str">
        <f>IFERROR(__xludf.DUMMYFUNCTION("""COMPUTED_VALUE"""),"hero")</f>
        <v>hero</v>
      </c>
      <c r="C11078" s="3" t="str">
        <f>IFERROR(__xludf.DUMMYFUNCTION("""COMPUTED_VALUE"""),"Step Hero")</f>
        <v>Step Hero</v>
      </c>
    </row>
    <row r="11079">
      <c r="A11079" s="3" t="str">
        <f>IFERROR(__xludf.DUMMYFUNCTION("""COMPUTED_VALUE"""),"step-hero-soul")</f>
        <v>step-hero-soul</v>
      </c>
      <c r="B11079" s="3" t="str">
        <f>IFERROR(__xludf.DUMMYFUNCTION("""COMPUTED_VALUE"""),"step")</f>
        <v>step</v>
      </c>
      <c r="C11079" s="3" t="str">
        <f>IFERROR(__xludf.DUMMYFUNCTION("""COMPUTED_VALUE"""),"Step Hero Soul")</f>
        <v>Step Hero Soul</v>
      </c>
    </row>
    <row r="11080">
      <c r="A11080" s="3" t="str">
        <f>IFERROR(__xludf.DUMMYFUNCTION("""COMPUTED_VALUE"""),"stepn")</f>
        <v>stepn</v>
      </c>
      <c r="B11080" s="3" t="str">
        <f>IFERROR(__xludf.DUMMYFUNCTION("""COMPUTED_VALUE"""),"gmt")</f>
        <v>gmt</v>
      </c>
      <c r="C11080" s="3" t="str">
        <f>IFERROR(__xludf.DUMMYFUNCTION("""COMPUTED_VALUE"""),"STEPN")</f>
        <v>STEPN</v>
      </c>
    </row>
    <row r="11081">
      <c r="A11081" s="3" t="str">
        <f>IFERROR(__xludf.DUMMYFUNCTION("""COMPUTED_VALUE"""),"stepwatch")</f>
        <v>stepwatch</v>
      </c>
      <c r="B11081" s="3" t="str">
        <f>IFERROR(__xludf.DUMMYFUNCTION("""COMPUTED_VALUE"""),"swp")</f>
        <v>swp</v>
      </c>
      <c r="C11081" s="3" t="str">
        <f>IFERROR(__xludf.DUMMYFUNCTION("""COMPUTED_VALUE"""),"Stepwatch")</f>
        <v>Stepwatch</v>
      </c>
    </row>
    <row r="11082">
      <c r="A11082" s="3" t="str">
        <f>IFERROR(__xludf.DUMMYFUNCTION("""COMPUTED_VALUE"""),"stepwell")</f>
        <v>stepwell</v>
      </c>
      <c r="B11082" s="3" t="str">
        <f>IFERROR(__xludf.DUMMYFUNCTION("""COMPUTED_VALUE"""),"stw")</f>
        <v>stw</v>
      </c>
      <c r="C11082" s="3" t="str">
        <f>IFERROR(__xludf.DUMMYFUNCTION("""COMPUTED_VALUE"""),"StepWell")</f>
        <v>StepWell</v>
      </c>
    </row>
    <row r="11083">
      <c r="A11083" s="3" t="str">
        <f>IFERROR(__xludf.DUMMYFUNCTION("""COMPUTED_VALUE"""),"stfu-labs")</f>
        <v>stfu-labs</v>
      </c>
      <c r="B11083" s="3" t="str">
        <f>IFERROR(__xludf.DUMMYFUNCTION("""COMPUTED_VALUE"""),"stfu")</f>
        <v>stfu</v>
      </c>
      <c r="C11083" s="3" t="str">
        <f>IFERROR(__xludf.DUMMYFUNCTION("""COMPUTED_VALUE"""),"STFU Labs")</f>
        <v>STFU Labs</v>
      </c>
    </row>
    <row r="11084">
      <c r="A11084" s="3" t="str">
        <f>IFERROR(__xludf.DUMMYFUNCTION("""COMPUTED_VALUE"""),"stickman-battleground")</f>
        <v>stickman-battleground</v>
      </c>
      <c r="B11084" s="3" t="str">
        <f>IFERROR(__xludf.DUMMYFUNCTION("""COMPUTED_VALUE"""),"stman")</f>
        <v>stman</v>
      </c>
      <c r="C11084" s="3" t="str">
        <f>IFERROR(__xludf.DUMMYFUNCTION("""COMPUTED_VALUE"""),"Stickman Battleground")</f>
        <v>Stickman Battleground</v>
      </c>
    </row>
    <row r="11085">
      <c r="A11085" s="3" t="str">
        <f>IFERROR(__xludf.DUMMYFUNCTION("""COMPUTED_VALUE"""),"stilton")</f>
        <v>stilton</v>
      </c>
      <c r="B11085" s="3" t="str">
        <f>IFERROR(__xludf.DUMMYFUNCTION("""COMPUTED_VALUE"""),"stilt")</f>
        <v>stilt</v>
      </c>
      <c r="C11085" s="3" t="str">
        <f>IFERROR(__xludf.DUMMYFUNCTION("""COMPUTED_VALUE"""),"Stilton")</f>
        <v>Stilton</v>
      </c>
    </row>
    <row r="11086">
      <c r="A11086" s="3" t="str">
        <f>IFERROR(__xludf.DUMMYFUNCTION("""COMPUTED_VALUE"""),"stilton-musk")</f>
        <v>stilton-musk</v>
      </c>
      <c r="B11086" s="3" t="str">
        <f>IFERROR(__xludf.DUMMYFUNCTION("""COMPUTED_VALUE"""),"stilton")</f>
        <v>stilton</v>
      </c>
      <c r="C11086" s="3" t="str">
        <f>IFERROR(__xludf.DUMMYFUNCTION("""COMPUTED_VALUE"""),"Stilton Musk [OLD]")</f>
        <v>Stilton Musk [OLD]</v>
      </c>
    </row>
    <row r="11087">
      <c r="A11087" s="3" t="str">
        <f>IFERROR(__xludf.DUMMYFUNCTION("""COMPUTED_VALUE"""),"stima")</f>
        <v>stima</v>
      </c>
      <c r="B11087" s="3" t="str">
        <f>IFERROR(__xludf.DUMMYFUNCTION("""COMPUTED_VALUE"""),"stima")</f>
        <v>stima</v>
      </c>
      <c r="C11087" s="3" t="str">
        <f>IFERROR(__xludf.DUMMYFUNCTION("""COMPUTED_VALUE"""),"STIMA")</f>
        <v>STIMA</v>
      </c>
    </row>
    <row r="11088">
      <c r="A11088" s="3" t="str">
        <f>IFERROR(__xludf.DUMMYFUNCTION("""COMPUTED_VALUE"""),"stimmy")</f>
        <v>stimmy</v>
      </c>
      <c r="B11088" s="3" t="str">
        <f>IFERROR(__xludf.DUMMYFUNCTION("""COMPUTED_VALUE"""),"stimmy")</f>
        <v>stimmy</v>
      </c>
      <c r="C11088" s="3" t="str">
        <f>IFERROR(__xludf.DUMMYFUNCTION("""COMPUTED_VALUE"""),"$STIMMY")</f>
        <v>$STIMMY</v>
      </c>
    </row>
    <row r="11089">
      <c r="A11089" s="3" t="str">
        <f>IFERROR(__xludf.DUMMYFUNCTION("""COMPUTED_VALUE"""),"sting")</f>
        <v>sting</v>
      </c>
      <c r="B11089" s="3" t="str">
        <f>IFERROR(__xludf.DUMMYFUNCTION("""COMPUTED_VALUE"""),"stn")</f>
        <v>stn</v>
      </c>
      <c r="C11089" s="3" t="str">
        <f>IFERROR(__xludf.DUMMYFUNCTION("""COMPUTED_VALUE"""),"Sting")</f>
        <v>Sting</v>
      </c>
    </row>
    <row r="11090">
      <c r="A11090" s="3" t="str">
        <f>IFERROR(__xludf.DUMMYFUNCTION("""COMPUTED_VALUE"""),"stingdefi")</f>
        <v>stingdefi</v>
      </c>
      <c r="B11090" s="3" t="str">
        <f>IFERROR(__xludf.DUMMYFUNCTION("""COMPUTED_VALUE"""),"sdfi")</f>
        <v>sdfi</v>
      </c>
      <c r="C11090" s="3" t="str">
        <f>IFERROR(__xludf.DUMMYFUNCTION("""COMPUTED_VALUE"""),"StingDefi")</f>
        <v>StingDefi</v>
      </c>
    </row>
    <row r="11091">
      <c r="A11091" s="3" t="str">
        <f>IFERROR(__xludf.DUMMYFUNCTION("""COMPUTED_VALUE"""),"stipend")</f>
        <v>stipend</v>
      </c>
      <c r="B11091" s="3" t="str">
        <f>IFERROR(__xludf.DUMMYFUNCTION("""COMPUTED_VALUE"""),"spd")</f>
        <v>spd</v>
      </c>
      <c r="C11091" s="3" t="str">
        <f>IFERROR(__xludf.DUMMYFUNCTION("""COMPUTED_VALUE"""),"Stipend")</f>
        <v>Stipend</v>
      </c>
    </row>
    <row r="11092">
      <c r="A11092" s="3" t="str">
        <f>IFERROR(__xludf.DUMMYFUNCTION("""COMPUTED_VALUE"""),"stkd-scrt")</f>
        <v>stkd-scrt</v>
      </c>
      <c r="B11092" s="3" t="str">
        <f>IFERROR(__xludf.DUMMYFUNCTION("""COMPUTED_VALUE"""),"stkd")</f>
        <v>stkd</v>
      </c>
      <c r="C11092" s="3" t="str">
        <f>IFERROR(__xludf.DUMMYFUNCTION("""COMPUTED_VALUE"""),"Stkd SCRT")</f>
        <v>Stkd SCRT</v>
      </c>
    </row>
    <row r="11093">
      <c r="A11093" s="3" t="str">
        <f>IFERROR(__xludf.DUMMYFUNCTION("""COMPUTED_VALUE"""),"stobox-token")</f>
        <v>stobox-token</v>
      </c>
      <c r="B11093" s="3" t="str">
        <f>IFERROR(__xludf.DUMMYFUNCTION("""COMPUTED_VALUE"""),"stbu")</f>
        <v>stbu</v>
      </c>
      <c r="C11093" s="3" t="str">
        <f>IFERROR(__xludf.DUMMYFUNCTION("""COMPUTED_VALUE"""),"Stobox")</f>
        <v>Stobox</v>
      </c>
    </row>
    <row r="11094">
      <c r="A11094" s="3" t="str">
        <f>IFERROR(__xludf.DUMMYFUNCTION("""COMPUTED_VALUE"""),"ston")</f>
        <v>ston</v>
      </c>
      <c r="B11094" s="3" t="str">
        <f>IFERROR(__xludf.DUMMYFUNCTION("""COMPUTED_VALUE"""),"ston")</f>
        <v>ston</v>
      </c>
      <c r="C11094" s="3" t="str">
        <f>IFERROR(__xludf.DUMMYFUNCTION("""COMPUTED_VALUE"""),"Ston")</f>
        <v>Ston</v>
      </c>
    </row>
    <row r="11095">
      <c r="A11095" s="3" t="str">
        <f>IFERROR(__xludf.DUMMYFUNCTION("""COMPUTED_VALUE"""),"stoneage-nft")</f>
        <v>stoneage-nft</v>
      </c>
      <c r="B11095" s="3" t="str">
        <f>IFERROR(__xludf.DUMMYFUNCTION("""COMPUTED_VALUE"""),"ges")</f>
        <v>ges</v>
      </c>
      <c r="C11095" s="3" t="str">
        <f>IFERROR(__xludf.DUMMYFUNCTION("""COMPUTED_VALUE"""),"Stoneage NFT")</f>
        <v>Stoneage NFT</v>
      </c>
    </row>
    <row r="11096">
      <c r="A11096" s="3" t="str">
        <f>IFERROR(__xludf.DUMMYFUNCTION("""COMPUTED_VALUE"""),"stonedao")</f>
        <v>stonedao</v>
      </c>
      <c r="B11096" s="3" t="str">
        <f>IFERROR(__xludf.DUMMYFUNCTION("""COMPUTED_VALUE"""),"sdt")</f>
        <v>sdt</v>
      </c>
      <c r="C11096" s="3" t="str">
        <f>IFERROR(__xludf.DUMMYFUNCTION("""COMPUTED_VALUE"""),"StoneDAO")</f>
        <v>StoneDAO</v>
      </c>
    </row>
    <row r="11097">
      <c r="A11097" s="3" t="str">
        <f>IFERROR(__xludf.DUMMYFUNCTION("""COMPUTED_VALUE"""),"stoned-ape-crew-index")</f>
        <v>stoned-ape-crew-index</v>
      </c>
      <c r="B11097" s="3" t="str">
        <f>IFERROR(__xludf.DUMMYFUNCTION("""COMPUTED_VALUE"""),"sac")</f>
        <v>sac</v>
      </c>
      <c r="C11097" s="3" t="str">
        <f>IFERROR(__xludf.DUMMYFUNCTION("""COMPUTED_VALUE"""),"Stoned Ape Crew Index")</f>
        <v>Stoned Ape Crew Index</v>
      </c>
    </row>
    <row r="11098">
      <c r="A11098" s="3" t="str">
        <f>IFERROR(__xludf.DUMMYFUNCTION("""COMPUTED_VALUE"""),"stone-token")</f>
        <v>stone-token</v>
      </c>
      <c r="B11098" s="3" t="str">
        <f>IFERROR(__xludf.DUMMYFUNCTION("""COMPUTED_VALUE"""),"stn")</f>
        <v>stn</v>
      </c>
      <c r="C11098" s="3" t="str">
        <f>IFERROR(__xludf.DUMMYFUNCTION("""COMPUTED_VALUE"""),"Stone")</f>
        <v>Stone</v>
      </c>
    </row>
    <row r="11099">
      <c r="A11099" s="3" t="str">
        <f>IFERROR(__xludf.DUMMYFUNCTION("""COMPUTED_VALUE"""),"stonk")</f>
        <v>stonk</v>
      </c>
      <c r="B11099" s="3" t="str">
        <f>IFERROR(__xludf.DUMMYFUNCTION("""COMPUTED_VALUE"""),"stonk")</f>
        <v>stonk</v>
      </c>
      <c r="C11099" s="3" t="str">
        <f>IFERROR(__xludf.DUMMYFUNCTION("""COMPUTED_VALUE"""),"Stonk Swap")</f>
        <v>Stonk Swap</v>
      </c>
    </row>
    <row r="11100">
      <c r="A11100" s="3" t="str">
        <f>IFERROR(__xludf.DUMMYFUNCTION("""COMPUTED_VALUE"""),"stonk-2")</f>
        <v>stonk-2</v>
      </c>
      <c r="B11100" s="3" t="str">
        <f>IFERROR(__xludf.DUMMYFUNCTION("""COMPUTED_VALUE"""),"stonk")</f>
        <v>stonk</v>
      </c>
      <c r="C11100" s="3" t="str">
        <f>IFERROR(__xludf.DUMMYFUNCTION("""COMPUTED_VALUE"""),"Stonk")</f>
        <v>Stonk</v>
      </c>
    </row>
    <row r="11101">
      <c r="A11101" s="3" t="str">
        <f>IFERROR(__xludf.DUMMYFUNCTION("""COMPUTED_VALUE"""),"stonkleague")</f>
        <v>stonkleague</v>
      </c>
      <c r="B11101" s="3" t="str">
        <f>IFERROR(__xludf.DUMMYFUNCTION("""COMPUTED_VALUE"""),"aegis")</f>
        <v>aegis</v>
      </c>
      <c r="C11101" s="3" t="str">
        <f>IFERROR(__xludf.DUMMYFUNCTION("""COMPUTED_VALUE"""),"StonkLeague")</f>
        <v>StonkLeague</v>
      </c>
    </row>
    <row r="11102">
      <c r="A11102" s="3" t="str">
        <f>IFERROR(__xludf.DUMMYFUNCTION("""COMPUTED_VALUE"""),"stopelon")</f>
        <v>stopelon</v>
      </c>
      <c r="B11102" s="3" t="str">
        <f>IFERROR(__xludf.DUMMYFUNCTION("""COMPUTED_VALUE"""),"stopelon")</f>
        <v>stopelon</v>
      </c>
      <c r="C11102" s="3" t="str">
        <f>IFERROR(__xludf.DUMMYFUNCTION("""COMPUTED_VALUE"""),"StopElon")</f>
        <v>StopElon</v>
      </c>
    </row>
    <row r="11103">
      <c r="A11103" s="3" t="str">
        <f>IFERROR(__xludf.DUMMYFUNCTION("""COMPUTED_VALUE"""),"storage-area-network-anywhere")</f>
        <v>storage-area-network-anywhere</v>
      </c>
      <c r="B11103" s="3" t="str">
        <f>IFERROR(__xludf.DUMMYFUNCTION("""COMPUTED_VALUE"""),"sana")</f>
        <v>sana</v>
      </c>
      <c r="C11103" s="3" t="str">
        <f>IFERROR(__xludf.DUMMYFUNCTION("""COMPUTED_VALUE"""),"Storage Area Network Anywhere")</f>
        <v>Storage Area Network Anywhere</v>
      </c>
    </row>
    <row r="11104">
      <c r="A11104" s="3" t="str">
        <f>IFERROR(__xludf.DUMMYFUNCTION("""COMPUTED_VALUE"""),"storiqa")</f>
        <v>storiqa</v>
      </c>
      <c r="B11104" s="3" t="str">
        <f>IFERROR(__xludf.DUMMYFUNCTION("""COMPUTED_VALUE"""),"stq")</f>
        <v>stq</v>
      </c>
      <c r="C11104" s="3" t="str">
        <f>IFERROR(__xludf.DUMMYFUNCTION("""COMPUTED_VALUE"""),"Storiqa")</f>
        <v>Storiqa</v>
      </c>
    </row>
    <row r="11105">
      <c r="A11105" s="3" t="str">
        <f>IFERROR(__xludf.DUMMYFUNCTION("""COMPUTED_VALUE"""),"storj")</f>
        <v>storj</v>
      </c>
      <c r="B11105" s="3" t="str">
        <f>IFERROR(__xludf.DUMMYFUNCTION("""COMPUTED_VALUE"""),"storj")</f>
        <v>storj</v>
      </c>
      <c r="C11105" s="3" t="str">
        <f>IFERROR(__xludf.DUMMYFUNCTION("""COMPUTED_VALUE"""),"Storj")</f>
        <v>Storj</v>
      </c>
    </row>
    <row r="11106">
      <c r="A11106" s="3" t="str">
        <f>IFERROR(__xludf.DUMMYFUNCTION("""COMPUTED_VALUE"""),"storm")</f>
        <v>storm</v>
      </c>
      <c r="B11106" s="3" t="str">
        <f>IFERROR(__xludf.DUMMYFUNCTION("""COMPUTED_VALUE"""),"stmx")</f>
        <v>stmx</v>
      </c>
      <c r="C11106" s="3" t="str">
        <f>IFERROR(__xludf.DUMMYFUNCTION("""COMPUTED_VALUE"""),"StormX")</f>
        <v>StormX</v>
      </c>
    </row>
    <row r="11107">
      <c r="A11107" s="3" t="str">
        <f>IFERROR(__xludf.DUMMYFUNCTION("""COMPUTED_VALUE"""),"storm-bringer-token")</f>
        <v>storm-bringer-token</v>
      </c>
      <c r="B11107" s="3" t="str">
        <f>IFERROR(__xludf.DUMMYFUNCTION("""COMPUTED_VALUE"""),"stb")</f>
        <v>stb</v>
      </c>
      <c r="C11107" s="3" t="str">
        <f>IFERROR(__xludf.DUMMYFUNCTION("""COMPUTED_VALUE"""),"Storm Bringer")</f>
        <v>Storm Bringer</v>
      </c>
    </row>
    <row r="11108">
      <c r="A11108" s="3" t="str">
        <f>IFERROR(__xludf.DUMMYFUNCTION("""COMPUTED_VALUE"""),"storm-token")</f>
        <v>storm-token</v>
      </c>
      <c r="B11108" s="3" t="str">
        <f>IFERROR(__xludf.DUMMYFUNCTION("""COMPUTED_VALUE"""),"storm")</f>
        <v>storm</v>
      </c>
      <c r="C11108" s="3" t="str">
        <f>IFERROR(__xludf.DUMMYFUNCTION("""COMPUTED_VALUE"""),"Storm")</f>
        <v>Storm</v>
      </c>
    </row>
    <row r="11109">
      <c r="A11109" s="3" t="str">
        <f>IFERROR(__xludf.DUMMYFUNCTION("""COMPUTED_VALUE"""),"storx")</f>
        <v>storx</v>
      </c>
      <c r="B11109" s="3" t="str">
        <f>IFERROR(__xludf.DUMMYFUNCTION("""COMPUTED_VALUE"""),"srx")</f>
        <v>srx</v>
      </c>
      <c r="C11109" s="3" t="str">
        <f>IFERROR(__xludf.DUMMYFUNCTION("""COMPUTED_VALUE"""),"StorX")</f>
        <v>StorX</v>
      </c>
    </row>
    <row r="11110">
      <c r="A11110" s="3" t="str">
        <f>IFERROR(__xludf.DUMMYFUNCTION("""COMPUTED_VALUE"""),"story")</f>
        <v>story</v>
      </c>
      <c r="B11110" s="3" t="str">
        <f>IFERROR(__xludf.DUMMYFUNCTION("""COMPUTED_VALUE"""),"story")</f>
        <v>story</v>
      </c>
      <c r="C11110" s="3" t="str">
        <f>IFERROR(__xludf.DUMMYFUNCTION("""COMPUTED_VALUE"""),"Story")</f>
        <v>Story</v>
      </c>
    </row>
    <row r="11111">
      <c r="A11111" s="3" t="str">
        <f>IFERROR(__xludf.DUMMYFUNCTION("""COMPUTED_VALUE"""),"stox")</f>
        <v>stox</v>
      </c>
      <c r="B11111" s="3" t="str">
        <f>IFERROR(__xludf.DUMMYFUNCTION("""COMPUTED_VALUE"""),"stx")</f>
        <v>stx</v>
      </c>
      <c r="C11111" s="3" t="str">
        <f>IFERROR(__xludf.DUMMYFUNCTION("""COMPUTED_VALUE"""),"Stox")</f>
        <v>Stox</v>
      </c>
    </row>
    <row r="11112">
      <c r="A11112" s="3" t="str">
        <f>IFERROR(__xludf.DUMMYFUNCTION("""COMPUTED_VALUE"""),"stp-network")</f>
        <v>stp-network</v>
      </c>
      <c r="B11112" s="3" t="str">
        <f>IFERROR(__xludf.DUMMYFUNCTION("""COMPUTED_VALUE"""),"stpt")</f>
        <v>stpt</v>
      </c>
      <c r="C11112" s="3" t="str">
        <f>IFERROR(__xludf.DUMMYFUNCTION("""COMPUTED_VALUE"""),"STP")</f>
        <v>STP</v>
      </c>
    </row>
    <row r="11113">
      <c r="A11113" s="3" t="str">
        <f>IFERROR(__xludf.DUMMYFUNCTION("""COMPUTED_VALUE"""),"strains")</f>
        <v>strains</v>
      </c>
      <c r="B11113" s="3" t="str">
        <f>IFERROR(__xludf.DUMMYFUNCTION("""COMPUTED_VALUE"""),"sfn")</f>
        <v>sfn</v>
      </c>
      <c r="C11113" s="3" t="str">
        <f>IFERROR(__xludf.DUMMYFUNCTION("""COMPUTED_VALUE"""),"Strains")</f>
        <v>Strains</v>
      </c>
    </row>
    <row r="11114">
      <c r="A11114" s="3" t="str">
        <f>IFERROR(__xludf.DUMMYFUNCTION("""COMPUTED_VALUE"""),"straitsx-indonesia-rupiah")</f>
        <v>straitsx-indonesia-rupiah</v>
      </c>
      <c r="B11114" s="3" t="str">
        <f>IFERROR(__xludf.DUMMYFUNCTION("""COMPUTED_VALUE"""),"xidr")</f>
        <v>xidr</v>
      </c>
      <c r="C11114" s="3" t="str">
        <f>IFERROR(__xludf.DUMMYFUNCTION("""COMPUTED_VALUE"""),"XIDR")</f>
        <v>XIDR</v>
      </c>
    </row>
    <row r="11115">
      <c r="A11115" s="3" t="str">
        <f>IFERROR(__xludf.DUMMYFUNCTION("""COMPUTED_VALUE"""),"strategyx")</f>
        <v>strategyx</v>
      </c>
      <c r="B11115" s="3" t="str">
        <f>IFERROR(__xludf.DUMMYFUNCTION("""COMPUTED_VALUE"""),"stay")</f>
        <v>stay</v>
      </c>
      <c r="C11115" s="3" t="str">
        <f>IFERROR(__xludf.DUMMYFUNCTION("""COMPUTED_VALUE"""),"StrategyX")</f>
        <v>StrategyX</v>
      </c>
    </row>
    <row r="11116">
      <c r="A11116" s="3" t="str">
        <f>IFERROR(__xludf.DUMMYFUNCTION("""COMPUTED_VALUE"""),"stratis")</f>
        <v>stratis</v>
      </c>
      <c r="B11116" s="3" t="str">
        <f>IFERROR(__xludf.DUMMYFUNCTION("""COMPUTED_VALUE"""),"strax")</f>
        <v>strax</v>
      </c>
      <c r="C11116" s="3" t="str">
        <f>IFERROR(__xludf.DUMMYFUNCTION("""COMPUTED_VALUE"""),"Stratis")</f>
        <v>Stratis</v>
      </c>
    </row>
    <row r="11117">
      <c r="A11117" s="3" t="str">
        <f>IFERROR(__xludf.DUMMYFUNCTION("""COMPUTED_VALUE"""),"stratos")</f>
        <v>stratos</v>
      </c>
      <c r="B11117" s="3" t="str">
        <f>IFERROR(__xludf.DUMMYFUNCTION("""COMPUTED_VALUE"""),"stos")</f>
        <v>stos</v>
      </c>
      <c r="C11117" s="3" t="str">
        <f>IFERROR(__xludf.DUMMYFUNCTION("""COMPUTED_VALUE"""),"Stratos")</f>
        <v>Stratos</v>
      </c>
    </row>
    <row r="11118">
      <c r="A11118" s="3" t="str">
        <f>IFERROR(__xludf.DUMMYFUNCTION("""COMPUTED_VALUE"""),"strawberry-share")</f>
        <v>strawberry-share</v>
      </c>
      <c r="B11118" s="3" t="str">
        <f>IFERROR(__xludf.DUMMYFUNCTION("""COMPUTED_VALUE"""),"$straw")</f>
        <v>$straw</v>
      </c>
      <c r="C11118" s="3" t="str">
        <f>IFERROR(__xludf.DUMMYFUNCTION("""COMPUTED_VALUE"""),"Strawberry Share")</f>
        <v>Strawberry Share</v>
      </c>
    </row>
    <row r="11119">
      <c r="A11119" s="3" t="str">
        <f>IFERROR(__xludf.DUMMYFUNCTION("""COMPUTED_VALUE"""),"strayacoin")</f>
        <v>strayacoin</v>
      </c>
      <c r="B11119" s="3" t="str">
        <f>IFERROR(__xludf.DUMMYFUNCTION("""COMPUTED_VALUE"""),"nah")</f>
        <v>nah</v>
      </c>
      <c r="C11119" s="3" t="str">
        <f>IFERROR(__xludf.DUMMYFUNCTION("""COMPUTED_VALUE"""),"Strayacoin")</f>
        <v>Strayacoin</v>
      </c>
    </row>
    <row r="11120">
      <c r="A11120" s="3" t="str">
        <f>IFERROR(__xludf.DUMMYFUNCTION("""COMPUTED_VALUE"""),"streakk")</f>
        <v>streakk</v>
      </c>
      <c r="B11120" s="3" t="str">
        <f>IFERROR(__xludf.DUMMYFUNCTION("""COMPUTED_VALUE"""),"stkk")</f>
        <v>stkk</v>
      </c>
      <c r="C11120" s="3" t="str">
        <f>IFERROR(__xludf.DUMMYFUNCTION("""COMPUTED_VALUE"""),"Streakk")</f>
        <v>Streakk</v>
      </c>
    </row>
    <row r="11121">
      <c r="A11121" s="3" t="str">
        <f>IFERROR(__xludf.DUMMYFUNCTION("""COMPUTED_VALUE"""),"stream2earn")</f>
        <v>stream2earn</v>
      </c>
      <c r="B11121" s="3" t="str">
        <f>IFERROR(__xludf.DUMMYFUNCTION("""COMPUTED_VALUE"""),"streamn")</f>
        <v>streamn</v>
      </c>
      <c r="C11121" s="3" t="str">
        <f>IFERROR(__xludf.DUMMYFUNCTION("""COMPUTED_VALUE"""),"Stream2Earn")</f>
        <v>Stream2Earn</v>
      </c>
    </row>
    <row r="11122">
      <c r="A11122" s="3" t="str">
        <f>IFERROR(__xludf.DUMMYFUNCTION("""COMPUTED_VALUE"""),"streamcoin")</f>
        <v>streamcoin</v>
      </c>
      <c r="B11122" s="3" t="str">
        <f>IFERROR(__xludf.DUMMYFUNCTION("""COMPUTED_VALUE"""),"strm")</f>
        <v>strm</v>
      </c>
      <c r="C11122" s="3" t="str">
        <f>IFERROR(__xludf.DUMMYFUNCTION("""COMPUTED_VALUE"""),"StreamCoin")</f>
        <v>StreamCoin</v>
      </c>
    </row>
    <row r="11123">
      <c r="A11123" s="3" t="str">
        <f>IFERROR(__xludf.DUMMYFUNCTION("""COMPUTED_VALUE"""),"streamer-inu")</f>
        <v>streamer-inu</v>
      </c>
      <c r="B11123" s="3" t="str">
        <f>IFERROR(__xludf.DUMMYFUNCTION("""COMPUTED_VALUE"""),"streamerinu")</f>
        <v>streamerinu</v>
      </c>
      <c r="C11123" s="3" t="str">
        <f>IFERROR(__xludf.DUMMYFUNCTION("""COMPUTED_VALUE"""),"Streamer Inu")</f>
        <v>Streamer Inu</v>
      </c>
    </row>
    <row r="11124">
      <c r="A11124" s="3" t="str">
        <f>IFERROR(__xludf.DUMMYFUNCTION("""COMPUTED_VALUE"""),"stream-protocol")</f>
        <v>stream-protocol</v>
      </c>
      <c r="B11124" s="3" t="str">
        <f>IFERROR(__xludf.DUMMYFUNCTION("""COMPUTED_VALUE"""),"stpl")</f>
        <v>stpl</v>
      </c>
      <c r="C11124" s="3" t="str">
        <f>IFERROR(__xludf.DUMMYFUNCTION("""COMPUTED_VALUE"""),"Stream Protocol")</f>
        <v>Stream Protocol</v>
      </c>
    </row>
    <row r="11125">
      <c r="A11125" s="3" t="str">
        <f>IFERROR(__xludf.DUMMYFUNCTION("""COMPUTED_VALUE"""),"streamr")</f>
        <v>streamr</v>
      </c>
      <c r="B11125" s="3" t="str">
        <f>IFERROR(__xludf.DUMMYFUNCTION("""COMPUTED_VALUE"""),"data")</f>
        <v>data</v>
      </c>
      <c r="C11125" s="3" t="str">
        <f>IFERROR(__xludf.DUMMYFUNCTION("""COMPUTED_VALUE"""),"Streamr")</f>
        <v>Streamr</v>
      </c>
    </row>
    <row r="11126">
      <c r="A11126" s="3" t="str">
        <f>IFERROR(__xludf.DUMMYFUNCTION("""COMPUTED_VALUE"""),"streamr-xdata")</f>
        <v>streamr-xdata</v>
      </c>
      <c r="B11126" s="3" t="str">
        <f>IFERROR(__xludf.DUMMYFUNCTION("""COMPUTED_VALUE"""),"xdata")</f>
        <v>xdata</v>
      </c>
      <c r="C11126" s="3" t="str">
        <f>IFERROR(__xludf.DUMMYFUNCTION("""COMPUTED_VALUE"""),"Streamr XDATA")</f>
        <v>Streamr XDATA</v>
      </c>
    </row>
    <row r="11127">
      <c r="A11127" s="3" t="str">
        <f>IFERROR(__xludf.DUMMYFUNCTION("""COMPUTED_VALUE"""),"streeth")</f>
        <v>streeth</v>
      </c>
      <c r="B11127" s="3" t="str">
        <f>IFERROR(__xludf.DUMMYFUNCTION("""COMPUTED_VALUE"""),"streeth")</f>
        <v>streeth</v>
      </c>
      <c r="C11127" s="3" t="str">
        <f>IFERROR(__xludf.DUMMYFUNCTION("""COMPUTED_VALUE"""),"STREETH")</f>
        <v>STREETH</v>
      </c>
    </row>
    <row r="11128">
      <c r="A11128" s="3" t="str">
        <f>IFERROR(__xludf.DUMMYFUNCTION("""COMPUTED_VALUE"""),"street-runner")</f>
        <v>street-runner</v>
      </c>
      <c r="B11128" s="3" t="str">
        <f>IFERROR(__xludf.DUMMYFUNCTION("""COMPUTED_VALUE"""),"srg")</f>
        <v>srg</v>
      </c>
      <c r="C11128" s="3" t="str">
        <f>IFERROR(__xludf.DUMMYFUNCTION("""COMPUTED_VALUE"""),"Street Runner")</f>
        <v>Street Runner</v>
      </c>
    </row>
    <row r="11129">
      <c r="A11129" s="3" t="str">
        <f>IFERROR(__xludf.DUMMYFUNCTION("""COMPUTED_VALUE"""),"stretch-to-earn")</f>
        <v>stretch-to-earn</v>
      </c>
      <c r="B11129" s="3" t="str">
        <f>IFERROR(__xludf.DUMMYFUNCTION("""COMPUTED_VALUE"""),"ste")</f>
        <v>ste</v>
      </c>
      <c r="C11129" s="3" t="str">
        <f>IFERROR(__xludf.DUMMYFUNCTION("""COMPUTED_VALUE"""),"Stretch To Earn")</f>
        <v>Stretch To Earn</v>
      </c>
    </row>
    <row r="11130">
      <c r="A11130" s="3" t="str">
        <f>IFERROR(__xludf.DUMMYFUNCTION("""COMPUTED_VALUE"""),"stride")</f>
        <v>stride</v>
      </c>
      <c r="B11130" s="3" t="str">
        <f>IFERROR(__xludf.DUMMYFUNCTION("""COMPUTED_VALUE"""),"strd")</f>
        <v>strd</v>
      </c>
      <c r="C11130" s="3" t="str">
        <f>IFERROR(__xludf.DUMMYFUNCTION("""COMPUTED_VALUE"""),"Stride")</f>
        <v>Stride</v>
      </c>
    </row>
    <row r="11131">
      <c r="A11131" s="3" t="str">
        <f>IFERROR(__xludf.DUMMYFUNCTION("""COMPUTED_VALUE"""),"stride-staked-atom")</f>
        <v>stride-staked-atom</v>
      </c>
      <c r="B11131" s="3" t="str">
        <f>IFERROR(__xludf.DUMMYFUNCTION("""COMPUTED_VALUE"""),"statom")</f>
        <v>statom</v>
      </c>
      <c r="C11131" s="3" t="str">
        <f>IFERROR(__xludf.DUMMYFUNCTION("""COMPUTED_VALUE"""),"Stride Staked Atom")</f>
        <v>Stride Staked Atom</v>
      </c>
    </row>
    <row r="11132">
      <c r="A11132" s="3" t="str">
        <f>IFERROR(__xludf.DUMMYFUNCTION("""COMPUTED_VALUE"""),"strike")</f>
        <v>strike</v>
      </c>
      <c r="B11132" s="3" t="str">
        <f>IFERROR(__xludf.DUMMYFUNCTION("""COMPUTED_VALUE"""),"strk")</f>
        <v>strk</v>
      </c>
      <c r="C11132" s="3" t="str">
        <f>IFERROR(__xludf.DUMMYFUNCTION("""COMPUTED_VALUE"""),"Strike")</f>
        <v>Strike</v>
      </c>
    </row>
    <row r="11133">
      <c r="A11133" s="3" t="str">
        <f>IFERROR(__xludf.DUMMYFUNCTION("""COMPUTED_VALUE"""),"strikecoin")</f>
        <v>strikecoin</v>
      </c>
      <c r="B11133" s="3" t="str">
        <f>IFERROR(__xludf.DUMMYFUNCTION("""COMPUTED_VALUE"""),"strx")</f>
        <v>strx</v>
      </c>
      <c r="C11133" s="3" t="str">
        <f>IFERROR(__xludf.DUMMYFUNCTION("""COMPUTED_VALUE"""),"StrikeX")</f>
        <v>StrikeX</v>
      </c>
    </row>
    <row r="11134">
      <c r="A11134" s="3" t="str">
        <f>IFERROR(__xludf.DUMMYFUNCTION("""COMPUTED_VALUE"""),"stripcoin")</f>
        <v>stripcoin</v>
      </c>
      <c r="B11134" s="3" t="str">
        <f>IFERROR(__xludf.DUMMYFUNCTION("""COMPUTED_VALUE"""),"strip")</f>
        <v>strip</v>
      </c>
      <c r="C11134" s="3" t="str">
        <f>IFERROR(__xludf.DUMMYFUNCTION("""COMPUTED_VALUE"""),"StripCoin")</f>
        <v>StripCoin</v>
      </c>
    </row>
    <row r="11135">
      <c r="A11135" s="3" t="str">
        <f>IFERROR(__xludf.DUMMYFUNCTION("""COMPUTED_VALUE"""),"strip-finance")</f>
        <v>strip-finance</v>
      </c>
      <c r="B11135" s="3" t="str">
        <f>IFERROR(__xludf.DUMMYFUNCTION("""COMPUTED_VALUE"""),"strip")</f>
        <v>strip</v>
      </c>
      <c r="C11135" s="3" t="str">
        <f>IFERROR(__xludf.DUMMYFUNCTION("""COMPUTED_VALUE"""),"Strip Finance")</f>
        <v>Strip Finance</v>
      </c>
    </row>
    <row r="11136">
      <c r="A11136" s="3" t="str">
        <f>IFERROR(__xludf.DUMMYFUNCTION("""COMPUTED_VALUE"""),"strips-finance")</f>
        <v>strips-finance</v>
      </c>
      <c r="B11136" s="3" t="str">
        <f>IFERROR(__xludf.DUMMYFUNCTION("""COMPUTED_VALUE"""),"strp")</f>
        <v>strp</v>
      </c>
      <c r="C11136" s="3" t="str">
        <f>IFERROR(__xludf.DUMMYFUNCTION("""COMPUTED_VALUE"""),"Strips Finance")</f>
        <v>Strips Finance</v>
      </c>
    </row>
    <row r="11137">
      <c r="A11137" s="3" t="str">
        <f>IFERROR(__xludf.DUMMYFUNCTION("""COMPUTED_VALUE"""),"stripto")</f>
        <v>stripto</v>
      </c>
      <c r="B11137" s="3" t="str">
        <f>IFERROR(__xludf.DUMMYFUNCTION("""COMPUTED_VALUE"""),"strip")</f>
        <v>strip</v>
      </c>
      <c r="C11137" s="3" t="str">
        <f>IFERROR(__xludf.DUMMYFUNCTION("""COMPUTED_VALUE"""),"Stripto")</f>
        <v>Stripto</v>
      </c>
    </row>
    <row r="11138">
      <c r="A11138" s="3" t="str">
        <f>IFERROR(__xludf.DUMMYFUNCTION("""COMPUTED_VALUE"""),"strite")</f>
        <v>strite</v>
      </c>
      <c r="B11138" s="3" t="str">
        <f>IFERROR(__xludf.DUMMYFUNCTION("""COMPUTED_VALUE"""),"stri")</f>
        <v>stri</v>
      </c>
      <c r="C11138" s="3" t="str">
        <f>IFERROR(__xludf.DUMMYFUNCTION("""COMPUTED_VALUE"""),"Strite")</f>
        <v>Strite</v>
      </c>
    </row>
    <row r="11139">
      <c r="A11139" s="3" t="str">
        <f>IFERROR(__xludf.DUMMYFUNCTION("""COMPUTED_VALUE"""),"strong")</f>
        <v>strong</v>
      </c>
      <c r="B11139" s="3" t="str">
        <f>IFERROR(__xludf.DUMMYFUNCTION("""COMPUTED_VALUE"""),"strong")</f>
        <v>strong</v>
      </c>
      <c r="C11139" s="3" t="str">
        <f>IFERROR(__xludf.DUMMYFUNCTION("""COMPUTED_VALUE"""),"Strong")</f>
        <v>Strong</v>
      </c>
    </row>
    <row r="11140">
      <c r="A11140" s="3" t="str">
        <f>IFERROR(__xludf.DUMMYFUNCTION("""COMPUTED_VALUE"""),"stronger")</f>
        <v>stronger</v>
      </c>
      <c r="B11140" s="3" t="str">
        <f>IFERROR(__xludf.DUMMYFUNCTION("""COMPUTED_VALUE"""),"strngr")</f>
        <v>strngr</v>
      </c>
      <c r="C11140" s="3" t="str">
        <f>IFERROR(__xludf.DUMMYFUNCTION("""COMPUTED_VALUE"""),"Stronger")</f>
        <v>Stronger</v>
      </c>
    </row>
    <row r="11141">
      <c r="A11141" s="3" t="str">
        <f>IFERROR(__xludf.DUMMYFUNCTION("""COMPUTED_VALUE"""),"stronghands")</f>
        <v>stronghands</v>
      </c>
      <c r="B11141" s="3" t="str">
        <f>IFERROR(__xludf.DUMMYFUNCTION("""COMPUTED_VALUE"""),"shnd")</f>
        <v>shnd</v>
      </c>
      <c r="C11141" s="3" t="str">
        <f>IFERROR(__xludf.DUMMYFUNCTION("""COMPUTED_VALUE"""),"StrongHands")</f>
        <v>StrongHands</v>
      </c>
    </row>
    <row r="11142">
      <c r="A11142" s="3" t="str">
        <f>IFERROR(__xludf.DUMMYFUNCTION("""COMPUTED_VALUE"""),"stronghands-finance")</f>
        <v>stronghands-finance</v>
      </c>
      <c r="B11142" s="3" t="str">
        <f>IFERROR(__xludf.DUMMYFUNCTION("""COMPUTED_VALUE"""),"ishnd")</f>
        <v>ishnd</v>
      </c>
      <c r="C11142" s="3" t="str">
        <f>IFERROR(__xludf.DUMMYFUNCTION("""COMPUTED_VALUE"""),"StrongHands Finance")</f>
        <v>StrongHands Finance</v>
      </c>
    </row>
    <row r="11143">
      <c r="A11143" s="3" t="str">
        <f>IFERROR(__xludf.DUMMYFUNCTION("""COMPUTED_VALUE"""),"stronghands-masternode")</f>
        <v>stronghands-masternode</v>
      </c>
      <c r="B11143" s="3" t="str">
        <f>IFERROR(__xludf.DUMMYFUNCTION("""COMPUTED_VALUE"""),"shmn")</f>
        <v>shmn</v>
      </c>
      <c r="C11143" s="3" t="str">
        <f>IFERROR(__xludf.DUMMYFUNCTION("""COMPUTED_VALUE"""),"StrongHands Masternode")</f>
        <v>StrongHands Masternode</v>
      </c>
    </row>
    <row r="11144">
      <c r="A11144" s="3" t="str">
        <f>IFERROR(__xludf.DUMMYFUNCTION("""COMPUTED_VALUE"""),"stronghold-token")</f>
        <v>stronghold-token</v>
      </c>
      <c r="B11144" s="3" t="str">
        <f>IFERROR(__xludf.DUMMYFUNCTION("""COMPUTED_VALUE"""),"shx")</f>
        <v>shx</v>
      </c>
      <c r="C11144" s="3" t="str">
        <f>IFERROR(__xludf.DUMMYFUNCTION("""COMPUTED_VALUE"""),"Stronghold")</f>
        <v>Stronghold</v>
      </c>
    </row>
    <row r="11145">
      <c r="A11145" s="3" t="str">
        <f>IFERROR(__xludf.DUMMYFUNCTION("""COMPUTED_VALUE"""),"strongnode")</f>
        <v>strongnode</v>
      </c>
      <c r="B11145" s="3" t="str">
        <f>IFERROR(__xludf.DUMMYFUNCTION("""COMPUTED_VALUE"""),"sne")</f>
        <v>sne</v>
      </c>
      <c r="C11145" s="3" t="str">
        <f>IFERROR(__xludf.DUMMYFUNCTION("""COMPUTED_VALUE"""),"StrongNode")</f>
        <v>StrongNode</v>
      </c>
    </row>
    <row r="11146">
      <c r="A11146" s="3" t="str">
        <f>IFERROR(__xludf.DUMMYFUNCTION("""COMPUTED_VALUE"""),"structure-finance")</f>
        <v>structure-finance</v>
      </c>
      <c r="B11146" s="3" t="str">
        <f>IFERROR(__xludf.DUMMYFUNCTION("""COMPUTED_VALUE"""),"stf")</f>
        <v>stf</v>
      </c>
      <c r="C11146" s="3" t="str">
        <f>IFERROR(__xludf.DUMMYFUNCTION("""COMPUTED_VALUE"""),"Structure Finance")</f>
        <v>Structure Finance</v>
      </c>
    </row>
    <row r="11147">
      <c r="A11147" s="3" t="str">
        <f>IFERROR(__xludf.DUMMYFUNCTION("""COMPUTED_VALUE"""),"strudel-finance")</f>
        <v>strudel-finance</v>
      </c>
      <c r="B11147" s="3" t="str">
        <f>IFERROR(__xludf.DUMMYFUNCTION("""COMPUTED_VALUE"""),"trdl")</f>
        <v>trdl</v>
      </c>
      <c r="C11147" s="3" t="str">
        <f>IFERROR(__xludf.DUMMYFUNCTION("""COMPUTED_VALUE"""),"Strudel Finance")</f>
        <v>Strudel Finance</v>
      </c>
    </row>
    <row r="11148">
      <c r="A11148" s="3" t="str">
        <f>IFERROR(__xludf.DUMMYFUNCTION("""COMPUTED_VALUE"""),"student-coin")</f>
        <v>student-coin</v>
      </c>
      <c r="B11148" s="3" t="str">
        <f>IFERROR(__xludf.DUMMYFUNCTION("""COMPUTED_VALUE"""),"stc")</f>
        <v>stc</v>
      </c>
      <c r="C11148" s="3" t="str">
        <f>IFERROR(__xludf.DUMMYFUNCTION("""COMPUTED_VALUE"""),"Student Coin")</f>
        <v>Student Coin</v>
      </c>
    </row>
    <row r="11149">
      <c r="A11149" s="3" t="str">
        <f>IFERROR(__xludf.DUMMYFUNCTION("""COMPUTED_VALUE"""),"studyum")</f>
        <v>studyum</v>
      </c>
      <c r="B11149" s="3" t="str">
        <f>IFERROR(__xludf.DUMMYFUNCTION("""COMPUTED_VALUE"""),"stud")</f>
        <v>stud</v>
      </c>
      <c r="C11149" s="3" t="str">
        <f>IFERROR(__xludf.DUMMYFUNCTION("""COMPUTED_VALUE"""),"Studyum")</f>
        <v>Studyum</v>
      </c>
    </row>
    <row r="11150">
      <c r="A11150" s="3" t="str">
        <f>IFERROR(__xludf.DUMMYFUNCTION("""COMPUTED_VALUE"""),"style")</f>
        <v>style</v>
      </c>
      <c r="B11150" s="3" t="str">
        <f>IFERROR(__xludf.DUMMYFUNCTION("""COMPUTED_VALUE"""),"style")</f>
        <v>style</v>
      </c>
      <c r="C11150" s="3" t="str">
        <f>IFERROR(__xludf.DUMMYFUNCTION("""COMPUTED_VALUE"""),"Style")</f>
        <v>Style</v>
      </c>
    </row>
    <row r="11151">
      <c r="A11151" s="3" t="str">
        <f>IFERROR(__xludf.DUMMYFUNCTION("""COMPUTED_VALUE"""),"stylike-governance")</f>
        <v>stylike-governance</v>
      </c>
      <c r="B11151" s="3" t="str">
        <f>IFERROR(__xludf.DUMMYFUNCTION("""COMPUTED_VALUE"""),"styl")</f>
        <v>styl</v>
      </c>
      <c r="C11151" s="3" t="str">
        <f>IFERROR(__xludf.DUMMYFUNCTION("""COMPUTED_VALUE"""),"Stylike Governance")</f>
        <v>Stylike Governance</v>
      </c>
    </row>
    <row r="11152">
      <c r="A11152" s="3" t="str">
        <f>IFERROR(__xludf.DUMMYFUNCTION("""COMPUTED_VALUE"""),"subme")</f>
        <v>subme</v>
      </c>
      <c r="B11152" s="3" t="str">
        <f>IFERROR(__xludf.DUMMYFUNCTION("""COMPUTED_VALUE"""),"sub")</f>
        <v>sub</v>
      </c>
      <c r="C11152" s="3" t="str">
        <f>IFERROR(__xludf.DUMMYFUNCTION("""COMPUTED_VALUE"""),"Subme")</f>
        <v>Subme</v>
      </c>
    </row>
    <row r="11153">
      <c r="A11153" s="3" t="str">
        <f>IFERROR(__xludf.DUMMYFUNCTION("""COMPUTED_VALUE"""),"substratum")</f>
        <v>substratum</v>
      </c>
      <c r="B11153" s="3" t="str">
        <f>IFERROR(__xludf.DUMMYFUNCTION("""COMPUTED_VALUE"""),"sub")</f>
        <v>sub</v>
      </c>
      <c r="C11153" s="3" t="str">
        <f>IFERROR(__xludf.DUMMYFUNCTION("""COMPUTED_VALUE"""),"Substratum")</f>
        <v>Substratum</v>
      </c>
    </row>
    <row r="11154">
      <c r="A11154" s="3" t="str">
        <f>IFERROR(__xludf.DUMMYFUNCTION("""COMPUTED_VALUE"""),"success-inu")</f>
        <v>success-inu</v>
      </c>
      <c r="B11154" s="3" t="str">
        <f>IFERROR(__xludf.DUMMYFUNCTION("""COMPUTED_VALUE"""),"success")</f>
        <v>success</v>
      </c>
      <c r="C11154" s="3" t="str">
        <f>IFERROR(__xludf.DUMMYFUNCTION("""COMPUTED_VALUE"""),"SUCCESS INU")</f>
        <v>SUCCESS INU</v>
      </c>
    </row>
    <row r="11155">
      <c r="A11155" s="3" t="str">
        <f>IFERROR(__xludf.DUMMYFUNCTION("""COMPUTED_VALUE"""),"succession")</f>
        <v>succession</v>
      </c>
      <c r="B11155" s="3" t="str">
        <f>IFERROR(__xludf.DUMMYFUNCTION("""COMPUTED_VALUE"""),"sccn")</f>
        <v>sccn</v>
      </c>
      <c r="C11155" s="3" t="str">
        <f>IFERROR(__xludf.DUMMYFUNCTION("""COMPUTED_VALUE"""),"Succession")</f>
        <v>Succession</v>
      </c>
    </row>
    <row r="11156">
      <c r="A11156" s="3" t="str">
        <f>IFERROR(__xludf.DUMMYFUNCTION("""COMPUTED_VALUE"""),"successlife")</f>
        <v>successlife</v>
      </c>
      <c r="B11156" s="3" t="str">
        <f>IFERROR(__xludf.DUMMYFUNCTION("""COMPUTED_VALUE"""),"sxl")</f>
        <v>sxl</v>
      </c>
      <c r="C11156" s="3" t="str">
        <f>IFERROR(__xludf.DUMMYFUNCTION("""COMPUTED_VALUE"""),"Successlife")</f>
        <v>Successlife</v>
      </c>
    </row>
    <row r="11157">
      <c r="A11157" s="3" t="str">
        <f>IFERROR(__xludf.DUMMYFUNCTION("""COMPUTED_VALUE"""),"such-shiba")</f>
        <v>such-shiba</v>
      </c>
      <c r="B11157" s="3" t="str">
        <f>IFERROR(__xludf.DUMMYFUNCTION("""COMPUTED_VALUE"""),"such")</f>
        <v>such</v>
      </c>
      <c r="C11157" s="3" t="str">
        <f>IFERROR(__xludf.DUMMYFUNCTION("""COMPUTED_VALUE"""),"Such Shiba")</f>
        <v>Such Shiba</v>
      </c>
    </row>
    <row r="11158">
      <c r="A11158" s="3" t="str">
        <f>IFERROR(__xludf.DUMMYFUNCTION("""COMPUTED_VALUE"""),"sucrecoin")</f>
        <v>sucrecoin</v>
      </c>
      <c r="B11158" s="3" t="str">
        <f>IFERROR(__xludf.DUMMYFUNCTION("""COMPUTED_VALUE"""),"xsr")</f>
        <v>xsr</v>
      </c>
      <c r="C11158" s="3" t="str">
        <f>IFERROR(__xludf.DUMMYFUNCTION("""COMPUTED_VALUE"""),"Sucrecoin")</f>
        <v>Sucrecoin</v>
      </c>
    </row>
    <row r="11159">
      <c r="A11159" s="3" t="str">
        <f>IFERROR(__xludf.DUMMYFUNCTION("""COMPUTED_VALUE"""),"sudoswap")</f>
        <v>sudoswap</v>
      </c>
      <c r="B11159" s="3" t="str">
        <f>IFERROR(__xludf.DUMMYFUNCTION("""COMPUTED_VALUE"""),"sudo")</f>
        <v>sudo</v>
      </c>
      <c r="C11159" s="3" t="str">
        <f>IFERROR(__xludf.DUMMYFUNCTION("""COMPUTED_VALUE"""),"sudoswap")</f>
        <v>sudoswap</v>
      </c>
    </row>
    <row r="11160">
      <c r="A11160" s="3" t="str">
        <f>IFERROR(__xludf.DUMMYFUNCTION("""COMPUTED_VALUE"""),"sugarbounce")</f>
        <v>sugarbounce</v>
      </c>
      <c r="B11160" s="3" t="str">
        <f>IFERROR(__xludf.DUMMYFUNCTION("""COMPUTED_VALUE"""),"tip")</f>
        <v>tip</v>
      </c>
      <c r="C11160" s="3" t="str">
        <f>IFERROR(__xludf.DUMMYFUNCTION("""COMPUTED_VALUE"""),"SugarBounce")</f>
        <v>SugarBounce</v>
      </c>
    </row>
    <row r="11161">
      <c r="A11161" s="3" t="str">
        <f>IFERROR(__xludf.DUMMYFUNCTION("""COMPUTED_VALUE"""),"sugarchain")</f>
        <v>sugarchain</v>
      </c>
      <c r="B11161" s="3" t="str">
        <f>IFERROR(__xludf.DUMMYFUNCTION("""COMPUTED_VALUE"""),"sugar")</f>
        <v>sugar</v>
      </c>
      <c r="C11161" s="3" t="str">
        <f>IFERROR(__xludf.DUMMYFUNCTION("""COMPUTED_VALUE"""),"Sugarchain")</f>
        <v>Sugarchain</v>
      </c>
    </row>
    <row r="11162">
      <c r="A11162" s="3" t="str">
        <f>IFERROR(__xludf.DUMMYFUNCTION("""COMPUTED_VALUE"""),"sugar-kingdom")</f>
        <v>sugar-kingdom</v>
      </c>
      <c r="B11162" s="3" t="str">
        <f>IFERROR(__xludf.DUMMYFUNCTION("""COMPUTED_VALUE"""),"candy")</f>
        <v>candy</v>
      </c>
      <c r="C11162" s="3" t="str">
        <f>IFERROR(__xludf.DUMMYFUNCTION("""COMPUTED_VALUE"""),"Sugar Kingdom")</f>
        <v>Sugar Kingdom</v>
      </c>
    </row>
    <row r="11163">
      <c r="A11163" s="3" t="str">
        <f>IFERROR(__xludf.DUMMYFUNCTION("""COMPUTED_VALUE"""),"sui")</f>
        <v>sui</v>
      </c>
      <c r="B11163" s="3" t="str">
        <f>IFERROR(__xludf.DUMMYFUNCTION("""COMPUTED_VALUE"""),"sui")</f>
        <v>sui</v>
      </c>
      <c r="C11163" s="3" t="str">
        <f>IFERROR(__xludf.DUMMYFUNCTION("""COMPUTED_VALUE"""),"Sui")</f>
        <v>Sui</v>
      </c>
    </row>
    <row r="11164">
      <c r="A11164" s="3" t="str">
        <f>IFERROR(__xludf.DUMMYFUNCTION("""COMPUTED_VALUE"""),"sukhavati-network")</f>
        <v>sukhavati-network</v>
      </c>
      <c r="B11164" s="3" t="str">
        <f>IFERROR(__xludf.DUMMYFUNCTION("""COMPUTED_VALUE"""),"skt")</f>
        <v>skt</v>
      </c>
      <c r="C11164" s="3" t="str">
        <f>IFERROR(__xludf.DUMMYFUNCTION("""COMPUTED_VALUE"""),"Sukhavati Network")</f>
        <v>Sukhavati Network</v>
      </c>
    </row>
    <row r="11165">
      <c r="A11165" s="3" t="str">
        <f>IFERROR(__xludf.DUMMYFUNCTION("""COMPUTED_VALUE"""),"suku")</f>
        <v>suku</v>
      </c>
      <c r="B11165" s="3" t="str">
        <f>IFERROR(__xludf.DUMMYFUNCTION("""COMPUTED_VALUE"""),"suku")</f>
        <v>suku</v>
      </c>
      <c r="C11165" s="3" t="str">
        <f>IFERROR(__xludf.DUMMYFUNCTION("""COMPUTED_VALUE"""),"SUKU")</f>
        <v>SUKU</v>
      </c>
    </row>
    <row r="11166">
      <c r="A11166" s="3" t="str">
        <f>IFERROR(__xludf.DUMMYFUNCTION("""COMPUTED_VALUE"""),"summer")</f>
        <v>summer</v>
      </c>
      <c r="B11166" s="3" t="str">
        <f>IFERROR(__xludf.DUMMYFUNCTION("""COMPUTED_VALUE"""),"summer")</f>
        <v>summer</v>
      </c>
      <c r="C11166" s="3" t="str">
        <f>IFERROR(__xludf.DUMMYFUNCTION("""COMPUTED_VALUE"""),"Summer")</f>
        <v>Summer</v>
      </c>
    </row>
    <row r="11167">
      <c r="A11167" s="3" t="str">
        <f>IFERROR(__xludf.DUMMYFUNCTION("""COMPUTED_VALUE"""),"summoners-arena-essence")</f>
        <v>summoners-arena-essence</v>
      </c>
      <c r="B11167" s="3" t="str">
        <f>IFERROR(__xludf.DUMMYFUNCTION("""COMPUTED_VALUE"""),"sae")</f>
        <v>sae</v>
      </c>
      <c r="C11167" s="3" t="str">
        <f>IFERROR(__xludf.DUMMYFUNCTION("""COMPUTED_VALUE"""),"Summoners Arena Essence")</f>
        <v>Summoners Arena Essence</v>
      </c>
    </row>
    <row r="11168">
      <c r="A11168" s="3" t="str">
        <f>IFERROR(__xludf.DUMMYFUNCTION("""COMPUTED_VALUE"""),"sumokoin")</f>
        <v>sumokoin</v>
      </c>
      <c r="B11168" s="3" t="str">
        <f>IFERROR(__xludf.DUMMYFUNCTION("""COMPUTED_VALUE"""),"sumo")</f>
        <v>sumo</v>
      </c>
      <c r="C11168" s="3" t="str">
        <f>IFERROR(__xludf.DUMMYFUNCTION("""COMPUTED_VALUE"""),"Sumokoin")</f>
        <v>Sumokoin</v>
      </c>
    </row>
    <row r="11169">
      <c r="A11169" s="3" t="str">
        <f>IFERROR(__xludf.DUMMYFUNCTION("""COMPUTED_VALUE"""),"sumotex")</f>
        <v>sumotex</v>
      </c>
      <c r="B11169" s="3" t="str">
        <f>IFERROR(__xludf.DUMMYFUNCTION("""COMPUTED_VALUE"""),"smtx")</f>
        <v>smtx</v>
      </c>
      <c r="C11169" s="3" t="str">
        <f>IFERROR(__xludf.DUMMYFUNCTION("""COMPUTED_VALUE"""),"SUMOTEX")</f>
        <v>SUMOTEX</v>
      </c>
    </row>
    <row r="11170">
      <c r="A11170" s="3" t="str">
        <f>IFERROR(__xludf.DUMMYFUNCTION("""COMPUTED_VALUE"""),"sumswap")</f>
        <v>sumswap</v>
      </c>
      <c r="B11170" s="3" t="str">
        <f>IFERROR(__xludf.DUMMYFUNCTION("""COMPUTED_VALUE"""),"sum")</f>
        <v>sum</v>
      </c>
      <c r="C11170" s="3" t="str">
        <f>IFERROR(__xludf.DUMMYFUNCTION("""COMPUTED_VALUE"""),"SumSwap")</f>
        <v>SumSwap</v>
      </c>
    </row>
    <row r="11171">
      <c r="A11171" s="3" t="str">
        <f>IFERROR(__xludf.DUMMYFUNCTION("""COMPUTED_VALUE"""),"suncontract")</f>
        <v>suncontract</v>
      </c>
      <c r="B11171" s="3" t="str">
        <f>IFERROR(__xludf.DUMMYFUNCTION("""COMPUTED_VALUE"""),"snc")</f>
        <v>snc</v>
      </c>
      <c r="C11171" s="3" t="str">
        <f>IFERROR(__xludf.DUMMYFUNCTION("""COMPUTED_VALUE"""),"SunContract")</f>
        <v>SunContract</v>
      </c>
    </row>
    <row r="11172">
      <c r="A11172" s="3" t="str">
        <f>IFERROR(__xludf.DUMMYFUNCTION("""COMPUTED_VALUE"""),"sundaeswap")</f>
        <v>sundaeswap</v>
      </c>
      <c r="B11172" s="3" t="str">
        <f>IFERROR(__xludf.DUMMYFUNCTION("""COMPUTED_VALUE"""),"sundae")</f>
        <v>sundae</v>
      </c>
      <c r="C11172" s="3" t="str">
        <f>IFERROR(__xludf.DUMMYFUNCTION("""COMPUTED_VALUE"""),"SundaeSwap")</f>
        <v>SundaeSwap</v>
      </c>
    </row>
    <row r="11173">
      <c r="A11173" s="3" t="str">
        <f>IFERROR(__xludf.DUMMYFUNCTION("""COMPUTED_VALUE"""),"sunder-goverance-token")</f>
        <v>sunder-goverance-token</v>
      </c>
      <c r="B11173" s="3" t="str">
        <f>IFERROR(__xludf.DUMMYFUNCTION("""COMPUTED_VALUE"""),"sunder")</f>
        <v>sunder</v>
      </c>
      <c r="C11173" s="3" t="str">
        <f>IFERROR(__xludf.DUMMYFUNCTION("""COMPUTED_VALUE"""),"Sunder Goverance")</f>
        <v>Sunder Goverance</v>
      </c>
    </row>
    <row r="11174">
      <c r="A11174" s="3" t="str">
        <f>IFERROR(__xludf.DUMMYFUNCTION("""COMPUTED_VALUE"""),"suneku")</f>
        <v>suneku</v>
      </c>
      <c r="B11174" s="3" t="str">
        <f>IFERROR(__xludf.DUMMYFUNCTION("""COMPUTED_VALUE"""),"suneku")</f>
        <v>suneku</v>
      </c>
      <c r="C11174" s="3" t="str">
        <f>IFERROR(__xludf.DUMMYFUNCTION("""COMPUTED_VALUE"""),"Suneku")</f>
        <v>Suneku</v>
      </c>
    </row>
    <row r="11175">
      <c r="A11175" s="3" t="str">
        <f>IFERROR(__xludf.DUMMYFUNCTION("""COMPUTED_VALUE"""),"sunflower-finance")</f>
        <v>sunflower-finance</v>
      </c>
      <c r="B11175" s="3" t="str">
        <f>IFERROR(__xludf.DUMMYFUNCTION("""COMPUTED_VALUE"""),"sfo")</f>
        <v>sfo</v>
      </c>
      <c r="C11175" s="3" t="str">
        <f>IFERROR(__xludf.DUMMYFUNCTION("""COMPUTED_VALUE"""),"Sunflower Finance")</f>
        <v>Sunflower Finance</v>
      </c>
    </row>
    <row r="11176">
      <c r="A11176" s="3" t="str">
        <f>IFERROR(__xludf.DUMMYFUNCTION("""COMPUTED_VALUE"""),"sunflower-land")</f>
        <v>sunflower-land</v>
      </c>
      <c r="B11176" s="3" t="str">
        <f>IFERROR(__xludf.DUMMYFUNCTION("""COMPUTED_VALUE"""),"sfl")</f>
        <v>sfl</v>
      </c>
      <c r="C11176" s="3" t="str">
        <f>IFERROR(__xludf.DUMMYFUNCTION("""COMPUTED_VALUE"""),"Sunflower Land")</f>
        <v>Sunflower Land</v>
      </c>
    </row>
    <row r="11177">
      <c r="A11177" s="3" t="str">
        <f>IFERROR(__xludf.DUMMYFUNCTION("""COMPUTED_VALUE"""),"sunflower-token")</f>
        <v>sunflower-token</v>
      </c>
      <c r="B11177" s="3" t="str">
        <f>IFERROR(__xludf.DUMMYFUNCTION("""COMPUTED_VALUE"""),"stk")</f>
        <v>stk</v>
      </c>
      <c r="C11177" s="3" t="str">
        <f>IFERROR(__xludf.DUMMYFUNCTION("""COMPUTED_VALUE"""),"Sunflower Token")</f>
        <v>Sunflower Token</v>
      </c>
    </row>
    <row r="11178">
      <c r="A11178" s="3" t="str">
        <f>IFERROR(__xludf.DUMMYFUNCTION("""COMPUTED_VALUE"""),"sunny-aggregator")</f>
        <v>sunny-aggregator</v>
      </c>
      <c r="B11178" s="3" t="str">
        <f>IFERROR(__xludf.DUMMYFUNCTION("""COMPUTED_VALUE"""),"sunny")</f>
        <v>sunny</v>
      </c>
      <c r="C11178" s="3" t="str">
        <f>IFERROR(__xludf.DUMMYFUNCTION("""COMPUTED_VALUE"""),"Sunny Aggregator")</f>
        <v>Sunny Aggregator</v>
      </c>
    </row>
    <row r="11179">
      <c r="A11179" s="3" t="str">
        <f>IFERROR(__xludf.DUMMYFUNCTION("""COMPUTED_VALUE"""),"sunnysideup")</f>
        <v>sunnysideup</v>
      </c>
      <c r="B11179" s="3" t="str">
        <f>IFERROR(__xludf.DUMMYFUNCTION("""COMPUTED_VALUE"""),"ssu")</f>
        <v>ssu</v>
      </c>
      <c r="C11179" s="3" t="str">
        <f>IFERROR(__xludf.DUMMYFUNCTION("""COMPUTED_VALUE"""),"SunnySideUp")</f>
        <v>SunnySideUp</v>
      </c>
    </row>
    <row r="11180">
      <c r="A11180" s="3" t="str">
        <f>IFERROR(__xludf.DUMMYFUNCTION("""COMPUTED_VALUE"""),"sunrise")</f>
        <v>sunrise</v>
      </c>
      <c r="B11180" s="3" t="str">
        <f>IFERROR(__xludf.DUMMYFUNCTION("""COMPUTED_VALUE"""),"sunc")</f>
        <v>sunc</v>
      </c>
      <c r="C11180" s="3" t="str">
        <f>IFERROR(__xludf.DUMMYFUNCTION("""COMPUTED_VALUE"""),"Sunrise")</f>
        <v>Sunrise</v>
      </c>
    </row>
    <row r="11181">
      <c r="A11181" s="3" t="str">
        <f>IFERROR(__xludf.DUMMYFUNCTION("""COMPUTED_VALUE"""),"sun-token")</f>
        <v>sun-token</v>
      </c>
      <c r="B11181" s="3" t="str">
        <f>IFERROR(__xludf.DUMMYFUNCTION("""COMPUTED_VALUE"""),"sun")</f>
        <v>sun</v>
      </c>
      <c r="C11181" s="3" t="str">
        <f>IFERROR(__xludf.DUMMYFUNCTION("""COMPUTED_VALUE"""),"Sun Token")</f>
        <v>Sun Token</v>
      </c>
    </row>
    <row r="11182">
      <c r="A11182" s="3" t="str">
        <f>IFERROR(__xludf.DUMMYFUNCTION("""COMPUTED_VALUE"""),"supa-foundation")</f>
        <v>supa-foundation</v>
      </c>
      <c r="B11182" s="3" t="str">
        <f>IFERROR(__xludf.DUMMYFUNCTION("""COMPUTED_VALUE"""),"supa")</f>
        <v>supa</v>
      </c>
      <c r="C11182" s="3" t="str">
        <f>IFERROR(__xludf.DUMMYFUNCTION("""COMPUTED_VALUE"""),"SUPA Foundation")</f>
        <v>SUPA Foundation</v>
      </c>
    </row>
    <row r="11183">
      <c r="A11183" s="3" t="str">
        <f>IFERROR(__xludf.DUMMYFUNCTION("""COMPUTED_VALUE"""),"supe-infinity")</f>
        <v>supe-infinity</v>
      </c>
      <c r="B11183" s="3" t="str">
        <f>IFERROR(__xludf.DUMMYFUNCTION("""COMPUTED_VALUE"""),"supe")</f>
        <v>supe</v>
      </c>
      <c r="C11183" s="3" t="str">
        <f>IFERROR(__xludf.DUMMYFUNCTION("""COMPUTED_VALUE"""),"Supe Infinity")</f>
        <v>Supe Infinity</v>
      </c>
    </row>
    <row r="11184">
      <c r="A11184" s="3" t="str">
        <f>IFERROR(__xludf.DUMMYFUNCTION("""COMPUTED_VALUE"""),"super8")</f>
        <v>super8</v>
      </c>
      <c r="B11184" s="3" t="str">
        <f>IFERROR(__xludf.DUMMYFUNCTION("""COMPUTED_VALUE"""),"s8")</f>
        <v>s8</v>
      </c>
      <c r="C11184" s="3" t="str">
        <f>IFERROR(__xludf.DUMMYFUNCTION("""COMPUTED_VALUE"""),"Super8")</f>
        <v>Super8</v>
      </c>
    </row>
    <row r="11185">
      <c r="A11185" s="3" t="str">
        <f>IFERROR(__xludf.DUMMYFUNCTION("""COMPUTED_VALUE"""),"super-athletes-token")</f>
        <v>super-athletes-token</v>
      </c>
      <c r="B11185" s="3" t="str">
        <f>IFERROR(__xludf.DUMMYFUNCTION("""COMPUTED_VALUE"""),"sat")</f>
        <v>sat</v>
      </c>
      <c r="C11185" s="3" t="str">
        <f>IFERROR(__xludf.DUMMYFUNCTION("""COMPUTED_VALUE"""),"Super Athletes Token")</f>
        <v>Super Athletes Token</v>
      </c>
    </row>
    <row r="11186">
      <c r="A11186" s="3" t="str">
        <f>IFERROR(__xludf.DUMMYFUNCTION("""COMPUTED_VALUE"""),"superbid")</f>
        <v>superbid</v>
      </c>
      <c r="B11186" s="3" t="str">
        <f>IFERROR(__xludf.DUMMYFUNCTION("""COMPUTED_VALUE"""),"superbid")</f>
        <v>superbid</v>
      </c>
      <c r="C11186" s="3" t="str">
        <f>IFERROR(__xludf.DUMMYFUNCTION("""COMPUTED_VALUE"""),"SuperBid")</f>
        <v>SuperBid</v>
      </c>
    </row>
    <row r="11187">
      <c r="A11187" s="3" t="str">
        <f>IFERROR(__xludf.DUMMYFUNCTION("""COMPUTED_VALUE"""),"superbonds")</f>
        <v>superbonds</v>
      </c>
      <c r="B11187" s="3" t="str">
        <f>IFERROR(__xludf.DUMMYFUNCTION("""COMPUTED_VALUE"""),"sb")</f>
        <v>sb</v>
      </c>
      <c r="C11187" s="3" t="str">
        <f>IFERROR(__xludf.DUMMYFUNCTION("""COMPUTED_VALUE"""),"SuperBonds")</f>
        <v>SuperBonds</v>
      </c>
    </row>
    <row r="11188">
      <c r="A11188" s="3" t="str">
        <f>IFERROR(__xludf.DUMMYFUNCTION("""COMPUTED_VALUE"""),"supercars")</f>
        <v>supercars</v>
      </c>
      <c r="B11188" s="3" t="str">
        <f>IFERROR(__xludf.DUMMYFUNCTION("""COMPUTED_VALUE"""),"car")</f>
        <v>car</v>
      </c>
      <c r="C11188" s="3" t="str">
        <f>IFERROR(__xludf.DUMMYFUNCTION("""COMPUTED_VALUE"""),"Supercars")</f>
        <v>Supercars</v>
      </c>
    </row>
    <row r="11189">
      <c r="A11189" s="3" t="str">
        <f>IFERROR(__xludf.DUMMYFUNCTION("""COMPUTED_VALUE"""),"supercats")</f>
        <v>supercats</v>
      </c>
      <c r="B11189" s="3" t="str">
        <f>IFERROR(__xludf.DUMMYFUNCTION("""COMPUTED_VALUE"""),"s-cats")</f>
        <v>s-cats</v>
      </c>
      <c r="C11189" s="3" t="str">
        <f>IFERROR(__xludf.DUMMYFUNCTION("""COMPUTED_VALUE"""),"SUPERCATS")</f>
        <v>SUPERCATS</v>
      </c>
    </row>
    <row r="11190">
      <c r="A11190" s="3" t="str">
        <f>IFERROR(__xludf.DUMMYFUNCTION("""COMPUTED_VALUE"""),"superciety")</f>
        <v>superciety</v>
      </c>
      <c r="B11190" s="3" t="str">
        <f>IFERROR(__xludf.DUMMYFUNCTION("""COMPUTED_VALUE"""),"super")</f>
        <v>super</v>
      </c>
      <c r="C11190" s="3" t="str">
        <f>IFERROR(__xludf.DUMMYFUNCTION("""COMPUTED_VALUE"""),"Superciety")</f>
        <v>Superciety</v>
      </c>
    </row>
    <row r="11191">
      <c r="A11191" s="3" t="str">
        <f>IFERROR(__xludf.DUMMYFUNCTION("""COMPUTED_VALUE"""),"supercoin")</f>
        <v>supercoin</v>
      </c>
      <c r="B11191" s="3" t="str">
        <f>IFERROR(__xludf.DUMMYFUNCTION("""COMPUTED_VALUE"""),"super")</f>
        <v>super</v>
      </c>
      <c r="C11191" s="3" t="str">
        <f>IFERROR(__xludf.DUMMYFUNCTION("""COMPUTED_VALUE"""),"SuperCoin")</f>
        <v>SuperCoin</v>
      </c>
    </row>
    <row r="11192">
      <c r="A11192" s="3" t="str">
        <f>IFERROR(__xludf.DUMMYFUNCTION("""COMPUTED_VALUE"""),"super-coinview-token")</f>
        <v>super-coinview-token</v>
      </c>
      <c r="B11192" s="3" t="str">
        <f>IFERROR(__xludf.DUMMYFUNCTION("""COMPUTED_VALUE"""),"scv")</f>
        <v>scv</v>
      </c>
      <c r="C11192" s="3" t="str">
        <f>IFERROR(__xludf.DUMMYFUNCTION("""COMPUTED_VALUE"""),"Super CoinView")</f>
        <v>Super CoinView</v>
      </c>
    </row>
    <row r="11193">
      <c r="A11193" s="3" t="str">
        <f>IFERROR(__xludf.DUMMYFUNCTION("""COMPUTED_VALUE"""),"superdoge")</f>
        <v>superdoge</v>
      </c>
      <c r="B11193" s="3" t="str">
        <f>IFERROR(__xludf.DUMMYFUNCTION("""COMPUTED_VALUE"""),"supdog")</f>
        <v>supdog</v>
      </c>
      <c r="C11193" s="3" t="str">
        <f>IFERROR(__xludf.DUMMYFUNCTION("""COMPUTED_VALUE"""),"SuperDoge")</f>
        <v>SuperDoge</v>
      </c>
    </row>
    <row r="11194">
      <c r="A11194" s="3" t="str">
        <f>IFERROR(__xludf.DUMMYFUNCTION("""COMPUTED_VALUE"""),"superfarm")</f>
        <v>superfarm</v>
      </c>
      <c r="B11194" s="3" t="str">
        <f>IFERROR(__xludf.DUMMYFUNCTION("""COMPUTED_VALUE"""),"super")</f>
        <v>super</v>
      </c>
      <c r="C11194" s="3" t="str">
        <f>IFERROR(__xludf.DUMMYFUNCTION("""COMPUTED_VALUE"""),"SuperFarm")</f>
        <v>SuperFarm</v>
      </c>
    </row>
    <row r="11195">
      <c r="A11195" s="3" t="str">
        <f>IFERROR(__xludf.DUMMYFUNCTION("""COMPUTED_VALUE"""),"super-hero")</f>
        <v>super-hero</v>
      </c>
      <c r="B11195" s="3" t="str">
        <f>IFERROR(__xludf.DUMMYFUNCTION("""COMPUTED_VALUE"""),"sh")</f>
        <v>sh</v>
      </c>
      <c r="C11195" s="3" t="str">
        <f>IFERROR(__xludf.DUMMYFUNCTION("""COMPUTED_VALUE"""),"Super Hero")</f>
        <v>Super Hero</v>
      </c>
    </row>
    <row r="11196">
      <c r="A11196" s="3" t="str">
        <f>IFERROR(__xludf.DUMMYFUNCTION("""COMPUTED_VALUE"""),"superinu")</f>
        <v>superinu</v>
      </c>
      <c r="B11196" s="3" t="str">
        <f>IFERROR(__xludf.DUMMYFUNCTION("""COMPUTED_VALUE"""),"sinu")</f>
        <v>sinu</v>
      </c>
      <c r="C11196" s="3" t="str">
        <f>IFERROR(__xludf.DUMMYFUNCTION("""COMPUTED_VALUE"""),"SuperInu")</f>
        <v>SuperInu</v>
      </c>
    </row>
    <row r="11197">
      <c r="A11197" s="3" t="str">
        <f>IFERROR(__xludf.DUMMYFUNCTION("""COMPUTED_VALUE"""),"superlauncher-dao")</f>
        <v>superlauncher-dao</v>
      </c>
      <c r="B11197" s="3" t="str">
        <f>IFERROR(__xludf.DUMMYFUNCTION("""COMPUTED_VALUE"""),"launch")</f>
        <v>launch</v>
      </c>
      <c r="C11197" s="3" t="str">
        <f>IFERROR(__xludf.DUMMYFUNCTION("""COMPUTED_VALUE"""),"Superlauncher")</f>
        <v>Superlauncher</v>
      </c>
    </row>
    <row r="11198">
      <c r="A11198" s="3" t="str">
        <f>IFERROR(__xludf.DUMMYFUNCTION("""COMPUTED_VALUE"""),"supermegahyperdoge")</f>
        <v>supermegahyperdoge</v>
      </c>
      <c r="B11198" s="3" t="str">
        <f>IFERROR(__xludf.DUMMYFUNCTION("""COMPUTED_VALUE"""),"smhdoge")</f>
        <v>smhdoge</v>
      </c>
      <c r="C11198" s="3" t="str">
        <f>IFERROR(__xludf.DUMMYFUNCTION("""COMPUTED_VALUE"""),"SuperMegaHyperDoge")</f>
        <v>SuperMegaHyperDoge</v>
      </c>
    </row>
    <row r="11199">
      <c r="A11199" s="3" t="str">
        <f>IFERROR(__xludf.DUMMYFUNCTION("""COMPUTED_VALUE"""),"supernova")</f>
        <v>supernova</v>
      </c>
      <c r="B11199" s="3" t="str">
        <f>IFERROR(__xludf.DUMMYFUNCTION("""COMPUTED_VALUE"""),"snt")</f>
        <v>snt</v>
      </c>
      <c r="C11199" s="3" t="str">
        <f>IFERROR(__xludf.DUMMYFUNCTION("""COMPUTED_VALUE"""),"Supernova")</f>
        <v>Supernova</v>
      </c>
    </row>
    <row r="11200">
      <c r="A11200" s="3" t="str">
        <f>IFERROR(__xludf.DUMMYFUNCTION("""COMPUTED_VALUE"""),"superpower-squad")</f>
        <v>superpower-squad</v>
      </c>
      <c r="B11200" s="3" t="str">
        <f>IFERROR(__xludf.DUMMYFUNCTION("""COMPUTED_VALUE"""),"$squad")</f>
        <v>$squad</v>
      </c>
      <c r="C11200" s="3" t="str">
        <f>IFERROR(__xludf.DUMMYFUNCTION("""COMPUTED_VALUE"""),"Superpower Squad")</f>
        <v>Superpower Squad</v>
      </c>
    </row>
    <row r="11201">
      <c r="A11201" s="3" t="str">
        <f>IFERROR(__xludf.DUMMYFUNCTION("""COMPUTED_VALUE"""),"super-protocol-token")</f>
        <v>super-protocol-token</v>
      </c>
      <c r="B11201" s="3" t="str">
        <f>IFERROR(__xludf.DUMMYFUNCTION("""COMPUTED_VALUE"""),"tee")</f>
        <v>tee</v>
      </c>
      <c r="C11201" s="3" t="str">
        <f>IFERROR(__xludf.DUMMYFUNCTION("""COMPUTED_VALUE"""),"Super Protocol Token")</f>
        <v>Super Protocol Token</v>
      </c>
    </row>
    <row r="11202">
      <c r="A11202" s="3" t="str">
        <f>IFERROR(__xludf.DUMMYFUNCTION("""COMPUTED_VALUE"""),"superrare")</f>
        <v>superrare</v>
      </c>
      <c r="B11202" s="3" t="str">
        <f>IFERROR(__xludf.DUMMYFUNCTION("""COMPUTED_VALUE"""),"rare")</f>
        <v>rare</v>
      </c>
      <c r="C11202" s="3" t="str">
        <f>IFERROR(__xludf.DUMMYFUNCTION("""COMPUTED_VALUE"""),"SuperRare")</f>
        <v>SuperRare</v>
      </c>
    </row>
    <row r="11203">
      <c r="A11203" s="3" t="str">
        <f>IFERROR(__xludf.DUMMYFUNCTION("""COMPUTED_VALUE"""),"super-rare-ball-shares")</f>
        <v>super-rare-ball-shares</v>
      </c>
      <c r="B11203" s="3" t="str">
        <f>IFERROR(__xludf.DUMMYFUNCTION("""COMPUTED_VALUE"""),"srbp")</f>
        <v>srbp</v>
      </c>
      <c r="C11203" s="3" t="str">
        <f>IFERROR(__xludf.DUMMYFUNCTION("""COMPUTED_VALUE"""),"Super Rare Ball Potion")</f>
        <v>Super Rare Ball Potion</v>
      </c>
    </row>
    <row r="11204">
      <c r="A11204" s="3" t="str">
        <f>IFERROR(__xludf.DUMMYFUNCTION("""COMPUTED_VALUE"""),"super-shiba")</f>
        <v>super-shiba</v>
      </c>
      <c r="B11204" s="3" t="str">
        <f>IFERROR(__xludf.DUMMYFUNCTION("""COMPUTED_VALUE"""),"$sshiba")</f>
        <v>$sshiba</v>
      </c>
      <c r="C11204" s="3" t="str">
        <f>IFERROR(__xludf.DUMMYFUNCTION("""COMPUTED_VALUE"""),"Super Shiba")</f>
        <v>Super Shiba</v>
      </c>
    </row>
    <row r="11205">
      <c r="A11205" s="3" t="str">
        <f>IFERROR(__xludf.DUMMYFUNCTION("""COMPUTED_VALUE"""),"superskynet")</f>
        <v>superskynet</v>
      </c>
      <c r="B11205" s="3" t="str">
        <f>IFERROR(__xludf.DUMMYFUNCTION("""COMPUTED_VALUE"""),"ssn")</f>
        <v>ssn</v>
      </c>
      <c r="C11205" s="3" t="str">
        <f>IFERROR(__xludf.DUMMYFUNCTION("""COMPUTED_VALUE"""),"SuperSkyNet")</f>
        <v>SuperSkyNet</v>
      </c>
    </row>
    <row r="11206">
      <c r="A11206" s="3" t="str">
        <f>IFERROR(__xludf.DUMMYFUNCTION("""COMPUTED_VALUE"""),"superstep")</f>
        <v>superstep</v>
      </c>
      <c r="B11206" s="3" t="str">
        <f>IFERROR(__xludf.DUMMYFUNCTION("""COMPUTED_VALUE"""),"sgmt")</f>
        <v>sgmt</v>
      </c>
      <c r="C11206" s="3" t="str">
        <f>IFERROR(__xludf.DUMMYFUNCTION("""COMPUTED_VALUE"""),"SuperStep")</f>
        <v>SuperStep</v>
      </c>
    </row>
    <row r="11207">
      <c r="A11207" s="3" t="str">
        <f>IFERROR(__xludf.DUMMYFUNCTION("""COMPUTED_VALUE"""),"super-three-kingdoms")</f>
        <v>super-three-kingdoms</v>
      </c>
      <c r="B11207" s="3" t="str">
        <f>IFERROR(__xludf.DUMMYFUNCTION("""COMPUTED_VALUE"""),"stk")</f>
        <v>stk</v>
      </c>
      <c r="C11207" s="3" t="str">
        <f>IFERROR(__xludf.DUMMYFUNCTION("""COMPUTED_VALUE"""),"Super Three Kingdoms")</f>
        <v>Super Three Kingdoms</v>
      </c>
    </row>
    <row r="11208">
      <c r="A11208" s="3" t="str">
        <f>IFERROR(__xludf.DUMMYFUNCTION("""COMPUTED_VALUE"""),"supertx-governance-token")</f>
        <v>supertx-governance-token</v>
      </c>
      <c r="B11208" s="3" t="str">
        <f>IFERROR(__xludf.DUMMYFUNCTION("""COMPUTED_VALUE"""),"sup")</f>
        <v>sup</v>
      </c>
      <c r="C11208" s="3" t="str">
        <f>IFERROR(__xludf.DUMMYFUNCTION("""COMPUTED_VALUE"""),"SuperTx Governance")</f>
        <v>SuperTx Governance</v>
      </c>
    </row>
    <row r="11209">
      <c r="A11209" s="3" t="str">
        <f>IFERROR(__xludf.DUMMYFUNCTION("""COMPUTED_VALUE"""),"superwalk")</f>
        <v>superwalk</v>
      </c>
      <c r="B11209" s="3" t="str">
        <f>IFERROR(__xludf.DUMMYFUNCTION("""COMPUTED_VALUE"""),"grnd")</f>
        <v>grnd</v>
      </c>
      <c r="C11209" s="3" t="str">
        <f>IFERROR(__xludf.DUMMYFUNCTION("""COMPUTED_VALUE"""),"SuperWalk")</f>
        <v>SuperWalk</v>
      </c>
    </row>
    <row r="11210">
      <c r="A11210" s="3" t="str">
        <f>IFERROR(__xludf.DUMMYFUNCTION("""COMPUTED_VALUE"""),"super-whale-dao")</f>
        <v>super-whale-dao</v>
      </c>
      <c r="B11210" s="3" t="str">
        <f>IFERROR(__xludf.DUMMYFUNCTION("""COMPUTED_VALUE"""),"swdao")</f>
        <v>swdao</v>
      </c>
      <c r="C11210" s="3" t="str">
        <f>IFERROR(__xludf.DUMMYFUNCTION("""COMPUTED_VALUE"""),"Super Whale DAO")</f>
        <v>Super Whale DAO</v>
      </c>
    </row>
    <row r="11211">
      <c r="A11211" s="3" t="str">
        <f>IFERROR(__xludf.DUMMYFUNCTION("""COMPUTED_VALUE"""),"super-zero")</f>
        <v>super-zero</v>
      </c>
      <c r="B11211" s="3" t="str">
        <f>IFERROR(__xludf.DUMMYFUNCTION("""COMPUTED_VALUE"""),"sero")</f>
        <v>sero</v>
      </c>
      <c r="C11211" s="3" t="str">
        <f>IFERROR(__xludf.DUMMYFUNCTION("""COMPUTED_VALUE"""),"SERO")</f>
        <v>SERO</v>
      </c>
    </row>
    <row r="11212">
      <c r="A11212" s="3" t="str">
        <f>IFERROR(__xludf.DUMMYFUNCTION("""COMPUTED_VALUE"""),"supplycon")</f>
        <v>supplycon</v>
      </c>
      <c r="B11212" s="3" t="str">
        <f>IFERROR(__xludf.DUMMYFUNCTION("""COMPUTED_VALUE"""),"splc")</f>
        <v>splc</v>
      </c>
      <c r="C11212" s="3" t="str">
        <f>IFERROR(__xludf.DUMMYFUNCTION("""COMPUTED_VALUE"""),"SupplyCon")</f>
        <v>SupplyCon</v>
      </c>
    </row>
    <row r="11213">
      <c r="A11213" s="3" t="str">
        <f>IFERROR(__xludf.DUMMYFUNCTION("""COMPUTED_VALUE"""),"support-doge")</f>
        <v>support-doge</v>
      </c>
      <c r="B11213" s="3" t="str">
        <f>IFERROR(__xludf.DUMMYFUNCTION("""COMPUTED_VALUE"""),"supd")</f>
        <v>supd</v>
      </c>
      <c r="C11213" s="3" t="str">
        <f>IFERROR(__xludf.DUMMYFUNCTION("""COMPUTED_VALUE"""),"Support Doge")</f>
        <v>Support Doge</v>
      </c>
    </row>
    <row r="11214">
      <c r="A11214" s="3" t="str">
        <f>IFERROR(__xludf.DUMMYFUNCTION("""COMPUTED_VALUE"""),"supremacy")</f>
        <v>supremacy</v>
      </c>
      <c r="B11214" s="3" t="str">
        <f>IFERROR(__xludf.DUMMYFUNCTION("""COMPUTED_VALUE"""),"sups")</f>
        <v>sups</v>
      </c>
      <c r="C11214" s="3" t="str">
        <f>IFERROR(__xludf.DUMMYFUNCTION("""COMPUTED_VALUE"""),"Supremacy")</f>
        <v>Supremacy</v>
      </c>
    </row>
    <row r="11215">
      <c r="A11215" s="3" t="str">
        <f>IFERROR(__xludf.DUMMYFUNCTION("""COMPUTED_VALUE"""),"supreme-finance")</f>
        <v>supreme-finance</v>
      </c>
      <c r="B11215" s="3" t="str">
        <f>IFERROR(__xludf.DUMMYFUNCTION("""COMPUTED_VALUE"""),"hype")</f>
        <v>hype</v>
      </c>
      <c r="C11215" s="3" t="str">
        <f>IFERROR(__xludf.DUMMYFUNCTION("""COMPUTED_VALUE"""),"Supreme Finance")</f>
        <v>Supreme Finance</v>
      </c>
    </row>
    <row r="11216">
      <c r="A11216" s="3" t="str">
        <f>IFERROR(__xludf.DUMMYFUNCTION("""COMPUTED_VALUE"""),"supreme-finance-hypes")</f>
        <v>supreme-finance-hypes</v>
      </c>
      <c r="B11216" s="3" t="str">
        <f>IFERROR(__xludf.DUMMYFUNCTION("""COMPUTED_VALUE"""),"hypes")</f>
        <v>hypes</v>
      </c>
      <c r="C11216" s="3" t="str">
        <f>IFERROR(__xludf.DUMMYFUNCTION("""COMPUTED_VALUE"""),"Supreme Finance HYPES")</f>
        <v>Supreme Finance HYPES</v>
      </c>
    </row>
    <row r="11217">
      <c r="A11217" s="3" t="str">
        <f>IFERROR(__xludf.DUMMYFUNCTION("""COMPUTED_VALUE"""),"suprenft")</f>
        <v>suprenft</v>
      </c>
      <c r="B11217" s="3" t="str">
        <f>IFERROR(__xludf.DUMMYFUNCTION("""COMPUTED_VALUE"""),"snft")</f>
        <v>snft</v>
      </c>
      <c r="C11217" s="3" t="str">
        <f>IFERROR(__xludf.DUMMYFUNCTION("""COMPUTED_VALUE"""),"SupreNFT")</f>
        <v>SupreNFT</v>
      </c>
    </row>
    <row r="11218">
      <c r="A11218" s="3" t="str">
        <f>IFERROR(__xludf.DUMMYFUNCTION("""COMPUTED_VALUE"""),"suqa")</f>
        <v>suqa</v>
      </c>
      <c r="B11218" s="3" t="str">
        <f>IFERROR(__xludf.DUMMYFUNCTION("""COMPUTED_VALUE"""),"sin")</f>
        <v>sin</v>
      </c>
      <c r="C11218" s="3" t="str">
        <f>IFERROR(__xludf.DUMMYFUNCTION("""COMPUTED_VALUE"""),"SINOVATE")</f>
        <v>SINOVATE</v>
      </c>
    </row>
    <row r="11219">
      <c r="A11219" s="3" t="str">
        <f>IFERROR(__xludf.DUMMYFUNCTION("""COMPUTED_VALUE"""),"sureremit")</f>
        <v>sureremit</v>
      </c>
      <c r="B11219" s="3" t="str">
        <f>IFERROR(__xludf.DUMMYFUNCTION("""COMPUTED_VALUE"""),"rmt")</f>
        <v>rmt</v>
      </c>
      <c r="C11219" s="3" t="str">
        <f>IFERROR(__xludf.DUMMYFUNCTION("""COMPUTED_VALUE"""),"SureRemit")</f>
        <v>SureRemit</v>
      </c>
    </row>
    <row r="11220">
      <c r="A11220" s="3" t="str">
        <f>IFERROR(__xludf.DUMMYFUNCTION("""COMPUTED_VALUE"""),"suretly")</f>
        <v>suretly</v>
      </c>
      <c r="B11220" s="3" t="str">
        <f>IFERROR(__xludf.DUMMYFUNCTION("""COMPUTED_VALUE"""),"sur")</f>
        <v>sur</v>
      </c>
      <c r="C11220" s="3" t="str">
        <f>IFERROR(__xludf.DUMMYFUNCTION("""COMPUTED_VALUE"""),"Suretly")</f>
        <v>Suretly</v>
      </c>
    </row>
    <row r="11221">
      <c r="A11221" s="3" t="str">
        <f>IFERROR(__xludf.DUMMYFUNCTION("""COMPUTED_VALUE"""),"surfexutilitytoken")</f>
        <v>surfexutilitytoken</v>
      </c>
      <c r="B11221" s="3" t="str">
        <f>IFERROR(__xludf.DUMMYFUNCTION("""COMPUTED_VALUE"""),"surf")</f>
        <v>surf</v>
      </c>
      <c r="C11221" s="3" t="str">
        <f>IFERROR(__xludf.DUMMYFUNCTION("""COMPUTED_VALUE"""),"SurfExUtilityToken")</f>
        <v>SurfExUtilityToken</v>
      </c>
    </row>
    <row r="11222">
      <c r="A11222" s="3" t="str">
        <f>IFERROR(__xludf.DUMMYFUNCTION("""COMPUTED_VALUE"""),"surf-finance")</f>
        <v>surf-finance</v>
      </c>
      <c r="B11222" s="3" t="str">
        <f>IFERROR(__xludf.DUMMYFUNCTION("""COMPUTED_VALUE"""),"surf")</f>
        <v>surf</v>
      </c>
      <c r="C11222" s="3" t="str">
        <f>IFERROR(__xludf.DUMMYFUNCTION("""COMPUTED_VALUE"""),"Surf.Finance")</f>
        <v>Surf.Finance</v>
      </c>
    </row>
    <row r="11223">
      <c r="A11223" s="3" t="str">
        <f>IFERROR(__xludf.DUMMYFUNCTION("""COMPUTED_VALUE"""),"surf-live")</f>
        <v>surf-live</v>
      </c>
      <c r="B11223" s="3" t="str">
        <f>IFERROR(__xludf.DUMMYFUNCTION("""COMPUTED_VALUE"""),"surf")</f>
        <v>surf</v>
      </c>
      <c r="C11223" s="3" t="str">
        <f>IFERROR(__xludf.DUMMYFUNCTION("""COMPUTED_VALUE"""),"Surf Live")</f>
        <v>Surf Live</v>
      </c>
    </row>
    <row r="11224">
      <c r="A11224" s="3" t="str">
        <f>IFERROR(__xludf.DUMMYFUNCTION("""COMPUTED_VALUE"""),"surge-inu")</f>
        <v>surge-inu</v>
      </c>
      <c r="B11224" s="3" t="str">
        <f>IFERROR(__xludf.DUMMYFUNCTION("""COMPUTED_VALUE"""),"surge")</f>
        <v>surge</v>
      </c>
      <c r="C11224" s="3" t="str">
        <f>IFERROR(__xludf.DUMMYFUNCTION("""COMPUTED_VALUE"""),"Surge Inu")</f>
        <v>Surge Inu</v>
      </c>
    </row>
    <row r="11225">
      <c r="A11225" s="3" t="str">
        <f>IFERROR(__xludf.DUMMYFUNCTION("""COMPUTED_VALUE"""),"survival-game-online")</f>
        <v>survival-game-online</v>
      </c>
      <c r="B11225" s="3" t="str">
        <f>IFERROR(__xludf.DUMMYFUNCTION("""COMPUTED_VALUE"""),"surv")</f>
        <v>surv</v>
      </c>
      <c r="C11225" s="3" t="str">
        <f>IFERROR(__xludf.DUMMYFUNCTION("""COMPUTED_VALUE"""),"Survival Game Online")</f>
        <v>Survival Game Online</v>
      </c>
    </row>
    <row r="11226">
      <c r="A11226" s="3" t="str">
        <f>IFERROR(__xludf.DUMMYFUNCTION("""COMPUTED_VALUE"""),"surviving-soldiers")</f>
        <v>surviving-soldiers</v>
      </c>
      <c r="B11226" s="3" t="str">
        <f>IFERROR(__xludf.DUMMYFUNCTION("""COMPUTED_VALUE"""),"ssg")</f>
        <v>ssg</v>
      </c>
      <c r="C11226" s="3" t="str">
        <f>IFERROR(__xludf.DUMMYFUNCTION("""COMPUTED_VALUE"""),"Surviving Soldiers")</f>
        <v>Surviving Soldiers</v>
      </c>
    </row>
    <row r="11227">
      <c r="A11227" s="3" t="str">
        <f>IFERROR(__xludf.DUMMYFUNCTION("""COMPUTED_VALUE"""),"survivor")</f>
        <v>survivor</v>
      </c>
      <c r="B11227" s="3" t="str">
        <f>IFERROR(__xludf.DUMMYFUNCTION("""COMPUTED_VALUE"""),"$srv")</f>
        <v>$srv</v>
      </c>
      <c r="C11227" s="3" t="str">
        <f>IFERROR(__xludf.DUMMYFUNCTION("""COMPUTED_VALUE"""),"Survivor")</f>
        <v>Survivor</v>
      </c>
    </row>
    <row r="11228">
      <c r="A11228" s="3" t="str">
        <f>IFERROR(__xludf.DUMMYFUNCTION("""COMPUTED_VALUE"""),"sushi")</f>
        <v>sushi</v>
      </c>
      <c r="B11228" s="3" t="str">
        <f>IFERROR(__xludf.DUMMYFUNCTION("""COMPUTED_VALUE"""),"sushi")</f>
        <v>sushi</v>
      </c>
      <c r="C11228" s="3" t="str">
        <f>IFERROR(__xludf.DUMMYFUNCTION("""COMPUTED_VALUE"""),"Sushi")</f>
        <v>Sushi</v>
      </c>
    </row>
    <row r="11229">
      <c r="A11229" s="3" t="str">
        <f>IFERROR(__xludf.DUMMYFUNCTION("""COMPUTED_VALUE"""),"sushiba")</f>
        <v>sushiba</v>
      </c>
      <c r="B11229" s="3" t="str">
        <f>IFERROR(__xludf.DUMMYFUNCTION("""COMPUTED_VALUE"""),"sushiba")</f>
        <v>sushiba</v>
      </c>
      <c r="C11229" s="3" t="str">
        <f>IFERROR(__xludf.DUMMYFUNCTION("""COMPUTED_VALUE"""),"Sushiba")</f>
        <v>Sushiba</v>
      </c>
    </row>
    <row r="11230">
      <c r="A11230" s="3" t="str">
        <f>IFERROR(__xludf.DUMMYFUNCTION("""COMPUTED_VALUE"""),"sustainable-energy-token")</f>
        <v>sustainable-energy-token</v>
      </c>
      <c r="B11230" s="3" t="str">
        <f>IFERROR(__xludf.DUMMYFUNCTION("""COMPUTED_VALUE"""),"set")</f>
        <v>set</v>
      </c>
      <c r="C11230" s="3" t="str">
        <f>IFERROR(__xludf.DUMMYFUNCTION("""COMPUTED_VALUE"""),"Sustainable Energy")</f>
        <v>Sustainable Energy</v>
      </c>
    </row>
    <row r="11231">
      <c r="A11231" s="3" t="str">
        <f>IFERROR(__xludf.DUMMYFUNCTION("""COMPUTED_VALUE"""),"suteku")</f>
        <v>suteku</v>
      </c>
      <c r="B11231" s="3" t="str">
        <f>IFERROR(__xludf.DUMMYFUNCTION("""COMPUTED_VALUE"""),"suteku")</f>
        <v>suteku</v>
      </c>
      <c r="C11231" s="3" t="str">
        <f>IFERROR(__xludf.DUMMYFUNCTION("""COMPUTED_VALUE"""),"Suteku")</f>
        <v>Suteku</v>
      </c>
    </row>
    <row r="11232">
      <c r="A11232" s="3" t="str">
        <f>IFERROR(__xludf.DUMMYFUNCTION("""COMPUTED_VALUE"""),"suterusu")</f>
        <v>suterusu</v>
      </c>
      <c r="B11232" s="3" t="str">
        <f>IFERROR(__xludf.DUMMYFUNCTION("""COMPUTED_VALUE"""),"suter")</f>
        <v>suter</v>
      </c>
      <c r="C11232" s="3" t="str">
        <f>IFERROR(__xludf.DUMMYFUNCTION("""COMPUTED_VALUE"""),"Suterusu")</f>
        <v>Suterusu</v>
      </c>
    </row>
    <row r="11233">
      <c r="A11233" s="3" t="str">
        <f>IFERROR(__xludf.DUMMYFUNCTION("""COMPUTED_VALUE"""),"suvereno")</f>
        <v>suvereno</v>
      </c>
      <c r="B11233" s="3" t="str">
        <f>IFERROR(__xludf.DUMMYFUNCTION("""COMPUTED_VALUE"""),"suv")</f>
        <v>suv</v>
      </c>
      <c r="C11233" s="3" t="str">
        <f>IFERROR(__xludf.DUMMYFUNCTION("""COMPUTED_VALUE"""),"Suvereno")</f>
        <v>Suvereno</v>
      </c>
    </row>
    <row r="11234">
      <c r="A11234" s="3" t="str">
        <f>IFERROR(__xludf.DUMMYFUNCTION("""COMPUTED_VALUE"""),"suzaku")</f>
        <v>suzaku</v>
      </c>
      <c r="B11234" s="3" t="str">
        <f>IFERROR(__xludf.DUMMYFUNCTION("""COMPUTED_VALUE"""),"suza")</f>
        <v>suza</v>
      </c>
      <c r="C11234" s="3" t="str">
        <f>IFERROR(__xludf.DUMMYFUNCTION("""COMPUTED_VALUE"""),"Suzaku")</f>
        <v>Suzaku</v>
      </c>
    </row>
    <row r="11235">
      <c r="A11235" s="3" t="str">
        <f>IFERROR(__xludf.DUMMYFUNCTION("""COMPUTED_VALUE"""),"swace")</f>
        <v>swace</v>
      </c>
      <c r="B11235" s="3" t="str">
        <f>IFERROR(__xludf.DUMMYFUNCTION("""COMPUTED_VALUE"""),"swace")</f>
        <v>swace</v>
      </c>
      <c r="C11235" s="3" t="str">
        <f>IFERROR(__xludf.DUMMYFUNCTION("""COMPUTED_VALUE"""),"Swace")</f>
        <v>Swace</v>
      </c>
    </row>
    <row r="11236">
      <c r="A11236" s="3" t="str">
        <f>IFERROR(__xludf.DUMMYFUNCTION("""COMPUTED_VALUE"""),"swagbucks")</f>
        <v>swagbucks</v>
      </c>
      <c r="B11236" s="3" t="str">
        <f>IFERROR(__xludf.DUMMYFUNCTION("""COMPUTED_VALUE"""),"bucks")</f>
        <v>bucks</v>
      </c>
      <c r="C11236" s="3" t="str">
        <f>IFERROR(__xludf.DUMMYFUNCTION("""COMPUTED_VALUE"""),"SwagBucks")</f>
        <v>SwagBucks</v>
      </c>
    </row>
    <row r="11237">
      <c r="A11237" s="3" t="str">
        <f>IFERROR(__xludf.DUMMYFUNCTION("""COMPUTED_VALUE"""),"swag-finance")</f>
        <v>swag-finance</v>
      </c>
      <c r="B11237" s="3" t="str">
        <f>IFERROR(__xludf.DUMMYFUNCTION("""COMPUTED_VALUE"""),"swag")</f>
        <v>swag</v>
      </c>
      <c r="C11237" s="3" t="str">
        <f>IFERROR(__xludf.DUMMYFUNCTION("""COMPUTED_VALUE"""),"SWAG Finance")</f>
        <v>SWAG Finance</v>
      </c>
    </row>
    <row r="11238">
      <c r="A11238" s="3" t="str">
        <f>IFERROR(__xludf.DUMMYFUNCTION("""COMPUTED_VALUE"""),"s-wallet-protocol")</f>
        <v>s-wallet-protocol</v>
      </c>
      <c r="B11238" s="3" t="str">
        <f>IFERROR(__xludf.DUMMYFUNCTION("""COMPUTED_VALUE"""),"swp")</f>
        <v>swp</v>
      </c>
      <c r="C11238" s="3" t="str">
        <f>IFERROR(__xludf.DUMMYFUNCTION("""COMPUTED_VALUE"""),"S-Wallet Protocol")</f>
        <v>S-Wallet Protocol</v>
      </c>
    </row>
    <row r="11239">
      <c r="A11239" s="3" t="str">
        <f>IFERROR(__xludf.DUMMYFUNCTION("""COMPUTED_VALUE"""),"swamp-coin")</f>
        <v>swamp-coin</v>
      </c>
      <c r="B11239" s="3" t="str">
        <f>IFERROR(__xludf.DUMMYFUNCTION("""COMPUTED_VALUE"""),"swamp")</f>
        <v>swamp</v>
      </c>
      <c r="C11239" s="3" t="str">
        <f>IFERROR(__xludf.DUMMYFUNCTION("""COMPUTED_VALUE"""),"Swamp Coin")</f>
        <v>Swamp Coin</v>
      </c>
    </row>
    <row r="11240">
      <c r="A11240" s="3" t="str">
        <f>IFERROR(__xludf.DUMMYFUNCTION("""COMPUTED_VALUE"""),"swampy")</f>
        <v>swampy</v>
      </c>
      <c r="B11240" s="3" t="str">
        <f>IFERROR(__xludf.DUMMYFUNCTION("""COMPUTED_VALUE"""),"swamp")</f>
        <v>swamp</v>
      </c>
      <c r="C11240" s="3" t="str">
        <f>IFERROR(__xludf.DUMMYFUNCTION("""COMPUTED_VALUE"""),"Swampy")</f>
        <v>Swampy</v>
      </c>
    </row>
    <row r="11241">
      <c r="A11241" s="3" t="str">
        <f>IFERROR(__xludf.DUMMYFUNCTION("""COMPUTED_VALUE"""),"swanlana")</f>
        <v>swanlana</v>
      </c>
      <c r="B11241" s="3" t="str">
        <f>IFERROR(__xludf.DUMMYFUNCTION("""COMPUTED_VALUE"""),"swan")</f>
        <v>swan</v>
      </c>
      <c r="C11241" s="3" t="str">
        <f>IFERROR(__xludf.DUMMYFUNCTION("""COMPUTED_VALUE"""),"Swanlana")</f>
        <v>Swanlana</v>
      </c>
    </row>
    <row r="11242">
      <c r="A11242" s="3" t="str">
        <f>IFERROR(__xludf.DUMMYFUNCTION("""COMPUTED_VALUE"""),"swap")</f>
        <v>swap</v>
      </c>
      <c r="B11242" s="3" t="str">
        <f>IFERROR(__xludf.DUMMYFUNCTION("""COMPUTED_VALUE"""),"xwp")</f>
        <v>xwp</v>
      </c>
      <c r="C11242" s="3" t="str">
        <f>IFERROR(__xludf.DUMMYFUNCTION("""COMPUTED_VALUE"""),"Swap")</f>
        <v>Swap</v>
      </c>
    </row>
    <row r="11243">
      <c r="A11243" s="3" t="str">
        <f>IFERROR(__xludf.DUMMYFUNCTION("""COMPUTED_VALUE"""),"swapall")</f>
        <v>swapall</v>
      </c>
      <c r="B11243" s="3" t="str">
        <f>IFERROR(__xludf.DUMMYFUNCTION("""COMPUTED_VALUE"""),"sap")</f>
        <v>sap</v>
      </c>
      <c r="C11243" s="3" t="str">
        <f>IFERROR(__xludf.DUMMYFUNCTION("""COMPUTED_VALUE"""),"SwapAll")</f>
        <v>SwapAll</v>
      </c>
    </row>
    <row r="11244">
      <c r="A11244" s="3" t="str">
        <f>IFERROR(__xludf.DUMMYFUNCTION("""COMPUTED_VALUE"""),"swapdex")</f>
        <v>swapdex</v>
      </c>
      <c r="B11244" s="3" t="str">
        <f>IFERROR(__xludf.DUMMYFUNCTION("""COMPUTED_VALUE"""),"sdx")</f>
        <v>sdx</v>
      </c>
      <c r="C11244" s="3" t="str">
        <f>IFERROR(__xludf.DUMMYFUNCTION("""COMPUTED_VALUE"""),"SwapDEX")</f>
        <v>SwapDEX</v>
      </c>
    </row>
    <row r="11245">
      <c r="A11245" s="3" t="str">
        <f>IFERROR(__xludf.DUMMYFUNCTION("""COMPUTED_VALUE"""),"swaperry")</f>
        <v>swaperry</v>
      </c>
      <c r="B11245" s="3" t="str">
        <f>IFERROR(__xludf.DUMMYFUNCTION("""COMPUTED_VALUE"""),"perry")</f>
        <v>perry</v>
      </c>
      <c r="C11245" s="3" t="str">
        <f>IFERROR(__xludf.DUMMYFUNCTION("""COMPUTED_VALUE"""),"Swaperry")</f>
        <v>Swaperry</v>
      </c>
    </row>
    <row r="11246">
      <c r="A11246" s="3" t="str">
        <f>IFERROR(__xludf.DUMMYFUNCTION("""COMPUTED_VALUE"""),"swapfolio")</f>
        <v>swapfolio</v>
      </c>
      <c r="B11246" s="3" t="str">
        <f>IFERROR(__xludf.DUMMYFUNCTION("""COMPUTED_VALUE"""),"swfl")</f>
        <v>swfl</v>
      </c>
      <c r="C11246" s="3" t="str">
        <f>IFERROR(__xludf.DUMMYFUNCTION("""COMPUTED_VALUE"""),"Swapfolio")</f>
        <v>Swapfolio</v>
      </c>
    </row>
    <row r="11247">
      <c r="A11247" s="3" t="str">
        <f>IFERROR(__xludf.DUMMYFUNCTION("""COMPUTED_VALUE"""),"swapp")</f>
        <v>swapp</v>
      </c>
      <c r="B11247" s="3" t="str">
        <f>IFERROR(__xludf.DUMMYFUNCTION("""COMPUTED_VALUE"""),"swapp")</f>
        <v>swapp</v>
      </c>
      <c r="C11247" s="3" t="str">
        <f>IFERROR(__xludf.DUMMYFUNCTION("""COMPUTED_VALUE"""),"SWAPP Protocol")</f>
        <v>SWAPP Protocol</v>
      </c>
    </row>
    <row r="11248">
      <c r="A11248" s="3" t="str">
        <f>IFERROR(__xludf.DUMMYFUNCTION("""COMPUTED_VALUE"""),"swappery-token")</f>
        <v>swappery-token</v>
      </c>
      <c r="B11248" s="3" t="str">
        <f>IFERROR(__xludf.DUMMYFUNCTION("""COMPUTED_VALUE"""),"swpr")</f>
        <v>swpr</v>
      </c>
      <c r="C11248" s="3" t="str">
        <f>IFERROR(__xludf.DUMMYFUNCTION("""COMPUTED_VALUE"""),"The Swappery")</f>
        <v>The Swappery</v>
      </c>
    </row>
    <row r="11249">
      <c r="A11249" s="3" t="str">
        <f>IFERROR(__xludf.DUMMYFUNCTION("""COMPUTED_VALUE"""),"swappi")</f>
        <v>swappi</v>
      </c>
      <c r="B11249" s="3" t="str">
        <f>IFERROR(__xludf.DUMMYFUNCTION("""COMPUTED_VALUE"""),"ppi")</f>
        <v>ppi</v>
      </c>
      <c r="C11249" s="3" t="str">
        <f>IFERROR(__xludf.DUMMYFUNCTION("""COMPUTED_VALUE"""),"Swappi")</f>
        <v>Swappi</v>
      </c>
    </row>
    <row r="11250">
      <c r="A11250" s="3" t="str">
        <f>IFERROR(__xludf.DUMMYFUNCTION("""COMPUTED_VALUE"""),"swapr")</f>
        <v>swapr</v>
      </c>
      <c r="B11250" s="3" t="str">
        <f>IFERROR(__xludf.DUMMYFUNCTION("""COMPUTED_VALUE"""),"swpr")</f>
        <v>swpr</v>
      </c>
      <c r="C11250" s="3" t="str">
        <f>IFERROR(__xludf.DUMMYFUNCTION("""COMPUTED_VALUE"""),"Swapr")</f>
        <v>Swapr</v>
      </c>
    </row>
    <row r="11251">
      <c r="A11251" s="3" t="str">
        <f>IFERROR(__xludf.DUMMYFUNCTION("""COMPUTED_VALUE"""),"swapsicle-pops")</f>
        <v>swapsicle-pops</v>
      </c>
      <c r="B11251" s="3" t="str">
        <f>IFERROR(__xludf.DUMMYFUNCTION("""COMPUTED_VALUE"""),"pops")</f>
        <v>pops</v>
      </c>
      <c r="C11251" s="3" t="str">
        <f>IFERROR(__xludf.DUMMYFUNCTION("""COMPUTED_VALUE"""),"Swapsicle")</f>
        <v>Swapsicle</v>
      </c>
    </row>
    <row r="11252">
      <c r="A11252" s="3" t="str">
        <f>IFERROR(__xludf.DUMMYFUNCTION("""COMPUTED_VALUE"""),"swaptracker")</f>
        <v>swaptracker</v>
      </c>
      <c r="B11252" s="3" t="str">
        <f>IFERROR(__xludf.DUMMYFUNCTION("""COMPUTED_VALUE"""),"swpt")</f>
        <v>swpt</v>
      </c>
      <c r="C11252" s="3" t="str">
        <f>IFERROR(__xludf.DUMMYFUNCTION("""COMPUTED_VALUE"""),"SwapTracker")</f>
        <v>SwapTracker</v>
      </c>
    </row>
    <row r="11253">
      <c r="A11253" s="3" t="str">
        <f>IFERROR(__xludf.DUMMYFUNCTION("""COMPUTED_VALUE"""),"swapx")</f>
        <v>swapx</v>
      </c>
      <c r="B11253" s="3" t="str">
        <f>IFERROR(__xludf.DUMMYFUNCTION("""COMPUTED_VALUE"""),"xwap")</f>
        <v>xwap</v>
      </c>
      <c r="C11253" s="3" t="str">
        <f>IFERROR(__xludf.DUMMYFUNCTION("""COMPUTED_VALUE"""),"SwapX")</f>
        <v>SwapX</v>
      </c>
    </row>
    <row r="11254">
      <c r="A11254" s="3" t="str">
        <f>IFERROR(__xludf.DUMMYFUNCTION("""COMPUTED_VALUE"""),"swapxi-token")</f>
        <v>swapxi-token</v>
      </c>
      <c r="B11254" s="3" t="str">
        <f>IFERROR(__xludf.DUMMYFUNCTION("""COMPUTED_VALUE"""),"swapxi")</f>
        <v>swapxi</v>
      </c>
      <c r="C11254" s="3" t="str">
        <f>IFERROR(__xludf.DUMMYFUNCTION("""COMPUTED_VALUE"""),"SwapXI")</f>
        <v>SwapXI</v>
      </c>
    </row>
    <row r="11255">
      <c r="A11255" s="3" t="str">
        <f>IFERROR(__xludf.DUMMYFUNCTION("""COMPUTED_VALUE"""),"swapz-app")</f>
        <v>swapz-app</v>
      </c>
      <c r="B11255" s="3" t="str">
        <f>IFERROR(__xludf.DUMMYFUNCTION("""COMPUTED_VALUE"""),"swapz")</f>
        <v>swapz</v>
      </c>
      <c r="C11255" s="3" t="str">
        <f>IFERROR(__xludf.DUMMYFUNCTION("""COMPUTED_VALUE"""),"SWAPZ.app")</f>
        <v>SWAPZ.app</v>
      </c>
    </row>
    <row r="11256">
      <c r="A11256" s="3" t="str">
        <f>IFERROR(__xludf.DUMMYFUNCTION("""COMPUTED_VALUE"""),"swarm")</f>
        <v>swarm</v>
      </c>
      <c r="B11256" s="3" t="str">
        <f>IFERROR(__xludf.DUMMYFUNCTION("""COMPUTED_VALUE"""),"swm")</f>
        <v>swm</v>
      </c>
      <c r="C11256" s="3" t="str">
        <f>IFERROR(__xludf.DUMMYFUNCTION("""COMPUTED_VALUE"""),"Swarm Network")</f>
        <v>Swarm Network</v>
      </c>
    </row>
    <row r="11257">
      <c r="A11257" s="3" t="str">
        <f>IFERROR(__xludf.DUMMYFUNCTION("""COMPUTED_VALUE"""),"swarm-bzz")</f>
        <v>swarm-bzz</v>
      </c>
      <c r="B11257" s="3" t="str">
        <f>IFERROR(__xludf.DUMMYFUNCTION("""COMPUTED_VALUE"""),"bzz")</f>
        <v>bzz</v>
      </c>
      <c r="C11257" s="3" t="str">
        <f>IFERROR(__xludf.DUMMYFUNCTION("""COMPUTED_VALUE"""),"Swarm")</f>
        <v>Swarm</v>
      </c>
    </row>
    <row r="11258">
      <c r="A11258" s="3" t="str">
        <f>IFERROR(__xludf.DUMMYFUNCTION("""COMPUTED_VALUE"""),"swarm-city")</f>
        <v>swarm-city</v>
      </c>
      <c r="B11258" s="3" t="str">
        <f>IFERROR(__xludf.DUMMYFUNCTION("""COMPUTED_VALUE"""),"swt")</f>
        <v>swt</v>
      </c>
      <c r="C11258" s="3" t="str">
        <f>IFERROR(__xludf.DUMMYFUNCTION("""COMPUTED_VALUE"""),"Swarm City")</f>
        <v>Swarm City</v>
      </c>
    </row>
    <row r="11259">
      <c r="A11259" s="3" t="str">
        <f>IFERROR(__xludf.DUMMYFUNCTION("""COMPUTED_VALUE"""),"swarm-markets")</f>
        <v>swarm-markets</v>
      </c>
      <c r="B11259" s="3" t="str">
        <f>IFERROR(__xludf.DUMMYFUNCTION("""COMPUTED_VALUE"""),"smt")</f>
        <v>smt</v>
      </c>
      <c r="C11259" s="3" t="str">
        <f>IFERROR(__xludf.DUMMYFUNCTION("""COMPUTED_VALUE"""),"Swarm Markets")</f>
        <v>Swarm Markets</v>
      </c>
    </row>
    <row r="11260">
      <c r="A11260" s="3" t="str">
        <f>IFERROR(__xludf.DUMMYFUNCTION("""COMPUTED_VALUE"""),"swash")</f>
        <v>swash</v>
      </c>
      <c r="B11260" s="3" t="str">
        <f>IFERROR(__xludf.DUMMYFUNCTION("""COMPUTED_VALUE"""),"swash")</f>
        <v>swash</v>
      </c>
      <c r="C11260" s="3" t="str">
        <f>IFERROR(__xludf.DUMMYFUNCTION("""COMPUTED_VALUE"""),"Swash")</f>
        <v>Swash</v>
      </c>
    </row>
    <row r="11261">
      <c r="A11261" s="3" t="str">
        <f>IFERROR(__xludf.DUMMYFUNCTION("""COMPUTED_VALUE"""),"sway-social")</f>
        <v>sway-social</v>
      </c>
      <c r="B11261" s="3" t="str">
        <f>IFERROR(__xludf.DUMMYFUNCTION("""COMPUTED_VALUE"""),"sway")</f>
        <v>sway</v>
      </c>
      <c r="C11261" s="3" t="str">
        <f>IFERROR(__xludf.DUMMYFUNCTION("""COMPUTED_VALUE"""),"Sway Social")</f>
        <v>Sway Social</v>
      </c>
    </row>
    <row r="11262">
      <c r="A11262" s="3" t="str">
        <f>IFERROR(__xludf.DUMMYFUNCTION("""COMPUTED_VALUE"""),"sw-dao")</f>
        <v>sw-dao</v>
      </c>
      <c r="B11262" s="3" t="str">
        <f>IFERROR(__xludf.DUMMYFUNCTION("""COMPUTED_VALUE"""),"swd")</f>
        <v>swd</v>
      </c>
      <c r="C11262" s="3" t="str">
        <f>IFERROR(__xludf.DUMMYFUNCTION("""COMPUTED_VALUE"""),"SW DAO")</f>
        <v>SW DAO</v>
      </c>
    </row>
    <row r="11263">
      <c r="A11263" s="3" t="str">
        <f>IFERROR(__xludf.DUMMYFUNCTION("""COMPUTED_VALUE"""),"sweatcoin")</f>
        <v>sweatcoin</v>
      </c>
      <c r="B11263" s="3" t="str">
        <f>IFERROR(__xludf.DUMMYFUNCTION("""COMPUTED_VALUE"""),"sweat")</f>
        <v>sweat</v>
      </c>
      <c r="C11263" s="3" t="str">
        <f>IFERROR(__xludf.DUMMYFUNCTION("""COMPUTED_VALUE"""),"Sweatcoin - Sweat Economy")</f>
        <v>Sweatcoin - Sweat Economy</v>
      </c>
    </row>
    <row r="11264">
      <c r="A11264" s="3" t="str">
        <f>IFERROR(__xludf.DUMMYFUNCTION("""COMPUTED_VALUE"""),"sweep-capital")</f>
        <v>sweep-capital</v>
      </c>
      <c r="B11264" s="3" t="str">
        <f>IFERROR(__xludf.DUMMYFUNCTION("""COMPUTED_VALUE"""),"sweep")</f>
        <v>sweep</v>
      </c>
      <c r="C11264" s="3" t="str">
        <f>IFERROR(__xludf.DUMMYFUNCTION("""COMPUTED_VALUE"""),"Sweep Capital")</f>
        <v>Sweep Capital</v>
      </c>
    </row>
    <row r="11265">
      <c r="A11265" s="3" t="str">
        <f>IFERROR(__xludf.DUMMYFUNCTION("""COMPUTED_VALUE"""),"sweep-token")</f>
        <v>sweep-token</v>
      </c>
      <c r="B11265" s="3" t="str">
        <f>IFERROR(__xludf.DUMMYFUNCTION("""COMPUTED_VALUE"""),"sweep")</f>
        <v>sweep</v>
      </c>
      <c r="C11265" s="3" t="str">
        <f>IFERROR(__xludf.DUMMYFUNCTION("""COMPUTED_VALUE"""),"Sweep Token")</f>
        <v>Sweep Token</v>
      </c>
    </row>
    <row r="11266">
      <c r="A11266" s="3" t="str">
        <f>IFERROR(__xludf.DUMMYFUNCTION("""COMPUTED_VALUE"""),"sweet-btc")</f>
        <v>sweet-btc</v>
      </c>
      <c r="B11266" s="3" t="str">
        <f>IFERROR(__xludf.DUMMYFUNCTION("""COMPUTED_VALUE"""),"sbtc")</f>
        <v>sbtc</v>
      </c>
      <c r="C11266" s="3" t="str">
        <f>IFERROR(__xludf.DUMMYFUNCTION("""COMPUTED_VALUE"""),"Sweet BTC")</f>
        <v>Sweet BTC</v>
      </c>
    </row>
    <row r="11267">
      <c r="A11267" s="3" t="str">
        <f>IFERROR(__xludf.DUMMYFUNCTION("""COMPUTED_VALUE"""),"sweettoken")</f>
        <v>sweettoken</v>
      </c>
      <c r="B11267" s="3" t="str">
        <f>IFERROR(__xludf.DUMMYFUNCTION("""COMPUTED_VALUE"""),"swt")</f>
        <v>swt</v>
      </c>
      <c r="C11267" s="3" t="str">
        <f>IFERROR(__xludf.DUMMYFUNCTION("""COMPUTED_VALUE"""),"SweetToken")</f>
        <v>SweetToken</v>
      </c>
    </row>
    <row r="11268">
      <c r="A11268" s="3" t="str">
        <f>IFERROR(__xludf.DUMMYFUNCTION("""COMPUTED_VALUE"""),"swello")</f>
        <v>swello</v>
      </c>
      <c r="B11268" s="3" t="str">
        <f>IFERROR(__xludf.DUMMYFUNCTION("""COMPUTED_VALUE"""),"swlo")</f>
        <v>swlo</v>
      </c>
      <c r="C11268" s="3" t="str">
        <f>IFERROR(__xludf.DUMMYFUNCTION("""COMPUTED_VALUE"""),"Swello")</f>
        <v>Swello</v>
      </c>
    </row>
    <row r="11269">
      <c r="A11269" s="3" t="str">
        <f>IFERROR(__xludf.DUMMYFUNCTION("""COMPUTED_VALUE"""),"swerve-dao")</f>
        <v>swerve-dao</v>
      </c>
      <c r="B11269" s="3" t="str">
        <f>IFERROR(__xludf.DUMMYFUNCTION("""COMPUTED_VALUE"""),"swrv")</f>
        <v>swrv</v>
      </c>
      <c r="C11269" s="3" t="str">
        <f>IFERROR(__xludf.DUMMYFUNCTION("""COMPUTED_VALUE"""),"Swerve")</f>
        <v>Swerve</v>
      </c>
    </row>
    <row r="11270">
      <c r="A11270" s="3" t="str">
        <f>IFERROR(__xludf.DUMMYFUNCTION("""COMPUTED_VALUE"""),"swerve-protocol")</f>
        <v>swerve-protocol</v>
      </c>
      <c r="B11270" s="3" t="str">
        <f>IFERROR(__xludf.DUMMYFUNCTION("""COMPUTED_VALUE"""),"swerve")</f>
        <v>swerve</v>
      </c>
      <c r="C11270" s="3" t="str">
        <f>IFERROR(__xludf.DUMMYFUNCTION("""COMPUTED_VALUE"""),"SWERVE Protocol")</f>
        <v>SWERVE Protocol</v>
      </c>
    </row>
    <row r="11271">
      <c r="A11271" s="3" t="str">
        <f>IFERROR(__xludf.DUMMYFUNCTION("""COMPUTED_VALUE"""),"swftcoin")</f>
        <v>swftcoin</v>
      </c>
      <c r="B11271" s="3" t="str">
        <f>IFERROR(__xludf.DUMMYFUNCTION("""COMPUTED_VALUE"""),"swftc")</f>
        <v>swftc</v>
      </c>
      <c r="C11271" s="3" t="str">
        <f>IFERROR(__xludf.DUMMYFUNCTION("""COMPUTED_VALUE"""),"SWFTCOIN")</f>
        <v>SWFTCOIN</v>
      </c>
    </row>
    <row r="11272">
      <c r="A11272" s="3" t="str">
        <f>IFERROR(__xludf.DUMMYFUNCTION("""COMPUTED_VALUE"""),"swgtoken")</f>
        <v>swgtoken</v>
      </c>
      <c r="B11272" s="3" t="str">
        <f>IFERROR(__xludf.DUMMYFUNCTION("""COMPUTED_VALUE"""),"swg")</f>
        <v>swg</v>
      </c>
      <c r="C11272" s="3" t="str">
        <f>IFERROR(__xludf.DUMMYFUNCTION("""COMPUTED_VALUE"""),"SWG")</f>
        <v>SWG</v>
      </c>
    </row>
    <row r="11273">
      <c r="A11273" s="3" t="str">
        <f>IFERROR(__xludf.DUMMYFUNCTION("""COMPUTED_VALUE"""),"swiftcash")</f>
        <v>swiftcash</v>
      </c>
      <c r="B11273" s="3" t="str">
        <f>IFERROR(__xludf.DUMMYFUNCTION("""COMPUTED_VALUE"""),"swift")</f>
        <v>swift</v>
      </c>
      <c r="C11273" s="3" t="str">
        <f>IFERROR(__xludf.DUMMYFUNCTION("""COMPUTED_VALUE"""),"SwiftCash")</f>
        <v>SwiftCash</v>
      </c>
    </row>
    <row r="11274">
      <c r="A11274" s="3" t="str">
        <f>IFERROR(__xludf.DUMMYFUNCTION("""COMPUTED_VALUE"""),"swiftlance-token")</f>
        <v>swiftlance-token</v>
      </c>
      <c r="B11274" s="3" t="str">
        <f>IFERROR(__xludf.DUMMYFUNCTION("""COMPUTED_VALUE"""),"swl")</f>
        <v>swl</v>
      </c>
      <c r="C11274" s="3" t="str">
        <f>IFERROR(__xludf.DUMMYFUNCTION("""COMPUTED_VALUE"""),"Swiftlance")</f>
        <v>Swiftlance</v>
      </c>
    </row>
    <row r="11275">
      <c r="A11275" s="3" t="str">
        <f>IFERROR(__xludf.DUMMYFUNCTION("""COMPUTED_VALUE"""),"swinca-2")</f>
        <v>swinca-2</v>
      </c>
      <c r="B11275" s="3" t="str">
        <f>IFERROR(__xludf.DUMMYFUNCTION("""COMPUTED_VALUE"""),"swi")</f>
        <v>swi</v>
      </c>
      <c r="C11275" s="3" t="str">
        <f>IFERROR(__xludf.DUMMYFUNCTION("""COMPUTED_VALUE"""),"Swinca")</f>
        <v>Swinca</v>
      </c>
    </row>
    <row r="11276">
      <c r="A11276" s="3" t="str">
        <f>IFERROR(__xludf.DUMMYFUNCTION("""COMPUTED_VALUE"""),"swing")</f>
        <v>swing</v>
      </c>
      <c r="B11276" s="3" t="str">
        <f>IFERROR(__xludf.DUMMYFUNCTION("""COMPUTED_VALUE"""),"swing")</f>
        <v>swing</v>
      </c>
      <c r="C11276" s="3" t="str">
        <f>IFERROR(__xludf.DUMMYFUNCTION("""COMPUTED_VALUE"""),"Swing")</f>
        <v>Swing</v>
      </c>
    </row>
    <row r="11277">
      <c r="A11277" s="3" t="str">
        <f>IFERROR(__xludf.DUMMYFUNCTION("""COMPUTED_VALUE"""),"swingby")</f>
        <v>swingby</v>
      </c>
      <c r="B11277" s="3" t="str">
        <f>IFERROR(__xludf.DUMMYFUNCTION("""COMPUTED_VALUE"""),"swingby")</f>
        <v>swingby</v>
      </c>
      <c r="C11277" s="3" t="str">
        <f>IFERROR(__xludf.DUMMYFUNCTION("""COMPUTED_VALUE"""),"Swingby")</f>
        <v>Swingby</v>
      </c>
    </row>
    <row r="11278">
      <c r="A11278" s="3" t="str">
        <f>IFERROR(__xludf.DUMMYFUNCTION("""COMPUTED_VALUE"""),"swing-dao")</f>
        <v>swing-dao</v>
      </c>
      <c r="B11278" s="3" t="str">
        <f>IFERROR(__xludf.DUMMYFUNCTION("""COMPUTED_VALUE"""),"swing")</f>
        <v>swing</v>
      </c>
      <c r="C11278" s="3" t="str">
        <f>IFERROR(__xludf.DUMMYFUNCTION("""COMPUTED_VALUE"""),"Swing DAO")</f>
        <v>Swing DAO</v>
      </c>
    </row>
    <row r="11279">
      <c r="A11279" s="3" t="str">
        <f>IFERROR(__xludf.DUMMYFUNCTION("""COMPUTED_VALUE"""),"swipe")</f>
        <v>swipe</v>
      </c>
      <c r="B11279" s="3" t="str">
        <f>IFERROR(__xludf.DUMMYFUNCTION("""COMPUTED_VALUE"""),"sxp")</f>
        <v>sxp</v>
      </c>
      <c r="C11279" s="3" t="str">
        <f>IFERROR(__xludf.DUMMYFUNCTION("""COMPUTED_VALUE"""),"SXP")</f>
        <v>SXP</v>
      </c>
    </row>
    <row r="11280">
      <c r="A11280" s="3" t="str">
        <f>IFERROR(__xludf.DUMMYFUNCTION("""COMPUTED_VALUE"""),"swirltoken")</f>
        <v>swirltoken</v>
      </c>
      <c r="B11280" s="3" t="str">
        <f>IFERROR(__xludf.DUMMYFUNCTION("""COMPUTED_VALUE"""),"swirl")</f>
        <v>swirl</v>
      </c>
      <c r="C11280" s="3" t="str">
        <f>IFERROR(__xludf.DUMMYFUNCTION("""COMPUTED_VALUE"""),"Swirl")</f>
        <v>Swirl</v>
      </c>
    </row>
    <row r="11281">
      <c r="A11281" s="3" t="str">
        <f>IFERROR(__xludf.DUMMYFUNCTION("""COMPUTED_VALUE"""),"swissborg")</f>
        <v>swissborg</v>
      </c>
      <c r="B11281" s="3" t="str">
        <f>IFERROR(__xludf.DUMMYFUNCTION("""COMPUTED_VALUE"""),"chsb")</f>
        <v>chsb</v>
      </c>
      <c r="C11281" s="3" t="str">
        <f>IFERROR(__xludf.DUMMYFUNCTION("""COMPUTED_VALUE"""),"SwissBorg")</f>
        <v>SwissBorg</v>
      </c>
    </row>
    <row r="11282">
      <c r="A11282" s="3" t="str">
        <f>IFERROR(__xludf.DUMMYFUNCTION("""COMPUTED_VALUE"""),"switch")</f>
        <v>switch</v>
      </c>
      <c r="B11282" s="3" t="str">
        <f>IFERROR(__xludf.DUMMYFUNCTION("""COMPUTED_VALUE"""),"esh")</f>
        <v>esh</v>
      </c>
      <c r="C11282" s="3" t="str">
        <f>IFERROR(__xludf.DUMMYFUNCTION("""COMPUTED_VALUE"""),"Switch")</f>
        <v>Switch</v>
      </c>
    </row>
    <row r="11283">
      <c r="A11283" s="3" t="str">
        <f>IFERROR(__xludf.DUMMYFUNCTION("""COMPUTED_VALUE"""),"switcheo")</f>
        <v>switcheo</v>
      </c>
      <c r="B11283" s="3" t="str">
        <f>IFERROR(__xludf.DUMMYFUNCTION("""COMPUTED_VALUE"""),"swth")</f>
        <v>swth</v>
      </c>
      <c r="C11283" s="3" t="str">
        <f>IFERROR(__xludf.DUMMYFUNCTION("""COMPUTED_VALUE"""),"Carbon Protocol")</f>
        <v>Carbon Protocol</v>
      </c>
    </row>
    <row r="11284">
      <c r="A11284" s="3" t="str">
        <f>IFERROR(__xludf.DUMMYFUNCTION("""COMPUTED_VALUE"""),"swivel-governance")</f>
        <v>swivel-governance</v>
      </c>
      <c r="B11284" s="3" t="str">
        <f>IFERROR(__xludf.DUMMYFUNCTION("""COMPUTED_VALUE"""),"swiv")</f>
        <v>swiv</v>
      </c>
      <c r="C11284" s="3" t="str">
        <f>IFERROR(__xludf.DUMMYFUNCTION("""COMPUTED_VALUE"""),"Swivel Governance")</f>
        <v>Swivel Governance</v>
      </c>
    </row>
    <row r="11285">
      <c r="A11285" s="3" t="str">
        <f>IFERROR(__xludf.DUMMYFUNCTION("""COMPUTED_VALUE"""),"swole-doge")</f>
        <v>swole-doge</v>
      </c>
      <c r="B11285" s="3" t="str">
        <f>IFERROR(__xludf.DUMMYFUNCTION("""COMPUTED_VALUE"""),"swole")</f>
        <v>swole</v>
      </c>
      <c r="C11285" s="3" t="str">
        <f>IFERROR(__xludf.DUMMYFUNCTION("""COMPUTED_VALUE"""),"Swole Doge")</f>
        <v>Swole Doge</v>
      </c>
    </row>
    <row r="11286">
      <c r="A11286" s="3" t="str">
        <f>IFERROR(__xludf.DUMMYFUNCTION("""COMPUTED_VALUE"""),"swop")</f>
        <v>swop</v>
      </c>
      <c r="B11286" s="3" t="str">
        <f>IFERROR(__xludf.DUMMYFUNCTION("""COMPUTED_VALUE"""),"swop")</f>
        <v>swop</v>
      </c>
      <c r="C11286" s="3" t="str">
        <f>IFERROR(__xludf.DUMMYFUNCTION("""COMPUTED_VALUE"""),"Swop")</f>
        <v>Swop</v>
      </c>
    </row>
    <row r="11287">
      <c r="A11287" s="3" t="str">
        <f>IFERROR(__xludf.DUMMYFUNCTION("""COMPUTED_VALUE"""),"swtcoin")</f>
        <v>swtcoin</v>
      </c>
      <c r="B11287" s="3" t="str">
        <f>IFERROR(__xludf.DUMMYFUNCTION("""COMPUTED_VALUE"""),"swat")</f>
        <v>swat</v>
      </c>
      <c r="C11287" s="3" t="str">
        <f>IFERROR(__xludf.DUMMYFUNCTION("""COMPUTED_VALUE"""),"SWTCoin")</f>
        <v>SWTCoin</v>
      </c>
    </row>
    <row r="11288">
      <c r="A11288" s="3" t="str">
        <f>IFERROR(__xludf.DUMMYFUNCTION("""COMPUTED_VALUE"""),"swusd")</f>
        <v>swusd</v>
      </c>
      <c r="B11288" s="3" t="str">
        <f>IFERROR(__xludf.DUMMYFUNCTION("""COMPUTED_VALUE"""),"swusd")</f>
        <v>swusd</v>
      </c>
      <c r="C11288" s="3" t="str">
        <f>IFERROR(__xludf.DUMMYFUNCTION("""COMPUTED_VALUE"""),"Swerve.fi USD")</f>
        <v>Swerve.fi USD</v>
      </c>
    </row>
    <row r="11289">
      <c r="A11289" s="3" t="str">
        <f>IFERROR(__xludf.DUMMYFUNCTION("""COMPUTED_VALUE"""),"sx-network")</f>
        <v>sx-network</v>
      </c>
      <c r="B11289" s="3" t="str">
        <f>IFERROR(__xludf.DUMMYFUNCTION("""COMPUTED_VALUE"""),"sx")</f>
        <v>sx</v>
      </c>
      <c r="C11289" s="3" t="str">
        <f>IFERROR(__xludf.DUMMYFUNCTION("""COMPUTED_VALUE"""),"SX Network")</f>
        <v>SX Network</v>
      </c>
    </row>
    <row r="11290">
      <c r="A11290" s="3" t="str">
        <f>IFERROR(__xludf.DUMMYFUNCTION("""COMPUTED_VALUE"""),"sya-x-flooz")</f>
        <v>sya-x-flooz</v>
      </c>
      <c r="B11290" s="3" t="str">
        <f>IFERROR(__xludf.DUMMYFUNCTION("""COMPUTED_VALUE"""),"sya")</f>
        <v>sya</v>
      </c>
      <c r="C11290" s="3" t="str">
        <f>IFERROR(__xludf.DUMMYFUNCTION("""COMPUTED_VALUE"""),"SYA x Flooz")</f>
        <v>SYA x Flooz</v>
      </c>
    </row>
    <row r="11291">
      <c r="A11291" s="3" t="str">
        <f>IFERROR(__xludf.DUMMYFUNCTION("""COMPUTED_VALUE"""),"sybc-coin")</f>
        <v>sybc-coin</v>
      </c>
      <c r="B11291" s="3" t="str">
        <f>IFERROR(__xludf.DUMMYFUNCTION("""COMPUTED_VALUE"""),"sybc")</f>
        <v>sybc</v>
      </c>
      <c r="C11291" s="3" t="str">
        <f>IFERROR(__xludf.DUMMYFUNCTION("""COMPUTED_VALUE"""),"SYBC Coin")</f>
        <v>SYBC Coin</v>
      </c>
    </row>
    <row r="11292">
      <c r="A11292" s="3" t="str">
        <f>IFERROR(__xludf.DUMMYFUNCTION("""COMPUTED_VALUE"""),"syfin")</f>
        <v>syfin</v>
      </c>
      <c r="B11292" s="3" t="str">
        <f>IFERROR(__xludf.DUMMYFUNCTION("""COMPUTED_VALUE"""),"syf")</f>
        <v>syf</v>
      </c>
      <c r="C11292" s="3" t="str">
        <f>IFERROR(__xludf.DUMMYFUNCTION("""COMPUTED_VALUE"""),"Syfin")</f>
        <v>Syfin</v>
      </c>
    </row>
    <row r="11293">
      <c r="A11293" s="3" t="str">
        <f>IFERROR(__xludf.DUMMYFUNCTION("""COMPUTED_VALUE"""),"sylo")</f>
        <v>sylo</v>
      </c>
      <c r="B11293" s="3" t="str">
        <f>IFERROR(__xludf.DUMMYFUNCTION("""COMPUTED_VALUE"""),"sylo")</f>
        <v>sylo</v>
      </c>
      <c r="C11293" s="3" t="str">
        <f>IFERROR(__xludf.DUMMYFUNCTION("""COMPUTED_VALUE"""),"Sylo")</f>
        <v>Sylo</v>
      </c>
    </row>
    <row r="11294">
      <c r="A11294" s="3" t="str">
        <f>IFERROR(__xludf.DUMMYFUNCTION("""COMPUTED_VALUE"""),"syltare")</f>
        <v>syltare</v>
      </c>
      <c r="B11294" s="3" t="str">
        <f>IFERROR(__xludf.DUMMYFUNCTION("""COMPUTED_VALUE"""),"syl")</f>
        <v>syl</v>
      </c>
      <c r="C11294" s="3" t="str">
        <f>IFERROR(__xludf.DUMMYFUNCTION("""COMPUTED_VALUE"""),"SYLTARE")</f>
        <v>SYLTARE</v>
      </c>
    </row>
    <row r="11295">
      <c r="A11295" s="3" t="str">
        <f>IFERROR(__xludf.DUMMYFUNCTION("""COMPUTED_VALUE"""),"symbiosis-finance")</f>
        <v>symbiosis-finance</v>
      </c>
      <c r="B11295" s="3" t="str">
        <f>IFERROR(__xludf.DUMMYFUNCTION("""COMPUTED_VALUE"""),"sis")</f>
        <v>sis</v>
      </c>
      <c r="C11295" s="3" t="str">
        <f>IFERROR(__xludf.DUMMYFUNCTION("""COMPUTED_VALUE"""),"Symbiosis Finance")</f>
        <v>Symbiosis Finance</v>
      </c>
    </row>
    <row r="11296">
      <c r="A11296" s="3" t="str">
        <f>IFERROR(__xludf.DUMMYFUNCTION("""COMPUTED_VALUE"""),"symbol")</f>
        <v>symbol</v>
      </c>
      <c r="B11296" s="3" t="str">
        <f>IFERROR(__xludf.DUMMYFUNCTION("""COMPUTED_VALUE"""),"xym")</f>
        <v>xym</v>
      </c>
      <c r="C11296" s="3" t="str">
        <f>IFERROR(__xludf.DUMMYFUNCTION("""COMPUTED_VALUE"""),"Symbol")</f>
        <v>Symbol</v>
      </c>
    </row>
    <row r="11297">
      <c r="A11297" s="3" t="str">
        <f>IFERROR(__xludf.DUMMYFUNCTION("""COMPUTED_VALUE"""),"symmetric")</f>
        <v>symmetric</v>
      </c>
      <c r="B11297" s="3" t="str">
        <f>IFERROR(__xludf.DUMMYFUNCTION("""COMPUTED_VALUE"""),"symm")</f>
        <v>symm</v>
      </c>
      <c r="C11297" s="3" t="str">
        <f>IFERROR(__xludf.DUMMYFUNCTION("""COMPUTED_VALUE"""),"Symmetric")</f>
        <v>Symmetric</v>
      </c>
    </row>
    <row r="11298">
      <c r="A11298" s="3" t="str">
        <f>IFERROR(__xludf.DUMMYFUNCTION("""COMPUTED_VALUE"""),"symverse")</f>
        <v>symverse</v>
      </c>
      <c r="B11298" s="3" t="str">
        <f>IFERROR(__xludf.DUMMYFUNCTION("""COMPUTED_VALUE"""),"sym")</f>
        <v>sym</v>
      </c>
      <c r="C11298" s="3" t="str">
        <f>IFERROR(__xludf.DUMMYFUNCTION("""COMPUTED_VALUE"""),"SymVerse")</f>
        <v>SymVerse</v>
      </c>
    </row>
    <row r="11299">
      <c r="A11299" s="3" t="str">
        <f>IFERROR(__xludf.DUMMYFUNCTION("""COMPUTED_VALUE"""),"synapse-2")</f>
        <v>synapse-2</v>
      </c>
      <c r="B11299" s="3" t="str">
        <f>IFERROR(__xludf.DUMMYFUNCTION("""COMPUTED_VALUE"""),"syn")</f>
        <v>syn</v>
      </c>
      <c r="C11299" s="3" t="str">
        <f>IFERROR(__xludf.DUMMYFUNCTION("""COMPUTED_VALUE"""),"Synapse")</f>
        <v>Synapse</v>
      </c>
    </row>
    <row r="11300">
      <c r="A11300" s="3" t="str">
        <f>IFERROR(__xludf.DUMMYFUNCTION("""COMPUTED_VALUE"""),"synapse-network")</f>
        <v>synapse-network</v>
      </c>
      <c r="B11300" s="3" t="str">
        <f>IFERROR(__xludf.DUMMYFUNCTION("""COMPUTED_VALUE"""),"snp")</f>
        <v>snp</v>
      </c>
      <c r="C11300" s="3" t="str">
        <f>IFERROR(__xludf.DUMMYFUNCTION("""COMPUTED_VALUE"""),"Synapse Network")</f>
        <v>Synapse Network</v>
      </c>
    </row>
    <row r="11301">
      <c r="A11301" s="3" t="str">
        <f>IFERROR(__xludf.DUMMYFUNCTION("""COMPUTED_VALUE"""),"syncdao-governance")</f>
        <v>syncdao-governance</v>
      </c>
      <c r="B11301" s="3" t="str">
        <f>IFERROR(__xludf.DUMMYFUNCTION("""COMPUTED_VALUE"""),"sdg")</f>
        <v>sdg</v>
      </c>
      <c r="C11301" s="3" t="str">
        <f>IFERROR(__xludf.DUMMYFUNCTION("""COMPUTED_VALUE"""),"SyncDAO Governance")</f>
        <v>SyncDAO Governance</v>
      </c>
    </row>
    <row r="11302">
      <c r="A11302" s="3" t="str">
        <f>IFERROR(__xludf.DUMMYFUNCTION("""COMPUTED_VALUE"""),"synchrobitcoin")</f>
        <v>synchrobitcoin</v>
      </c>
      <c r="B11302" s="3" t="str">
        <f>IFERROR(__xludf.DUMMYFUNCTION("""COMPUTED_VALUE"""),"snb")</f>
        <v>snb</v>
      </c>
      <c r="C11302" s="3" t="str">
        <f>IFERROR(__xludf.DUMMYFUNCTION("""COMPUTED_VALUE"""),"SynchroBitcoin")</f>
        <v>SynchroBitcoin</v>
      </c>
    </row>
    <row r="11303">
      <c r="A11303" s="3" t="str">
        <f>IFERROR(__xludf.DUMMYFUNCTION("""COMPUTED_VALUE"""),"synchrocoin")</f>
        <v>synchrocoin</v>
      </c>
      <c r="B11303" s="3" t="str">
        <f>IFERROR(__xludf.DUMMYFUNCTION("""COMPUTED_VALUE"""),"syc")</f>
        <v>syc</v>
      </c>
      <c r="C11303" s="3" t="str">
        <f>IFERROR(__xludf.DUMMYFUNCTION("""COMPUTED_VALUE"""),"SynchroCoin")</f>
        <v>SynchroCoin</v>
      </c>
    </row>
    <row r="11304">
      <c r="A11304" s="3" t="str">
        <f>IFERROR(__xludf.DUMMYFUNCTION("""COMPUTED_VALUE"""),"synchrony")</f>
        <v>synchrony</v>
      </c>
      <c r="B11304" s="3" t="str">
        <f>IFERROR(__xludf.DUMMYFUNCTION("""COMPUTED_VALUE"""),"scy")</f>
        <v>scy</v>
      </c>
      <c r="C11304" s="3" t="str">
        <f>IFERROR(__xludf.DUMMYFUNCTION("""COMPUTED_VALUE"""),"Synchrony")</f>
        <v>Synchrony</v>
      </c>
    </row>
    <row r="11305">
      <c r="A11305" s="3" t="str">
        <f>IFERROR(__xludf.DUMMYFUNCTION("""COMPUTED_VALUE"""),"sync-network")</f>
        <v>sync-network</v>
      </c>
      <c r="B11305" s="3" t="str">
        <f>IFERROR(__xludf.DUMMYFUNCTION("""COMPUTED_VALUE"""),"sync")</f>
        <v>sync</v>
      </c>
      <c r="C11305" s="3" t="str">
        <f>IFERROR(__xludf.DUMMYFUNCTION("""COMPUTED_VALUE"""),"Sync Network")</f>
        <v>Sync Network</v>
      </c>
    </row>
    <row r="11306">
      <c r="A11306" s="3" t="str">
        <f>IFERROR(__xludf.DUMMYFUNCTION("""COMPUTED_VALUE"""),"syndicate-2")</f>
        <v>syndicate-2</v>
      </c>
      <c r="B11306" s="3" t="str">
        <f>IFERROR(__xludf.DUMMYFUNCTION("""COMPUTED_VALUE"""),"synr")</f>
        <v>synr</v>
      </c>
      <c r="C11306" s="3" t="str">
        <f>IFERROR(__xludf.DUMMYFUNCTION("""COMPUTED_VALUE"""),"MOBLAND")</f>
        <v>MOBLAND</v>
      </c>
    </row>
    <row r="11307">
      <c r="A11307" s="3" t="str">
        <f>IFERROR(__xludf.DUMMYFUNCTION("""COMPUTED_VALUE"""),"syndromeswap")</f>
        <v>syndromeswap</v>
      </c>
      <c r="B11307" s="3" t="str">
        <f>IFERROR(__xludf.DUMMYFUNCTION("""COMPUTED_VALUE"""),"sdm")</f>
        <v>sdm</v>
      </c>
      <c r="C11307" s="3" t="str">
        <f>IFERROR(__xludf.DUMMYFUNCTION("""COMPUTED_VALUE"""),"Syndromeswap")</f>
        <v>Syndromeswap</v>
      </c>
    </row>
    <row r="11308">
      <c r="A11308" s="3" t="str">
        <f>IFERROR(__xludf.DUMMYFUNCTION("""COMPUTED_VALUE"""),"synesis-one")</f>
        <v>synesis-one</v>
      </c>
      <c r="B11308" s="3" t="str">
        <f>IFERROR(__xludf.DUMMYFUNCTION("""COMPUTED_VALUE"""),"sns")</f>
        <v>sns</v>
      </c>
      <c r="C11308" s="3" t="str">
        <f>IFERROR(__xludf.DUMMYFUNCTION("""COMPUTED_VALUE"""),"Synesis One")</f>
        <v>Synesis One</v>
      </c>
    </row>
    <row r="11309">
      <c r="A11309" s="3" t="str">
        <f>IFERROR(__xludf.DUMMYFUNCTION("""COMPUTED_VALUE"""),"synex-coin")</f>
        <v>synex-coin</v>
      </c>
      <c r="B11309" s="3" t="str">
        <f>IFERROR(__xludf.DUMMYFUNCTION("""COMPUTED_VALUE"""),"minecraft")</f>
        <v>minecraft</v>
      </c>
      <c r="C11309" s="3" t="str">
        <f>IFERROR(__xludf.DUMMYFUNCTION("""COMPUTED_VALUE"""),"Synex Coin")</f>
        <v>Synex Coin</v>
      </c>
    </row>
    <row r="11310">
      <c r="A11310" s="3" t="str">
        <f>IFERROR(__xludf.DUMMYFUNCTION("""COMPUTED_VALUE"""),"synthetic-ftt")</f>
        <v>synthetic-ftt</v>
      </c>
      <c r="B11310" s="3" t="str">
        <f>IFERROR(__xludf.DUMMYFUNCTION("""COMPUTED_VALUE"""),"xftt")</f>
        <v>xftt</v>
      </c>
      <c r="C11310" s="3" t="str">
        <f>IFERROR(__xludf.DUMMYFUNCTION("""COMPUTED_VALUE"""),"Synthetic FTT")</f>
        <v>Synthetic FTT</v>
      </c>
    </row>
    <row r="11311">
      <c r="A11311" s="3" t="str">
        <f>IFERROR(__xludf.DUMMYFUNCTION("""COMPUTED_VALUE"""),"synthetic-sol")</f>
        <v>synthetic-sol</v>
      </c>
      <c r="B11311" s="3" t="str">
        <f>IFERROR(__xludf.DUMMYFUNCTION("""COMPUTED_VALUE"""),"xsol")</f>
        <v>xsol</v>
      </c>
      <c r="C11311" s="3" t="str">
        <f>IFERROR(__xludf.DUMMYFUNCTION("""COMPUTED_VALUE"""),"Synthetic SOL")</f>
        <v>Synthetic SOL</v>
      </c>
    </row>
    <row r="11312">
      <c r="A11312" s="3" t="str">
        <f>IFERROR(__xludf.DUMMYFUNCTION("""COMPUTED_VALUE"""),"synthetic-usd")</f>
        <v>synthetic-usd</v>
      </c>
      <c r="B11312" s="3" t="str">
        <f>IFERROR(__xludf.DUMMYFUNCTION("""COMPUTED_VALUE"""),"xusd")</f>
        <v>xusd</v>
      </c>
      <c r="C11312" s="3" t="str">
        <f>IFERROR(__xludf.DUMMYFUNCTION("""COMPUTED_VALUE"""),"Synthetic USD")</f>
        <v>Synthetic USD</v>
      </c>
    </row>
    <row r="11313">
      <c r="A11313" s="3" t="str">
        <f>IFERROR(__xludf.DUMMYFUNCTION("""COMPUTED_VALUE"""),"synthetify-token")</f>
        <v>synthetify-token</v>
      </c>
      <c r="B11313" s="3" t="str">
        <f>IFERROR(__xludf.DUMMYFUNCTION("""COMPUTED_VALUE"""),"sny")</f>
        <v>sny</v>
      </c>
      <c r="C11313" s="3" t="str">
        <f>IFERROR(__xludf.DUMMYFUNCTION("""COMPUTED_VALUE"""),"Synthetify")</f>
        <v>Synthetify</v>
      </c>
    </row>
    <row r="11314">
      <c r="A11314" s="3" t="str">
        <f>IFERROR(__xludf.DUMMYFUNCTION("""COMPUTED_VALUE"""),"synth-ousd")</f>
        <v>synth-ousd</v>
      </c>
      <c r="B11314" s="3" t="str">
        <f>IFERROR(__xludf.DUMMYFUNCTION("""COMPUTED_VALUE"""),"ousd")</f>
        <v>ousd</v>
      </c>
      <c r="C11314" s="3" t="str">
        <f>IFERROR(__xludf.DUMMYFUNCTION("""COMPUTED_VALUE"""),"Synth oUSD")</f>
        <v>Synth oUSD</v>
      </c>
    </row>
    <row r="11315">
      <c r="A11315" s="3" t="str">
        <f>IFERROR(__xludf.DUMMYFUNCTION("""COMPUTED_VALUE"""),"sypool")</f>
        <v>sypool</v>
      </c>
      <c r="B11315" s="3" t="str">
        <f>IFERROR(__xludf.DUMMYFUNCTION("""COMPUTED_VALUE"""),"syp")</f>
        <v>syp</v>
      </c>
      <c r="C11315" s="3" t="str">
        <f>IFERROR(__xludf.DUMMYFUNCTION("""COMPUTED_VALUE"""),"Sypool")</f>
        <v>Sypool</v>
      </c>
    </row>
    <row r="11316">
      <c r="A11316" s="3" t="str">
        <f>IFERROR(__xludf.DUMMYFUNCTION("""COMPUTED_VALUE"""),"syscoin")</f>
        <v>syscoin</v>
      </c>
      <c r="B11316" s="3" t="str">
        <f>IFERROR(__xludf.DUMMYFUNCTION("""COMPUTED_VALUE"""),"sys")</f>
        <v>sys</v>
      </c>
      <c r="C11316" s="3" t="str">
        <f>IFERROR(__xludf.DUMMYFUNCTION("""COMPUTED_VALUE"""),"Syscoin")</f>
        <v>Syscoin</v>
      </c>
    </row>
    <row r="11317">
      <c r="A11317" s="3" t="str">
        <f>IFERROR(__xludf.DUMMYFUNCTION("""COMPUTED_VALUE"""),"t99")</f>
        <v>t99</v>
      </c>
      <c r="B11317" s="3" t="str">
        <f>IFERROR(__xludf.DUMMYFUNCTION("""COMPUTED_VALUE"""),"t99")</f>
        <v>t99</v>
      </c>
      <c r="C11317" s="3" t="str">
        <f>IFERROR(__xludf.DUMMYFUNCTION("""COMPUTED_VALUE"""),"T99")</f>
        <v>T99</v>
      </c>
    </row>
    <row r="11318">
      <c r="A11318" s="3" t="str">
        <f>IFERROR(__xludf.DUMMYFUNCTION("""COMPUTED_VALUE"""),"tabank")</f>
        <v>tabank</v>
      </c>
      <c r="B11318" s="3" t="str">
        <f>IFERROR(__xludf.DUMMYFUNCTION("""COMPUTED_VALUE"""),"tab")</f>
        <v>tab</v>
      </c>
      <c r="C11318" s="3" t="str">
        <f>IFERROR(__xludf.DUMMYFUNCTION("""COMPUTED_VALUE"""),"Tabank")</f>
        <v>Tabank</v>
      </c>
    </row>
    <row r="11319">
      <c r="A11319" s="3" t="str">
        <f>IFERROR(__xludf.DUMMYFUNCTION("""COMPUTED_VALUE"""),"taboo-token")</f>
        <v>taboo-token</v>
      </c>
      <c r="B11319" s="3" t="str">
        <f>IFERROR(__xludf.DUMMYFUNCTION("""COMPUTED_VALUE"""),"taboo")</f>
        <v>taboo</v>
      </c>
      <c r="C11319" s="3" t="str">
        <f>IFERROR(__xludf.DUMMYFUNCTION("""COMPUTED_VALUE"""),"Taboo")</f>
        <v>Taboo</v>
      </c>
    </row>
    <row r="11320">
      <c r="A11320" s="3" t="str">
        <f>IFERROR(__xludf.DUMMYFUNCTION("""COMPUTED_VALUE"""),"tabtrader")</f>
        <v>tabtrader</v>
      </c>
      <c r="B11320" s="3" t="str">
        <f>IFERROR(__xludf.DUMMYFUNCTION("""COMPUTED_VALUE"""),"ttt")</f>
        <v>ttt</v>
      </c>
      <c r="C11320" s="3" t="str">
        <f>IFERROR(__xludf.DUMMYFUNCTION("""COMPUTED_VALUE"""),"TabTrader")</f>
        <v>TabTrader</v>
      </c>
    </row>
    <row r="11321">
      <c r="A11321" s="3" t="str">
        <f>IFERROR(__xludf.DUMMYFUNCTION("""COMPUTED_VALUE"""),"tacos")</f>
        <v>tacos</v>
      </c>
      <c r="B11321" s="3" t="str">
        <f>IFERROR(__xludf.DUMMYFUNCTION("""COMPUTED_VALUE"""),"taco")</f>
        <v>taco</v>
      </c>
      <c r="C11321" s="3" t="str">
        <f>IFERROR(__xludf.DUMMYFUNCTION("""COMPUTED_VALUE"""),"Tacos")</f>
        <v>Tacos</v>
      </c>
    </row>
    <row r="11322">
      <c r="A11322" s="3" t="str">
        <f>IFERROR(__xludf.DUMMYFUNCTION("""COMPUTED_VALUE"""),"tadpole-finance")</f>
        <v>tadpole-finance</v>
      </c>
      <c r="B11322" s="3" t="str">
        <f>IFERROR(__xludf.DUMMYFUNCTION("""COMPUTED_VALUE"""),"tad")</f>
        <v>tad</v>
      </c>
      <c r="C11322" s="3" t="str">
        <f>IFERROR(__xludf.DUMMYFUNCTION("""COMPUTED_VALUE"""),"Tadpole")</f>
        <v>Tadpole</v>
      </c>
    </row>
    <row r="11323">
      <c r="A11323" s="3" t="str">
        <f>IFERROR(__xludf.DUMMYFUNCTION("""COMPUTED_VALUE"""),"taf-token")</f>
        <v>taf-token</v>
      </c>
      <c r="B11323" s="3" t="str">
        <f>IFERROR(__xludf.DUMMYFUNCTION("""COMPUTED_VALUE"""),"taf")</f>
        <v>taf</v>
      </c>
      <c r="C11323" s="3" t="str">
        <f>IFERROR(__xludf.DUMMYFUNCTION("""COMPUTED_VALUE"""),"TAF")</f>
        <v>TAF</v>
      </c>
    </row>
    <row r="11324">
      <c r="A11324" s="3" t="str">
        <f>IFERROR(__xludf.DUMMYFUNCTION("""COMPUTED_VALUE"""),"tagcoin")</f>
        <v>tagcoin</v>
      </c>
      <c r="B11324" s="3" t="str">
        <f>IFERROR(__xludf.DUMMYFUNCTION("""COMPUTED_VALUE"""),"tag")</f>
        <v>tag</v>
      </c>
      <c r="C11324" s="3" t="str">
        <f>IFERROR(__xludf.DUMMYFUNCTION("""COMPUTED_VALUE"""),"Tagcoin")</f>
        <v>Tagcoin</v>
      </c>
    </row>
    <row r="11325">
      <c r="A11325" s="3" t="str">
        <f>IFERROR(__xludf.DUMMYFUNCTION("""COMPUTED_VALUE"""),"tag-protocol")</f>
        <v>tag-protocol</v>
      </c>
      <c r="B11325" s="3" t="str">
        <f>IFERROR(__xludf.DUMMYFUNCTION("""COMPUTED_VALUE"""),"tag")</f>
        <v>tag</v>
      </c>
      <c r="C11325" s="3" t="str">
        <f>IFERROR(__xludf.DUMMYFUNCTION("""COMPUTED_VALUE"""),"Tag Protocol")</f>
        <v>Tag Protocol</v>
      </c>
    </row>
    <row r="11326">
      <c r="A11326" s="3" t="str">
        <f>IFERROR(__xludf.DUMMYFUNCTION("""COMPUTED_VALUE"""),"tagrcoin")</f>
        <v>tagrcoin</v>
      </c>
      <c r="B11326" s="3" t="str">
        <f>IFERROR(__xludf.DUMMYFUNCTION("""COMPUTED_VALUE"""),"tagr")</f>
        <v>tagr</v>
      </c>
      <c r="C11326" s="3" t="str">
        <f>IFERROR(__xludf.DUMMYFUNCTION("""COMPUTED_VALUE"""),"TAGRcoin")</f>
        <v>TAGRcoin</v>
      </c>
    </row>
    <row r="11327">
      <c r="A11327" s="3" t="str">
        <f>IFERROR(__xludf.DUMMYFUNCTION("""COMPUTED_VALUE"""),"tahu")</f>
        <v>tahu</v>
      </c>
      <c r="B11327" s="3" t="str">
        <f>IFERROR(__xludf.DUMMYFUNCTION("""COMPUTED_VALUE"""),"tahu")</f>
        <v>tahu</v>
      </c>
      <c r="C11327" s="3" t="str">
        <f>IFERROR(__xludf.DUMMYFUNCTION("""COMPUTED_VALUE"""),"TAHU")</f>
        <v>TAHU</v>
      </c>
    </row>
    <row r="11328">
      <c r="A11328" s="3" t="str">
        <f>IFERROR(__xludf.DUMMYFUNCTION("""COMPUTED_VALUE"""),"tai")</f>
        <v>tai</v>
      </c>
      <c r="B11328" s="3" t="str">
        <f>IFERROR(__xludf.DUMMYFUNCTION("""COMPUTED_VALUE"""),"tai")</f>
        <v>tai</v>
      </c>
      <c r="C11328" s="3" t="str">
        <f>IFERROR(__xludf.DUMMYFUNCTION("""COMPUTED_VALUE"""),"tBridge")</f>
        <v>tBridge</v>
      </c>
    </row>
    <row r="11329">
      <c r="A11329" s="3" t="str">
        <f>IFERROR(__xludf.DUMMYFUNCTION("""COMPUTED_VALUE"""),"taiga")</f>
        <v>taiga</v>
      </c>
      <c r="B11329" s="3" t="str">
        <f>IFERROR(__xludf.DUMMYFUNCTION("""COMPUTED_VALUE"""),"tai")</f>
        <v>tai</v>
      </c>
      <c r="C11329" s="3" t="str">
        <f>IFERROR(__xludf.DUMMYFUNCTION("""COMPUTED_VALUE"""),"Taiga")</f>
        <v>Taiga</v>
      </c>
    </row>
    <row r="11330">
      <c r="A11330" s="3" t="str">
        <f>IFERROR(__xludf.DUMMYFUNCTION("""COMPUTED_VALUE"""),"tails")</f>
        <v>tails</v>
      </c>
      <c r="B11330" s="3" t="str">
        <f>IFERROR(__xludf.DUMMYFUNCTION("""COMPUTED_VALUE"""),"tails")</f>
        <v>tails</v>
      </c>
      <c r="C11330" s="3" t="str">
        <f>IFERROR(__xludf.DUMMYFUNCTION("""COMPUTED_VALUE"""),"Tails")</f>
        <v>Tails</v>
      </c>
    </row>
    <row r="11331">
      <c r="A11331" s="3" t="str">
        <f>IFERROR(__xludf.DUMMYFUNCTION("""COMPUTED_VALUE"""),"tajcoin")</f>
        <v>tajcoin</v>
      </c>
      <c r="B11331" s="3" t="str">
        <f>IFERROR(__xludf.DUMMYFUNCTION("""COMPUTED_VALUE"""),"taj")</f>
        <v>taj</v>
      </c>
      <c r="C11331" s="3" t="str">
        <f>IFERROR(__xludf.DUMMYFUNCTION("""COMPUTED_VALUE"""),"TajCoin")</f>
        <v>TajCoin</v>
      </c>
    </row>
    <row r="11332">
      <c r="A11332" s="3" t="str">
        <f>IFERROR(__xludf.DUMMYFUNCTION("""COMPUTED_VALUE"""),"takamaka-green-coin")</f>
        <v>takamaka-green-coin</v>
      </c>
      <c r="B11332" s="3" t="str">
        <f>IFERROR(__xludf.DUMMYFUNCTION("""COMPUTED_VALUE"""),"tkg")</f>
        <v>tkg</v>
      </c>
      <c r="C11332" s="3" t="str">
        <f>IFERROR(__xludf.DUMMYFUNCTION("""COMPUTED_VALUE"""),"Takamaka Green Coin")</f>
        <v>Takamaka Green Coin</v>
      </c>
    </row>
    <row r="11333">
      <c r="A11333" s="3" t="str">
        <f>IFERROR(__xludf.DUMMYFUNCTION("""COMPUTED_VALUE"""),"takeda-shin")</f>
        <v>takeda-shin</v>
      </c>
      <c r="B11333" s="3" t="str">
        <f>IFERROR(__xludf.DUMMYFUNCTION("""COMPUTED_VALUE"""),"takeda")</f>
        <v>takeda</v>
      </c>
      <c r="C11333" s="3" t="str">
        <f>IFERROR(__xludf.DUMMYFUNCTION("""COMPUTED_VALUE"""),"Takeda Shin")</f>
        <v>Takeda Shin</v>
      </c>
    </row>
    <row r="11334">
      <c r="A11334" s="3" t="str">
        <f>IFERROR(__xludf.DUMMYFUNCTION("""COMPUTED_VALUE"""),"takepile")</f>
        <v>takepile</v>
      </c>
      <c r="B11334" s="3" t="str">
        <f>IFERROR(__xludf.DUMMYFUNCTION("""COMPUTED_VALUE"""),"take")</f>
        <v>take</v>
      </c>
      <c r="C11334" s="3" t="str">
        <f>IFERROR(__xludf.DUMMYFUNCTION("""COMPUTED_VALUE"""),"Takepile")</f>
        <v>Takepile</v>
      </c>
    </row>
    <row r="11335">
      <c r="A11335" s="3" t="str">
        <f>IFERROR(__xludf.DUMMYFUNCTION("""COMPUTED_VALUE"""),"taki")</f>
        <v>taki</v>
      </c>
      <c r="B11335" s="3" t="str">
        <f>IFERROR(__xludf.DUMMYFUNCTION("""COMPUTED_VALUE"""),"taki")</f>
        <v>taki</v>
      </c>
      <c r="C11335" s="3" t="str">
        <f>IFERROR(__xludf.DUMMYFUNCTION("""COMPUTED_VALUE"""),"Taki")</f>
        <v>Taki</v>
      </c>
    </row>
    <row r="11336">
      <c r="A11336" s="3" t="str">
        <f>IFERROR(__xludf.DUMMYFUNCTION("""COMPUTED_VALUE"""),"taklimakan-network")</f>
        <v>taklimakan-network</v>
      </c>
      <c r="B11336" s="3" t="str">
        <f>IFERROR(__xludf.DUMMYFUNCTION("""COMPUTED_VALUE"""),"tan")</f>
        <v>tan</v>
      </c>
      <c r="C11336" s="3" t="str">
        <f>IFERROR(__xludf.DUMMYFUNCTION("""COMPUTED_VALUE"""),"Taklimakan Network")</f>
        <v>Taklimakan Network</v>
      </c>
    </row>
    <row r="11337">
      <c r="A11337" s="3" t="str">
        <f>IFERROR(__xludf.DUMMYFUNCTION("""COMPUTED_VALUE"""),"tako-token")</f>
        <v>tako-token</v>
      </c>
      <c r="B11337" s="3" t="str">
        <f>IFERROR(__xludf.DUMMYFUNCTION("""COMPUTED_VALUE"""),"tako")</f>
        <v>tako</v>
      </c>
      <c r="C11337" s="3" t="str">
        <f>IFERROR(__xludf.DUMMYFUNCTION("""COMPUTED_VALUE"""),"Tako")</f>
        <v>Tako</v>
      </c>
    </row>
    <row r="11338">
      <c r="A11338" s="3" t="str">
        <f>IFERROR(__xludf.DUMMYFUNCTION("""COMPUTED_VALUE"""),"talaria-inu")</f>
        <v>talaria-inu</v>
      </c>
      <c r="B11338" s="3" t="str">
        <f>IFERROR(__xludf.DUMMYFUNCTION("""COMPUTED_VALUE"""),"tali")</f>
        <v>tali</v>
      </c>
      <c r="C11338" s="3" t="str">
        <f>IFERROR(__xludf.DUMMYFUNCTION("""COMPUTED_VALUE"""),"Talaria Inu")</f>
        <v>Talaria Inu</v>
      </c>
    </row>
    <row r="11339">
      <c r="A11339" s="3" t="str">
        <f>IFERROR(__xludf.DUMMYFUNCTION("""COMPUTED_VALUE"""),"talecraft")</f>
        <v>talecraft</v>
      </c>
      <c r="B11339" s="3" t="str">
        <f>IFERROR(__xludf.DUMMYFUNCTION("""COMPUTED_VALUE"""),"craft")</f>
        <v>craft</v>
      </c>
      <c r="C11339" s="3" t="str">
        <f>IFERROR(__xludf.DUMMYFUNCTION("""COMPUTED_VALUE"""),"TaleCraft")</f>
        <v>TaleCraft</v>
      </c>
    </row>
    <row r="11340">
      <c r="A11340" s="3" t="str">
        <f>IFERROR(__xludf.DUMMYFUNCTION("""COMPUTED_VALUE"""),"talent")</f>
        <v>talent</v>
      </c>
      <c r="B11340" s="3" t="str">
        <f>IFERROR(__xludf.DUMMYFUNCTION("""COMPUTED_VALUE"""),"tnt")</f>
        <v>tnt</v>
      </c>
      <c r="C11340" s="3" t="str">
        <f>IFERROR(__xludf.DUMMYFUNCTION("""COMPUTED_VALUE"""),"Talent")</f>
        <v>Talent</v>
      </c>
    </row>
    <row r="11341">
      <c r="A11341" s="3" t="str">
        <f>IFERROR(__xludf.DUMMYFUNCTION("""COMPUTED_VALUE"""),"talentcoin")</f>
        <v>talentcoin</v>
      </c>
      <c r="B11341" s="3" t="str">
        <f>IFERROR(__xludf.DUMMYFUNCTION("""COMPUTED_VALUE"""),"tlnt")</f>
        <v>tlnt</v>
      </c>
      <c r="C11341" s="3" t="str">
        <f>IFERROR(__xludf.DUMMYFUNCTION("""COMPUTED_VALUE"""),"TalentCoin")</f>
        <v>TalentCoin</v>
      </c>
    </row>
    <row r="11342">
      <c r="A11342" s="3" t="str">
        <f>IFERROR(__xludf.DUMMYFUNCTION("""COMPUTED_VALUE"""),"talent-coin")</f>
        <v>talent-coin</v>
      </c>
      <c r="B11342" s="3" t="str">
        <f>IFERROR(__xludf.DUMMYFUNCTION("""COMPUTED_VALUE"""),"tlnt")</f>
        <v>tlnt</v>
      </c>
      <c r="C11342" s="3" t="str">
        <f>IFERROR(__xludf.DUMMYFUNCTION("""COMPUTED_VALUE"""),"Talent Coin")</f>
        <v>Talent Coin</v>
      </c>
    </row>
    <row r="11343">
      <c r="A11343" s="3" t="str">
        <f>IFERROR(__xludf.DUMMYFUNCTION("""COMPUTED_VALUE"""),"talent-token")</f>
        <v>talent-token</v>
      </c>
      <c r="B11343" s="3" t="str">
        <f>IFERROR(__xludf.DUMMYFUNCTION("""COMPUTED_VALUE"""),"ttx")</f>
        <v>ttx</v>
      </c>
      <c r="C11343" s="3" t="str">
        <f>IFERROR(__xludf.DUMMYFUNCTION("""COMPUTED_VALUE"""),"Talent TTX")</f>
        <v>Talent TTX</v>
      </c>
    </row>
    <row r="11344">
      <c r="A11344" s="3" t="str">
        <f>IFERROR(__xludf.DUMMYFUNCTION("""COMPUTED_VALUE"""),"tale-of-chain")</f>
        <v>tale-of-chain</v>
      </c>
      <c r="B11344" s="3" t="str">
        <f>IFERROR(__xludf.DUMMYFUNCTION("""COMPUTED_VALUE"""),"tale")</f>
        <v>tale</v>
      </c>
      <c r="C11344" s="3" t="str">
        <f>IFERROR(__xludf.DUMMYFUNCTION("""COMPUTED_VALUE"""),"Tales Of Chain")</f>
        <v>Tales Of Chain</v>
      </c>
    </row>
    <row r="11345">
      <c r="A11345" s="3" t="str">
        <f>IFERROR(__xludf.DUMMYFUNCTION("""COMPUTED_VALUE"""),"taler")</f>
        <v>taler</v>
      </c>
      <c r="B11345" s="3" t="str">
        <f>IFERROR(__xludf.DUMMYFUNCTION("""COMPUTED_VALUE"""),"tlr")</f>
        <v>tlr</v>
      </c>
      <c r="C11345" s="3" t="str">
        <f>IFERROR(__xludf.DUMMYFUNCTION("""COMPUTED_VALUE"""),"Taler")</f>
        <v>Taler</v>
      </c>
    </row>
    <row r="11346">
      <c r="A11346" s="3" t="str">
        <f>IFERROR(__xludf.DUMMYFUNCTION("""COMPUTED_VALUE"""),"talkado")</f>
        <v>talkado</v>
      </c>
      <c r="B11346" s="3" t="str">
        <f>IFERROR(__xludf.DUMMYFUNCTION("""COMPUTED_VALUE"""),"talk")</f>
        <v>talk</v>
      </c>
      <c r="C11346" s="3" t="str">
        <f>IFERROR(__xludf.DUMMYFUNCTION("""COMPUTED_VALUE"""),"Talkado")</f>
        <v>Talkado</v>
      </c>
    </row>
    <row r="11347">
      <c r="A11347" s="3" t="str">
        <f>IFERROR(__xludf.DUMMYFUNCTION("""COMPUTED_VALUE"""),"talken")</f>
        <v>talken</v>
      </c>
      <c r="B11347" s="3" t="str">
        <f>IFERROR(__xludf.DUMMYFUNCTION("""COMPUTED_VALUE"""),"talk")</f>
        <v>talk</v>
      </c>
      <c r="C11347" s="3" t="str">
        <f>IFERROR(__xludf.DUMMYFUNCTION("""COMPUTED_VALUE"""),"Talken")</f>
        <v>Talken</v>
      </c>
    </row>
    <row r="11348">
      <c r="A11348" s="3" t="str">
        <f>IFERROR(__xludf.DUMMYFUNCTION("""COMPUTED_VALUE"""),"tamadoge")</f>
        <v>tamadoge</v>
      </c>
      <c r="B11348" s="3" t="str">
        <f>IFERROR(__xludf.DUMMYFUNCTION("""COMPUTED_VALUE"""),"tama")</f>
        <v>tama</v>
      </c>
      <c r="C11348" s="3" t="str">
        <f>IFERROR(__xludf.DUMMYFUNCTION("""COMPUTED_VALUE"""),"Tamadoge")</f>
        <v>Tamadoge</v>
      </c>
    </row>
    <row r="11349">
      <c r="A11349" s="3" t="str">
        <f>IFERROR(__xludf.DUMMYFUNCTION("""COMPUTED_VALUE"""),"tama-finance")</f>
        <v>tama-finance</v>
      </c>
      <c r="B11349" s="3" t="str">
        <f>IFERROR(__xludf.DUMMYFUNCTION("""COMPUTED_VALUE"""),"tama")</f>
        <v>tama</v>
      </c>
      <c r="C11349" s="3" t="str">
        <f>IFERROR(__xludf.DUMMYFUNCTION("""COMPUTED_VALUE"""),"Tama Finance")</f>
        <v>Tama Finance</v>
      </c>
    </row>
    <row r="11350">
      <c r="A11350" s="3" t="str">
        <f>IFERROR(__xludf.DUMMYFUNCTION("""COMPUTED_VALUE"""),"tamago")</f>
        <v>tamago</v>
      </c>
      <c r="B11350" s="3" t="str">
        <f>IFERROR(__xludf.DUMMYFUNCTION("""COMPUTED_VALUE"""),"tama")</f>
        <v>tama</v>
      </c>
      <c r="C11350" s="3" t="str">
        <f>IFERROR(__xludf.DUMMYFUNCTION("""COMPUTED_VALUE"""),"Tamago")</f>
        <v>Tamago</v>
      </c>
    </row>
    <row r="11351">
      <c r="A11351" s="3" t="str">
        <f>IFERROR(__xludf.DUMMYFUNCTION("""COMPUTED_VALUE"""),"tangent")</f>
        <v>tangent</v>
      </c>
      <c r="B11351" s="3" t="str">
        <f>IFERROR(__xludf.DUMMYFUNCTION("""COMPUTED_VALUE"""),"tang")</f>
        <v>tang</v>
      </c>
      <c r="C11351" s="3" t="str">
        <f>IFERROR(__xludf.DUMMYFUNCTION("""COMPUTED_VALUE"""),"Tangent")</f>
        <v>Tangent</v>
      </c>
    </row>
    <row r="11352">
      <c r="A11352" s="3" t="str">
        <f>IFERROR(__xludf.DUMMYFUNCTION("""COMPUTED_VALUE"""),"tangle")</f>
        <v>tangle</v>
      </c>
      <c r="B11352" s="3" t="str">
        <f>IFERROR(__xludf.DUMMYFUNCTION("""COMPUTED_VALUE"""),"tngl")</f>
        <v>tngl</v>
      </c>
      <c r="C11352" s="3" t="str">
        <f>IFERROR(__xludf.DUMMYFUNCTION("""COMPUTED_VALUE"""),"Tangle")</f>
        <v>Tangle</v>
      </c>
    </row>
    <row r="11353">
      <c r="A11353" s="3" t="str">
        <f>IFERROR(__xludf.DUMMYFUNCTION("""COMPUTED_VALUE"""),"tangoswap")</f>
        <v>tangoswap</v>
      </c>
      <c r="B11353" s="3" t="str">
        <f>IFERROR(__xludf.DUMMYFUNCTION("""COMPUTED_VALUE"""),"tango")</f>
        <v>tango</v>
      </c>
      <c r="C11353" s="3" t="str">
        <f>IFERROR(__xludf.DUMMYFUNCTION("""COMPUTED_VALUE"""),"TangoSwap")</f>
        <v>TangoSwap</v>
      </c>
    </row>
    <row r="11354">
      <c r="A11354" s="3" t="str">
        <f>IFERROR(__xludf.DUMMYFUNCTION("""COMPUTED_VALUE"""),"tank-battle")</f>
        <v>tank-battle</v>
      </c>
      <c r="B11354" s="3" t="str">
        <f>IFERROR(__xludf.DUMMYFUNCTION("""COMPUTED_VALUE"""),"tbl")</f>
        <v>tbl</v>
      </c>
      <c r="C11354" s="3" t="str">
        <f>IFERROR(__xludf.DUMMYFUNCTION("""COMPUTED_VALUE"""),"Tank Battle")</f>
        <v>Tank Battle</v>
      </c>
    </row>
    <row r="11355">
      <c r="A11355" s="3" t="str">
        <f>IFERROR(__xludf.DUMMYFUNCTION("""COMPUTED_VALUE"""),"tank-gold")</f>
        <v>tank-gold</v>
      </c>
      <c r="B11355" s="3" t="str">
        <f>IFERROR(__xludf.DUMMYFUNCTION("""COMPUTED_VALUE"""),"tgold")</f>
        <v>tgold</v>
      </c>
      <c r="C11355" s="3" t="str">
        <f>IFERROR(__xludf.DUMMYFUNCTION("""COMPUTED_VALUE"""),"Tank Gold")</f>
        <v>Tank Gold</v>
      </c>
    </row>
    <row r="11356">
      <c r="A11356" s="3" t="str">
        <f>IFERROR(__xludf.DUMMYFUNCTION("""COMPUTED_VALUE"""),"tanks")</f>
        <v>tanks</v>
      </c>
      <c r="B11356" s="3" t="str">
        <f>IFERROR(__xludf.DUMMYFUNCTION("""COMPUTED_VALUE"""),"tanks")</f>
        <v>tanks</v>
      </c>
      <c r="C11356" s="3" t="str">
        <f>IFERROR(__xludf.DUMMYFUNCTION("""COMPUTED_VALUE"""),"Tanks")</f>
        <v>Tanks</v>
      </c>
    </row>
    <row r="11357">
      <c r="A11357" s="3" t="str">
        <f>IFERROR(__xludf.DUMMYFUNCTION("""COMPUTED_VALUE"""),"tanuki-token")</f>
        <v>tanuki-token</v>
      </c>
      <c r="B11357" s="3" t="str">
        <f>IFERROR(__xludf.DUMMYFUNCTION("""COMPUTED_VALUE"""),"tanuki")</f>
        <v>tanuki</v>
      </c>
      <c r="C11357" s="3" t="str">
        <f>IFERROR(__xludf.DUMMYFUNCTION("""COMPUTED_VALUE"""),"Tanuki")</f>
        <v>Tanuki</v>
      </c>
    </row>
    <row r="11358">
      <c r="A11358" s="3" t="str">
        <f>IFERROR(__xludf.DUMMYFUNCTION("""COMPUTED_VALUE"""),"tao-te-ching")</f>
        <v>tao-te-ching</v>
      </c>
      <c r="B11358" s="3" t="str">
        <f>IFERROR(__xludf.DUMMYFUNCTION("""COMPUTED_VALUE"""),"ttc")</f>
        <v>ttc</v>
      </c>
      <c r="C11358" s="3" t="str">
        <f>IFERROR(__xludf.DUMMYFUNCTION("""COMPUTED_VALUE"""),"Tao Te Ching")</f>
        <v>Tao Te Ching</v>
      </c>
    </row>
    <row r="11359">
      <c r="A11359" s="3" t="str">
        <f>IFERROR(__xludf.DUMMYFUNCTION("""COMPUTED_VALUE"""),"tap")</f>
        <v>tap</v>
      </c>
      <c r="B11359" s="3" t="str">
        <f>IFERROR(__xludf.DUMMYFUNCTION("""COMPUTED_VALUE"""),"xtp")</f>
        <v>xtp</v>
      </c>
      <c r="C11359" s="3" t="str">
        <f>IFERROR(__xludf.DUMMYFUNCTION("""COMPUTED_VALUE"""),"Tap")</f>
        <v>Tap</v>
      </c>
    </row>
    <row r="11360">
      <c r="A11360" s="3" t="str">
        <f>IFERROR(__xludf.DUMMYFUNCTION("""COMPUTED_VALUE"""),"tap-fantasy")</f>
        <v>tap-fantasy</v>
      </c>
      <c r="B11360" s="3" t="str">
        <f>IFERROR(__xludf.DUMMYFUNCTION("""COMPUTED_VALUE"""),"tap")</f>
        <v>tap</v>
      </c>
      <c r="C11360" s="3" t="str">
        <f>IFERROR(__xludf.DUMMYFUNCTION("""COMPUTED_VALUE"""),"Tap Fantasy")</f>
        <v>Tap Fantasy</v>
      </c>
    </row>
    <row r="11361">
      <c r="A11361" s="3" t="str">
        <f>IFERROR(__xludf.DUMMYFUNCTION("""COMPUTED_VALUE"""),"tap-fantasy-gold")</f>
        <v>tap-fantasy-gold</v>
      </c>
      <c r="B11361" s="3" t="str">
        <f>IFERROR(__xludf.DUMMYFUNCTION("""COMPUTED_VALUE"""),"tfgold")</f>
        <v>tfgold</v>
      </c>
      <c r="C11361" s="3" t="str">
        <f>IFERROR(__xludf.DUMMYFUNCTION("""COMPUTED_VALUE"""),"Tap Fantasy Gold")</f>
        <v>Tap Fantasy Gold</v>
      </c>
    </row>
    <row r="11362">
      <c r="A11362" s="3" t="str">
        <f>IFERROR(__xludf.DUMMYFUNCTION("""COMPUTED_VALUE"""),"tap-fantasy-mc")</f>
        <v>tap-fantasy-mc</v>
      </c>
      <c r="B11362" s="3" t="str">
        <f>IFERROR(__xludf.DUMMYFUNCTION("""COMPUTED_VALUE"""),"tfmc")</f>
        <v>tfmc</v>
      </c>
      <c r="C11362" s="3" t="str">
        <f>IFERROR(__xludf.DUMMYFUNCTION("""COMPUTED_VALUE"""),"Tap Fantasy MC")</f>
        <v>Tap Fantasy MC</v>
      </c>
    </row>
    <row r="11363">
      <c r="A11363" s="3" t="str">
        <f>IFERROR(__xludf.DUMMYFUNCTION("""COMPUTED_VALUE"""),"tapio-protocol")</f>
        <v>tapio-protocol</v>
      </c>
      <c r="B11363" s="3" t="str">
        <f>IFERROR(__xludf.DUMMYFUNCTION("""COMPUTED_VALUE"""),"tap")</f>
        <v>tap</v>
      </c>
      <c r="C11363" s="3" t="str">
        <f>IFERROR(__xludf.DUMMYFUNCTION("""COMPUTED_VALUE"""),"Tapio Protocol")</f>
        <v>Tapio Protocol</v>
      </c>
    </row>
    <row r="11364">
      <c r="A11364" s="3" t="str">
        <f>IFERROR(__xludf.DUMMYFUNCTION("""COMPUTED_VALUE"""),"tapme-token")</f>
        <v>tapme-token</v>
      </c>
      <c r="B11364" s="3" t="str">
        <f>IFERROR(__xludf.DUMMYFUNCTION("""COMPUTED_VALUE"""),"tap")</f>
        <v>tap</v>
      </c>
      <c r="C11364" s="3" t="str">
        <f>IFERROR(__xludf.DUMMYFUNCTION("""COMPUTED_VALUE"""),"TAPME")</f>
        <v>TAPME</v>
      </c>
    </row>
    <row r="11365">
      <c r="A11365" s="3" t="str">
        <f>IFERROR(__xludf.DUMMYFUNCTION("""COMPUTED_VALUE"""),"tapmydata")</f>
        <v>tapmydata</v>
      </c>
      <c r="B11365" s="3" t="str">
        <f>IFERROR(__xludf.DUMMYFUNCTION("""COMPUTED_VALUE"""),"tap")</f>
        <v>tap</v>
      </c>
      <c r="C11365" s="3" t="str">
        <f>IFERROR(__xludf.DUMMYFUNCTION("""COMPUTED_VALUE"""),"TapX")</f>
        <v>TapX</v>
      </c>
    </row>
    <row r="11366">
      <c r="A11366" s="3" t="str">
        <f>IFERROR(__xludf.DUMMYFUNCTION("""COMPUTED_VALUE"""),"tarality")</f>
        <v>tarality</v>
      </c>
      <c r="B11366" s="3" t="str">
        <f>IFERROR(__xludf.DUMMYFUNCTION("""COMPUTED_VALUE"""),"taral")</f>
        <v>taral</v>
      </c>
      <c r="C11366" s="3" t="str">
        <f>IFERROR(__xludf.DUMMYFUNCTION("""COMPUTED_VALUE"""),"Tarality")</f>
        <v>Tarality</v>
      </c>
    </row>
    <row r="11367">
      <c r="A11367" s="3" t="str">
        <f>IFERROR(__xludf.DUMMYFUNCTION("""COMPUTED_VALUE"""),"taraxa")</f>
        <v>taraxa</v>
      </c>
      <c r="B11367" s="3" t="str">
        <f>IFERROR(__xludf.DUMMYFUNCTION("""COMPUTED_VALUE"""),"tara")</f>
        <v>tara</v>
      </c>
      <c r="C11367" s="3" t="str">
        <f>IFERROR(__xludf.DUMMYFUNCTION("""COMPUTED_VALUE"""),"Taraxa")</f>
        <v>Taraxa</v>
      </c>
    </row>
    <row r="11368">
      <c r="A11368" s="3" t="str">
        <f>IFERROR(__xludf.DUMMYFUNCTION("""COMPUTED_VALUE"""),"tardigrades-finance")</f>
        <v>tardigrades-finance</v>
      </c>
      <c r="B11368" s="3" t="str">
        <f>IFERROR(__xludf.DUMMYFUNCTION("""COMPUTED_VALUE"""),"trdg")</f>
        <v>trdg</v>
      </c>
      <c r="C11368" s="3" t="str">
        <f>IFERROR(__xludf.DUMMYFUNCTION("""COMPUTED_VALUE"""),"TRDGtoken")</f>
        <v>TRDGtoken</v>
      </c>
    </row>
    <row r="11369">
      <c r="A11369" s="3" t="str">
        <f>IFERROR(__xludf.DUMMYFUNCTION("""COMPUTED_VALUE"""),"tari-world")</f>
        <v>tari-world</v>
      </c>
      <c r="B11369" s="3" t="str">
        <f>IFERROR(__xludf.DUMMYFUNCTION("""COMPUTED_VALUE"""),"tari")</f>
        <v>tari</v>
      </c>
      <c r="C11369" s="3" t="str">
        <f>IFERROR(__xludf.DUMMYFUNCTION("""COMPUTED_VALUE"""),"Tari World")</f>
        <v>Tari World</v>
      </c>
    </row>
    <row r="11370">
      <c r="A11370" s="3" t="str">
        <f>IFERROR(__xludf.DUMMYFUNCTION("""COMPUTED_VALUE"""),"tarot")</f>
        <v>tarot</v>
      </c>
      <c r="B11370" s="3" t="str">
        <f>IFERROR(__xludf.DUMMYFUNCTION("""COMPUTED_VALUE"""),"tarot")</f>
        <v>tarot</v>
      </c>
      <c r="C11370" s="3" t="str">
        <f>IFERROR(__xludf.DUMMYFUNCTION("""COMPUTED_VALUE"""),"Tarot")</f>
        <v>Tarot</v>
      </c>
    </row>
    <row r="11371">
      <c r="A11371" s="3" t="str">
        <f>IFERROR(__xludf.DUMMYFUNCTION("""COMPUTED_VALUE"""),"taroverse")</f>
        <v>taroverse</v>
      </c>
      <c r="B11371" s="3" t="str">
        <f>IFERROR(__xludf.DUMMYFUNCTION("""COMPUTED_VALUE"""),"taro")</f>
        <v>taro</v>
      </c>
      <c r="C11371" s="3" t="str">
        <f>IFERROR(__xludf.DUMMYFUNCTION("""COMPUTED_VALUE"""),"Taroverse")</f>
        <v>Taroverse</v>
      </c>
    </row>
    <row r="11372">
      <c r="A11372" s="3" t="str">
        <f>IFERROR(__xludf.DUMMYFUNCTION("""COMPUTED_VALUE"""),"taroverse-gold")</f>
        <v>taroverse-gold</v>
      </c>
      <c r="B11372" s="3" t="str">
        <f>IFERROR(__xludf.DUMMYFUNCTION("""COMPUTED_VALUE"""),"tgold")</f>
        <v>tgold</v>
      </c>
      <c r="C11372" s="3" t="str">
        <f>IFERROR(__xludf.DUMMYFUNCTION("""COMPUTED_VALUE"""),"Taroverse Gold")</f>
        <v>Taroverse Gold</v>
      </c>
    </row>
    <row r="11373">
      <c r="A11373" s="3" t="str">
        <f>IFERROR(__xludf.DUMMYFUNCTION("""COMPUTED_VALUE"""),"tars")</f>
        <v>tars</v>
      </c>
      <c r="B11373" s="3" t="str">
        <f>IFERROR(__xludf.DUMMYFUNCTION("""COMPUTED_VALUE"""),"tars")</f>
        <v>tars</v>
      </c>
      <c r="C11373" s="3" t="str">
        <f>IFERROR(__xludf.DUMMYFUNCTION("""COMPUTED_VALUE"""),"TARS")</f>
        <v>TARS</v>
      </c>
    </row>
    <row r="11374">
      <c r="A11374" s="3" t="str">
        <f>IFERROR(__xludf.DUMMYFUNCTION("""COMPUTED_VALUE"""),"tart")</f>
        <v>tart</v>
      </c>
      <c r="B11374" s="3" t="str">
        <f>IFERROR(__xludf.DUMMYFUNCTION("""COMPUTED_VALUE"""),"tart")</f>
        <v>tart</v>
      </c>
      <c r="C11374" s="3" t="str">
        <f>IFERROR(__xludf.DUMMYFUNCTION("""COMPUTED_VALUE"""),"Tartarus Finance")</f>
        <v>Tartarus Finance</v>
      </c>
    </row>
    <row r="11375">
      <c r="A11375" s="3" t="str">
        <f>IFERROR(__xludf.DUMMYFUNCTION("""COMPUTED_VALUE"""),"tastenft")</f>
        <v>tastenft</v>
      </c>
      <c r="B11375" s="3" t="str">
        <f>IFERROR(__xludf.DUMMYFUNCTION("""COMPUTED_VALUE"""),"taste")</f>
        <v>taste</v>
      </c>
      <c r="C11375" s="3" t="str">
        <f>IFERROR(__xludf.DUMMYFUNCTION("""COMPUTED_VALUE"""),"TasteNFT")</f>
        <v>TasteNFT</v>
      </c>
    </row>
    <row r="11376">
      <c r="A11376" s="3" t="str">
        <f>IFERROR(__xludf.DUMMYFUNCTION("""COMPUTED_VALUE"""),"tate-token")</f>
        <v>tate-token</v>
      </c>
      <c r="B11376" s="3" t="str">
        <f>IFERROR(__xludf.DUMMYFUNCTION("""COMPUTED_VALUE"""),"topg")</f>
        <v>topg</v>
      </c>
      <c r="C11376" s="3" t="str">
        <f>IFERROR(__xludf.DUMMYFUNCTION("""COMPUTED_VALUE"""),"Tate Token")</f>
        <v>Tate Token</v>
      </c>
    </row>
    <row r="11377">
      <c r="A11377" s="3" t="str">
        <f>IFERROR(__xludf.DUMMYFUNCTION("""COMPUTED_VALUE"""),"tatsumeeko")</f>
        <v>tatsumeeko</v>
      </c>
      <c r="B11377" s="3" t="str">
        <f>IFERROR(__xludf.DUMMYFUNCTION("""COMPUTED_VALUE"""),"mkln")</f>
        <v>mkln</v>
      </c>
      <c r="C11377" s="3" t="str">
        <f>IFERROR(__xludf.DUMMYFUNCTION("""COMPUTED_VALUE"""),"Tatsumeeko")</f>
        <v>Tatsumeeko</v>
      </c>
    </row>
    <row r="11378">
      <c r="A11378" s="3" t="str">
        <f>IFERROR(__xludf.DUMMYFUNCTION("""COMPUTED_VALUE"""),"tattoomoney")</f>
        <v>tattoomoney</v>
      </c>
      <c r="B11378" s="3" t="str">
        <f>IFERROR(__xludf.DUMMYFUNCTION("""COMPUTED_VALUE"""),"tat2")</f>
        <v>tat2</v>
      </c>
      <c r="C11378" s="3" t="str">
        <f>IFERROR(__xludf.DUMMYFUNCTION("""COMPUTED_VALUE"""),"TattooMoney")</f>
        <v>TattooMoney</v>
      </c>
    </row>
    <row r="11379">
      <c r="A11379" s="3" t="str">
        <f>IFERROR(__xludf.DUMMYFUNCTION("""COMPUTED_VALUE"""),"tavittcoin")</f>
        <v>tavittcoin</v>
      </c>
      <c r="B11379" s="3" t="str">
        <f>IFERROR(__xludf.DUMMYFUNCTION("""COMPUTED_VALUE"""),"tavitt")</f>
        <v>tavitt</v>
      </c>
      <c r="C11379" s="3" t="str">
        <f>IFERROR(__xludf.DUMMYFUNCTION("""COMPUTED_VALUE"""),"Tavittcoin")</f>
        <v>Tavittcoin</v>
      </c>
    </row>
    <row r="11380">
      <c r="A11380" s="3" t="str">
        <f>IFERROR(__xludf.DUMMYFUNCTION("""COMPUTED_VALUE"""),"taxa-token")</f>
        <v>taxa-token</v>
      </c>
      <c r="B11380" s="3" t="str">
        <f>IFERROR(__xludf.DUMMYFUNCTION("""COMPUTED_VALUE"""),"txt")</f>
        <v>txt</v>
      </c>
      <c r="C11380" s="3" t="str">
        <f>IFERROR(__xludf.DUMMYFUNCTION("""COMPUTED_VALUE"""),"Taxa Network")</f>
        <v>Taxa Network</v>
      </c>
    </row>
    <row r="11381">
      <c r="A11381" s="3" t="str">
        <f>IFERROR(__xludf.DUMMYFUNCTION("""COMPUTED_VALUE"""),"tax-haven-inu")</f>
        <v>tax-haven-inu</v>
      </c>
      <c r="B11381" s="3" t="str">
        <f>IFERROR(__xludf.DUMMYFUNCTION("""COMPUTED_VALUE"""),"taxhaveninu")</f>
        <v>taxhaveninu</v>
      </c>
      <c r="C11381" s="3" t="str">
        <f>IFERROR(__xludf.DUMMYFUNCTION("""COMPUTED_VALUE"""),"Tax Haven Inu")</f>
        <v>Tax Haven Inu</v>
      </c>
    </row>
    <row r="11382">
      <c r="A11382" s="3" t="str">
        <f>IFERROR(__xludf.DUMMYFUNCTION("""COMPUTED_VALUE"""),"tazor")</f>
        <v>tazor</v>
      </c>
      <c r="B11382" s="3" t="str">
        <f>IFERROR(__xludf.DUMMYFUNCTION("""COMPUTED_VALUE"""),"tazor")</f>
        <v>tazor</v>
      </c>
      <c r="C11382" s="3" t="str">
        <f>IFERROR(__xludf.DUMMYFUNCTION("""COMPUTED_VALUE"""),"Tazor")</f>
        <v>Tazor</v>
      </c>
    </row>
    <row r="11383">
      <c r="A11383" s="3" t="str">
        <f>IFERROR(__xludf.DUMMYFUNCTION("""COMPUTED_VALUE"""),"tbcc")</f>
        <v>tbcc</v>
      </c>
      <c r="B11383" s="3" t="str">
        <f>IFERROR(__xludf.DUMMYFUNCTION("""COMPUTED_VALUE"""),"tbcc")</f>
        <v>tbcc</v>
      </c>
      <c r="C11383" s="3" t="str">
        <f>IFERROR(__xludf.DUMMYFUNCTION("""COMPUTED_VALUE"""),"TBCC")</f>
        <v>TBCC</v>
      </c>
    </row>
    <row r="11384">
      <c r="A11384" s="3" t="str">
        <f>IFERROR(__xludf.DUMMYFUNCTION("""COMPUTED_VALUE"""),"t-bitcoin")</f>
        <v>t-bitcoin</v>
      </c>
      <c r="B11384" s="3" t="str">
        <f>IFERROR(__xludf.DUMMYFUNCTION("""COMPUTED_VALUE"""),"tbtc")</f>
        <v>tbtc</v>
      </c>
      <c r="C11384" s="3" t="str">
        <f>IFERROR(__xludf.DUMMYFUNCTION("""COMPUTED_VALUE"""),"τBitcoin")</f>
        <v>τBitcoin</v>
      </c>
    </row>
    <row r="11385">
      <c r="A11385" s="3" t="str">
        <f>IFERROR(__xludf.DUMMYFUNCTION("""COMPUTED_VALUE"""),"tbtc")</f>
        <v>tbtc</v>
      </c>
      <c r="B11385" s="3" t="str">
        <f>IFERROR(__xludf.DUMMYFUNCTION("""COMPUTED_VALUE"""),"tbtc")</f>
        <v>tbtc</v>
      </c>
      <c r="C11385" s="3" t="str">
        <f>IFERROR(__xludf.DUMMYFUNCTION("""COMPUTED_VALUE"""),"tBTC")</f>
        <v>tBTC</v>
      </c>
    </row>
    <row r="11386">
      <c r="A11386" s="3" t="str">
        <f>IFERROR(__xludf.DUMMYFUNCTION("""COMPUTED_VALUE"""),"tcash")</f>
        <v>tcash</v>
      </c>
      <c r="B11386" s="3" t="str">
        <f>IFERROR(__xludf.DUMMYFUNCTION("""COMPUTED_VALUE"""),"tcash")</f>
        <v>tcash</v>
      </c>
      <c r="C11386" s="3" t="str">
        <f>IFERROR(__xludf.DUMMYFUNCTION("""COMPUTED_VALUE"""),"TCASH")</f>
        <v>TCASH</v>
      </c>
    </row>
    <row r="11387">
      <c r="A11387" s="3" t="str">
        <f>IFERROR(__xludf.DUMMYFUNCTION("""COMPUTED_VALUE"""),"tcgcoin")</f>
        <v>tcgcoin</v>
      </c>
      <c r="B11387" s="3" t="str">
        <f>IFERROR(__xludf.DUMMYFUNCTION("""COMPUTED_VALUE"""),"tcgcoin")</f>
        <v>tcgcoin</v>
      </c>
      <c r="C11387" s="3" t="str">
        <f>IFERROR(__xludf.DUMMYFUNCTION("""COMPUTED_VALUE"""),"TCGCoin")</f>
        <v>TCGCoin</v>
      </c>
    </row>
    <row r="11388">
      <c r="A11388" s="3" t="str">
        <f>IFERROR(__xludf.DUMMYFUNCTION("""COMPUTED_VALUE"""),"tcgcoin-2-0")</f>
        <v>tcgcoin-2-0</v>
      </c>
      <c r="B11388" s="3" t="str">
        <f>IFERROR(__xludf.DUMMYFUNCTION("""COMPUTED_VALUE"""),"tcg2")</f>
        <v>tcg2</v>
      </c>
      <c r="C11388" s="3" t="str">
        <f>IFERROR(__xludf.DUMMYFUNCTION("""COMPUTED_VALUE"""),"TCGCoin 2.0")</f>
        <v>TCGCoin 2.0</v>
      </c>
    </row>
    <row r="11389">
      <c r="A11389" s="3" t="str">
        <f>IFERROR(__xludf.DUMMYFUNCTION("""COMPUTED_VALUE"""),"tcoin-fun")</f>
        <v>tcoin-fun</v>
      </c>
      <c r="B11389" s="3" t="str">
        <f>IFERROR(__xludf.DUMMYFUNCTION("""COMPUTED_VALUE"""),"tco")</f>
        <v>tco</v>
      </c>
      <c r="C11389" s="3" t="str">
        <f>IFERROR(__xludf.DUMMYFUNCTION("""COMPUTED_VALUE"""),"Tcoin.fun")</f>
        <v>Tcoin.fun</v>
      </c>
    </row>
    <row r="11390">
      <c r="A11390" s="3" t="str">
        <f>IFERROR(__xludf.DUMMYFUNCTION("""COMPUTED_VALUE"""),"tcw-token")</f>
        <v>tcw-token</v>
      </c>
      <c r="B11390" s="3" t="str">
        <f>IFERROR(__xludf.DUMMYFUNCTION("""COMPUTED_VALUE"""),"tcw")</f>
        <v>tcw</v>
      </c>
      <c r="C11390" s="3" t="str">
        <f>IFERROR(__xludf.DUMMYFUNCTION("""COMPUTED_VALUE"""),"TCW")</f>
        <v>TCW</v>
      </c>
    </row>
    <row r="11391">
      <c r="A11391" s="3" t="str">
        <f>IFERROR(__xludf.DUMMYFUNCTION("""COMPUTED_VALUE"""),"tdex")</f>
        <v>tdex</v>
      </c>
      <c r="B11391" s="3" t="str">
        <f>IFERROR(__xludf.DUMMYFUNCTION("""COMPUTED_VALUE"""),"tt")</f>
        <v>tt</v>
      </c>
      <c r="C11391" s="3" t="str">
        <f>IFERROR(__xludf.DUMMYFUNCTION("""COMPUTED_VALUE"""),"TDEX Token")</f>
        <v>TDEX Token</v>
      </c>
    </row>
    <row r="11392">
      <c r="A11392" s="3" t="str">
        <f>IFERROR(__xludf.DUMMYFUNCTION("""COMPUTED_VALUE"""),"tdoge")</f>
        <v>tdoge</v>
      </c>
      <c r="B11392" s="3" t="str">
        <f>IFERROR(__xludf.DUMMYFUNCTION("""COMPUTED_VALUE"""),"tdoge")</f>
        <v>tdoge</v>
      </c>
      <c r="C11392" s="3" t="str">
        <f>IFERROR(__xludf.DUMMYFUNCTION("""COMPUTED_VALUE"""),"τDoge")</f>
        <v>τDoge</v>
      </c>
    </row>
    <row r="11393">
      <c r="A11393" s="3" t="str">
        <f>IFERROR(__xludf.DUMMYFUNCTION("""COMPUTED_VALUE"""),"teadao")</f>
        <v>teadao</v>
      </c>
      <c r="B11393" s="3" t="str">
        <f>IFERROR(__xludf.DUMMYFUNCTION("""COMPUTED_VALUE"""),"tea")</f>
        <v>tea</v>
      </c>
      <c r="C11393" s="3" t="str">
        <f>IFERROR(__xludf.DUMMYFUNCTION("""COMPUTED_VALUE"""),"TeaDAO")</f>
        <v>TeaDAO</v>
      </c>
    </row>
    <row r="11394">
      <c r="A11394" s="3" t="str">
        <f>IFERROR(__xludf.DUMMYFUNCTION("""COMPUTED_VALUE"""),"team-heretics-fan-token")</f>
        <v>team-heretics-fan-token</v>
      </c>
      <c r="B11394" s="3" t="str">
        <f>IFERROR(__xludf.DUMMYFUNCTION("""COMPUTED_VALUE"""),"th")</f>
        <v>th</v>
      </c>
      <c r="C11394" s="3" t="str">
        <f>IFERROR(__xludf.DUMMYFUNCTION("""COMPUTED_VALUE"""),"Team Heretics Fan Token")</f>
        <v>Team Heretics Fan Token</v>
      </c>
    </row>
    <row r="11395">
      <c r="A11395" s="3" t="str">
        <f>IFERROR(__xludf.DUMMYFUNCTION("""COMPUTED_VALUE"""),"team-vitality-fan-token")</f>
        <v>team-vitality-fan-token</v>
      </c>
      <c r="B11395" s="3" t="str">
        <f>IFERROR(__xludf.DUMMYFUNCTION("""COMPUTED_VALUE"""),"vit")</f>
        <v>vit</v>
      </c>
      <c r="C11395" s="3" t="str">
        <f>IFERROR(__xludf.DUMMYFUNCTION("""COMPUTED_VALUE"""),"Team Vitality Fan Token")</f>
        <v>Team Vitality Fan Token</v>
      </c>
    </row>
    <row r="11396">
      <c r="A11396" s="3" t="str">
        <f>IFERROR(__xludf.DUMMYFUNCTION("""COMPUTED_VALUE"""),"teaswap-art")</f>
        <v>teaswap-art</v>
      </c>
      <c r="B11396" s="3" t="str">
        <f>IFERROR(__xludf.DUMMYFUNCTION("""COMPUTED_VALUE"""),"tsa")</f>
        <v>tsa</v>
      </c>
      <c r="C11396" s="3" t="str">
        <f>IFERROR(__xludf.DUMMYFUNCTION("""COMPUTED_VALUE"""),"Teaswap Art")</f>
        <v>Teaswap Art</v>
      </c>
    </row>
    <row r="11397">
      <c r="A11397" s="3" t="str">
        <f>IFERROR(__xludf.DUMMYFUNCTION("""COMPUTED_VALUE"""),"tea-token")</f>
        <v>tea-token</v>
      </c>
      <c r="B11397" s="3" t="str">
        <f>IFERROR(__xludf.DUMMYFUNCTION("""COMPUTED_VALUE"""),"tea")</f>
        <v>tea</v>
      </c>
      <c r="C11397" s="3" t="str">
        <f>IFERROR(__xludf.DUMMYFUNCTION("""COMPUTED_VALUE"""),"Tea")</f>
        <v>Tea</v>
      </c>
    </row>
    <row r="11398">
      <c r="A11398" s="3" t="str">
        <f>IFERROR(__xludf.DUMMYFUNCTION("""COMPUTED_VALUE"""),"technoland")</f>
        <v>technoland</v>
      </c>
      <c r="B11398" s="3" t="str">
        <f>IFERROR(__xludf.DUMMYFUNCTION("""COMPUTED_VALUE"""),"techno")</f>
        <v>techno</v>
      </c>
      <c r="C11398" s="3" t="str">
        <f>IFERROR(__xludf.DUMMYFUNCTION("""COMPUTED_VALUE"""),"Technoland")</f>
        <v>Technoland</v>
      </c>
    </row>
    <row r="11399">
      <c r="A11399" s="3" t="str">
        <f>IFERROR(__xludf.DUMMYFUNCTION("""COMPUTED_VALUE"""),"techpay")</f>
        <v>techpay</v>
      </c>
      <c r="B11399" s="3" t="str">
        <f>IFERROR(__xludf.DUMMYFUNCTION("""COMPUTED_VALUE"""),"tpc")</f>
        <v>tpc</v>
      </c>
      <c r="C11399" s="3" t="str">
        <f>IFERROR(__xludf.DUMMYFUNCTION("""COMPUTED_VALUE"""),"Techpay")</f>
        <v>Techpay</v>
      </c>
    </row>
    <row r="11400">
      <c r="A11400" s="3" t="str">
        <f>IFERROR(__xludf.DUMMYFUNCTION("""COMPUTED_VALUE"""),"techtrees")</f>
        <v>techtrees</v>
      </c>
      <c r="B11400" s="3" t="str">
        <f>IFERROR(__xludf.DUMMYFUNCTION("""COMPUTED_VALUE"""),"ttc")</f>
        <v>ttc</v>
      </c>
      <c r="C11400" s="3" t="str">
        <f>IFERROR(__xludf.DUMMYFUNCTION("""COMPUTED_VALUE"""),"TechTrees")</f>
        <v>TechTrees</v>
      </c>
    </row>
    <row r="11401">
      <c r="A11401" s="3" t="str">
        <f>IFERROR(__xludf.DUMMYFUNCTION("""COMPUTED_VALUE"""),"tecracoin")</f>
        <v>tecracoin</v>
      </c>
      <c r="B11401" s="3" t="str">
        <f>IFERROR(__xludf.DUMMYFUNCTION("""COMPUTED_VALUE"""),"tcr")</f>
        <v>tcr</v>
      </c>
      <c r="C11401" s="3" t="str">
        <f>IFERROR(__xludf.DUMMYFUNCTION("""COMPUTED_VALUE"""),"TecraCoin ERC20")</f>
        <v>TecraCoin ERC20</v>
      </c>
    </row>
    <row r="11402">
      <c r="A11402" s="3" t="str">
        <f>IFERROR(__xludf.DUMMYFUNCTION("""COMPUTED_VALUE"""),"tectonic")</f>
        <v>tectonic</v>
      </c>
      <c r="B11402" s="3" t="str">
        <f>IFERROR(__xludf.DUMMYFUNCTION("""COMPUTED_VALUE"""),"tonic")</f>
        <v>tonic</v>
      </c>
      <c r="C11402" s="3" t="str">
        <f>IFERROR(__xludf.DUMMYFUNCTION("""COMPUTED_VALUE"""),"Tectonic")</f>
        <v>Tectonic</v>
      </c>
    </row>
    <row r="11403">
      <c r="A11403" s="3" t="str">
        <f>IFERROR(__xludf.DUMMYFUNCTION("""COMPUTED_VALUE"""),"teddy-dog")</f>
        <v>teddy-dog</v>
      </c>
      <c r="B11403" s="3" t="str">
        <f>IFERROR(__xludf.DUMMYFUNCTION("""COMPUTED_VALUE"""),"tdg")</f>
        <v>tdg</v>
      </c>
      <c r="C11403" s="3" t="str">
        <f>IFERROR(__xludf.DUMMYFUNCTION("""COMPUTED_VALUE"""),"Teddy Dog")</f>
        <v>Teddy Dog</v>
      </c>
    </row>
    <row r="11404">
      <c r="A11404" s="3" t="str">
        <f>IFERROR(__xludf.DUMMYFUNCTION("""COMPUTED_VALUE"""),"teddy-doge")</f>
        <v>teddy-doge</v>
      </c>
      <c r="B11404" s="3" t="str">
        <f>IFERROR(__xludf.DUMMYFUNCTION("""COMPUTED_VALUE"""),"teddy")</f>
        <v>teddy</v>
      </c>
      <c r="C11404" s="3" t="str">
        <f>IFERROR(__xludf.DUMMYFUNCTION("""COMPUTED_VALUE"""),"Teddy Doge")</f>
        <v>Teddy Doge</v>
      </c>
    </row>
    <row r="11405">
      <c r="A11405" s="3" t="str">
        <f>IFERROR(__xludf.DUMMYFUNCTION("""COMPUTED_VALUE"""),"teddy-doge-v2")</f>
        <v>teddy-doge-v2</v>
      </c>
      <c r="B11405" s="3" t="str">
        <f>IFERROR(__xludf.DUMMYFUNCTION("""COMPUTED_VALUE"""),"teddy v2")</f>
        <v>teddy v2</v>
      </c>
      <c r="C11405" s="3" t="str">
        <f>IFERROR(__xludf.DUMMYFUNCTION("""COMPUTED_VALUE"""),"Teddy Doge V2")</f>
        <v>Teddy Doge V2</v>
      </c>
    </row>
    <row r="11406">
      <c r="A11406" s="3" t="str">
        <f>IFERROR(__xludf.DUMMYFUNCTION("""COMPUTED_VALUE"""),"teddy-dollar")</f>
        <v>teddy-dollar</v>
      </c>
      <c r="B11406" s="3" t="str">
        <f>IFERROR(__xludf.DUMMYFUNCTION("""COMPUTED_VALUE"""),"tsd")</f>
        <v>tsd</v>
      </c>
      <c r="C11406" s="3" t="str">
        <f>IFERROR(__xludf.DUMMYFUNCTION("""COMPUTED_VALUE"""),"Teddy Dollar")</f>
        <v>Teddy Dollar</v>
      </c>
    </row>
    <row r="11407">
      <c r="A11407" s="3" t="str">
        <f>IFERROR(__xludf.DUMMYFUNCTION("""COMPUTED_VALUE"""),"te-food")</f>
        <v>te-food</v>
      </c>
      <c r="B11407" s="3" t="str">
        <f>IFERROR(__xludf.DUMMYFUNCTION("""COMPUTED_VALUE"""),"tone")</f>
        <v>tone</v>
      </c>
      <c r="C11407" s="3" t="str">
        <f>IFERROR(__xludf.DUMMYFUNCTION("""COMPUTED_VALUE"""),"TE-FOOD")</f>
        <v>TE-FOOD</v>
      </c>
    </row>
    <row r="11408">
      <c r="A11408" s="3" t="str">
        <f>IFERROR(__xludf.DUMMYFUNCTION("""COMPUTED_VALUE"""),"tegro")</f>
        <v>tegro</v>
      </c>
      <c r="B11408" s="3" t="str">
        <f>IFERROR(__xludf.DUMMYFUNCTION("""COMPUTED_VALUE"""),"tgr")</f>
        <v>tgr</v>
      </c>
      <c r="C11408" s="3" t="str">
        <f>IFERROR(__xludf.DUMMYFUNCTION("""COMPUTED_VALUE"""),"Tegro")</f>
        <v>Tegro</v>
      </c>
    </row>
    <row r="11409">
      <c r="A11409" s="3" t="str">
        <f>IFERROR(__xludf.DUMMYFUNCTION("""COMPUTED_VALUE"""),"teh-golden-one")</f>
        <v>teh-golden-one</v>
      </c>
      <c r="B11409" s="3" t="str">
        <f>IFERROR(__xludf.DUMMYFUNCTION("""COMPUTED_VALUE"""),"gold 1")</f>
        <v>gold 1</v>
      </c>
      <c r="C11409" s="3" t="str">
        <f>IFERROR(__xludf.DUMMYFUNCTION("""COMPUTED_VALUE"""),"Teh Golden One")</f>
        <v>Teh Golden One</v>
      </c>
    </row>
    <row r="11410">
      <c r="A11410" s="3" t="str">
        <f>IFERROR(__xludf.DUMMYFUNCTION("""COMPUTED_VALUE"""),"tekcoin")</f>
        <v>tekcoin</v>
      </c>
      <c r="B11410" s="3" t="str">
        <f>IFERROR(__xludf.DUMMYFUNCTION("""COMPUTED_VALUE"""),"tek")</f>
        <v>tek</v>
      </c>
      <c r="C11410" s="3" t="str">
        <f>IFERROR(__xludf.DUMMYFUNCTION("""COMPUTED_VALUE"""),"TEKcoin")</f>
        <v>TEKcoin</v>
      </c>
    </row>
    <row r="11411">
      <c r="A11411" s="3" t="str">
        <f>IFERROR(__xludf.DUMMYFUNCTION("""COMPUTED_VALUE"""),"telcoin")</f>
        <v>telcoin</v>
      </c>
      <c r="B11411" s="3" t="str">
        <f>IFERROR(__xludf.DUMMYFUNCTION("""COMPUTED_VALUE"""),"tel")</f>
        <v>tel</v>
      </c>
      <c r="C11411" s="3" t="str">
        <f>IFERROR(__xludf.DUMMYFUNCTION("""COMPUTED_VALUE"""),"Telcoin")</f>
        <v>Telcoin</v>
      </c>
    </row>
    <row r="11412">
      <c r="A11412" s="3" t="str">
        <f>IFERROR(__xludf.DUMMYFUNCTION("""COMPUTED_VALUE"""),"telefy")</f>
        <v>telefy</v>
      </c>
      <c r="B11412" s="3" t="str">
        <f>IFERROR(__xludf.DUMMYFUNCTION("""COMPUTED_VALUE"""),"tele")</f>
        <v>tele</v>
      </c>
      <c r="C11412" s="3" t="str">
        <f>IFERROR(__xludf.DUMMYFUNCTION("""COMPUTED_VALUE"""),"Telefy")</f>
        <v>Telefy</v>
      </c>
    </row>
    <row r="11413">
      <c r="A11413" s="3" t="str">
        <f>IFERROR(__xludf.DUMMYFUNCTION("""COMPUTED_VALUE"""),"telegram-inu")</f>
        <v>telegram-inu</v>
      </c>
      <c r="B11413" s="3" t="str">
        <f>IFERROR(__xludf.DUMMYFUNCTION("""COMPUTED_VALUE"""),"tinu")</f>
        <v>tinu</v>
      </c>
      <c r="C11413" s="3" t="str">
        <f>IFERROR(__xludf.DUMMYFUNCTION("""COMPUTED_VALUE"""),"Telegram Inu")</f>
        <v>Telegram Inu</v>
      </c>
    </row>
    <row r="11414">
      <c r="A11414" s="3" t="str">
        <f>IFERROR(__xludf.DUMMYFUNCTION("""COMPUTED_VALUE"""),"teleport")</f>
        <v>teleport</v>
      </c>
      <c r="B11414" s="3" t="str">
        <f>IFERROR(__xludf.DUMMYFUNCTION("""COMPUTED_VALUE"""),"port")</f>
        <v>port</v>
      </c>
      <c r="C11414" s="3" t="str">
        <f>IFERROR(__xludf.DUMMYFUNCTION("""COMPUTED_VALUE"""),"Teleport")</f>
        <v>Teleport</v>
      </c>
    </row>
    <row r="11415">
      <c r="A11415" s="3" t="str">
        <f>IFERROR(__xludf.DUMMYFUNCTION("""COMPUTED_VALUE"""),"tellor")</f>
        <v>tellor</v>
      </c>
      <c r="B11415" s="3" t="str">
        <f>IFERROR(__xludf.DUMMYFUNCTION("""COMPUTED_VALUE"""),"trb")</f>
        <v>trb</v>
      </c>
      <c r="C11415" s="3" t="str">
        <f>IFERROR(__xludf.DUMMYFUNCTION("""COMPUTED_VALUE"""),"Tellor")</f>
        <v>Tellor</v>
      </c>
    </row>
    <row r="11416">
      <c r="A11416" s="3" t="str">
        <f>IFERROR(__xludf.DUMMYFUNCTION("""COMPUTED_VALUE"""),"telos")</f>
        <v>telos</v>
      </c>
      <c r="B11416" s="3" t="str">
        <f>IFERROR(__xludf.DUMMYFUNCTION("""COMPUTED_VALUE"""),"tlos")</f>
        <v>tlos</v>
      </c>
      <c r="C11416" s="3" t="str">
        <f>IFERROR(__xludf.DUMMYFUNCTION("""COMPUTED_VALUE"""),"Telos")</f>
        <v>Telos</v>
      </c>
    </row>
    <row r="11417">
      <c r="A11417" s="3" t="str">
        <f>IFERROR(__xludf.DUMMYFUNCTION("""COMPUTED_VALUE"""),"telos-coin")</f>
        <v>telos-coin</v>
      </c>
      <c r="B11417" s="3" t="str">
        <f>IFERROR(__xludf.DUMMYFUNCTION("""COMPUTED_VALUE"""),"telos")</f>
        <v>telos</v>
      </c>
      <c r="C11417" s="3" t="str">
        <f>IFERROR(__xludf.DUMMYFUNCTION("""COMPUTED_VALUE"""),"Teloscoin")</f>
        <v>Teloscoin</v>
      </c>
    </row>
    <row r="11418">
      <c r="A11418" s="3" t="str">
        <f>IFERROR(__xludf.DUMMYFUNCTION("""COMPUTED_VALUE"""),"telos-task")</f>
        <v>telos-task</v>
      </c>
      <c r="B11418" s="3" t="str">
        <f>IFERROR(__xludf.DUMMYFUNCTION("""COMPUTED_VALUE"""),"task")</f>
        <v>task</v>
      </c>
      <c r="C11418" s="3" t="str">
        <f>IFERROR(__xludf.DUMMYFUNCTION("""COMPUTED_VALUE"""),"Telos Task")</f>
        <v>Telos Task</v>
      </c>
    </row>
    <row r="11419">
      <c r="A11419" s="3" t="str">
        <f>IFERROR(__xludf.DUMMYFUNCTION("""COMPUTED_VALUE"""),"temco")</f>
        <v>temco</v>
      </c>
      <c r="B11419" s="3" t="str">
        <f>IFERROR(__xludf.DUMMYFUNCTION("""COMPUTED_VALUE"""),"temco")</f>
        <v>temco</v>
      </c>
      <c r="C11419" s="3" t="str">
        <f>IFERROR(__xludf.DUMMYFUNCTION("""COMPUTED_VALUE"""),"TEMCO")</f>
        <v>TEMCO</v>
      </c>
    </row>
    <row r="11420">
      <c r="A11420" s="3" t="str">
        <f>IFERROR(__xludf.DUMMYFUNCTION("""COMPUTED_VALUE"""),"templardao")</f>
        <v>templardao</v>
      </c>
      <c r="B11420" s="3" t="str">
        <f>IFERROR(__xludf.DUMMYFUNCTION("""COMPUTED_VALUE"""),"tem")</f>
        <v>tem</v>
      </c>
      <c r="C11420" s="3" t="str">
        <f>IFERROR(__xludf.DUMMYFUNCTION("""COMPUTED_VALUE"""),"Templar DAO")</f>
        <v>Templar DAO</v>
      </c>
    </row>
    <row r="11421">
      <c r="A11421" s="3" t="str">
        <f>IFERROR(__xludf.DUMMYFUNCTION("""COMPUTED_VALUE"""),"temple")</f>
        <v>temple</v>
      </c>
      <c r="B11421" s="3" t="str">
        <f>IFERROR(__xludf.DUMMYFUNCTION("""COMPUTED_VALUE"""),"temple")</f>
        <v>temple</v>
      </c>
      <c r="C11421" s="3" t="str">
        <f>IFERROR(__xludf.DUMMYFUNCTION("""COMPUTED_VALUE"""),"TempleDAO")</f>
        <v>TempleDAO</v>
      </c>
    </row>
    <row r="11422">
      <c r="A11422" s="3" t="str">
        <f>IFERROR(__xludf.DUMMYFUNCTION("""COMPUTED_VALUE"""),"tempus")</f>
        <v>tempus</v>
      </c>
      <c r="B11422" s="3" t="str">
        <f>IFERROR(__xludf.DUMMYFUNCTION("""COMPUTED_VALUE"""),"temp")</f>
        <v>temp</v>
      </c>
      <c r="C11422" s="3" t="str">
        <f>IFERROR(__xludf.DUMMYFUNCTION("""COMPUTED_VALUE"""),"Tempus")</f>
        <v>Tempus</v>
      </c>
    </row>
    <row r="11423">
      <c r="A11423" s="3" t="str">
        <f>IFERROR(__xludf.DUMMYFUNCTION("""COMPUTED_VALUE"""),"temtem")</f>
        <v>temtem</v>
      </c>
      <c r="B11423" s="3" t="str">
        <f>IFERROR(__xludf.DUMMYFUNCTION("""COMPUTED_VALUE"""),"tem")</f>
        <v>tem</v>
      </c>
      <c r="C11423" s="3" t="str">
        <f>IFERROR(__xludf.DUMMYFUNCTION("""COMPUTED_VALUE"""),"Temtum")</f>
        <v>Temtum</v>
      </c>
    </row>
    <row r="11424">
      <c r="A11424" s="3" t="str">
        <f>IFERROR(__xludf.DUMMYFUNCTION("""COMPUTED_VALUE"""),"ten")</f>
        <v>ten</v>
      </c>
      <c r="B11424" s="3" t="str">
        <f>IFERROR(__xludf.DUMMYFUNCTION("""COMPUTED_VALUE"""),"tenfi")</f>
        <v>tenfi</v>
      </c>
      <c r="C11424" s="3" t="str">
        <f>IFERROR(__xludf.DUMMYFUNCTION("""COMPUTED_VALUE"""),"TEN")</f>
        <v>TEN</v>
      </c>
    </row>
    <row r="11425">
      <c r="A11425" s="3" t="str">
        <f>IFERROR(__xludf.DUMMYFUNCTION("""COMPUTED_VALUE"""),"ten-best-coins")</f>
        <v>ten-best-coins</v>
      </c>
      <c r="B11425" s="3" t="str">
        <f>IFERROR(__xludf.DUMMYFUNCTION("""COMPUTED_VALUE"""),"tbc")</f>
        <v>tbc</v>
      </c>
      <c r="C11425" s="3" t="str">
        <f>IFERROR(__xludf.DUMMYFUNCTION("""COMPUTED_VALUE"""),"Ten Best Coins")</f>
        <v>Ten Best Coins</v>
      </c>
    </row>
    <row r="11426">
      <c r="A11426" s="3" t="str">
        <f>IFERROR(__xludf.DUMMYFUNCTION("""COMPUTED_VALUE"""),"tendies")</f>
        <v>tendies</v>
      </c>
      <c r="B11426" s="3" t="str">
        <f>IFERROR(__xludf.DUMMYFUNCTION("""COMPUTED_VALUE"""),"tend")</f>
        <v>tend</v>
      </c>
      <c r="C11426" s="3" t="str">
        <f>IFERROR(__xludf.DUMMYFUNCTION("""COMPUTED_VALUE"""),"Tendies")</f>
        <v>Tendies</v>
      </c>
    </row>
    <row r="11427">
      <c r="A11427" s="3" t="str">
        <f>IFERROR(__xludf.DUMMYFUNCTION("""COMPUTED_VALUE"""),"tendieswap")</f>
        <v>tendieswap</v>
      </c>
      <c r="B11427" s="3" t="str">
        <f>IFERROR(__xludf.DUMMYFUNCTION("""COMPUTED_VALUE"""),"tendie")</f>
        <v>tendie</v>
      </c>
      <c r="C11427" s="3" t="str">
        <f>IFERROR(__xludf.DUMMYFUNCTION("""COMPUTED_VALUE"""),"TendieSwap")</f>
        <v>TendieSwap</v>
      </c>
    </row>
    <row r="11428">
      <c r="A11428" s="3" t="str">
        <f>IFERROR(__xludf.DUMMYFUNCTION("""COMPUTED_VALUE"""),"teneo")</f>
        <v>teneo</v>
      </c>
      <c r="B11428" s="3" t="str">
        <f>IFERROR(__xludf.DUMMYFUNCTION("""COMPUTED_VALUE"""),"ten")</f>
        <v>ten</v>
      </c>
      <c r="C11428" s="3" t="str">
        <f>IFERROR(__xludf.DUMMYFUNCTION("""COMPUTED_VALUE"""),"Teneo")</f>
        <v>Teneo</v>
      </c>
    </row>
    <row r="11429">
      <c r="A11429" s="3" t="str">
        <f>IFERROR(__xludf.DUMMYFUNCTION("""COMPUTED_VALUE"""),"tenet")</f>
        <v>tenet</v>
      </c>
      <c r="B11429" s="3" t="str">
        <f>IFERROR(__xludf.DUMMYFUNCTION("""COMPUTED_VALUE"""),"ten")</f>
        <v>ten</v>
      </c>
      <c r="C11429" s="3" t="str">
        <f>IFERROR(__xludf.DUMMYFUNCTION("""COMPUTED_VALUE"""),"Tenet")</f>
        <v>Tenet</v>
      </c>
    </row>
    <row r="11430">
      <c r="A11430" s="3" t="str">
        <f>IFERROR(__xludf.DUMMYFUNCTION("""COMPUTED_VALUE"""),"tenset")</f>
        <v>tenset</v>
      </c>
      <c r="B11430" s="3" t="str">
        <f>IFERROR(__xludf.DUMMYFUNCTION("""COMPUTED_VALUE"""),"10set")</f>
        <v>10set</v>
      </c>
      <c r="C11430" s="3" t="str">
        <f>IFERROR(__xludf.DUMMYFUNCTION("""COMPUTED_VALUE"""),"Tenset")</f>
        <v>Tenset</v>
      </c>
    </row>
    <row r="11431">
      <c r="A11431" s="3" t="str">
        <f>IFERROR(__xludf.DUMMYFUNCTION("""COMPUTED_VALUE"""),"tenshi")</f>
        <v>tenshi</v>
      </c>
      <c r="B11431" s="3" t="str">
        <f>IFERROR(__xludf.DUMMYFUNCTION("""COMPUTED_VALUE"""),"tenshi")</f>
        <v>tenshi</v>
      </c>
      <c r="C11431" s="3" t="str">
        <f>IFERROR(__xludf.DUMMYFUNCTION("""COMPUTED_VALUE"""),"Tenshi")</f>
        <v>Tenshi</v>
      </c>
    </row>
    <row r="11432">
      <c r="A11432" s="3" t="str">
        <f>IFERROR(__xludf.DUMMYFUNCTION("""COMPUTED_VALUE"""),"tenup")</f>
        <v>tenup</v>
      </c>
      <c r="B11432" s="3" t="str">
        <f>IFERROR(__xludf.DUMMYFUNCTION("""COMPUTED_VALUE"""),"tup")</f>
        <v>tup</v>
      </c>
      <c r="C11432" s="3" t="str">
        <f>IFERROR(__xludf.DUMMYFUNCTION("""COMPUTED_VALUE"""),"Tenup")</f>
        <v>Tenup</v>
      </c>
    </row>
    <row r="11433">
      <c r="A11433" s="3" t="str">
        <f>IFERROR(__xludf.DUMMYFUNCTION("""COMPUTED_VALUE"""),"ten-wallet")</f>
        <v>ten-wallet</v>
      </c>
      <c r="B11433" s="3" t="str">
        <f>IFERROR(__xludf.DUMMYFUNCTION("""COMPUTED_VALUE"""),"tenw")</f>
        <v>tenw</v>
      </c>
      <c r="C11433" s="3" t="str">
        <f>IFERROR(__xludf.DUMMYFUNCTION("""COMPUTED_VALUE"""),"TEN Wallet")</f>
        <v>TEN Wallet</v>
      </c>
    </row>
    <row r="11434">
      <c r="A11434" s="3" t="str">
        <f>IFERROR(__xludf.DUMMYFUNCTION("""COMPUTED_VALUE"""),"tenx")</f>
        <v>tenx</v>
      </c>
      <c r="B11434" s="3" t="str">
        <f>IFERROR(__xludf.DUMMYFUNCTION("""COMPUTED_VALUE"""),"pay")</f>
        <v>pay</v>
      </c>
      <c r="C11434" s="3" t="str">
        <f>IFERROR(__xludf.DUMMYFUNCTION("""COMPUTED_VALUE"""),"TenX")</f>
        <v>TenX</v>
      </c>
    </row>
    <row r="11435">
      <c r="A11435" s="3" t="str">
        <f>IFERROR(__xludf.DUMMYFUNCTION("""COMPUTED_VALUE"""),"tepleton")</f>
        <v>tepleton</v>
      </c>
      <c r="B11435" s="3" t="str">
        <f>IFERROR(__xludf.DUMMYFUNCTION("""COMPUTED_VALUE"""),"tep")</f>
        <v>tep</v>
      </c>
      <c r="C11435" s="3" t="str">
        <f>IFERROR(__xludf.DUMMYFUNCTION("""COMPUTED_VALUE"""),"Tepleton")</f>
        <v>Tepleton</v>
      </c>
    </row>
    <row r="11436">
      <c r="A11436" s="3" t="str">
        <f>IFERROR(__xludf.DUMMYFUNCTION("""COMPUTED_VALUE"""),"terablock")</f>
        <v>terablock</v>
      </c>
      <c r="B11436" s="3" t="str">
        <f>IFERROR(__xludf.DUMMYFUNCTION("""COMPUTED_VALUE"""),"tbc")</f>
        <v>tbc</v>
      </c>
      <c r="C11436" s="3" t="str">
        <f>IFERROR(__xludf.DUMMYFUNCTION("""COMPUTED_VALUE"""),"TeraBlock")</f>
        <v>TeraBlock</v>
      </c>
    </row>
    <row r="11437">
      <c r="A11437" s="3" t="str">
        <f>IFERROR(__xludf.DUMMYFUNCTION("""COMPUTED_VALUE"""),"terareum")</f>
        <v>terareum</v>
      </c>
      <c r="B11437" s="3" t="str">
        <f>IFERROR(__xludf.DUMMYFUNCTION("""COMPUTED_VALUE"""),"tera")</f>
        <v>tera</v>
      </c>
      <c r="C11437" s="3" t="str">
        <f>IFERROR(__xludf.DUMMYFUNCTION("""COMPUTED_VALUE"""),"Terareum")</f>
        <v>Terareum</v>
      </c>
    </row>
    <row r="11438">
      <c r="A11438" s="3" t="str">
        <f>IFERROR(__xludf.DUMMYFUNCTION("""COMPUTED_VALUE"""),"tera-smart-money")</f>
        <v>tera-smart-money</v>
      </c>
      <c r="B11438" s="3" t="str">
        <f>IFERROR(__xludf.DUMMYFUNCTION("""COMPUTED_VALUE"""),"tera")</f>
        <v>tera</v>
      </c>
      <c r="C11438" s="3" t="str">
        <f>IFERROR(__xludf.DUMMYFUNCTION("""COMPUTED_VALUE"""),"TERA")</f>
        <v>TERA</v>
      </c>
    </row>
    <row r="11439">
      <c r="A11439" s="3" t="str">
        <f>IFERROR(__xludf.DUMMYFUNCTION("""COMPUTED_VALUE"""),"teritori")</f>
        <v>teritori</v>
      </c>
      <c r="B11439" s="3" t="str">
        <f>IFERROR(__xludf.DUMMYFUNCTION("""COMPUTED_VALUE"""),"tori")</f>
        <v>tori</v>
      </c>
      <c r="C11439" s="3" t="str">
        <f>IFERROR(__xludf.DUMMYFUNCTION("""COMPUTED_VALUE"""),"Teritori")</f>
        <v>Teritori</v>
      </c>
    </row>
    <row r="11440">
      <c r="A11440" s="3" t="str">
        <f>IFERROR(__xludf.DUMMYFUNCTION("""COMPUTED_VALUE"""),"ternio")</f>
        <v>ternio</v>
      </c>
      <c r="B11440" s="3" t="str">
        <f>IFERROR(__xludf.DUMMYFUNCTION("""COMPUTED_VALUE"""),"tern")</f>
        <v>tern</v>
      </c>
      <c r="C11440" s="3" t="str">
        <f>IFERROR(__xludf.DUMMYFUNCTION("""COMPUTED_VALUE"""),"Ternio")</f>
        <v>Ternio</v>
      </c>
    </row>
    <row r="11441">
      <c r="A11441" s="3" t="str">
        <f>IFERROR(__xludf.DUMMYFUNCTION("""COMPUTED_VALUE"""),"terracoin")</f>
        <v>terracoin</v>
      </c>
      <c r="B11441" s="3" t="str">
        <f>IFERROR(__xludf.DUMMYFUNCTION("""COMPUTED_VALUE"""),"trc")</f>
        <v>trc</v>
      </c>
      <c r="C11441" s="3" t="str">
        <f>IFERROR(__xludf.DUMMYFUNCTION("""COMPUTED_VALUE"""),"Terracoin")</f>
        <v>Terracoin</v>
      </c>
    </row>
    <row r="11442">
      <c r="A11442" s="3" t="str">
        <f>IFERROR(__xludf.DUMMYFUNCTION("""COMPUTED_VALUE"""),"terraform-dao")</f>
        <v>terraform-dao</v>
      </c>
      <c r="B11442" s="3" t="str">
        <f>IFERROR(__xludf.DUMMYFUNCTION("""COMPUTED_VALUE"""),"terraform")</f>
        <v>terraform</v>
      </c>
      <c r="C11442" s="3" t="str">
        <f>IFERROR(__xludf.DUMMYFUNCTION("""COMPUTED_VALUE"""),"Terraform DAO")</f>
        <v>Terraform DAO</v>
      </c>
    </row>
    <row r="11443">
      <c r="A11443" s="3" t="str">
        <f>IFERROR(__xludf.DUMMYFUNCTION("""COMPUTED_VALUE"""),"terra-luna")</f>
        <v>terra-luna</v>
      </c>
      <c r="B11443" s="3" t="str">
        <f>IFERROR(__xludf.DUMMYFUNCTION("""COMPUTED_VALUE"""),"lunc")</f>
        <v>lunc</v>
      </c>
      <c r="C11443" s="3" t="str">
        <f>IFERROR(__xludf.DUMMYFUNCTION("""COMPUTED_VALUE"""),"Terra Luna Classic")</f>
        <v>Terra Luna Classic</v>
      </c>
    </row>
    <row r="11444">
      <c r="A11444" s="3" t="str">
        <f>IFERROR(__xludf.DUMMYFUNCTION("""COMPUTED_VALUE"""),"terra-luna-2")</f>
        <v>terra-luna-2</v>
      </c>
      <c r="B11444" s="3" t="str">
        <f>IFERROR(__xludf.DUMMYFUNCTION("""COMPUTED_VALUE"""),"luna")</f>
        <v>luna</v>
      </c>
      <c r="C11444" s="3" t="str">
        <f>IFERROR(__xludf.DUMMYFUNCTION("""COMPUTED_VALUE"""),"Terra")</f>
        <v>Terra</v>
      </c>
    </row>
    <row r="11445">
      <c r="A11445" s="3" t="str">
        <f>IFERROR(__xludf.DUMMYFUNCTION("""COMPUTED_VALUE"""),"terra-name-service")</f>
        <v>terra-name-service</v>
      </c>
      <c r="B11445" s="3" t="str">
        <f>IFERROR(__xludf.DUMMYFUNCTION("""COMPUTED_VALUE"""),"tns")</f>
        <v>tns</v>
      </c>
      <c r="C11445" s="3" t="str">
        <f>IFERROR(__xludf.DUMMYFUNCTION("""COMPUTED_VALUE"""),"Terra Name Service")</f>
        <v>Terra Name Service</v>
      </c>
    </row>
    <row r="11446">
      <c r="A11446" s="3" t="str">
        <f>IFERROR(__xludf.DUMMYFUNCTION("""COMPUTED_VALUE"""),"terran-coin")</f>
        <v>terran-coin</v>
      </c>
      <c r="B11446" s="3" t="str">
        <f>IFERROR(__xludf.DUMMYFUNCTION("""COMPUTED_VALUE"""),"trr")</f>
        <v>trr</v>
      </c>
      <c r="C11446" s="3" t="str">
        <f>IFERROR(__xludf.DUMMYFUNCTION("""COMPUTED_VALUE"""),"Terran Coin")</f>
        <v>Terran Coin</v>
      </c>
    </row>
    <row r="11447">
      <c r="A11447" s="3" t="str">
        <f>IFERROR(__xludf.DUMMYFUNCTION("""COMPUTED_VALUE"""),"terrausd")</f>
        <v>terrausd</v>
      </c>
      <c r="B11447" s="3" t="str">
        <f>IFERROR(__xludf.DUMMYFUNCTION("""COMPUTED_VALUE"""),"ustc")</f>
        <v>ustc</v>
      </c>
      <c r="C11447" s="3" t="str">
        <f>IFERROR(__xludf.DUMMYFUNCTION("""COMPUTED_VALUE"""),"TerraClassicUSD")</f>
        <v>TerraClassicUSD</v>
      </c>
    </row>
    <row r="11448">
      <c r="A11448" s="3" t="str">
        <f>IFERROR(__xludf.DUMMYFUNCTION("""COMPUTED_VALUE"""),"terrausd-wormhole")</f>
        <v>terrausd-wormhole</v>
      </c>
      <c r="B11448" s="3" t="str">
        <f>IFERROR(__xludf.DUMMYFUNCTION("""COMPUTED_VALUE"""),"ust")</f>
        <v>ust</v>
      </c>
      <c r="C11448" s="3" t="str">
        <f>IFERROR(__xludf.DUMMYFUNCTION("""COMPUTED_VALUE"""),"TerraUSD (Wormhole)")</f>
        <v>TerraUSD (Wormhole)</v>
      </c>
    </row>
    <row r="11449">
      <c r="A11449" s="3" t="str">
        <f>IFERROR(__xludf.DUMMYFUNCTION("""COMPUTED_VALUE"""),"terra-world-token")</f>
        <v>terra-world-token</v>
      </c>
      <c r="B11449" s="3" t="str">
        <f>IFERROR(__xludf.DUMMYFUNCTION("""COMPUTED_VALUE"""),"twd")</f>
        <v>twd</v>
      </c>
      <c r="C11449" s="3" t="str">
        <f>IFERROR(__xludf.DUMMYFUNCTION("""COMPUTED_VALUE"""),"Terra World")</f>
        <v>Terra World</v>
      </c>
    </row>
    <row r="11450">
      <c r="A11450" s="3" t="str">
        <f>IFERROR(__xludf.DUMMYFUNCTION("""COMPUTED_VALUE"""),"teseract")</f>
        <v>teseract</v>
      </c>
      <c r="B11450" s="3" t="str">
        <f>IFERROR(__xludf.DUMMYFUNCTION("""COMPUTED_VALUE"""),"tess")</f>
        <v>tess</v>
      </c>
      <c r="C11450" s="3" t="str">
        <f>IFERROR(__xludf.DUMMYFUNCTION("""COMPUTED_VALUE"""),"Tesseract")</f>
        <v>Tesseract</v>
      </c>
    </row>
    <row r="11451">
      <c r="A11451" s="3" t="str">
        <f>IFERROR(__xludf.DUMMYFUNCTION("""COMPUTED_VALUE"""),"teslafunds")</f>
        <v>teslafunds</v>
      </c>
      <c r="B11451" s="3" t="str">
        <f>IFERROR(__xludf.DUMMYFUNCTION("""COMPUTED_VALUE"""),"tsf")</f>
        <v>tsf</v>
      </c>
      <c r="C11451" s="3" t="str">
        <f>IFERROR(__xludf.DUMMYFUNCTION("""COMPUTED_VALUE"""),"Transaction Service Fee")</f>
        <v>Transaction Service Fee</v>
      </c>
    </row>
    <row r="11452">
      <c r="A11452" s="3" t="str">
        <f>IFERROR(__xludf.DUMMYFUNCTION("""COMPUTED_VALUE"""),"tesla-inu")</f>
        <v>tesla-inu</v>
      </c>
      <c r="B11452" s="3" t="str">
        <f>IFERROR(__xludf.DUMMYFUNCTION("""COMPUTED_VALUE"""),"tesinu")</f>
        <v>tesinu</v>
      </c>
      <c r="C11452" s="3" t="str">
        <f>IFERROR(__xludf.DUMMYFUNCTION("""COMPUTED_VALUE"""),"Tesla Inu")</f>
        <v>Tesla Inu</v>
      </c>
    </row>
    <row r="11453">
      <c r="A11453" s="3" t="str">
        <f>IFERROR(__xludf.DUMMYFUNCTION("""COMPUTED_VALUE"""),"tessla-coin")</f>
        <v>tessla-coin</v>
      </c>
      <c r="B11453" s="3" t="str">
        <f>IFERROR(__xludf.DUMMYFUNCTION("""COMPUTED_VALUE"""),"tsla")</f>
        <v>tsla</v>
      </c>
      <c r="C11453" s="3" t="str">
        <f>IFERROR(__xludf.DUMMYFUNCTION("""COMPUTED_VALUE"""),"Tessla Coin")</f>
        <v>Tessla Coin</v>
      </c>
    </row>
    <row r="11454">
      <c r="A11454" s="3" t="str">
        <f>IFERROR(__xludf.DUMMYFUNCTION("""COMPUTED_VALUE"""),"tether")</f>
        <v>tether</v>
      </c>
      <c r="B11454" s="3" t="str">
        <f>IFERROR(__xludf.DUMMYFUNCTION("""COMPUTED_VALUE"""),"usdt")</f>
        <v>usdt</v>
      </c>
      <c r="C11454" s="3" t="str">
        <f>IFERROR(__xludf.DUMMYFUNCTION("""COMPUTED_VALUE"""),"Tether")</f>
        <v>Tether</v>
      </c>
    </row>
    <row r="11455">
      <c r="A11455" s="3" t="str">
        <f>IFERROR(__xludf.DUMMYFUNCTION("""COMPUTED_VALUE"""),"tether-avalanche-bridged-usdt-e")</f>
        <v>tether-avalanche-bridged-usdt-e</v>
      </c>
      <c r="B11455" s="3" t="str">
        <f>IFERROR(__xludf.DUMMYFUNCTION("""COMPUTED_VALUE"""),"usdte")</f>
        <v>usdte</v>
      </c>
      <c r="C11455" s="3" t="str">
        <f>IFERROR(__xludf.DUMMYFUNCTION("""COMPUTED_VALUE"""),"Tether Avalanche Bridged (USDT.e)")</f>
        <v>Tether Avalanche Bridged (USDT.e)</v>
      </c>
    </row>
    <row r="11456">
      <c r="A11456" s="3" t="str">
        <f>IFERROR(__xludf.DUMMYFUNCTION("""COMPUTED_VALUE"""),"tether-eurt")</f>
        <v>tether-eurt</v>
      </c>
      <c r="B11456" s="3" t="str">
        <f>IFERROR(__xludf.DUMMYFUNCTION("""COMPUTED_VALUE"""),"eurt")</f>
        <v>eurt</v>
      </c>
      <c r="C11456" s="3" t="str">
        <f>IFERROR(__xludf.DUMMYFUNCTION("""COMPUTED_VALUE"""),"Euro Tether")</f>
        <v>Euro Tether</v>
      </c>
    </row>
    <row r="11457">
      <c r="A11457" s="3" t="str">
        <f>IFERROR(__xludf.DUMMYFUNCTION("""COMPUTED_VALUE"""),"tether-gold")</f>
        <v>tether-gold</v>
      </c>
      <c r="B11457" s="3" t="str">
        <f>IFERROR(__xludf.DUMMYFUNCTION("""COMPUTED_VALUE"""),"xaut")</f>
        <v>xaut</v>
      </c>
      <c r="C11457" s="3" t="str">
        <f>IFERROR(__xludf.DUMMYFUNCTION("""COMPUTED_VALUE"""),"Tether Gold")</f>
        <v>Tether Gold</v>
      </c>
    </row>
    <row r="11458">
      <c r="A11458" s="3" t="str">
        <f>IFERROR(__xludf.DUMMYFUNCTION("""COMPUTED_VALUE"""),"tether-pow")</f>
        <v>tether-pow</v>
      </c>
      <c r="B11458" s="3" t="str">
        <f>IFERROR(__xludf.DUMMYFUNCTION("""COMPUTED_VALUE"""),"usdw")</f>
        <v>usdw</v>
      </c>
      <c r="C11458" s="3" t="str">
        <f>IFERROR(__xludf.DUMMYFUNCTION("""COMPUTED_VALUE"""),"Tether Pow")</f>
        <v>Tether Pow</v>
      </c>
    </row>
    <row r="11459">
      <c r="A11459" s="3" t="str">
        <f>IFERROR(__xludf.DUMMYFUNCTION("""COMPUTED_VALUE"""),"tether-usd-celer")</f>
        <v>tether-usd-celer</v>
      </c>
      <c r="B11459" s="3" t="str">
        <f>IFERROR(__xludf.DUMMYFUNCTION("""COMPUTED_VALUE"""),"ceusdt")</f>
        <v>ceusdt</v>
      </c>
      <c r="C11459" s="3" t="str">
        <f>IFERROR(__xludf.DUMMYFUNCTION("""COMPUTED_VALUE"""),"Tether USD - Celer")</f>
        <v>Tether USD - Celer</v>
      </c>
    </row>
    <row r="11460">
      <c r="A11460" s="3" t="str">
        <f>IFERROR(__xludf.DUMMYFUNCTION("""COMPUTED_VALUE"""),"tether-usd-pos-wormhole")</f>
        <v>tether-usd-pos-wormhole</v>
      </c>
      <c r="B11460" s="3" t="str">
        <f>IFERROR(__xludf.DUMMYFUNCTION("""COMPUTED_VALUE"""),"usdtpo")</f>
        <v>usdtpo</v>
      </c>
      <c r="C11460" s="3" t="str">
        <f>IFERROR(__xludf.DUMMYFUNCTION("""COMPUTED_VALUE"""),"Tether USD (PoS) (Wormhole)")</f>
        <v>Tether USD (PoS) (Wormhole)</v>
      </c>
    </row>
    <row r="11461">
      <c r="A11461" s="3" t="str">
        <f>IFERROR(__xludf.DUMMYFUNCTION("""COMPUTED_VALUE"""),"tether-usd-wormhole")</f>
        <v>tether-usd-wormhole</v>
      </c>
      <c r="B11461" s="3" t="str">
        <f>IFERROR(__xludf.DUMMYFUNCTION("""COMPUTED_VALUE"""),"usdtso")</f>
        <v>usdtso</v>
      </c>
      <c r="C11461" s="3" t="str">
        <f>IFERROR(__xludf.DUMMYFUNCTION("""COMPUTED_VALUE"""),"Tether USD (Wormhole)")</f>
        <v>Tether USD (Wormhole)</v>
      </c>
    </row>
    <row r="11462">
      <c r="A11462" s="3" t="str">
        <f>IFERROR(__xludf.DUMMYFUNCTION("""COMPUTED_VALUE"""),"tether-usd-wormhole-from-ethereum")</f>
        <v>tether-usd-wormhole-from-ethereum</v>
      </c>
      <c r="B11462" s="3" t="str">
        <f>IFERROR(__xludf.DUMMYFUNCTION("""COMPUTED_VALUE"""),"usdtet")</f>
        <v>usdtet</v>
      </c>
      <c r="C11462" s="3" t="str">
        <f>IFERROR(__xludf.DUMMYFUNCTION("""COMPUTED_VALUE"""),"Tether USD (Wormhole from Ethereum)")</f>
        <v>Tether USD (Wormhole from Ethereum)</v>
      </c>
    </row>
    <row r="11463">
      <c r="A11463" s="3" t="str">
        <f>IFERROR(__xludf.DUMMYFUNCTION("""COMPUTED_VALUE"""),"tethys-finance")</f>
        <v>tethys-finance</v>
      </c>
      <c r="B11463" s="3" t="str">
        <f>IFERROR(__xludf.DUMMYFUNCTION("""COMPUTED_VALUE"""),"tethys")</f>
        <v>tethys</v>
      </c>
      <c r="C11463" s="3" t="str">
        <f>IFERROR(__xludf.DUMMYFUNCTION("""COMPUTED_VALUE"""),"Tethys Finance")</f>
        <v>Tethys Finance</v>
      </c>
    </row>
    <row r="11464">
      <c r="A11464" s="3" t="str">
        <f>IFERROR(__xludf.DUMMYFUNCTION("""COMPUTED_VALUE"""),"tetu")</f>
        <v>tetu</v>
      </c>
      <c r="B11464" s="3" t="str">
        <f>IFERROR(__xludf.DUMMYFUNCTION("""COMPUTED_VALUE"""),"tetu")</f>
        <v>tetu</v>
      </c>
      <c r="C11464" s="3" t="str">
        <f>IFERROR(__xludf.DUMMYFUNCTION("""COMPUTED_VALUE"""),"TETU")</f>
        <v>TETU</v>
      </c>
    </row>
    <row r="11465">
      <c r="A11465" s="3" t="str">
        <f>IFERROR(__xludf.DUMMYFUNCTION("""COMPUTED_VALUE"""),"tetubal")</f>
        <v>tetubal</v>
      </c>
      <c r="B11465" s="3" t="str">
        <f>IFERROR(__xludf.DUMMYFUNCTION("""COMPUTED_VALUE"""),"tetubal")</f>
        <v>tetubal</v>
      </c>
      <c r="C11465" s="3" t="str">
        <f>IFERROR(__xludf.DUMMYFUNCTION("""COMPUTED_VALUE"""),"tetuBAL")</f>
        <v>tetuBAL</v>
      </c>
    </row>
    <row r="11466">
      <c r="A11466" s="3" t="str">
        <f>IFERROR(__xludf.DUMMYFUNCTION("""COMPUTED_VALUE"""),"texas-protocol")</f>
        <v>texas-protocol</v>
      </c>
      <c r="B11466" s="3" t="str">
        <f>IFERROR(__xludf.DUMMYFUNCTION("""COMPUTED_VALUE"""),"txs")</f>
        <v>txs</v>
      </c>
      <c r="C11466" s="3" t="str">
        <f>IFERROR(__xludf.DUMMYFUNCTION("""COMPUTED_VALUE"""),"Texas Protocol")</f>
        <v>Texas Protocol</v>
      </c>
    </row>
    <row r="11467">
      <c r="A11467" s="3" t="str">
        <f>IFERROR(__xludf.DUMMYFUNCTION("""COMPUTED_VALUE"""),"tezos")</f>
        <v>tezos</v>
      </c>
      <c r="B11467" s="3" t="str">
        <f>IFERROR(__xludf.DUMMYFUNCTION("""COMPUTED_VALUE"""),"xtz")</f>
        <v>xtz</v>
      </c>
      <c r="C11467" s="3" t="str">
        <f>IFERROR(__xludf.DUMMYFUNCTION("""COMPUTED_VALUE"""),"Tezos")</f>
        <v>Tezos</v>
      </c>
    </row>
    <row r="11468">
      <c r="A11468" s="3" t="str">
        <f>IFERROR(__xludf.DUMMYFUNCTION("""COMPUTED_VALUE"""),"tg-dao")</f>
        <v>tg-dao</v>
      </c>
      <c r="B11468" s="3" t="str">
        <f>IFERROR(__xludf.DUMMYFUNCTION("""COMPUTED_VALUE"""),"tgdao")</f>
        <v>tgdao</v>
      </c>
      <c r="C11468" s="3" t="str">
        <f>IFERROR(__xludf.DUMMYFUNCTION("""COMPUTED_VALUE"""),"TG DAO")</f>
        <v>TG DAO</v>
      </c>
    </row>
    <row r="11469">
      <c r="A11469" s="3" t="str">
        <f>IFERROR(__xludf.DUMMYFUNCTION("""COMPUTED_VALUE"""),"tgold")</f>
        <v>tgold</v>
      </c>
      <c r="B11469" s="3" t="str">
        <f>IFERROR(__xludf.DUMMYFUNCTION("""COMPUTED_VALUE"""),"txau")</f>
        <v>txau</v>
      </c>
      <c r="C11469" s="3" t="str">
        <f>IFERROR(__xludf.DUMMYFUNCTION("""COMPUTED_VALUE"""),"tGOLD")</f>
        <v>tGOLD</v>
      </c>
    </row>
    <row r="11470">
      <c r="A11470" s="3" t="str">
        <f>IFERROR(__xludf.DUMMYFUNCTION("""COMPUTED_VALUE"""),"tgrade")</f>
        <v>tgrade</v>
      </c>
      <c r="B11470" s="3" t="str">
        <f>IFERROR(__xludf.DUMMYFUNCTION("""COMPUTED_VALUE"""),"tgd")</f>
        <v>tgd</v>
      </c>
      <c r="C11470" s="3" t="str">
        <f>IFERROR(__xludf.DUMMYFUNCTION("""COMPUTED_VALUE"""),"Tgrade")</f>
        <v>Tgrade</v>
      </c>
    </row>
    <row r="11471">
      <c r="A11471" s="3" t="str">
        <f>IFERROR(__xludf.DUMMYFUNCTION("""COMPUTED_VALUE"""),"thales")</f>
        <v>thales</v>
      </c>
      <c r="B11471" s="3" t="str">
        <f>IFERROR(__xludf.DUMMYFUNCTION("""COMPUTED_VALUE"""),"thales")</f>
        <v>thales</v>
      </c>
      <c r="C11471" s="3" t="str">
        <f>IFERROR(__xludf.DUMMYFUNCTION("""COMPUTED_VALUE"""),"Thales")</f>
        <v>Thales</v>
      </c>
    </row>
    <row r="11472">
      <c r="A11472" s="3" t="str">
        <f>IFERROR(__xludf.DUMMYFUNCTION("""COMPUTED_VALUE"""),"the-4th-pillar")</f>
        <v>the-4th-pillar</v>
      </c>
      <c r="B11472" s="3" t="str">
        <f>IFERROR(__xludf.DUMMYFUNCTION("""COMPUTED_VALUE"""),"four")</f>
        <v>four</v>
      </c>
      <c r="C11472" s="3" t="str">
        <f>IFERROR(__xludf.DUMMYFUNCTION("""COMPUTED_VALUE"""),"4thpillar technologies")</f>
        <v>4thpillar technologies</v>
      </c>
    </row>
    <row r="11473">
      <c r="A11473" s="3" t="str">
        <f>IFERROR(__xludf.DUMMYFUNCTION("""COMPUTED_VALUE"""),"the-abyss")</f>
        <v>the-abyss</v>
      </c>
      <c r="B11473" s="3" t="str">
        <f>IFERROR(__xludf.DUMMYFUNCTION("""COMPUTED_VALUE"""),"abyss")</f>
        <v>abyss</v>
      </c>
      <c r="C11473" s="3" t="str">
        <f>IFERROR(__xludf.DUMMYFUNCTION("""COMPUTED_VALUE"""),"Abyss")</f>
        <v>Abyss</v>
      </c>
    </row>
    <row r="11474">
      <c r="A11474" s="3" t="str">
        <f>IFERROR(__xludf.DUMMYFUNCTION("""COMPUTED_VALUE"""),"the-akragas-decadrachm")</f>
        <v>the-akragas-decadrachm</v>
      </c>
      <c r="B11474" s="3" t="str">
        <f>IFERROR(__xludf.DUMMYFUNCTION("""COMPUTED_VALUE"""),"thead")</f>
        <v>thead</v>
      </c>
      <c r="C11474" s="3" t="str">
        <f>IFERROR(__xludf.DUMMYFUNCTION("""COMPUTED_VALUE"""),"The Akragas Decadrachm")</f>
        <v>The Akragas Decadrachm</v>
      </c>
    </row>
    <row r="11475">
      <c r="A11475" s="3" t="str">
        <f>IFERROR(__xludf.DUMMYFUNCTION("""COMPUTED_VALUE"""),"the-amaze-world")</f>
        <v>the-amaze-world</v>
      </c>
      <c r="B11475" s="3" t="str">
        <f>IFERROR(__xludf.DUMMYFUNCTION("""COMPUTED_VALUE"""),"amze")</f>
        <v>amze</v>
      </c>
      <c r="C11475" s="3" t="str">
        <f>IFERROR(__xludf.DUMMYFUNCTION("""COMPUTED_VALUE"""),"The Amaze World")</f>
        <v>The Amaze World</v>
      </c>
    </row>
    <row r="11476">
      <c r="A11476" s="3" t="str">
        <f>IFERROR(__xludf.DUMMYFUNCTION("""COMPUTED_VALUE"""),"the-americans-nft")</f>
        <v>the-americans-nft</v>
      </c>
      <c r="B11476" s="3" t="str">
        <f>IFERROR(__xludf.DUMMYFUNCTION("""COMPUTED_VALUE"""),"usacoin")</f>
        <v>usacoin</v>
      </c>
      <c r="C11476" s="3" t="str">
        <f>IFERROR(__xludf.DUMMYFUNCTION("""COMPUTED_VALUE"""),"The Americans NFT")</f>
        <v>The Americans NFT</v>
      </c>
    </row>
    <row r="11477">
      <c r="A11477" s="3" t="str">
        <f>IFERROR(__xludf.DUMMYFUNCTION("""COMPUTED_VALUE"""),"the-ape")</f>
        <v>the-ape</v>
      </c>
      <c r="B11477" s="3" t="str">
        <f>IFERROR(__xludf.DUMMYFUNCTION("""COMPUTED_VALUE"""),"ta")</f>
        <v>ta</v>
      </c>
      <c r="C11477" s="3" t="str">
        <f>IFERROR(__xludf.DUMMYFUNCTION("""COMPUTED_VALUE"""),"The Ape")</f>
        <v>The Ape</v>
      </c>
    </row>
    <row r="11478">
      <c r="A11478" s="3" t="str">
        <f>IFERROR(__xludf.DUMMYFUNCTION("""COMPUTED_VALUE"""),"the-ape-society")</f>
        <v>the-ape-society</v>
      </c>
      <c r="B11478" s="3" t="str">
        <f>IFERROR(__xludf.DUMMYFUNCTION("""COMPUTED_VALUE"""),"society")</f>
        <v>society</v>
      </c>
      <c r="C11478" s="3" t="str">
        <f>IFERROR(__xludf.DUMMYFUNCTION("""COMPUTED_VALUE"""),"The Ape Society")</f>
        <v>The Ape Society</v>
      </c>
    </row>
    <row r="11479">
      <c r="A11479" s="3" t="str">
        <f>IFERROR(__xludf.DUMMYFUNCTION("""COMPUTED_VALUE"""),"the-apis")</f>
        <v>the-apis</v>
      </c>
      <c r="B11479" s="3" t="str">
        <f>IFERROR(__xludf.DUMMYFUNCTION("""COMPUTED_VALUE"""),"api")</f>
        <v>api</v>
      </c>
      <c r="C11479" s="3" t="str">
        <f>IFERROR(__xludf.DUMMYFUNCTION("""COMPUTED_VALUE"""),"The APIS")</f>
        <v>The APIS</v>
      </c>
    </row>
    <row r="11480">
      <c r="A11480" s="3" t="str">
        <f>IFERROR(__xludf.DUMMYFUNCTION("""COMPUTED_VALUE"""),"the-atlas-coin")</f>
        <v>the-atlas-coin</v>
      </c>
      <c r="B11480" s="3" t="str">
        <f>IFERROR(__xludf.DUMMYFUNCTION("""COMPUTED_VALUE"""),"$atlas")</f>
        <v>$atlas</v>
      </c>
      <c r="C11480" s="3" t="str">
        <f>IFERROR(__xludf.DUMMYFUNCTION("""COMPUTED_VALUE"""),"The Atlas Coin")</f>
        <v>The Atlas Coin</v>
      </c>
    </row>
    <row r="11481">
      <c r="A11481" s="3" t="str">
        <f>IFERROR(__xludf.DUMMYFUNCTION("""COMPUTED_VALUE"""),"the-bend")</f>
        <v>the-bend</v>
      </c>
      <c r="B11481" s="3" t="str">
        <f>IFERROR(__xludf.DUMMYFUNCTION("""COMPUTED_VALUE"""),"bend")</f>
        <v>bend</v>
      </c>
      <c r="C11481" s="3" t="str">
        <f>IFERROR(__xludf.DUMMYFUNCTION("""COMPUTED_VALUE"""),"The Bend")</f>
        <v>The Bend</v>
      </c>
    </row>
    <row r="11482">
      <c r="A11482" s="3" t="str">
        <f>IFERROR(__xludf.DUMMYFUNCTION("""COMPUTED_VALUE"""),"thebigcoin")</f>
        <v>thebigcoin</v>
      </c>
      <c r="B11482" s="3" t="str">
        <f>IFERROR(__xludf.DUMMYFUNCTION("""COMPUTED_VALUE"""),"big")</f>
        <v>big</v>
      </c>
      <c r="C11482" s="3" t="str">
        <f>IFERROR(__xludf.DUMMYFUNCTION("""COMPUTED_VALUE"""),"TheBigCoin")</f>
        <v>TheBigCoin</v>
      </c>
    </row>
    <row r="11483">
      <c r="A11483" s="3" t="str">
        <f>IFERROR(__xludf.DUMMYFUNCTION("""COMPUTED_VALUE"""),"the-big-five")</f>
        <v>the-big-five</v>
      </c>
      <c r="B11483" s="3" t="str">
        <f>IFERROR(__xludf.DUMMYFUNCTION("""COMPUTED_VALUE"""),"bft")</f>
        <v>bft</v>
      </c>
      <c r="C11483" s="3" t="str">
        <f>IFERROR(__xludf.DUMMYFUNCTION("""COMPUTED_VALUE"""),"The Big Five")</f>
        <v>The Big Five</v>
      </c>
    </row>
    <row r="11484">
      <c r="A11484" s="3" t="str">
        <f>IFERROR(__xludf.DUMMYFUNCTION("""COMPUTED_VALUE"""),"the-bitcoin-family")</f>
        <v>the-bitcoin-family</v>
      </c>
      <c r="B11484" s="3" t="str">
        <f>IFERROR(__xludf.DUMMYFUNCTION("""COMPUTED_VALUE"""),"family")</f>
        <v>family</v>
      </c>
      <c r="C11484" s="3" t="str">
        <f>IFERROR(__xludf.DUMMYFUNCTION("""COMPUTED_VALUE"""),"The Bitcoin Family")</f>
        <v>The Bitcoin Family</v>
      </c>
    </row>
    <row r="11485">
      <c r="A11485" s="3" t="str">
        <f>IFERROR(__xludf.DUMMYFUNCTION("""COMPUTED_VALUE"""),"theboringtoken")</f>
        <v>theboringtoken</v>
      </c>
      <c r="B11485" s="3" t="str">
        <f>IFERROR(__xludf.DUMMYFUNCTION("""COMPUTED_VALUE"""),"tbt")</f>
        <v>tbt</v>
      </c>
      <c r="C11485" s="3" t="str">
        <f>IFERROR(__xludf.DUMMYFUNCTION("""COMPUTED_VALUE"""),"TheBoring")</f>
        <v>TheBoring</v>
      </c>
    </row>
    <row r="11486">
      <c r="A11486" s="3" t="str">
        <f>IFERROR(__xludf.DUMMYFUNCTION("""COMPUTED_VALUE"""),"theca")</f>
        <v>theca</v>
      </c>
      <c r="B11486" s="3" t="str">
        <f>IFERROR(__xludf.DUMMYFUNCTION("""COMPUTED_VALUE"""),"theca")</f>
        <v>theca</v>
      </c>
      <c r="C11486" s="3" t="str">
        <f>IFERROR(__xludf.DUMMYFUNCTION("""COMPUTED_VALUE"""),"Theca")</f>
        <v>Theca</v>
      </c>
    </row>
    <row r="11487">
      <c r="A11487" s="3" t="str">
        <f>IFERROR(__xludf.DUMMYFUNCTION("""COMPUTED_VALUE"""),"the-cat-inu")</f>
        <v>the-cat-inu</v>
      </c>
      <c r="B11487" s="3" t="str">
        <f>IFERROR(__xludf.DUMMYFUNCTION("""COMPUTED_VALUE"""),"thecat")</f>
        <v>thecat</v>
      </c>
      <c r="C11487" s="3" t="str">
        <f>IFERROR(__xludf.DUMMYFUNCTION("""COMPUTED_VALUE"""),"The Cat Inu")</f>
        <v>The Cat Inu</v>
      </c>
    </row>
    <row r="11488">
      <c r="A11488" s="3" t="str">
        <f>IFERROR(__xludf.DUMMYFUNCTION("""COMPUTED_VALUE"""),"the-champcoin")</f>
        <v>the-champcoin</v>
      </c>
      <c r="B11488" s="3" t="str">
        <f>IFERROR(__xludf.DUMMYFUNCTION("""COMPUTED_VALUE"""),"tcc")</f>
        <v>tcc</v>
      </c>
      <c r="C11488" s="3" t="str">
        <f>IFERROR(__xludf.DUMMYFUNCTION("""COMPUTED_VALUE"""),"The ChampCoin")</f>
        <v>The ChampCoin</v>
      </c>
    </row>
    <row r="11489">
      <c r="A11489" s="3" t="str">
        <f>IFERROR(__xludf.DUMMYFUNCTION("""COMPUTED_VALUE"""),"the-citadel")</f>
        <v>the-citadel</v>
      </c>
      <c r="B11489" s="3" t="str">
        <f>IFERROR(__xludf.DUMMYFUNCTION("""COMPUTED_VALUE"""),"thecitadel")</f>
        <v>thecitadel</v>
      </c>
      <c r="C11489" s="3" t="str">
        <f>IFERROR(__xludf.DUMMYFUNCTION("""COMPUTED_VALUE"""),"The Citadel")</f>
        <v>The Citadel</v>
      </c>
    </row>
    <row r="11490">
      <c r="A11490" s="3" t="str">
        <f>IFERROR(__xludf.DUMMYFUNCTION("""COMPUTED_VALUE"""),"the-commission")</f>
        <v>the-commission</v>
      </c>
      <c r="B11490" s="3" t="str">
        <f>IFERROR(__xludf.DUMMYFUNCTION("""COMPUTED_VALUE"""),"cmsn")</f>
        <v>cmsn</v>
      </c>
      <c r="C11490" s="3" t="str">
        <f>IFERROR(__xludf.DUMMYFUNCTION("""COMPUTED_VALUE"""),"The Commission")</f>
        <v>The Commission</v>
      </c>
    </row>
    <row r="11491">
      <c r="A11491" s="3" t="str">
        <f>IFERROR(__xludf.DUMMYFUNCTION("""COMPUTED_VALUE"""),"the-coop-network")</f>
        <v>the-coop-network</v>
      </c>
      <c r="B11491" s="3" t="str">
        <f>IFERROR(__xludf.DUMMYFUNCTION("""COMPUTED_VALUE"""),"gmd")</f>
        <v>gmd</v>
      </c>
      <c r="C11491" s="3" t="str">
        <f>IFERROR(__xludf.DUMMYFUNCTION("""COMPUTED_VALUE"""),"The Coop Network")</f>
        <v>The Coop Network</v>
      </c>
    </row>
    <row r="11492">
      <c r="A11492" s="3" t="str">
        <f>IFERROR(__xludf.DUMMYFUNCTION("""COMPUTED_VALUE"""),"the-corgi-of-polkabridge")</f>
        <v>the-corgi-of-polkabridge</v>
      </c>
      <c r="B11492" s="3" t="str">
        <f>IFERROR(__xludf.DUMMYFUNCTION("""COMPUTED_VALUE"""),"corgib")</f>
        <v>corgib</v>
      </c>
      <c r="C11492" s="3" t="str">
        <f>IFERROR(__xludf.DUMMYFUNCTION("""COMPUTED_VALUE"""),"The Corgi of PolkaBridge")</f>
        <v>The Corgi of PolkaBridge</v>
      </c>
    </row>
    <row r="11493">
      <c r="A11493" s="3" t="str">
        <f>IFERROR(__xludf.DUMMYFUNCTION("""COMPUTED_VALUE"""),"the-crypto-prophecies")</f>
        <v>the-crypto-prophecies</v>
      </c>
      <c r="B11493" s="3" t="str">
        <f>IFERROR(__xludf.DUMMYFUNCTION("""COMPUTED_VALUE"""),"tcp")</f>
        <v>tcp</v>
      </c>
      <c r="C11493" s="3" t="str">
        <f>IFERROR(__xludf.DUMMYFUNCTION("""COMPUTED_VALUE"""),"The Crypto Prophecies")</f>
        <v>The Crypto Prophecies</v>
      </c>
    </row>
    <row r="11494">
      <c r="A11494" s="3" t="str">
        <f>IFERROR(__xludf.DUMMYFUNCTION("""COMPUTED_VALUE"""),"the-crypto-you")</f>
        <v>the-crypto-you</v>
      </c>
      <c r="B11494" s="3" t="str">
        <f>IFERROR(__xludf.DUMMYFUNCTION("""COMPUTED_VALUE"""),"milk")</f>
        <v>milk</v>
      </c>
      <c r="C11494" s="3" t="str">
        <f>IFERROR(__xludf.DUMMYFUNCTION("""COMPUTED_VALUE"""),"The Crypto You")</f>
        <v>The Crypto You</v>
      </c>
    </row>
    <row r="11495">
      <c r="A11495" s="3" t="str">
        <f>IFERROR(__xludf.DUMMYFUNCTION("""COMPUTED_VALUE"""),"the-daox-index")</f>
        <v>the-daox-index</v>
      </c>
      <c r="B11495" s="3" t="str">
        <f>IFERROR(__xludf.DUMMYFUNCTION("""COMPUTED_VALUE"""),"daox")</f>
        <v>daox</v>
      </c>
      <c r="C11495" s="3" t="str">
        <f>IFERROR(__xludf.DUMMYFUNCTION("""COMPUTED_VALUE"""),"The DAOX Index")</f>
        <v>The DAOX Index</v>
      </c>
    </row>
    <row r="11496">
      <c r="A11496" s="3" t="str">
        <f>IFERROR(__xludf.DUMMYFUNCTION("""COMPUTED_VALUE"""),"the-davis-legacy-coin")</f>
        <v>the-davis-legacy-coin</v>
      </c>
      <c r="B11496" s="3" t="str">
        <f>IFERROR(__xludf.DUMMYFUNCTION("""COMPUTED_VALUE"""),"tdlc")</f>
        <v>tdlc</v>
      </c>
      <c r="C11496" s="3" t="str">
        <f>IFERROR(__xludf.DUMMYFUNCTION("""COMPUTED_VALUE"""),"The Davis Legacy Coin")</f>
        <v>The Davis Legacy Coin</v>
      </c>
    </row>
    <row r="11497">
      <c r="A11497" s="3" t="str">
        <f>IFERROR(__xludf.DUMMYFUNCTION("""COMPUTED_VALUE"""),"the-debt-box")</f>
        <v>the-debt-box</v>
      </c>
      <c r="B11497" s="3" t="str">
        <f>IFERROR(__xludf.DUMMYFUNCTION("""COMPUTED_VALUE"""),"debt")</f>
        <v>debt</v>
      </c>
      <c r="C11497" s="3" t="str">
        <f>IFERROR(__xludf.DUMMYFUNCTION("""COMPUTED_VALUE"""),"The Debt Box")</f>
        <v>The Debt Box</v>
      </c>
    </row>
    <row r="11498">
      <c r="A11498" s="3" t="str">
        <f>IFERROR(__xludf.DUMMYFUNCTION("""COMPUTED_VALUE"""),"the-doge-nft")</f>
        <v>the-doge-nft</v>
      </c>
      <c r="B11498" s="3" t="str">
        <f>IFERROR(__xludf.DUMMYFUNCTION("""COMPUTED_VALUE"""),"dog")</f>
        <v>dog</v>
      </c>
      <c r="C11498" s="3" t="str">
        <f>IFERROR(__xludf.DUMMYFUNCTION("""COMPUTED_VALUE"""),"The Doge NFT")</f>
        <v>The Doge NFT</v>
      </c>
    </row>
    <row r="11499">
      <c r="A11499" s="3" t="str">
        <f>IFERROR(__xludf.DUMMYFUNCTION("""COMPUTED_VALUE"""),"the-dragon-gate")</f>
        <v>the-dragon-gate</v>
      </c>
      <c r="B11499" s="3" t="str">
        <f>IFERROR(__xludf.DUMMYFUNCTION("""COMPUTED_VALUE"""),"koi")</f>
        <v>koi</v>
      </c>
      <c r="C11499" s="3" t="str">
        <f>IFERROR(__xludf.DUMMYFUNCTION("""COMPUTED_VALUE"""),"The Dragon Gate")</f>
        <v>The Dragon Gate</v>
      </c>
    </row>
    <row r="11500">
      <c r="A11500" s="3" t="str">
        <f>IFERROR(__xludf.DUMMYFUNCTION("""COMPUTED_VALUE"""),"the-dynasty")</f>
        <v>the-dynasty</v>
      </c>
      <c r="B11500" s="3" t="str">
        <f>IFERROR(__xludf.DUMMYFUNCTION("""COMPUTED_VALUE"""),"dyt")</f>
        <v>dyt</v>
      </c>
      <c r="C11500" s="3" t="str">
        <f>IFERROR(__xludf.DUMMYFUNCTION("""COMPUTED_VALUE"""),"The Dynasty")</f>
        <v>The Dynasty</v>
      </c>
    </row>
    <row r="11501">
      <c r="A11501" s="3" t="str">
        <f>IFERROR(__xludf.DUMMYFUNCTION("""COMPUTED_VALUE"""),"the-employment-commons-work-token")</f>
        <v>the-employment-commons-work-token</v>
      </c>
      <c r="B11501" s="3" t="str">
        <f>IFERROR(__xludf.DUMMYFUNCTION("""COMPUTED_VALUE"""),"work")</f>
        <v>work</v>
      </c>
      <c r="C11501" s="3" t="str">
        <f>IFERROR(__xludf.DUMMYFUNCTION("""COMPUTED_VALUE"""),"The Employment Commons Work")</f>
        <v>The Employment Commons Work</v>
      </c>
    </row>
    <row r="11502">
      <c r="A11502" s="3" t="str">
        <f>IFERROR(__xludf.DUMMYFUNCTION("""COMPUTED_VALUE"""),"the-essential-coin")</f>
        <v>the-essential-coin</v>
      </c>
      <c r="B11502" s="3" t="str">
        <f>IFERROR(__xludf.DUMMYFUNCTION("""COMPUTED_VALUE"""),"esc")</f>
        <v>esc</v>
      </c>
      <c r="C11502" s="3" t="str">
        <f>IFERROR(__xludf.DUMMYFUNCTION("""COMPUTED_VALUE"""),"The Essential Coin")</f>
        <v>The Essential Coin</v>
      </c>
    </row>
    <row r="11503">
      <c r="A11503" s="3" t="str">
        <f>IFERROR(__xludf.DUMMYFUNCTION("""COMPUTED_VALUE"""),"the-everlasting-parachain")</f>
        <v>the-everlasting-parachain</v>
      </c>
      <c r="B11503" s="3" t="str">
        <f>IFERROR(__xludf.DUMMYFUNCTION("""COMPUTED_VALUE"""),"elp")</f>
        <v>elp</v>
      </c>
      <c r="C11503" s="3" t="str">
        <f>IFERROR(__xludf.DUMMYFUNCTION("""COMPUTED_VALUE"""),"The Everlasting Parachain")</f>
        <v>The Everlasting Parachain</v>
      </c>
    </row>
    <row r="11504">
      <c r="A11504" s="3" t="str">
        <f>IFERROR(__xludf.DUMMYFUNCTION("""COMPUTED_VALUE"""),"the-fire-token")</f>
        <v>the-fire-token</v>
      </c>
      <c r="B11504" s="3" t="str">
        <f>IFERROR(__xludf.DUMMYFUNCTION("""COMPUTED_VALUE"""),"xfr")</f>
        <v>xfr</v>
      </c>
      <c r="C11504" s="3" t="str">
        <f>IFERROR(__xludf.DUMMYFUNCTION("""COMPUTED_VALUE"""),"The Fire")</f>
        <v>The Fire</v>
      </c>
    </row>
    <row r="11505">
      <c r="A11505" s="3" t="str">
        <f>IFERROR(__xludf.DUMMYFUNCTION("""COMPUTED_VALUE"""),"theflashcurrency")</f>
        <v>theflashcurrency</v>
      </c>
      <c r="B11505" s="3" t="str">
        <f>IFERROR(__xludf.DUMMYFUNCTION("""COMPUTED_VALUE"""),"tfc")</f>
        <v>tfc</v>
      </c>
      <c r="C11505" s="3" t="str">
        <f>IFERROR(__xludf.DUMMYFUNCTION("""COMPUTED_VALUE"""),"TheFlashCurrency")</f>
        <v>TheFlashCurrency</v>
      </c>
    </row>
    <row r="11506">
      <c r="A11506" s="3" t="str">
        <f>IFERROR(__xludf.DUMMYFUNCTION("""COMPUTED_VALUE"""),"the-forbidden-forest")</f>
        <v>the-forbidden-forest</v>
      </c>
      <c r="B11506" s="3" t="str">
        <f>IFERROR(__xludf.DUMMYFUNCTION("""COMPUTED_VALUE"""),"forestplus")</f>
        <v>forestplus</v>
      </c>
      <c r="C11506" s="3" t="str">
        <f>IFERROR(__xludf.DUMMYFUNCTION("""COMPUTED_VALUE"""),"The Forbidden Forest")</f>
        <v>The Forbidden Forest</v>
      </c>
    </row>
    <row r="11507">
      <c r="A11507" s="3" t="str">
        <f>IFERROR(__xludf.DUMMYFUNCTION("""COMPUTED_VALUE"""),"theforce-trade")</f>
        <v>theforce-trade</v>
      </c>
      <c r="B11507" s="3" t="str">
        <f>IFERROR(__xludf.DUMMYFUNCTION("""COMPUTED_VALUE"""),"foc")</f>
        <v>foc</v>
      </c>
      <c r="C11507" s="3" t="str">
        <f>IFERROR(__xludf.DUMMYFUNCTION("""COMPUTED_VALUE"""),"TheForce Trade")</f>
        <v>TheForce Trade</v>
      </c>
    </row>
    <row r="11508">
      <c r="A11508" s="3" t="str">
        <f>IFERROR(__xludf.DUMMYFUNCTION("""COMPUTED_VALUE"""),"thefutbolcoin")</f>
        <v>thefutbolcoin</v>
      </c>
      <c r="B11508" s="3" t="str">
        <f>IFERROR(__xludf.DUMMYFUNCTION("""COMPUTED_VALUE"""),"tfc")</f>
        <v>tfc</v>
      </c>
      <c r="C11508" s="3" t="str">
        <f>IFERROR(__xludf.DUMMYFUNCTION("""COMPUTED_VALUE"""),"TheFutbolCoin")</f>
        <v>TheFutbolCoin</v>
      </c>
    </row>
    <row r="11509">
      <c r="A11509" s="3" t="str">
        <f>IFERROR(__xludf.DUMMYFUNCTION("""COMPUTED_VALUE"""),"thegcccoin")</f>
        <v>thegcccoin</v>
      </c>
      <c r="B11509" s="3" t="str">
        <f>IFERROR(__xludf.DUMMYFUNCTION("""COMPUTED_VALUE"""),"gcc")</f>
        <v>gcc</v>
      </c>
      <c r="C11509" s="3" t="str">
        <f>IFERROR(__xludf.DUMMYFUNCTION("""COMPUTED_VALUE"""),"Global Cryptocurrency")</f>
        <v>Global Cryptocurrency</v>
      </c>
    </row>
    <row r="11510">
      <c r="A11510" s="3" t="str">
        <f>IFERROR(__xludf.DUMMYFUNCTION("""COMPUTED_VALUE"""),"the-genesis-block")</f>
        <v>the-genesis-block</v>
      </c>
      <c r="B11510" s="3" t="str">
        <f>IFERROR(__xludf.DUMMYFUNCTION("""COMPUTED_VALUE"""),"genblok")</f>
        <v>genblok</v>
      </c>
      <c r="C11510" s="3" t="str">
        <f>IFERROR(__xludf.DUMMYFUNCTION("""COMPUTED_VALUE"""),"The Genesis Block")</f>
        <v>The Genesis Block</v>
      </c>
    </row>
    <row r="11511">
      <c r="A11511" s="3" t="str">
        <f>IFERROR(__xludf.DUMMYFUNCTION("""COMPUTED_VALUE"""),"the-golden-dog")</f>
        <v>the-golden-dog</v>
      </c>
      <c r="B11511" s="3" t="str">
        <f>IFERROR(__xludf.DUMMYFUNCTION("""COMPUTED_VALUE"""),"dog")</f>
        <v>dog</v>
      </c>
      <c r="C11511" s="3" t="str">
        <f>IFERROR(__xludf.DUMMYFUNCTION("""COMPUTED_VALUE"""),"The Golden Dog")</f>
        <v>The Golden Dog</v>
      </c>
    </row>
    <row r="11512">
      <c r="A11512" s="3" t="str">
        <f>IFERROR(__xludf.DUMMYFUNCTION("""COMPUTED_VALUE"""),"the-graph")</f>
        <v>the-graph</v>
      </c>
      <c r="B11512" s="3" t="str">
        <f>IFERROR(__xludf.DUMMYFUNCTION("""COMPUTED_VALUE"""),"grt")</f>
        <v>grt</v>
      </c>
      <c r="C11512" s="3" t="str">
        <f>IFERROR(__xludf.DUMMYFUNCTION("""COMPUTED_VALUE"""),"The Graph")</f>
        <v>The Graph</v>
      </c>
    </row>
    <row r="11513">
      <c r="A11513" s="3" t="str">
        <f>IFERROR(__xludf.DUMMYFUNCTION("""COMPUTED_VALUE"""),"the-hash-speed")</f>
        <v>the-hash-speed</v>
      </c>
      <c r="B11513" s="3" t="str">
        <f>IFERROR(__xludf.DUMMYFUNCTION("""COMPUTED_VALUE"""),"ths")</f>
        <v>ths</v>
      </c>
      <c r="C11513" s="3" t="str">
        <f>IFERROR(__xludf.DUMMYFUNCTION("""COMPUTED_VALUE"""),"The Hash Speed")</f>
        <v>The Hash Speed</v>
      </c>
    </row>
    <row r="11514">
      <c r="A11514" s="3" t="str">
        <f>IFERROR(__xludf.DUMMYFUNCTION("""COMPUTED_VALUE"""),"theholyrogercoin")</f>
        <v>theholyrogercoin</v>
      </c>
      <c r="B11514" s="3" t="str">
        <f>IFERROR(__xludf.DUMMYFUNCTION("""COMPUTED_VALUE"""),"roger")</f>
        <v>roger</v>
      </c>
      <c r="C11514" s="3" t="str">
        <f>IFERROR(__xludf.DUMMYFUNCTION("""COMPUTED_VALUE"""),"TheHolyRogerCoin")</f>
        <v>TheHolyRogerCoin</v>
      </c>
    </row>
    <row r="11515">
      <c r="A11515" s="3" t="str">
        <f>IFERROR(__xludf.DUMMYFUNCTION("""COMPUTED_VALUE"""),"the-husl")</f>
        <v>the-husl</v>
      </c>
      <c r="B11515" s="3" t="str">
        <f>IFERROR(__xludf.DUMMYFUNCTION("""COMPUTED_VALUE"""),"husl")</f>
        <v>husl</v>
      </c>
      <c r="C11515" s="3" t="str">
        <f>IFERROR(__xludf.DUMMYFUNCTION("""COMPUTED_VALUE"""),"The HUSL")</f>
        <v>The HUSL</v>
      </c>
    </row>
    <row r="11516">
      <c r="A11516" s="3" t="str">
        <f>IFERROR(__xludf.DUMMYFUNCTION("""COMPUTED_VALUE"""),"the-k0de")</f>
        <v>the-k0de</v>
      </c>
      <c r="B11516" s="3" t="str">
        <f>IFERROR(__xludf.DUMMYFUNCTION("""COMPUTED_VALUE"""),"k0de")</f>
        <v>k0de</v>
      </c>
      <c r="C11516" s="3" t="str">
        <f>IFERROR(__xludf.DUMMYFUNCTION("""COMPUTED_VALUE"""),"The $k0de")</f>
        <v>The $k0de</v>
      </c>
    </row>
    <row r="11517">
      <c r="A11517" s="3" t="str">
        <f>IFERROR(__xludf.DUMMYFUNCTION("""COMPUTED_VALUE"""),"the-killbox-game")</f>
        <v>the-killbox-game</v>
      </c>
      <c r="B11517" s="3" t="str">
        <f>IFERROR(__xludf.DUMMYFUNCTION("""COMPUTED_VALUE"""),"kbox")</f>
        <v>kbox</v>
      </c>
      <c r="C11517" s="3" t="str">
        <f>IFERROR(__xludf.DUMMYFUNCTION("""COMPUTED_VALUE"""),"The Killbox Game")</f>
        <v>The Killbox Game</v>
      </c>
    </row>
    <row r="11518">
      <c r="A11518" s="3" t="str">
        <f>IFERROR(__xludf.DUMMYFUNCTION("""COMPUTED_VALUE"""),"the-laboratory")</f>
        <v>the-laboratory</v>
      </c>
      <c r="B11518" s="3" t="str">
        <f>IFERROR(__xludf.DUMMYFUNCTION("""COMPUTED_VALUE"""),"$lab")</f>
        <v>$lab</v>
      </c>
      <c r="C11518" s="3" t="str">
        <f>IFERROR(__xludf.DUMMYFUNCTION("""COMPUTED_VALUE"""),"The Laboratory")</f>
        <v>The Laboratory</v>
      </c>
    </row>
    <row r="11519">
      <c r="A11519" s="3" t="str">
        <f>IFERROR(__xludf.DUMMYFUNCTION("""COMPUTED_VALUE"""),"the-landlord")</f>
        <v>the-landlord</v>
      </c>
      <c r="B11519" s="3" t="str">
        <f>IFERROR(__xludf.DUMMYFUNCTION("""COMPUTED_VALUE"""),"lndlrd")</f>
        <v>lndlrd</v>
      </c>
      <c r="C11519" s="3" t="str">
        <f>IFERROR(__xludf.DUMMYFUNCTION("""COMPUTED_VALUE"""),"The Landlord")</f>
        <v>The Landlord</v>
      </c>
    </row>
    <row r="11520">
      <c r="A11520" s="3" t="str">
        <f>IFERROR(__xludf.DUMMYFUNCTION("""COMPUTED_VALUE"""),"the-last-war")</f>
        <v>the-last-war</v>
      </c>
      <c r="B11520" s="3" t="str">
        <f>IFERROR(__xludf.DUMMYFUNCTION("""COMPUTED_VALUE"""),"tlw")</f>
        <v>tlw</v>
      </c>
      <c r="C11520" s="3" t="str">
        <f>IFERROR(__xludf.DUMMYFUNCTION("""COMPUTED_VALUE"""),"The Last War")</f>
        <v>The Last War</v>
      </c>
    </row>
    <row r="11521">
      <c r="A11521" s="3" t="str">
        <f>IFERROR(__xludf.DUMMYFUNCTION("""COMPUTED_VALUE"""),"the-legend-of-deification")</f>
        <v>the-legend-of-deification</v>
      </c>
      <c r="B11521" s="3" t="str">
        <f>IFERROR(__xludf.DUMMYFUNCTION("""COMPUTED_VALUE"""),"tlod")</f>
        <v>tlod</v>
      </c>
      <c r="C11521" s="3" t="str">
        <f>IFERROR(__xludf.DUMMYFUNCTION("""COMPUTED_VALUE"""),"The Legend of Deification")</f>
        <v>The Legend of Deification</v>
      </c>
    </row>
    <row r="11522">
      <c r="A11522" s="3" t="str">
        <f>IFERROR(__xludf.DUMMYFUNCTION("""COMPUTED_VALUE"""),"the-mars")</f>
        <v>the-mars</v>
      </c>
      <c r="B11522" s="3" t="str">
        <f>IFERROR(__xludf.DUMMYFUNCTION("""COMPUTED_VALUE"""),"mrst")</f>
        <v>mrst</v>
      </c>
      <c r="C11522" s="3" t="str">
        <f>IFERROR(__xludf.DUMMYFUNCTION("""COMPUTED_VALUE"""),"Mars Token")</f>
        <v>Mars Token</v>
      </c>
    </row>
    <row r="11523">
      <c r="A11523" s="3" t="str">
        <f>IFERROR(__xludf.DUMMYFUNCTION("""COMPUTED_VALUE"""),"the-mars-shiba")</f>
        <v>the-mars-shiba</v>
      </c>
      <c r="B11523" s="3" t="str">
        <f>IFERROR(__xludf.DUMMYFUNCTION("""COMPUTED_VALUE"""),"marsshib")</f>
        <v>marsshib</v>
      </c>
      <c r="C11523" s="3" t="str">
        <f>IFERROR(__xludf.DUMMYFUNCTION("""COMPUTED_VALUE"""),"The Mars Shiba")</f>
        <v>The Mars Shiba</v>
      </c>
    </row>
    <row r="11524">
      <c r="A11524" s="3" t="str">
        <f>IFERROR(__xludf.DUMMYFUNCTION("""COMPUTED_VALUE"""),"the-meebits")</f>
        <v>the-meebits</v>
      </c>
      <c r="B11524" s="3" t="str">
        <f>IFERROR(__xludf.DUMMYFUNCTION("""COMPUTED_VALUE"""),"nmeebits")</f>
        <v>nmeebits</v>
      </c>
      <c r="C11524" s="3" t="str">
        <f>IFERROR(__xludf.DUMMYFUNCTION("""COMPUTED_VALUE"""),"The Meebits")</f>
        <v>The Meebits</v>
      </c>
    </row>
    <row r="11525">
      <c r="A11525" s="3" t="str">
        <f>IFERROR(__xludf.DUMMYFUNCTION("""COMPUTED_VALUE"""),"the-meme-finance")</f>
        <v>the-meme-finance</v>
      </c>
      <c r="B11525" s="3" t="str">
        <f>IFERROR(__xludf.DUMMYFUNCTION("""COMPUTED_VALUE"""),"mefi")</f>
        <v>mefi</v>
      </c>
      <c r="C11525" s="3" t="str">
        <f>IFERROR(__xludf.DUMMYFUNCTION("""COMPUTED_VALUE"""),"The meme finance")</f>
        <v>The meme finance</v>
      </c>
    </row>
    <row r="11526">
      <c r="A11526" s="3" t="str">
        <f>IFERROR(__xludf.DUMMYFUNCTION("""COMPUTED_VALUE"""),"the-midas-touch-gold")</f>
        <v>the-midas-touch-gold</v>
      </c>
      <c r="B11526" s="3" t="str">
        <f>IFERROR(__xludf.DUMMYFUNCTION("""COMPUTED_VALUE"""),"tmtg")</f>
        <v>tmtg</v>
      </c>
      <c r="C11526" s="3" t="str">
        <f>IFERROR(__xludf.DUMMYFUNCTION("""COMPUTED_VALUE"""),"The Midas Touch Gold")</f>
        <v>The Midas Touch Gold</v>
      </c>
    </row>
    <row r="11527">
      <c r="A11527" s="3" t="str">
        <f>IFERROR(__xludf.DUMMYFUNCTION("""COMPUTED_VALUE"""),"themis")</f>
        <v>themis</v>
      </c>
      <c r="B11527" s="3" t="str">
        <f>IFERROR(__xludf.DUMMYFUNCTION("""COMPUTED_VALUE"""),"get")</f>
        <v>get</v>
      </c>
      <c r="C11527" s="3" t="str">
        <f>IFERROR(__xludf.DUMMYFUNCTION("""COMPUTED_VALUE"""),"Themis Network")</f>
        <v>Themis Network</v>
      </c>
    </row>
    <row r="11528">
      <c r="A11528" s="3" t="str">
        <f>IFERROR(__xludf.DUMMYFUNCTION("""COMPUTED_VALUE"""),"themis-2")</f>
        <v>themis-2</v>
      </c>
      <c r="B11528" s="3" t="str">
        <f>IFERROR(__xludf.DUMMYFUNCTION("""COMPUTED_VALUE"""),"mis")</f>
        <v>mis</v>
      </c>
      <c r="C11528" s="3" t="str">
        <f>IFERROR(__xludf.DUMMYFUNCTION("""COMPUTED_VALUE"""),"Themis")</f>
        <v>Themis</v>
      </c>
    </row>
    <row r="11529">
      <c r="A11529" s="3" t="str">
        <f>IFERROR(__xludf.DUMMYFUNCTION("""COMPUTED_VALUE"""),"the-monopolist")</f>
        <v>the-monopolist</v>
      </c>
      <c r="B11529" s="3" t="str">
        <f>IFERROR(__xludf.DUMMYFUNCTION("""COMPUTED_VALUE"""),"mono")</f>
        <v>mono</v>
      </c>
      <c r="C11529" s="3" t="str">
        <f>IFERROR(__xludf.DUMMYFUNCTION("""COMPUTED_VALUE"""),"The Monopolist")</f>
        <v>The Monopolist</v>
      </c>
    </row>
    <row r="11530">
      <c r="A11530" s="3" t="str">
        <f>IFERROR(__xludf.DUMMYFUNCTION("""COMPUTED_VALUE"""),"the-moon-shiba")</f>
        <v>the-moon-shiba</v>
      </c>
      <c r="B11530" s="3" t="str">
        <f>IFERROR(__xludf.DUMMYFUNCTION("""COMPUTED_VALUE"""),"moonshib")</f>
        <v>moonshib</v>
      </c>
      <c r="C11530" s="3" t="str">
        <f>IFERROR(__xludf.DUMMYFUNCTION("""COMPUTED_VALUE"""),"The Moon Shiba")</f>
        <v>The Moon Shiba</v>
      </c>
    </row>
    <row r="11531">
      <c r="A11531" s="3" t="str">
        <f>IFERROR(__xludf.DUMMYFUNCTION("""COMPUTED_VALUE"""),"the-nature-token")</f>
        <v>the-nature-token</v>
      </c>
      <c r="B11531" s="3" t="str">
        <f>IFERROR(__xludf.DUMMYFUNCTION("""COMPUTED_VALUE"""),"nature")</f>
        <v>nature</v>
      </c>
      <c r="C11531" s="3" t="str">
        <f>IFERROR(__xludf.DUMMYFUNCTION("""COMPUTED_VALUE"""),"The Nature")</f>
        <v>The Nature</v>
      </c>
    </row>
    <row r="11532">
      <c r="A11532" s="3" t="str">
        <f>IFERROR(__xludf.DUMMYFUNCTION("""COMPUTED_VALUE"""),"the-neighbours")</f>
        <v>the-neighbours</v>
      </c>
      <c r="B11532" s="3" t="str">
        <f>IFERROR(__xludf.DUMMYFUNCTION("""COMPUTED_VALUE"""),"neibr")</f>
        <v>neibr</v>
      </c>
      <c r="C11532" s="3" t="str">
        <f>IFERROR(__xludf.DUMMYFUNCTION("""COMPUTED_VALUE"""),"The Neighbours")</f>
        <v>The Neighbours</v>
      </c>
    </row>
    <row r="11533">
      <c r="A11533" s="3" t="str">
        <f>IFERROR(__xludf.DUMMYFUNCTION("""COMPUTED_VALUE"""),"the-neko")</f>
        <v>the-neko</v>
      </c>
      <c r="B11533" s="3" t="str">
        <f>IFERROR(__xludf.DUMMYFUNCTION("""COMPUTED_VALUE"""),"neko")</f>
        <v>neko</v>
      </c>
      <c r="C11533" s="3" t="str">
        <f>IFERROR(__xludf.DUMMYFUNCTION("""COMPUTED_VALUE"""),"The Neko")</f>
        <v>The Neko</v>
      </c>
    </row>
    <row r="11534">
      <c r="A11534" s="3" t="str">
        <f>IFERROR(__xludf.DUMMYFUNCTION("""COMPUTED_VALUE"""),"the-next-world-coin")</f>
        <v>the-next-world-coin</v>
      </c>
      <c r="B11534" s="3" t="str">
        <f>IFERROR(__xludf.DUMMYFUNCTION("""COMPUTED_VALUE"""),"tnc")</f>
        <v>tnc</v>
      </c>
      <c r="C11534" s="3" t="str">
        <f>IFERROR(__xludf.DUMMYFUNCTION("""COMPUTED_VALUE"""),"The Next World Coin")</f>
        <v>The Next World Coin</v>
      </c>
    </row>
    <row r="11535">
      <c r="A11535" s="3" t="str">
        <f>IFERROR(__xludf.DUMMYFUNCTION("""COMPUTED_VALUE"""),"the-node")</f>
        <v>the-node</v>
      </c>
      <c r="B11535" s="3" t="str">
        <f>IFERROR(__xludf.DUMMYFUNCTION("""COMPUTED_VALUE"""),"the")</f>
        <v>the</v>
      </c>
      <c r="C11535" s="3" t="str">
        <f>IFERROR(__xludf.DUMMYFUNCTION("""COMPUTED_VALUE"""),"THENODE")</f>
        <v>THENODE</v>
      </c>
    </row>
    <row r="11536">
      <c r="A11536" s="3" t="str">
        <f>IFERROR(__xludf.DUMMYFUNCTION("""COMPUTED_VALUE"""),"the-open-network")</f>
        <v>the-open-network</v>
      </c>
      <c r="B11536" s="3" t="str">
        <f>IFERROR(__xludf.DUMMYFUNCTION("""COMPUTED_VALUE"""),"ton")</f>
        <v>ton</v>
      </c>
      <c r="C11536" s="3" t="str">
        <f>IFERROR(__xludf.DUMMYFUNCTION("""COMPUTED_VALUE"""),"The Open Network")</f>
        <v>The Open Network</v>
      </c>
    </row>
    <row r="11537">
      <c r="A11537" s="3" t="str">
        <f>IFERROR(__xludf.DUMMYFUNCTION("""COMPUTED_VALUE"""),"theos")</f>
        <v>theos</v>
      </c>
      <c r="B11537" s="3" t="str">
        <f>IFERROR(__xludf.DUMMYFUNCTION("""COMPUTED_VALUE"""),"theos")</f>
        <v>theos</v>
      </c>
      <c r="C11537" s="3" t="str">
        <f>IFERROR(__xludf.DUMMYFUNCTION("""COMPUTED_VALUE"""),"Theos")</f>
        <v>Theos</v>
      </c>
    </row>
    <row r="11538">
      <c r="A11538" s="3" t="str">
        <f>IFERROR(__xludf.DUMMYFUNCTION("""COMPUTED_VALUE"""),"theoscoin")</f>
        <v>theoscoin</v>
      </c>
      <c r="B11538" s="3" t="str">
        <f>IFERROR(__xludf.DUMMYFUNCTION("""COMPUTED_VALUE"""),"ths")</f>
        <v>ths</v>
      </c>
      <c r="C11538" s="3" t="str">
        <f>IFERROR(__xludf.DUMMYFUNCTION("""COMPUTED_VALUE"""),"Theoscoin")</f>
        <v>Theoscoin</v>
      </c>
    </row>
    <row r="11539">
      <c r="A11539" s="3" t="str">
        <f>IFERROR(__xludf.DUMMYFUNCTION("""COMPUTED_VALUE"""),"the-pablo-token")</f>
        <v>the-pablo-token</v>
      </c>
      <c r="B11539" s="3" t="str">
        <f>IFERROR(__xludf.DUMMYFUNCTION("""COMPUTED_VALUE"""),"pablo")</f>
        <v>pablo</v>
      </c>
      <c r="C11539" s="3" t="str">
        <f>IFERROR(__xludf.DUMMYFUNCTION("""COMPUTED_VALUE"""),"The Pablo")</f>
        <v>The Pablo</v>
      </c>
    </row>
    <row r="11540">
      <c r="A11540" s="3" t="str">
        <f>IFERROR(__xludf.DUMMYFUNCTION("""COMPUTED_VALUE"""),"the-parallel")</f>
        <v>the-parallel</v>
      </c>
      <c r="B11540" s="3" t="str">
        <f>IFERROR(__xludf.DUMMYFUNCTION("""COMPUTED_VALUE"""),"prl")</f>
        <v>prl</v>
      </c>
      <c r="C11540" s="3" t="str">
        <f>IFERROR(__xludf.DUMMYFUNCTION("""COMPUTED_VALUE"""),"The Parallel")</f>
        <v>The Parallel</v>
      </c>
    </row>
    <row r="11541">
      <c r="A11541" s="3" t="str">
        <f>IFERROR(__xludf.DUMMYFUNCTION("""COMPUTED_VALUE"""),"the-path-of-light")</f>
        <v>the-path-of-light</v>
      </c>
      <c r="B11541" s="3" t="str">
        <f>IFERROR(__xludf.DUMMYFUNCTION("""COMPUTED_VALUE"""),"yori")</f>
        <v>yori</v>
      </c>
      <c r="C11541" s="3" t="str">
        <f>IFERROR(__xludf.DUMMYFUNCTION("""COMPUTED_VALUE"""),"The Path Of Light")</f>
        <v>The Path Of Light</v>
      </c>
    </row>
    <row r="11542">
      <c r="A11542" s="3" t="str">
        <f>IFERROR(__xludf.DUMMYFUNCTION("""COMPUTED_VALUE"""),"the-people-coin")</f>
        <v>the-people-coin</v>
      </c>
      <c r="B11542" s="3" t="str">
        <f>IFERROR(__xludf.DUMMYFUNCTION("""COMPUTED_VALUE"""),"peeps")</f>
        <v>peeps</v>
      </c>
      <c r="C11542" s="3" t="str">
        <f>IFERROR(__xludf.DUMMYFUNCTION("""COMPUTED_VALUE"""),"The People’s Coin")</f>
        <v>The People’s Coin</v>
      </c>
    </row>
    <row r="11543">
      <c r="A11543" s="3" t="str">
        <f>IFERROR(__xludf.DUMMYFUNCTION("""COMPUTED_VALUE"""),"the-philosophers-stone")</f>
        <v>the-philosophers-stone</v>
      </c>
      <c r="B11543" s="3" t="str">
        <f>IFERROR(__xludf.DUMMYFUNCTION("""COMPUTED_VALUE"""),"tpos")</f>
        <v>tpos</v>
      </c>
      <c r="C11543" s="3" t="str">
        <f>IFERROR(__xludf.DUMMYFUNCTION("""COMPUTED_VALUE"""),"The Philosophers Stone")</f>
        <v>The Philosophers Stone</v>
      </c>
    </row>
    <row r="11544">
      <c r="A11544" s="3" t="str">
        <f>IFERROR(__xludf.DUMMYFUNCTION("""COMPUTED_VALUE"""),"the-phoenix")</f>
        <v>the-phoenix</v>
      </c>
      <c r="B11544" s="3" t="str">
        <f>IFERROR(__xludf.DUMMYFUNCTION("""COMPUTED_VALUE"""),"fire")</f>
        <v>fire</v>
      </c>
      <c r="C11544" s="3" t="str">
        <f>IFERROR(__xludf.DUMMYFUNCTION("""COMPUTED_VALUE"""),"The Phoenix")</f>
        <v>The Phoenix</v>
      </c>
    </row>
    <row r="11545">
      <c r="A11545" s="3" t="str">
        <f>IFERROR(__xludf.DUMMYFUNCTION("""COMPUTED_VALUE"""),"thepiggygarden")</f>
        <v>thepiggygarden</v>
      </c>
      <c r="B11545" s="3" t="str">
        <f>IFERROR(__xludf.DUMMYFUNCTION("""COMPUTED_VALUE"""),"tpg")</f>
        <v>tpg</v>
      </c>
      <c r="C11545" s="3" t="str">
        <f>IFERROR(__xludf.DUMMYFUNCTION("""COMPUTED_VALUE"""),"ThePiggyGarden")</f>
        <v>ThePiggyGarden</v>
      </c>
    </row>
    <row r="11546">
      <c r="A11546" s="3" t="str">
        <f>IFERROR(__xludf.DUMMYFUNCTION("""COMPUTED_VALUE"""),"the-plant-dao")</f>
        <v>the-plant-dao</v>
      </c>
      <c r="B11546" s="3" t="str">
        <f>IFERROR(__xludf.DUMMYFUNCTION("""COMPUTED_VALUE"""),"sprout")</f>
        <v>sprout</v>
      </c>
      <c r="C11546" s="3" t="str">
        <f>IFERROR(__xludf.DUMMYFUNCTION("""COMPUTED_VALUE"""),"The Plant Dao")</f>
        <v>The Plant Dao</v>
      </c>
    </row>
    <row r="11547">
      <c r="A11547" s="3" t="str">
        <f>IFERROR(__xludf.DUMMYFUNCTION("""COMPUTED_VALUE"""),"the-protocol")</f>
        <v>the-protocol</v>
      </c>
      <c r="B11547" s="3" t="str">
        <f>IFERROR(__xludf.DUMMYFUNCTION("""COMPUTED_VALUE"""),"the")</f>
        <v>the</v>
      </c>
      <c r="C11547" s="3" t="str">
        <f>IFERROR(__xludf.DUMMYFUNCTION("""COMPUTED_VALUE"""),"The Protocol")</f>
        <v>The Protocol</v>
      </c>
    </row>
    <row r="11548">
      <c r="A11548" s="3" t="str">
        <f>IFERROR(__xludf.DUMMYFUNCTION("""COMPUTED_VALUE"""),"the-randomdao")</f>
        <v>the-randomdao</v>
      </c>
      <c r="B11548" s="3" t="str">
        <f>IFERROR(__xludf.DUMMYFUNCTION("""COMPUTED_VALUE"""),"rnd")</f>
        <v>rnd</v>
      </c>
      <c r="C11548" s="3" t="str">
        <f>IFERROR(__xludf.DUMMYFUNCTION("""COMPUTED_VALUE"""),"The RandomDAO")</f>
        <v>The RandomDAO</v>
      </c>
    </row>
    <row r="11549">
      <c r="A11549" s="3" t="str">
        <f>IFERROR(__xludf.DUMMYFUNCTION("""COMPUTED_VALUE"""),"the-real-golden-inu")</f>
        <v>the-real-golden-inu</v>
      </c>
      <c r="B11549" s="3" t="str">
        <f>IFERROR(__xludf.DUMMYFUNCTION("""COMPUTED_VALUE"""),"trgi")</f>
        <v>trgi</v>
      </c>
      <c r="C11549" s="3" t="str">
        <f>IFERROR(__xludf.DUMMYFUNCTION("""COMPUTED_VALUE"""),"The Real Golden Inu")</f>
        <v>The Real Golden Inu</v>
      </c>
    </row>
    <row r="11550">
      <c r="A11550" s="3" t="str">
        <f>IFERROR(__xludf.DUMMYFUNCTION("""COMPUTED_VALUE"""),"the-realm-defenders")</f>
        <v>the-realm-defenders</v>
      </c>
      <c r="B11550" s="3" t="str">
        <f>IFERROR(__xludf.DUMMYFUNCTION("""COMPUTED_VALUE"""),"trd")</f>
        <v>trd</v>
      </c>
      <c r="C11550" s="3" t="str">
        <f>IFERROR(__xludf.DUMMYFUNCTION("""COMPUTED_VALUE"""),"The Realm Defenders")</f>
        <v>The Realm Defenders</v>
      </c>
    </row>
    <row r="11551">
      <c r="A11551" s="3" t="str">
        <f>IFERROR(__xludf.DUMMYFUNCTION("""COMPUTED_VALUE"""),"the-real-tsygan")</f>
        <v>the-real-tsygan</v>
      </c>
      <c r="B11551" s="3" t="str">
        <f>IFERROR(__xludf.DUMMYFUNCTION("""COMPUTED_VALUE"""),"tsygan")</f>
        <v>tsygan</v>
      </c>
      <c r="C11551" s="3" t="str">
        <f>IFERROR(__xludf.DUMMYFUNCTION("""COMPUTED_VALUE"""),"The Real Tsygan")</f>
        <v>The Real Tsygan</v>
      </c>
    </row>
    <row r="11552">
      <c r="A11552" s="3" t="str">
        <f>IFERROR(__xludf.DUMMYFUNCTION("""COMPUTED_VALUE"""),"the-reaper")</f>
        <v>the-reaper</v>
      </c>
      <c r="B11552" s="3" t="str">
        <f>IFERROR(__xludf.DUMMYFUNCTION("""COMPUTED_VALUE"""),"rpr")</f>
        <v>rpr</v>
      </c>
      <c r="C11552" s="3" t="str">
        <f>IFERROR(__xludf.DUMMYFUNCTION("""COMPUTED_VALUE"""),"The Reaper")</f>
        <v>The Reaper</v>
      </c>
    </row>
    <row r="11553">
      <c r="A11553" s="3" t="str">
        <f>IFERROR(__xludf.DUMMYFUNCTION("""COMPUTED_VALUE"""),"the-sandbox")</f>
        <v>the-sandbox</v>
      </c>
      <c r="B11553" s="3" t="str">
        <f>IFERROR(__xludf.DUMMYFUNCTION("""COMPUTED_VALUE"""),"sand")</f>
        <v>sand</v>
      </c>
      <c r="C11553" s="3" t="str">
        <f>IFERROR(__xludf.DUMMYFUNCTION("""COMPUTED_VALUE"""),"The Sandbox")</f>
        <v>The Sandbox</v>
      </c>
    </row>
    <row r="11554">
      <c r="A11554" s="3" t="str">
        <f>IFERROR(__xludf.DUMMYFUNCTION("""COMPUTED_VALUE"""),"the-sandbox-wormhole")</f>
        <v>the-sandbox-wormhole</v>
      </c>
      <c r="B11554" s="3" t="str">
        <f>IFERROR(__xludf.DUMMYFUNCTION("""COMPUTED_VALUE"""),"sand")</f>
        <v>sand</v>
      </c>
      <c r="C11554" s="3" t="str">
        <f>IFERROR(__xludf.DUMMYFUNCTION("""COMPUTED_VALUE"""),"The Sandbox (Wormhole)")</f>
        <v>The Sandbox (Wormhole)</v>
      </c>
    </row>
    <row r="11555">
      <c r="A11555" s="3" t="str">
        <f>IFERROR(__xludf.DUMMYFUNCTION("""COMPUTED_VALUE"""),"thesolandao")</f>
        <v>thesolandao</v>
      </c>
      <c r="B11555" s="3" t="str">
        <f>IFERROR(__xludf.DUMMYFUNCTION("""COMPUTED_VALUE"""),"sdo")</f>
        <v>sdo</v>
      </c>
      <c r="C11555" s="3" t="str">
        <f>IFERROR(__xludf.DUMMYFUNCTION("""COMPUTED_VALUE"""),"TheSolanDAO")</f>
        <v>TheSolanDAO</v>
      </c>
    </row>
    <row r="11556">
      <c r="A11556" s="3" t="str">
        <f>IFERROR(__xludf.DUMMYFUNCTION("""COMPUTED_VALUE"""),"the-soldiers-gold")</f>
        <v>the-soldiers-gold</v>
      </c>
      <c r="B11556" s="3" t="str">
        <f>IFERROR(__xludf.DUMMYFUNCTION("""COMPUTED_VALUE"""),"tsg")</f>
        <v>tsg</v>
      </c>
      <c r="C11556" s="3" t="str">
        <f>IFERROR(__xludf.DUMMYFUNCTION("""COMPUTED_VALUE"""),"The Soldiers Gold")</f>
        <v>The Soldiers Gold</v>
      </c>
    </row>
    <row r="11557">
      <c r="A11557" s="3" t="str">
        <f>IFERROR(__xludf.DUMMYFUNCTION("""COMPUTED_VALUE"""),"the-space")</f>
        <v>the-space</v>
      </c>
      <c r="B11557" s="3" t="str">
        <f>IFERROR(__xludf.DUMMYFUNCTION("""COMPUTED_VALUE"""),"space")</f>
        <v>space</v>
      </c>
      <c r="C11557" s="3" t="str">
        <f>IFERROR(__xludf.DUMMYFUNCTION("""COMPUTED_VALUE"""),"The Space")</f>
        <v>The Space</v>
      </c>
    </row>
    <row r="11558">
      <c r="A11558" s="3" t="str">
        <f>IFERROR(__xludf.DUMMYFUNCTION("""COMPUTED_VALUE"""),"the-sprint-token")</f>
        <v>the-sprint-token</v>
      </c>
      <c r="B11558" s="3" t="str">
        <f>IFERROR(__xludf.DUMMYFUNCTION("""COMPUTED_VALUE"""),"tst")</f>
        <v>tst</v>
      </c>
      <c r="C11558" s="3" t="str">
        <f>IFERROR(__xludf.DUMMYFUNCTION("""COMPUTED_VALUE"""),"The Sprint Token")</f>
        <v>The Sprint Token</v>
      </c>
    </row>
    <row r="11559">
      <c r="A11559" s="3" t="str">
        <f>IFERROR(__xludf.DUMMYFUNCTION("""COMPUTED_VALUE"""),"the-starship-finance")</f>
        <v>the-starship-finance</v>
      </c>
      <c r="B11559" s="3" t="str">
        <f>IFERROR(__xludf.DUMMYFUNCTION("""COMPUTED_VALUE"""),"bip")</f>
        <v>bip</v>
      </c>
      <c r="C11559" s="3" t="str">
        <f>IFERROR(__xludf.DUMMYFUNCTION("""COMPUTED_VALUE"""),"The Starship Finance")</f>
        <v>The Starship Finance</v>
      </c>
    </row>
    <row r="11560">
      <c r="A11560" s="3" t="str">
        <f>IFERROR(__xludf.DUMMYFUNCTION("""COMPUTED_VALUE"""),"the-sun-rises")</f>
        <v>the-sun-rises</v>
      </c>
      <c r="B11560" s="3" t="str">
        <f>IFERROR(__xludf.DUMMYFUNCTION("""COMPUTED_VALUE"""),"sunrise")</f>
        <v>sunrise</v>
      </c>
      <c r="C11560" s="3" t="str">
        <f>IFERROR(__xludf.DUMMYFUNCTION("""COMPUTED_VALUE"""),"The Sun Rises")</f>
        <v>The Sun Rises</v>
      </c>
    </row>
    <row r="11561">
      <c r="A11561" s="3" t="str">
        <f>IFERROR(__xludf.DUMMYFUNCTION("""COMPUTED_VALUE"""),"thetadrop")</f>
        <v>thetadrop</v>
      </c>
      <c r="B11561" s="3" t="str">
        <f>IFERROR(__xludf.DUMMYFUNCTION("""COMPUTED_VALUE"""),"tdrop")</f>
        <v>tdrop</v>
      </c>
      <c r="C11561" s="3" t="str">
        <f>IFERROR(__xludf.DUMMYFUNCTION("""COMPUTED_VALUE"""),"ThetaDrop")</f>
        <v>ThetaDrop</v>
      </c>
    </row>
    <row r="11562">
      <c r="A11562" s="3" t="str">
        <f>IFERROR(__xludf.DUMMYFUNCTION("""COMPUTED_VALUE"""),"theta-fuel")</f>
        <v>theta-fuel</v>
      </c>
      <c r="B11562" s="3" t="str">
        <f>IFERROR(__xludf.DUMMYFUNCTION("""COMPUTED_VALUE"""),"tfuel")</f>
        <v>tfuel</v>
      </c>
      <c r="C11562" s="3" t="str">
        <f>IFERROR(__xludf.DUMMYFUNCTION("""COMPUTED_VALUE"""),"Theta Fuel")</f>
        <v>Theta Fuel</v>
      </c>
    </row>
    <row r="11563">
      <c r="A11563" s="3" t="str">
        <f>IFERROR(__xludf.DUMMYFUNCTION("""COMPUTED_VALUE"""),"the-tale-of-osaku")</f>
        <v>the-tale-of-osaku</v>
      </c>
      <c r="B11563" s="3" t="str">
        <f>IFERROR(__xludf.DUMMYFUNCTION("""COMPUTED_VALUE"""),"osaku")</f>
        <v>osaku</v>
      </c>
      <c r="C11563" s="3" t="str">
        <f>IFERROR(__xludf.DUMMYFUNCTION("""COMPUTED_VALUE"""),"The Tale of Osaku")</f>
        <v>The Tale of Osaku</v>
      </c>
    </row>
    <row r="11564">
      <c r="A11564" s="3" t="str">
        <f>IFERROR(__xludf.DUMMYFUNCTION("""COMPUTED_VALUE"""),"thetan-arena")</f>
        <v>thetan-arena</v>
      </c>
      <c r="B11564" s="3" t="str">
        <f>IFERROR(__xludf.DUMMYFUNCTION("""COMPUTED_VALUE"""),"thg")</f>
        <v>thg</v>
      </c>
      <c r="C11564" s="3" t="str">
        <f>IFERROR(__xludf.DUMMYFUNCTION("""COMPUTED_VALUE"""),"Thetan Arena")</f>
        <v>Thetan Arena</v>
      </c>
    </row>
    <row r="11565">
      <c r="A11565" s="3" t="str">
        <f>IFERROR(__xludf.DUMMYFUNCTION("""COMPUTED_VALUE"""),"thetan-coin")</f>
        <v>thetan-coin</v>
      </c>
      <c r="B11565" s="3" t="str">
        <f>IFERROR(__xludf.DUMMYFUNCTION("""COMPUTED_VALUE"""),"thc")</f>
        <v>thc</v>
      </c>
      <c r="C11565" s="3" t="str">
        <f>IFERROR(__xludf.DUMMYFUNCTION("""COMPUTED_VALUE"""),"Thetan Coin")</f>
        <v>Thetan Coin</v>
      </c>
    </row>
    <row r="11566">
      <c r="A11566" s="3" t="str">
        <f>IFERROR(__xludf.DUMMYFUNCTION("""COMPUTED_VALUE"""),"theta-token")</f>
        <v>theta-token</v>
      </c>
      <c r="B11566" s="3" t="str">
        <f>IFERROR(__xludf.DUMMYFUNCTION("""COMPUTED_VALUE"""),"theta")</f>
        <v>theta</v>
      </c>
      <c r="C11566" s="3" t="str">
        <f>IFERROR(__xludf.DUMMYFUNCTION("""COMPUTED_VALUE"""),"Theta Network")</f>
        <v>Theta Network</v>
      </c>
    </row>
    <row r="11567">
      <c r="A11567" s="3" t="str">
        <f>IFERROR(__xludf.DUMMYFUNCTION("""COMPUTED_VALUE"""),"the-three-kingdoms")</f>
        <v>the-three-kingdoms</v>
      </c>
      <c r="B11567" s="3" t="str">
        <f>IFERROR(__xludf.DUMMYFUNCTION("""COMPUTED_VALUE"""),"ttk")</f>
        <v>ttk</v>
      </c>
      <c r="C11567" s="3" t="str">
        <f>IFERROR(__xludf.DUMMYFUNCTION("""COMPUTED_VALUE"""),"The Three Kingdoms")</f>
        <v>The Three Kingdoms</v>
      </c>
    </row>
    <row r="11568">
      <c r="A11568" s="3" t="str">
        <f>IFERROR(__xludf.DUMMYFUNCTION("""COMPUTED_VALUE"""),"the-tokenized-bitcoin")</f>
        <v>the-tokenized-bitcoin</v>
      </c>
      <c r="B11568" s="3" t="str">
        <f>IFERROR(__xludf.DUMMYFUNCTION("""COMPUTED_VALUE"""),"imbtc")</f>
        <v>imbtc</v>
      </c>
      <c r="C11568" s="3" t="str">
        <f>IFERROR(__xludf.DUMMYFUNCTION("""COMPUTED_VALUE"""),"The Tokenized Bitcoin")</f>
        <v>The Tokenized Bitcoin</v>
      </c>
    </row>
    <row r="11569">
      <c r="A11569" s="3" t="str">
        <f>IFERROR(__xludf.DUMMYFUNCTION("""COMPUTED_VALUE"""),"the-troller-coin")</f>
        <v>the-troller-coin</v>
      </c>
      <c r="B11569" s="3" t="str">
        <f>IFERROR(__xludf.DUMMYFUNCTION("""COMPUTED_VALUE"""),"troller")</f>
        <v>troller</v>
      </c>
      <c r="C11569" s="3" t="str">
        <f>IFERROR(__xludf.DUMMYFUNCTION("""COMPUTED_VALUE"""),"The Troller Coin")</f>
        <v>The Troller Coin</v>
      </c>
    </row>
    <row r="11570">
      <c r="A11570" s="3" t="str">
        <f>IFERROR(__xludf.DUMMYFUNCTION("""COMPUTED_VALUE"""),"the-virtua-kolect")</f>
        <v>the-virtua-kolect</v>
      </c>
      <c r="B11570" s="3" t="str">
        <f>IFERROR(__xludf.DUMMYFUNCTION("""COMPUTED_VALUE"""),"tvk")</f>
        <v>tvk</v>
      </c>
      <c r="C11570" s="3" t="str">
        <f>IFERROR(__xludf.DUMMYFUNCTION("""COMPUTED_VALUE"""),"The Virtua Kolect")</f>
        <v>The Virtua Kolect</v>
      </c>
    </row>
    <row r="11571">
      <c r="A11571" s="3" t="str">
        <f>IFERROR(__xludf.DUMMYFUNCTION("""COMPUTED_VALUE"""),"the-wasted-lands")</f>
        <v>the-wasted-lands</v>
      </c>
      <c r="B11571" s="3" t="str">
        <f>IFERROR(__xludf.DUMMYFUNCTION("""COMPUTED_VALUE"""),"wal")</f>
        <v>wal</v>
      </c>
      <c r="C11571" s="3" t="str">
        <f>IFERROR(__xludf.DUMMYFUNCTION("""COMPUTED_VALUE"""),"The Wasted Lands")</f>
        <v>The Wasted Lands</v>
      </c>
    </row>
    <row r="11572">
      <c r="A11572" s="3" t="str">
        <f>IFERROR(__xludf.DUMMYFUNCTION("""COMPUTED_VALUE"""),"the-web3-project")</f>
        <v>the-web3-project</v>
      </c>
      <c r="B11572" s="3" t="str">
        <f>IFERROR(__xludf.DUMMYFUNCTION("""COMPUTED_VALUE"""),"twep")</f>
        <v>twep</v>
      </c>
      <c r="C11572" s="3" t="str">
        <f>IFERROR(__xludf.DUMMYFUNCTION("""COMPUTED_VALUE"""),"The Web3 Project")</f>
        <v>The Web3 Project</v>
      </c>
    </row>
    <row r="11573">
      <c r="A11573" s="3" t="str">
        <f>IFERROR(__xludf.DUMMYFUNCTION("""COMPUTED_VALUE"""),"the-winkyverse")</f>
        <v>the-winkyverse</v>
      </c>
      <c r="B11573" s="3" t="str">
        <f>IFERROR(__xludf.DUMMYFUNCTION("""COMPUTED_VALUE"""),"wnk")</f>
        <v>wnk</v>
      </c>
      <c r="C11573" s="3" t="str">
        <f>IFERROR(__xludf.DUMMYFUNCTION("""COMPUTED_VALUE"""),"The Winkyverse")</f>
        <v>The Winkyverse</v>
      </c>
    </row>
    <row r="11574">
      <c r="A11574" s="3" t="str">
        <f>IFERROR(__xludf.DUMMYFUNCTION("""COMPUTED_VALUE"""),"the-wolf-pack")</f>
        <v>the-wolf-pack</v>
      </c>
      <c r="B11574" s="3" t="str">
        <f>IFERROR(__xludf.DUMMYFUNCTION("""COMPUTED_VALUE"""),"pack")</f>
        <v>pack</v>
      </c>
      <c r="C11574" s="3" t="str">
        <f>IFERROR(__xludf.DUMMYFUNCTION("""COMPUTED_VALUE"""),"The Wolf Pack")</f>
        <v>The Wolf Pack</v>
      </c>
    </row>
    <row r="11575">
      <c r="A11575" s="3" t="str">
        <f>IFERROR(__xludf.DUMMYFUNCTION("""COMPUTED_VALUE"""),"the-xenobots-project")</f>
        <v>the-xenobots-project</v>
      </c>
      <c r="B11575" s="3" t="str">
        <f>IFERROR(__xludf.DUMMYFUNCTION("""COMPUTED_VALUE"""),"xeno")</f>
        <v>xeno</v>
      </c>
      <c r="C11575" s="3" t="str">
        <f>IFERROR(__xludf.DUMMYFUNCTION("""COMPUTED_VALUE"""),"The Xenobots Project")</f>
        <v>The Xenobots Project</v>
      </c>
    </row>
    <row r="11576">
      <c r="A11576" s="3" t="str">
        <f>IFERROR(__xludf.DUMMYFUNCTION("""COMPUTED_VALUE"""),"the-youth-pay")</f>
        <v>the-youth-pay</v>
      </c>
      <c r="B11576" s="3" t="str">
        <f>IFERROR(__xludf.DUMMYFUNCTION("""COMPUTED_VALUE"""),"typ")</f>
        <v>typ</v>
      </c>
      <c r="C11576" s="3" t="str">
        <f>IFERROR(__xludf.DUMMYFUNCTION("""COMPUTED_VALUE"""),"The Youth Pay")</f>
        <v>The Youth Pay</v>
      </c>
    </row>
    <row r="11577">
      <c r="A11577" s="3" t="str">
        <f>IFERROR(__xludf.DUMMYFUNCTION("""COMPUTED_VALUE"""),"thingschain")</f>
        <v>thingschain</v>
      </c>
      <c r="B11577" s="3" t="str">
        <f>IFERROR(__xludf.DUMMYFUNCTION("""COMPUTED_VALUE"""),"tic")</f>
        <v>tic</v>
      </c>
      <c r="C11577" s="3" t="str">
        <f>IFERROR(__xludf.DUMMYFUNCTION("""COMPUTED_VALUE"""),"Thingschain")</f>
        <v>Thingschain</v>
      </c>
    </row>
    <row r="11578">
      <c r="A11578" s="3" t="str">
        <f>IFERROR(__xludf.DUMMYFUNCTION("""COMPUTED_VALUE"""),"thingsgo-online")</f>
        <v>thingsgo-online</v>
      </c>
      <c r="B11578" s="3" t="str">
        <f>IFERROR(__xludf.DUMMYFUNCTION("""COMPUTED_VALUE"""),"tgo")</f>
        <v>tgo</v>
      </c>
      <c r="C11578" s="3" t="str">
        <f>IFERROR(__xludf.DUMMYFUNCTION("""COMPUTED_VALUE"""),"ThingsGo.Online")</f>
        <v>ThingsGo.Online</v>
      </c>
    </row>
    <row r="11579">
      <c r="A11579" s="3" t="str">
        <f>IFERROR(__xludf.DUMMYFUNCTION("""COMPUTED_VALUE"""),"thingsoperatingsystem")</f>
        <v>thingsoperatingsystem</v>
      </c>
      <c r="B11579" s="3" t="str">
        <f>IFERROR(__xludf.DUMMYFUNCTION("""COMPUTED_VALUE"""),"tos")</f>
        <v>tos</v>
      </c>
      <c r="C11579" s="3" t="str">
        <f>IFERROR(__xludf.DUMMYFUNCTION("""COMPUTED_VALUE"""),"ThingsOperatingSystem")</f>
        <v>ThingsOperatingSystem</v>
      </c>
    </row>
    <row r="11580">
      <c r="A11580" s="3" t="str">
        <f>IFERROR(__xludf.DUMMYFUNCTION("""COMPUTED_VALUE"""),"thor")</f>
        <v>thor</v>
      </c>
      <c r="B11580" s="3" t="str">
        <f>IFERROR(__xludf.DUMMYFUNCTION("""COMPUTED_VALUE"""),"thor")</f>
        <v>thor</v>
      </c>
      <c r="C11580" s="3" t="str">
        <f>IFERROR(__xludf.DUMMYFUNCTION("""COMPUTED_VALUE"""),"Thor")</f>
        <v>Thor</v>
      </c>
    </row>
    <row r="11581">
      <c r="A11581" s="3" t="str">
        <f>IFERROR(__xludf.DUMMYFUNCTION("""COMPUTED_VALUE"""),"thorchain")</f>
        <v>thorchain</v>
      </c>
      <c r="B11581" s="3" t="str">
        <f>IFERROR(__xludf.DUMMYFUNCTION("""COMPUTED_VALUE"""),"rune")</f>
        <v>rune</v>
      </c>
      <c r="C11581" s="3" t="str">
        <f>IFERROR(__xludf.DUMMYFUNCTION("""COMPUTED_VALUE"""),"THORChain")</f>
        <v>THORChain</v>
      </c>
    </row>
    <row r="11582">
      <c r="A11582" s="3" t="str">
        <f>IFERROR(__xludf.DUMMYFUNCTION("""COMPUTED_VALUE"""),"thorchain-erc20")</f>
        <v>thorchain-erc20</v>
      </c>
      <c r="B11582" s="3" t="str">
        <f>IFERROR(__xludf.DUMMYFUNCTION("""COMPUTED_VALUE"""),"rune")</f>
        <v>rune</v>
      </c>
      <c r="C11582" s="3" t="str">
        <f>IFERROR(__xludf.DUMMYFUNCTION("""COMPUTED_VALUE"""),"THORChain (ERC20)")</f>
        <v>THORChain (ERC20)</v>
      </c>
    </row>
    <row r="11583">
      <c r="A11583" s="3" t="str">
        <f>IFERROR(__xludf.DUMMYFUNCTION("""COMPUTED_VALUE"""),"thorecash")</f>
        <v>thorecash</v>
      </c>
      <c r="B11583" s="3" t="str">
        <f>IFERROR(__xludf.DUMMYFUNCTION("""COMPUTED_VALUE"""),"tch")</f>
        <v>tch</v>
      </c>
      <c r="C11583" s="3" t="str">
        <f>IFERROR(__xludf.DUMMYFUNCTION("""COMPUTED_VALUE"""),"Thorecash (ERC-20)")</f>
        <v>Thorecash (ERC-20)</v>
      </c>
    </row>
    <row r="11584">
      <c r="A11584" s="3" t="str">
        <f>IFERROR(__xludf.DUMMYFUNCTION("""COMPUTED_VALUE"""),"thorenext")</f>
        <v>thorenext</v>
      </c>
      <c r="B11584" s="3" t="str">
        <f>IFERROR(__xludf.DUMMYFUNCTION("""COMPUTED_VALUE"""),"thx")</f>
        <v>thx</v>
      </c>
      <c r="C11584" s="3" t="str">
        <f>IFERROR(__xludf.DUMMYFUNCTION("""COMPUTED_VALUE"""),"Thorenext")</f>
        <v>Thorenext</v>
      </c>
    </row>
    <row r="11585">
      <c r="A11585" s="3" t="str">
        <f>IFERROR(__xludf.DUMMYFUNCTION("""COMPUTED_VALUE"""),"thoreum-v2")</f>
        <v>thoreum-v2</v>
      </c>
      <c r="B11585" s="3" t="str">
        <f>IFERROR(__xludf.DUMMYFUNCTION("""COMPUTED_VALUE"""),"thoreum")</f>
        <v>thoreum</v>
      </c>
      <c r="C11585" s="3" t="str">
        <f>IFERROR(__xludf.DUMMYFUNCTION("""COMPUTED_VALUE"""),"Thoreum V3")</f>
        <v>Thoreum V3</v>
      </c>
    </row>
    <row r="11586">
      <c r="A11586" s="3" t="str">
        <f>IFERROR(__xludf.DUMMYFUNCTION("""COMPUTED_VALUE"""),"thors-mead")</f>
        <v>thors-mead</v>
      </c>
      <c r="B11586" s="3" t="str">
        <f>IFERROR(__xludf.DUMMYFUNCTION("""COMPUTED_VALUE"""),"mead")</f>
        <v>mead</v>
      </c>
      <c r="C11586" s="3" t="str">
        <f>IFERROR(__xludf.DUMMYFUNCTION("""COMPUTED_VALUE"""),"Thors Mead")</f>
        <v>Thors Mead</v>
      </c>
    </row>
    <row r="11587">
      <c r="A11587" s="3" t="str">
        <f>IFERROR(__xludf.DUMMYFUNCTION("""COMPUTED_VALUE"""),"thorstarter")</f>
        <v>thorstarter</v>
      </c>
      <c r="B11587" s="3" t="str">
        <f>IFERROR(__xludf.DUMMYFUNCTION("""COMPUTED_VALUE"""),"xrune")</f>
        <v>xrune</v>
      </c>
      <c r="C11587" s="3" t="str">
        <f>IFERROR(__xludf.DUMMYFUNCTION("""COMPUTED_VALUE"""),"Thorstarter")</f>
        <v>Thorstarter</v>
      </c>
    </row>
    <row r="11588">
      <c r="A11588" s="3" t="str">
        <f>IFERROR(__xludf.DUMMYFUNCTION("""COMPUTED_VALUE"""),"thorswap")</f>
        <v>thorswap</v>
      </c>
      <c r="B11588" s="3" t="str">
        <f>IFERROR(__xludf.DUMMYFUNCTION("""COMPUTED_VALUE"""),"thor")</f>
        <v>thor</v>
      </c>
      <c r="C11588" s="3" t="str">
        <f>IFERROR(__xludf.DUMMYFUNCTION("""COMPUTED_VALUE"""),"THORSwap")</f>
        <v>THORSwap</v>
      </c>
    </row>
    <row r="11589">
      <c r="A11589" s="3" t="str">
        <f>IFERROR(__xludf.DUMMYFUNCTION("""COMPUTED_VALUE"""),"thorus")</f>
        <v>thorus</v>
      </c>
      <c r="B11589" s="3" t="str">
        <f>IFERROR(__xludf.DUMMYFUNCTION("""COMPUTED_VALUE"""),"tho")</f>
        <v>tho</v>
      </c>
      <c r="C11589" s="3" t="str">
        <f>IFERROR(__xludf.DUMMYFUNCTION("""COMPUTED_VALUE"""),"Thorus")</f>
        <v>Thorus</v>
      </c>
    </row>
    <row r="11590">
      <c r="A11590" s="3" t="str">
        <f>IFERROR(__xludf.DUMMYFUNCTION("""COMPUTED_VALUE"""),"thorwallet")</f>
        <v>thorwallet</v>
      </c>
      <c r="B11590" s="3" t="str">
        <f>IFERROR(__xludf.DUMMYFUNCTION("""COMPUTED_VALUE"""),"tgt")</f>
        <v>tgt</v>
      </c>
      <c r="C11590" s="3" t="str">
        <f>IFERROR(__xludf.DUMMYFUNCTION("""COMPUTED_VALUE"""),"THORWallet DEX")</f>
        <v>THORWallet DEX</v>
      </c>
    </row>
    <row r="11591">
      <c r="A11591" s="3" t="str">
        <f>IFERROR(__xludf.DUMMYFUNCTION("""COMPUTED_VALUE"""),"thought")</f>
        <v>thought</v>
      </c>
      <c r="B11591" s="3" t="str">
        <f>IFERROR(__xludf.DUMMYFUNCTION("""COMPUTED_VALUE"""),"tht")</f>
        <v>tht</v>
      </c>
      <c r="C11591" s="3" t="str">
        <f>IFERROR(__xludf.DUMMYFUNCTION("""COMPUTED_VALUE"""),"Thought")</f>
        <v>Thought</v>
      </c>
    </row>
    <row r="11592">
      <c r="A11592" s="3" t="str">
        <f>IFERROR(__xludf.DUMMYFUNCTION("""COMPUTED_VALUE"""),"thousand-islands")</f>
        <v>thousand-islands</v>
      </c>
      <c r="B11592" s="3" t="str">
        <f>IFERROR(__xludf.DUMMYFUNCTION("""COMPUTED_VALUE"""),"island")</f>
        <v>island</v>
      </c>
      <c r="C11592" s="3" t="str">
        <f>IFERROR(__xludf.DUMMYFUNCTION("""COMPUTED_VALUE"""),"Thousand Islands")</f>
        <v>Thousand Islands</v>
      </c>
    </row>
    <row r="11593">
      <c r="A11593" s="3" t="str">
        <f>IFERROR(__xludf.DUMMYFUNCTION("""COMPUTED_VALUE"""),"threefold-token")</f>
        <v>threefold-token</v>
      </c>
      <c r="B11593" s="3" t="str">
        <f>IFERROR(__xludf.DUMMYFUNCTION("""COMPUTED_VALUE"""),"tft")</f>
        <v>tft</v>
      </c>
      <c r="C11593" s="3" t="str">
        <f>IFERROR(__xludf.DUMMYFUNCTION("""COMPUTED_VALUE"""),"ThreeFold")</f>
        <v>ThreeFold</v>
      </c>
    </row>
    <row r="11594">
      <c r="A11594" s="3" t="str">
        <f>IFERROR(__xludf.DUMMYFUNCTION("""COMPUTED_VALUE"""),"three-kingdoms")</f>
        <v>three-kingdoms</v>
      </c>
      <c r="B11594" s="3" t="str">
        <f>IFERROR(__xludf.DUMMYFUNCTION("""COMPUTED_VALUE"""),"rtk")</f>
        <v>rtk</v>
      </c>
      <c r="C11594" s="3" t="str">
        <f>IFERROR(__xludf.DUMMYFUNCTION("""COMPUTED_VALUE"""),"Three Kingdoms")</f>
        <v>Three Kingdoms</v>
      </c>
    </row>
    <row r="11595">
      <c r="A11595" s="3" t="str">
        <f>IFERROR(__xludf.DUMMYFUNCTION("""COMPUTED_VALUE"""),"threeoh-dao")</f>
        <v>threeoh-dao</v>
      </c>
      <c r="B11595" s="3" t="str">
        <f>IFERROR(__xludf.DUMMYFUNCTION("""COMPUTED_VALUE"""),"3oh")</f>
        <v>3oh</v>
      </c>
      <c r="C11595" s="3" t="str">
        <f>IFERROR(__xludf.DUMMYFUNCTION("""COMPUTED_VALUE"""),"ThreeOh DAO")</f>
        <v>ThreeOh DAO</v>
      </c>
    </row>
    <row r="11596">
      <c r="A11596" s="3" t="str">
        <f>IFERROR(__xludf.DUMMYFUNCTION("""COMPUTED_VALUE"""),"threshold-network-token")</f>
        <v>threshold-network-token</v>
      </c>
      <c r="B11596" s="3" t="str">
        <f>IFERROR(__xludf.DUMMYFUNCTION("""COMPUTED_VALUE"""),"t")</f>
        <v>t</v>
      </c>
      <c r="C11596" s="3" t="str">
        <f>IFERROR(__xludf.DUMMYFUNCTION("""COMPUTED_VALUE"""),"Threshold Network")</f>
        <v>Threshold Network</v>
      </c>
    </row>
    <row r="11597">
      <c r="A11597" s="3" t="str">
        <f>IFERROR(__xludf.DUMMYFUNCTION("""COMPUTED_VALUE"""),"throne")</f>
        <v>throne</v>
      </c>
      <c r="B11597" s="3" t="str">
        <f>IFERROR(__xludf.DUMMYFUNCTION("""COMPUTED_VALUE"""),"thn")</f>
        <v>thn</v>
      </c>
      <c r="C11597" s="3" t="str">
        <f>IFERROR(__xludf.DUMMYFUNCTION("""COMPUTED_VALUE"""),"Throne")</f>
        <v>Throne</v>
      </c>
    </row>
    <row r="11598">
      <c r="A11598" s="3" t="str">
        <f>IFERROR(__xludf.DUMMYFUNCTION("""COMPUTED_VALUE"""),"thrupenny")</f>
        <v>thrupenny</v>
      </c>
      <c r="B11598" s="3" t="str">
        <f>IFERROR(__xludf.DUMMYFUNCTION("""COMPUTED_VALUE"""),"tpy")</f>
        <v>tpy</v>
      </c>
      <c r="C11598" s="3" t="str">
        <f>IFERROR(__xludf.DUMMYFUNCTION("""COMPUTED_VALUE"""),"Thrupenny")</f>
        <v>Thrupenny</v>
      </c>
    </row>
    <row r="11599">
      <c r="A11599" s="3" t="str">
        <f>IFERROR(__xludf.DUMMYFUNCTION("""COMPUTED_VALUE"""),"thugs")</f>
        <v>thugs</v>
      </c>
      <c r="B11599" s="3" t="str">
        <f>IFERROR(__xludf.DUMMYFUNCTION("""COMPUTED_VALUE"""),"thugs")</f>
        <v>thugs</v>
      </c>
      <c r="C11599" s="3" t="str">
        <f>IFERROR(__xludf.DUMMYFUNCTION("""COMPUTED_VALUE"""),"Thugs")</f>
        <v>Thugs</v>
      </c>
    </row>
    <row r="11600">
      <c r="A11600" s="3" t="str">
        <f>IFERROR(__xludf.DUMMYFUNCTION("""COMPUTED_VALUE"""),"thunderada-app")</f>
        <v>thunderada-app</v>
      </c>
      <c r="B11600" s="3" t="str">
        <f>IFERROR(__xludf.DUMMYFUNCTION("""COMPUTED_VALUE"""),"thunderada")</f>
        <v>thunderada</v>
      </c>
      <c r="C11600" s="3" t="str">
        <f>IFERROR(__xludf.DUMMYFUNCTION("""COMPUTED_VALUE"""),"ThunderADA.app")</f>
        <v>ThunderADA.app</v>
      </c>
    </row>
    <row r="11601">
      <c r="A11601" s="3" t="str">
        <f>IFERROR(__xludf.DUMMYFUNCTION("""COMPUTED_VALUE"""),"thunderbnb")</f>
        <v>thunderbnb</v>
      </c>
      <c r="B11601" s="3" t="str">
        <f>IFERROR(__xludf.DUMMYFUNCTION("""COMPUTED_VALUE"""),"thunderbnb")</f>
        <v>thunderbnb</v>
      </c>
      <c r="C11601" s="3" t="str">
        <f>IFERROR(__xludf.DUMMYFUNCTION("""COMPUTED_VALUE"""),"ThunderBNB")</f>
        <v>ThunderBNB</v>
      </c>
    </row>
    <row r="11602">
      <c r="A11602" s="3" t="str">
        <f>IFERROR(__xludf.DUMMYFUNCTION("""COMPUTED_VALUE"""),"thunder-brawl")</f>
        <v>thunder-brawl</v>
      </c>
      <c r="B11602" s="3" t="str">
        <f>IFERROR(__xludf.DUMMYFUNCTION("""COMPUTED_VALUE"""),"thb")</f>
        <v>thb</v>
      </c>
      <c r="C11602" s="3" t="str">
        <f>IFERROR(__xludf.DUMMYFUNCTION("""COMPUTED_VALUE"""),"Thunder Brawl")</f>
        <v>Thunder Brawl</v>
      </c>
    </row>
    <row r="11603">
      <c r="A11603" s="3" t="str">
        <f>IFERROR(__xludf.DUMMYFUNCTION("""COMPUTED_VALUE"""),"thundereth")</f>
        <v>thundereth</v>
      </c>
      <c r="B11603" s="3" t="str">
        <f>IFERROR(__xludf.DUMMYFUNCTION("""COMPUTED_VALUE"""),"thundereth")</f>
        <v>thundereth</v>
      </c>
      <c r="C11603" s="3" t="str">
        <f>IFERROR(__xludf.DUMMYFUNCTION("""COMPUTED_VALUE"""),"ThunderETH")</f>
        <v>ThunderETH</v>
      </c>
    </row>
    <row r="11604">
      <c r="A11604" s="3" t="str">
        <f>IFERROR(__xludf.DUMMYFUNCTION("""COMPUTED_VALUE"""),"thunder-lands")</f>
        <v>thunder-lands</v>
      </c>
      <c r="B11604" s="3" t="str">
        <f>IFERROR(__xludf.DUMMYFUNCTION("""COMPUTED_VALUE"""),"tndr")</f>
        <v>tndr</v>
      </c>
      <c r="C11604" s="3" t="str">
        <f>IFERROR(__xludf.DUMMYFUNCTION("""COMPUTED_VALUE"""),"Thunder Lands")</f>
        <v>Thunder Lands</v>
      </c>
    </row>
    <row r="11605">
      <c r="A11605" s="3" t="str">
        <f>IFERROR(__xludf.DUMMYFUNCTION("""COMPUTED_VALUE"""),"thunder-token")</f>
        <v>thunder-token</v>
      </c>
      <c r="B11605" s="3" t="str">
        <f>IFERROR(__xludf.DUMMYFUNCTION("""COMPUTED_VALUE"""),"tt")</f>
        <v>tt</v>
      </c>
      <c r="C11605" s="3" t="str">
        <f>IFERROR(__xludf.DUMMYFUNCTION("""COMPUTED_VALUE"""),"ThunderCore")</f>
        <v>ThunderCore</v>
      </c>
    </row>
    <row r="11606">
      <c r="A11606" s="3" t="str">
        <f>IFERROR(__xludf.DUMMYFUNCTION("""COMPUTED_VALUE"""),"thx")</f>
        <v>thx</v>
      </c>
      <c r="B11606" s="3" t="str">
        <f>IFERROR(__xludf.DUMMYFUNCTION("""COMPUTED_VALUE"""),"thx")</f>
        <v>thx</v>
      </c>
      <c r="C11606" s="3" t="str">
        <f>IFERROR(__xludf.DUMMYFUNCTION("""COMPUTED_VALUE"""),"Thx!")</f>
        <v>Thx!</v>
      </c>
    </row>
    <row r="11607">
      <c r="A11607" s="3" t="str">
        <f>IFERROR(__xludf.DUMMYFUNCTION("""COMPUTED_VALUE"""),"thx-network")</f>
        <v>thx-network</v>
      </c>
      <c r="B11607" s="3" t="str">
        <f>IFERROR(__xludf.DUMMYFUNCTION("""COMPUTED_VALUE"""),"thx")</f>
        <v>thx</v>
      </c>
      <c r="C11607" s="3" t="str">
        <f>IFERROR(__xludf.DUMMYFUNCTION("""COMPUTED_VALUE"""),"THX Network")</f>
        <v>THX Network</v>
      </c>
    </row>
    <row r="11608">
      <c r="A11608" s="3" t="str">
        <f>IFERROR(__xludf.DUMMYFUNCTION("""COMPUTED_VALUE"""),"tia")</f>
        <v>tia</v>
      </c>
      <c r="B11608" s="3" t="str">
        <f>IFERROR(__xludf.DUMMYFUNCTION("""COMPUTED_VALUE"""),"tia")</f>
        <v>tia</v>
      </c>
      <c r="C11608" s="3" t="str">
        <f>IFERROR(__xludf.DUMMYFUNCTION("""COMPUTED_VALUE"""),"TIA")</f>
        <v>TIA</v>
      </c>
    </row>
    <row r="11609">
      <c r="A11609" s="3" t="str">
        <f>IFERROR(__xludf.DUMMYFUNCTION("""COMPUTED_VALUE"""),"tianya-token")</f>
        <v>tianya-token</v>
      </c>
      <c r="B11609" s="3" t="str">
        <f>IFERROR(__xludf.DUMMYFUNCTION("""COMPUTED_VALUE"""),"tyt")</f>
        <v>tyt</v>
      </c>
      <c r="C11609" s="3" t="str">
        <f>IFERROR(__xludf.DUMMYFUNCTION("""COMPUTED_VALUE"""),"Tianya")</f>
        <v>Tianya</v>
      </c>
    </row>
    <row r="11610">
      <c r="A11610" s="3" t="str">
        <f>IFERROR(__xludf.DUMMYFUNCTION("""COMPUTED_VALUE"""),"tianyu-finance")</f>
        <v>tianyu-finance</v>
      </c>
      <c r="B11610" s="3" t="str">
        <f>IFERROR(__xludf.DUMMYFUNCTION("""COMPUTED_VALUE"""),"tyc")</f>
        <v>tyc</v>
      </c>
      <c r="C11610" s="3" t="str">
        <f>IFERROR(__xludf.DUMMYFUNCTION("""COMPUTED_VALUE"""),"Tianyu Finance")</f>
        <v>Tianyu Finance</v>
      </c>
    </row>
    <row r="11611">
      <c r="A11611" s="3" t="str">
        <f>IFERROR(__xludf.DUMMYFUNCTION("""COMPUTED_VALUE"""),"tiara")</f>
        <v>tiara</v>
      </c>
      <c r="B11611" s="3" t="str">
        <f>IFERROR(__xludf.DUMMYFUNCTION("""COMPUTED_VALUE"""),"tti")</f>
        <v>tti</v>
      </c>
      <c r="C11611" s="3" t="str">
        <f>IFERROR(__xludf.DUMMYFUNCTION("""COMPUTED_VALUE"""),"Tiara")</f>
        <v>Tiara</v>
      </c>
    </row>
    <row r="11612">
      <c r="A11612" s="3" t="str">
        <f>IFERROR(__xludf.DUMMYFUNCTION("""COMPUTED_VALUE"""),"ticket-finance")</f>
        <v>ticket-finance</v>
      </c>
      <c r="B11612" s="3" t="str">
        <f>IFERROR(__xludf.DUMMYFUNCTION("""COMPUTED_VALUE"""),"ticket")</f>
        <v>ticket</v>
      </c>
      <c r="C11612" s="3" t="str">
        <f>IFERROR(__xludf.DUMMYFUNCTION("""COMPUTED_VALUE"""),"Ticket Finance")</f>
        <v>Ticket Finance</v>
      </c>
    </row>
    <row r="11613">
      <c r="A11613" s="3" t="str">
        <f>IFERROR(__xludf.DUMMYFUNCTION("""COMPUTED_VALUE"""),"tictalk")</f>
        <v>tictalk</v>
      </c>
      <c r="B11613" s="3" t="str">
        <f>IFERROR(__xludf.DUMMYFUNCTION("""COMPUTED_VALUE"""),"tic")</f>
        <v>tic</v>
      </c>
      <c r="C11613" s="3" t="str">
        <f>IFERROR(__xludf.DUMMYFUNCTION("""COMPUTED_VALUE"""),"TicTalk")</f>
        <v>TicTalk</v>
      </c>
    </row>
    <row r="11614">
      <c r="A11614" s="3" t="str">
        <f>IFERROR(__xludf.DUMMYFUNCTION("""COMPUTED_VALUE"""),"tidal-finance")</f>
        <v>tidal-finance</v>
      </c>
      <c r="B11614" s="3" t="str">
        <f>IFERROR(__xludf.DUMMYFUNCTION("""COMPUTED_VALUE"""),"tidal")</f>
        <v>tidal</v>
      </c>
      <c r="C11614" s="3" t="str">
        <f>IFERROR(__xludf.DUMMYFUNCTION("""COMPUTED_VALUE"""),"Tidal Finance")</f>
        <v>Tidal Finance</v>
      </c>
    </row>
    <row r="11615">
      <c r="A11615" s="3" t="str">
        <f>IFERROR(__xludf.DUMMYFUNCTION("""COMPUTED_VALUE"""),"tidex-token")</f>
        <v>tidex-token</v>
      </c>
      <c r="B11615" s="3" t="str">
        <f>IFERROR(__xludf.DUMMYFUNCTION("""COMPUTED_VALUE"""),"tdx")</f>
        <v>tdx</v>
      </c>
      <c r="C11615" s="3" t="str">
        <f>IFERROR(__xludf.DUMMYFUNCTION("""COMPUTED_VALUE"""),"Tidex")</f>
        <v>Tidex</v>
      </c>
    </row>
    <row r="11616">
      <c r="A11616" s="3" t="str">
        <f>IFERROR(__xludf.DUMMYFUNCTION("""COMPUTED_VALUE"""),"tierion")</f>
        <v>tierion</v>
      </c>
      <c r="B11616" s="3" t="str">
        <f>IFERROR(__xludf.DUMMYFUNCTION("""COMPUTED_VALUE"""),"tnt")</f>
        <v>tnt</v>
      </c>
      <c r="C11616" s="3" t="str">
        <f>IFERROR(__xludf.DUMMYFUNCTION("""COMPUTED_VALUE"""),"Tierion")</f>
        <v>Tierion</v>
      </c>
    </row>
    <row r="11617">
      <c r="A11617" s="3" t="str">
        <f>IFERROR(__xludf.DUMMYFUNCTION("""COMPUTED_VALUE"""),"tierra-meta")</f>
        <v>tierra-meta</v>
      </c>
      <c r="B11617" s="3" t="str">
        <f>IFERROR(__xludf.DUMMYFUNCTION("""COMPUTED_VALUE"""),"trmt")</f>
        <v>trmt</v>
      </c>
      <c r="C11617" s="3" t="str">
        <f>IFERROR(__xludf.DUMMYFUNCTION("""COMPUTED_VALUE"""),"Tierra Meta")</f>
        <v>Tierra Meta</v>
      </c>
    </row>
    <row r="11618">
      <c r="A11618" s="3" t="str">
        <f>IFERROR(__xludf.DUMMYFUNCTION("""COMPUTED_VALUE"""),"tifi-token")</f>
        <v>tifi-token</v>
      </c>
      <c r="B11618" s="3" t="str">
        <f>IFERROR(__xludf.DUMMYFUNCTION("""COMPUTED_VALUE"""),"tifi")</f>
        <v>tifi</v>
      </c>
      <c r="C11618" s="3" t="str">
        <f>IFERROR(__xludf.DUMMYFUNCTION("""COMPUTED_VALUE"""),"TiFi")</f>
        <v>TiFi</v>
      </c>
    </row>
    <row r="11619">
      <c r="A11619" s="3" t="str">
        <f>IFERROR(__xludf.DUMMYFUNCTION("""COMPUTED_VALUE"""),"tigercash")</f>
        <v>tigercash</v>
      </c>
      <c r="B11619" s="3" t="str">
        <f>IFERROR(__xludf.DUMMYFUNCTION("""COMPUTED_VALUE"""),"tch")</f>
        <v>tch</v>
      </c>
      <c r="C11619" s="3" t="str">
        <f>IFERROR(__xludf.DUMMYFUNCTION("""COMPUTED_VALUE"""),"TigerCash")</f>
        <v>TigerCash</v>
      </c>
    </row>
    <row r="11620">
      <c r="A11620" s="3" t="str">
        <f>IFERROR(__xludf.DUMMYFUNCTION("""COMPUTED_VALUE"""),"tiger-cub")</f>
        <v>tiger-cub</v>
      </c>
      <c r="B11620" s="3" t="str">
        <f>IFERROR(__xludf.DUMMYFUNCTION("""COMPUTED_VALUE"""),"tcub")</f>
        <v>tcub</v>
      </c>
      <c r="C11620" s="3" t="str">
        <f>IFERROR(__xludf.DUMMYFUNCTION("""COMPUTED_VALUE"""),"Tiger Cub")</f>
        <v>Tiger Cub</v>
      </c>
    </row>
    <row r="11621">
      <c r="A11621" s="3" t="str">
        <f>IFERROR(__xludf.DUMMYFUNCTION("""COMPUTED_VALUE"""),"tiger-king")</f>
        <v>tiger-king</v>
      </c>
      <c r="B11621" s="3" t="str">
        <f>IFERROR(__xludf.DUMMYFUNCTION("""COMPUTED_VALUE"""),"tking")</f>
        <v>tking</v>
      </c>
      <c r="C11621" s="3" t="str">
        <f>IFERROR(__xludf.DUMMYFUNCTION("""COMPUTED_VALUE"""),"Tiger King Coin")</f>
        <v>Tiger King Coin</v>
      </c>
    </row>
    <row r="11622">
      <c r="A11622" s="3" t="str">
        <f>IFERROR(__xludf.DUMMYFUNCTION("""COMPUTED_VALUE"""),"tigerqueen")</f>
        <v>tigerqueen</v>
      </c>
      <c r="B11622" s="3" t="str">
        <f>IFERROR(__xludf.DUMMYFUNCTION("""COMPUTED_VALUE"""),"tqueen")</f>
        <v>tqueen</v>
      </c>
      <c r="C11622" s="3" t="str">
        <f>IFERROR(__xludf.DUMMYFUNCTION("""COMPUTED_VALUE"""),"TigerQueen")</f>
        <v>TigerQueen</v>
      </c>
    </row>
    <row r="11623">
      <c r="A11623" s="3" t="str">
        <f>IFERROR(__xludf.DUMMYFUNCTION("""COMPUTED_VALUE"""),"tiger-scrub-money")</f>
        <v>tiger-scrub-money</v>
      </c>
      <c r="B11623" s="3" t="str">
        <f>IFERROR(__xludf.DUMMYFUNCTION("""COMPUTED_VALUE"""),"tiger")</f>
        <v>tiger</v>
      </c>
      <c r="C11623" s="3" t="str">
        <f>IFERROR(__xludf.DUMMYFUNCTION("""COMPUTED_VALUE"""),"Tiger Scrub Money")</f>
        <v>Tiger Scrub Money</v>
      </c>
    </row>
    <row r="11624">
      <c r="A11624" s="3" t="str">
        <f>IFERROR(__xludf.DUMMYFUNCTION("""COMPUTED_VALUE"""),"tiger-token")</f>
        <v>tiger-token</v>
      </c>
      <c r="B11624" s="3" t="str">
        <f>IFERROR(__xludf.DUMMYFUNCTION("""COMPUTED_VALUE"""),"tgnb")</f>
        <v>tgnb</v>
      </c>
      <c r="C11624" s="3" t="str">
        <f>IFERROR(__xludf.DUMMYFUNCTION("""COMPUTED_VALUE"""),"Tiger")</f>
        <v>Tiger</v>
      </c>
    </row>
    <row r="11625">
      <c r="A11625" s="3" t="str">
        <f>IFERROR(__xludf.DUMMYFUNCTION("""COMPUTED_VALUE"""),"tiki-token")</f>
        <v>tiki-token</v>
      </c>
      <c r="B11625" s="3" t="str">
        <f>IFERROR(__xludf.DUMMYFUNCTION("""COMPUTED_VALUE"""),"tiki")</f>
        <v>tiki</v>
      </c>
      <c r="C11625" s="3" t="str">
        <f>IFERROR(__xludf.DUMMYFUNCTION("""COMPUTED_VALUE"""),"Tiki")</f>
        <v>Tiki</v>
      </c>
    </row>
    <row r="11626">
      <c r="A11626" s="3" t="str">
        <f>IFERROR(__xludf.DUMMYFUNCTION("""COMPUTED_VALUE"""),"tikky-inu")</f>
        <v>tikky-inu</v>
      </c>
      <c r="B11626" s="3" t="str">
        <f>IFERROR(__xludf.DUMMYFUNCTION("""COMPUTED_VALUE"""),"tikky")</f>
        <v>tikky</v>
      </c>
      <c r="C11626" s="3" t="str">
        <f>IFERROR(__xludf.DUMMYFUNCTION("""COMPUTED_VALUE"""),"Tikky Inu")</f>
        <v>Tikky Inu</v>
      </c>
    </row>
    <row r="11627">
      <c r="A11627" s="3" t="str">
        <f>IFERROR(__xludf.DUMMYFUNCTION("""COMPUTED_VALUE"""),"tiktoken")</f>
        <v>tiktoken</v>
      </c>
      <c r="B11627" s="3" t="str">
        <f>IFERROR(__xludf.DUMMYFUNCTION("""COMPUTED_VALUE"""),"tiktoken")</f>
        <v>tiktoken</v>
      </c>
      <c r="C11627" s="3" t="str">
        <f>IFERROR(__xludf.DUMMYFUNCTION("""COMPUTED_VALUE"""),"TikToken")</f>
        <v>TikToken</v>
      </c>
    </row>
    <row r="11628">
      <c r="A11628" s="3" t="str">
        <f>IFERROR(__xludf.DUMMYFUNCTION("""COMPUTED_VALUE"""),"tilwiki")</f>
        <v>tilwiki</v>
      </c>
      <c r="B11628" s="3" t="str">
        <f>IFERROR(__xludf.DUMMYFUNCTION("""COMPUTED_VALUE"""),"tlw")</f>
        <v>tlw</v>
      </c>
      <c r="C11628" s="3" t="str">
        <f>IFERROR(__xludf.DUMMYFUNCTION("""COMPUTED_VALUE"""),"TilWiki")</f>
        <v>TilWiki</v>
      </c>
    </row>
    <row r="11629">
      <c r="A11629" s="3" t="str">
        <f>IFERROR(__xludf.DUMMYFUNCTION("""COMPUTED_VALUE"""),"timechain-swap-token")</f>
        <v>timechain-swap-token</v>
      </c>
      <c r="B11629" s="3" t="str">
        <f>IFERROR(__xludf.DUMMYFUNCTION("""COMPUTED_VALUE"""),"tcs")</f>
        <v>tcs</v>
      </c>
      <c r="C11629" s="3" t="str">
        <f>IFERROR(__xludf.DUMMYFUNCTION("""COMPUTED_VALUE"""),"Timechain Swap")</f>
        <v>Timechain Swap</v>
      </c>
    </row>
    <row r="11630">
      <c r="A11630" s="3" t="str">
        <f>IFERROR(__xludf.DUMMYFUNCTION("""COMPUTED_VALUE"""),"timeleap-finance")</f>
        <v>timeleap-finance</v>
      </c>
      <c r="B11630" s="3" t="str">
        <f>IFERROR(__xludf.DUMMYFUNCTION("""COMPUTED_VALUE"""),"time")</f>
        <v>time</v>
      </c>
      <c r="C11630" s="3" t="str">
        <f>IFERROR(__xludf.DUMMYFUNCTION("""COMPUTED_VALUE"""),"Timeleap Finance")</f>
        <v>Timeleap Finance</v>
      </c>
    </row>
    <row r="11631">
      <c r="A11631" s="3" t="str">
        <f>IFERROR(__xludf.DUMMYFUNCTION("""COMPUTED_VALUE"""),"timelockcoin")</f>
        <v>timelockcoin</v>
      </c>
      <c r="B11631" s="3" t="str">
        <f>IFERROR(__xludf.DUMMYFUNCTION("""COMPUTED_VALUE"""),"tym")</f>
        <v>tym</v>
      </c>
      <c r="C11631" s="3" t="str">
        <f>IFERROR(__xludf.DUMMYFUNCTION("""COMPUTED_VALUE"""),"TimeLockCoin")</f>
        <v>TimeLockCoin</v>
      </c>
    </row>
    <row r="11632">
      <c r="A11632" s="3" t="str">
        <f>IFERROR(__xludf.DUMMYFUNCTION("""COMPUTED_VALUE"""),"time-new-bank")</f>
        <v>time-new-bank</v>
      </c>
      <c r="B11632" s="3" t="str">
        <f>IFERROR(__xludf.DUMMYFUNCTION("""COMPUTED_VALUE"""),"tnb")</f>
        <v>tnb</v>
      </c>
      <c r="C11632" s="3" t="str">
        <f>IFERROR(__xludf.DUMMYFUNCTION("""COMPUTED_VALUE"""),"Time New Bank")</f>
        <v>Time New Bank</v>
      </c>
    </row>
    <row r="11633">
      <c r="A11633" s="3" t="str">
        <f>IFERROR(__xludf.DUMMYFUNCTION("""COMPUTED_VALUE"""),"timers")</f>
        <v>timers</v>
      </c>
      <c r="B11633" s="3" t="str">
        <f>IFERROR(__xludf.DUMMYFUNCTION("""COMPUTED_VALUE"""),"ipm")</f>
        <v>ipm</v>
      </c>
      <c r="C11633" s="3" t="str">
        <f>IFERROR(__xludf.DUMMYFUNCTION("""COMPUTED_VALUE"""),"Timers")</f>
        <v>Timers</v>
      </c>
    </row>
    <row r="11634">
      <c r="A11634" s="3" t="str">
        <f>IFERROR(__xludf.DUMMYFUNCTION("""COMPUTED_VALUE"""),"timeshuffle")</f>
        <v>timeshuffle</v>
      </c>
      <c r="B11634" s="3" t="str">
        <f>IFERROR(__xludf.DUMMYFUNCTION("""COMPUTED_VALUE"""),"tims")</f>
        <v>tims</v>
      </c>
      <c r="C11634" s="3" t="str">
        <f>IFERROR(__xludf.DUMMYFUNCTION("""COMPUTED_VALUE"""),"TimeShuffle")</f>
        <v>TimeShuffle</v>
      </c>
    </row>
    <row r="11635">
      <c r="A11635" s="3" t="str">
        <f>IFERROR(__xludf.DUMMYFUNCTION("""COMPUTED_VALUE"""),"timeshuffle-gold")</f>
        <v>timeshuffle-gold</v>
      </c>
      <c r="B11635" s="3" t="str">
        <f>IFERROR(__xludf.DUMMYFUNCTION("""COMPUTED_VALUE"""),"gold")</f>
        <v>gold</v>
      </c>
      <c r="C11635" s="3" t="str">
        <f>IFERROR(__xludf.DUMMYFUNCTION("""COMPUTED_VALUE"""),"TimeShuffle GOLD")</f>
        <v>TimeShuffle GOLD</v>
      </c>
    </row>
    <row r="11636">
      <c r="A11636" s="3" t="str">
        <f>IFERROR(__xludf.DUMMYFUNCTION("""COMPUTED_VALUE"""),"tiny-bonez")</f>
        <v>tiny-bonez</v>
      </c>
      <c r="B11636" s="3" t="str">
        <f>IFERROR(__xludf.DUMMYFUNCTION("""COMPUTED_VALUE"""),"t1ny")</f>
        <v>t1ny</v>
      </c>
      <c r="C11636" s="3" t="str">
        <f>IFERROR(__xludf.DUMMYFUNCTION("""COMPUTED_VALUE"""),"Tiny Bonez")</f>
        <v>Tiny Bonez</v>
      </c>
    </row>
    <row r="11637">
      <c r="A11637" s="3" t="str">
        <f>IFERROR(__xludf.DUMMYFUNCTION("""COMPUTED_VALUE"""),"tiny-coin")</f>
        <v>tiny-coin</v>
      </c>
      <c r="B11637" s="3" t="str">
        <f>IFERROR(__xludf.DUMMYFUNCTION("""COMPUTED_VALUE"""),"tinc")</f>
        <v>tinc</v>
      </c>
      <c r="C11637" s="3" t="str">
        <f>IFERROR(__xludf.DUMMYFUNCTION("""COMPUTED_VALUE"""),"Tiny Coin")</f>
        <v>Tiny Coin</v>
      </c>
    </row>
    <row r="11638">
      <c r="A11638" s="3" t="str">
        <f>IFERROR(__xludf.DUMMYFUNCTION("""COMPUTED_VALUE"""),"tiny-colony")</f>
        <v>tiny-colony</v>
      </c>
      <c r="B11638" s="3" t="str">
        <f>IFERROR(__xludf.DUMMYFUNCTION("""COMPUTED_VALUE"""),"tiny")</f>
        <v>tiny</v>
      </c>
      <c r="C11638" s="3" t="str">
        <f>IFERROR(__xludf.DUMMYFUNCTION("""COMPUTED_VALUE"""),"Tiny Colony")</f>
        <v>Tiny Colony</v>
      </c>
    </row>
    <row r="11639">
      <c r="A11639" s="3" t="str">
        <f>IFERROR(__xludf.DUMMYFUNCTION("""COMPUTED_VALUE"""),"tip-blue")</f>
        <v>tip-blue</v>
      </c>
      <c r="B11639" s="3" t="str">
        <f>IFERROR(__xludf.DUMMYFUNCTION("""COMPUTED_VALUE"""),"blue")</f>
        <v>blue</v>
      </c>
      <c r="C11639" s="3" t="str">
        <f>IFERROR(__xludf.DUMMYFUNCTION("""COMPUTED_VALUE"""),"Tip.Blue")</f>
        <v>Tip.Blue</v>
      </c>
    </row>
    <row r="11640">
      <c r="A11640" s="3" t="str">
        <f>IFERROR(__xludf.DUMMYFUNCTION("""COMPUTED_VALUE"""),"tipsy")</f>
        <v>tipsy</v>
      </c>
      <c r="B11640" s="3" t="str">
        <f>IFERROR(__xludf.DUMMYFUNCTION("""COMPUTED_VALUE"""),"tipsy")</f>
        <v>tipsy</v>
      </c>
      <c r="C11640" s="3" t="str">
        <f>IFERROR(__xludf.DUMMYFUNCTION("""COMPUTED_VALUE"""),"Tipsy")</f>
        <v>Tipsy</v>
      </c>
    </row>
    <row r="11641">
      <c r="A11641" s="3" t="str">
        <f>IFERROR(__xludf.DUMMYFUNCTION("""COMPUTED_VALUE"""),"tipsycoin")</f>
        <v>tipsycoin</v>
      </c>
      <c r="B11641" s="3" t="str">
        <f>IFERROR(__xludf.DUMMYFUNCTION("""COMPUTED_VALUE"""),"$tipsy")</f>
        <v>$tipsy</v>
      </c>
      <c r="C11641" s="3" t="str">
        <f>IFERROR(__xludf.DUMMYFUNCTION("""COMPUTED_VALUE"""),"TipsyCoin")</f>
        <v>TipsyCoin</v>
      </c>
    </row>
    <row r="11642">
      <c r="A11642" s="3" t="str">
        <f>IFERROR(__xludf.DUMMYFUNCTION("""COMPUTED_VALUE"""),"tiraverse")</f>
        <v>tiraverse</v>
      </c>
      <c r="B11642" s="3" t="str">
        <f>IFERROR(__xludf.DUMMYFUNCTION("""COMPUTED_VALUE"""),"tvrs")</f>
        <v>tvrs</v>
      </c>
      <c r="C11642" s="3" t="str">
        <f>IFERROR(__xludf.DUMMYFUNCTION("""COMPUTED_VALUE"""),"TiraVerse")</f>
        <v>TiraVerse</v>
      </c>
    </row>
    <row r="11643">
      <c r="A11643" s="3" t="str">
        <f>IFERROR(__xludf.DUMMYFUNCTION("""COMPUTED_VALUE"""),"titan-coin")</f>
        <v>titan-coin</v>
      </c>
      <c r="B11643" s="3" t="str">
        <f>IFERROR(__xludf.DUMMYFUNCTION("""COMPUTED_VALUE"""),"ttn")</f>
        <v>ttn</v>
      </c>
      <c r="C11643" s="3" t="str">
        <f>IFERROR(__xludf.DUMMYFUNCTION("""COMPUTED_VALUE"""),"Titan Coin")</f>
        <v>Titan Coin</v>
      </c>
    </row>
    <row r="11644">
      <c r="A11644" s="3" t="str">
        <f>IFERROR(__xludf.DUMMYFUNCTION("""COMPUTED_VALUE"""),"titan-hunters")</f>
        <v>titan-hunters</v>
      </c>
      <c r="B11644" s="3" t="str">
        <f>IFERROR(__xludf.DUMMYFUNCTION("""COMPUTED_VALUE"""),"tita")</f>
        <v>tita</v>
      </c>
      <c r="C11644" s="3" t="str">
        <f>IFERROR(__xludf.DUMMYFUNCTION("""COMPUTED_VALUE"""),"Titan Hunters")</f>
        <v>Titan Hunters</v>
      </c>
    </row>
    <row r="11645">
      <c r="A11645" s="3" t="str">
        <f>IFERROR(__xludf.DUMMYFUNCTION("""COMPUTED_VALUE"""),"titania-token")</f>
        <v>titania-token</v>
      </c>
      <c r="B11645" s="3" t="str">
        <f>IFERROR(__xludf.DUMMYFUNCTION("""COMPUTED_VALUE"""),"titania")</f>
        <v>titania</v>
      </c>
      <c r="C11645" s="3" t="str">
        <f>IFERROR(__xludf.DUMMYFUNCTION("""COMPUTED_VALUE"""),"Titania")</f>
        <v>Titania</v>
      </c>
    </row>
    <row r="11646">
      <c r="A11646" s="3" t="str">
        <f>IFERROR(__xludf.DUMMYFUNCTION("""COMPUTED_VALUE"""),"titano")</f>
        <v>titano</v>
      </c>
      <c r="B11646" s="3" t="str">
        <f>IFERROR(__xludf.DUMMYFUNCTION("""COMPUTED_VALUE"""),"titano")</f>
        <v>titano</v>
      </c>
      <c r="C11646" s="3" t="str">
        <f>IFERROR(__xludf.DUMMYFUNCTION("""COMPUTED_VALUE"""),"Titano")</f>
        <v>Titano</v>
      </c>
    </row>
    <row r="11647">
      <c r="A11647" s="3" t="str">
        <f>IFERROR(__xludf.DUMMYFUNCTION("""COMPUTED_VALUE"""),"titanswap")</f>
        <v>titanswap</v>
      </c>
      <c r="B11647" s="3" t="str">
        <f>IFERROR(__xludf.DUMMYFUNCTION("""COMPUTED_VALUE"""),"titan")</f>
        <v>titan</v>
      </c>
      <c r="C11647" s="3" t="str">
        <f>IFERROR(__xludf.DUMMYFUNCTION("""COMPUTED_VALUE"""),"TitanSwap")</f>
        <v>TitanSwap</v>
      </c>
    </row>
    <row r="11648">
      <c r="A11648" s="3" t="str">
        <f>IFERROR(__xludf.DUMMYFUNCTION("""COMPUTED_VALUE"""),"titi-financial")</f>
        <v>titi-financial</v>
      </c>
      <c r="B11648" s="3" t="str">
        <f>IFERROR(__xludf.DUMMYFUNCTION("""COMPUTED_VALUE"""),"titi")</f>
        <v>titi</v>
      </c>
      <c r="C11648" s="3" t="str">
        <f>IFERROR(__xludf.DUMMYFUNCTION("""COMPUTED_VALUE"""),"Titi Financial")</f>
        <v>Titi Financial</v>
      </c>
    </row>
    <row r="11649">
      <c r="A11649" s="3" t="str">
        <f>IFERROR(__xludf.DUMMYFUNCTION("""COMPUTED_VALUE"""),"title-network")</f>
        <v>title-network</v>
      </c>
      <c r="B11649" s="3" t="str">
        <f>IFERROR(__xludf.DUMMYFUNCTION("""COMPUTED_VALUE"""),"tnet")</f>
        <v>tnet</v>
      </c>
      <c r="C11649" s="3" t="str">
        <f>IFERROR(__xludf.DUMMYFUNCTION("""COMPUTED_VALUE"""),"Bitcoin Clashic")</f>
        <v>Bitcoin Clashic</v>
      </c>
    </row>
    <row r="11650">
      <c r="A11650" s="3" t="str">
        <f>IFERROR(__xludf.DUMMYFUNCTION("""COMPUTED_VALUE"""),"titsv2")</f>
        <v>titsv2</v>
      </c>
      <c r="B11650" s="3" t="str">
        <f>IFERROR(__xludf.DUMMYFUNCTION("""COMPUTED_VALUE"""),"tits")</f>
        <v>tits</v>
      </c>
      <c r="C11650" s="3" t="str">
        <f>IFERROR(__xludf.DUMMYFUNCTION("""COMPUTED_VALUE"""),"TitsV2")</f>
        <v>TitsV2</v>
      </c>
    </row>
    <row r="11651">
      <c r="A11651" s="3" t="str">
        <f>IFERROR(__xludf.DUMMYFUNCTION("""COMPUTED_VALUE"""),"tkn-token")</f>
        <v>tkn-token</v>
      </c>
      <c r="B11651" s="3" t="str">
        <f>IFERROR(__xludf.DUMMYFUNCTION("""COMPUTED_VALUE"""),"tknt")</f>
        <v>tknt</v>
      </c>
      <c r="C11651" s="3" t="str">
        <f>IFERROR(__xludf.DUMMYFUNCTION("""COMPUTED_VALUE"""),"TKN")</f>
        <v>TKN</v>
      </c>
    </row>
    <row r="11652">
      <c r="A11652" s="3" t="str">
        <f>IFERROR(__xludf.DUMMYFUNCTION("""COMPUTED_VALUE"""),"tlabs")</f>
        <v>tlabs</v>
      </c>
      <c r="B11652" s="3" t="str">
        <f>IFERROR(__xludf.DUMMYFUNCTION("""COMPUTED_VALUE"""),"tbs")</f>
        <v>tbs</v>
      </c>
      <c r="C11652" s="3" t="str">
        <f>IFERROR(__xludf.DUMMYFUNCTION("""COMPUTED_VALUE"""),"TLabs")</f>
        <v>TLabs</v>
      </c>
    </row>
    <row r="11653">
      <c r="A11653" s="3" t="str">
        <f>IFERROR(__xludf.DUMMYFUNCTION("""COMPUTED_VALUE"""),"tlchain")</f>
        <v>tlchain</v>
      </c>
      <c r="B11653" s="3" t="str">
        <f>IFERROR(__xludf.DUMMYFUNCTION("""COMPUTED_VALUE"""),"tlc")</f>
        <v>tlc</v>
      </c>
      <c r="C11653" s="3" t="str">
        <f>IFERROR(__xludf.DUMMYFUNCTION("""COMPUTED_VALUE"""),"TLChain")</f>
        <v>TLChain</v>
      </c>
    </row>
    <row r="11654">
      <c r="A11654" s="3" t="str">
        <f>IFERROR(__xludf.DUMMYFUNCTION("""COMPUTED_VALUE"""),"tlpt")</f>
        <v>tlpt</v>
      </c>
      <c r="B11654" s="3" t="str">
        <f>IFERROR(__xludf.DUMMYFUNCTION("""COMPUTED_VALUE"""),"tlpt")</f>
        <v>tlpt</v>
      </c>
      <c r="C11654" s="3" t="str">
        <f>IFERROR(__xludf.DUMMYFUNCTION("""COMPUTED_VALUE"""),"tLPT")</f>
        <v>tLPT</v>
      </c>
    </row>
    <row r="11655">
      <c r="A11655" s="3" t="str">
        <f>IFERROR(__xludf.DUMMYFUNCTION("""COMPUTED_VALUE"""),"t-mac-dao")</f>
        <v>t-mac-dao</v>
      </c>
      <c r="B11655" s="3" t="str">
        <f>IFERROR(__xludf.DUMMYFUNCTION("""COMPUTED_VALUE"""),"tmg")</f>
        <v>tmg</v>
      </c>
      <c r="C11655" s="3" t="str">
        <f>IFERROR(__xludf.DUMMYFUNCTION("""COMPUTED_VALUE"""),"T-mac DAO")</f>
        <v>T-mac DAO</v>
      </c>
    </row>
    <row r="11656">
      <c r="A11656" s="3" t="str">
        <f>IFERROR(__xludf.DUMMYFUNCTION("""COMPUTED_VALUE"""),"tmatic")</f>
        <v>tmatic</v>
      </c>
      <c r="B11656" s="3" t="str">
        <f>IFERROR(__xludf.DUMMYFUNCTION("""COMPUTED_VALUE"""),"tmatic")</f>
        <v>tmatic</v>
      </c>
      <c r="C11656" s="3" t="str">
        <f>IFERROR(__xludf.DUMMYFUNCTION("""COMPUTED_VALUE"""),"tMATIC")</f>
        <v>tMATIC</v>
      </c>
    </row>
    <row r="11657">
      <c r="A11657" s="3" t="str">
        <f>IFERROR(__xludf.DUMMYFUNCTION("""COMPUTED_VALUE"""),"tmy-coin")</f>
        <v>tmy-coin</v>
      </c>
      <c r="B11657" s="3" t="str">
        <f>IFERROR(__xludf.DUMMYFUNCTION("""COMPUTED_VALUE"""),"tmy")</f>
        <v>tmy</v>
      </c>
      <c r="C11657" s="3" t="str">
        <f>IFERROR(__xludf.DUMMYFUNCTION("""COMPUTED_VALUE"""),"TMY Coin")</f>
        <v>TMY Coin</v>
      </c>
    </row>
    <row r="11658">
      <c r="A11658" s="3" t="str">
        <f>IFERROR(__xludf.DUMMYFUNCTION("""COMPUTED_VALUE"""),"tnc-coin")</f>
        <v>tnc-coin</v>
      </c>
      <c r="B11658" s="3" t="str">
        <f>IFERROR(__xludf.DUMMYFUNCTION("""COMPUTED_VALUE"""),"tnc")</f>
        <v>tnc</v>
      </c>
      <c r="C11658" s="3" t="str">
        <f>IFERROR(__xludf.DUMMYFUNCTION("""COMPUTED_VALUE"""),"TNC Coin")</f>
        <v>TNC Coin</v>
      </c>
    </row>
    <row r="11659">
      <c r="A11659" s="3" t="str">
        <f>IFERROR(__xludf.DUMMYFUNCTION("""COMPUTED_VALUE"""),"tnns")</f>
        <v>tnns</v>
      </c>
      <c r="B11659" s="3" t="str">
        <f>IFERROR(__xludf.DUMMYFUNCTION("""COMPUTED_VALUE"""),"tnns")</f>
        <v>tnns</v>
      </c>
      <c r="C11659" s="3" t="str">
        <f>IFERROR(__xludf.DUMMYFUNCTION("""COMPUTED_VALUE"""),"TNNS")</f>
        <v>TNNS</v>
      </c>
    </row>
    <row r="11660">
      <c r="A11660" s="3" t="str">
        <f>IFERROR(__xludf.DUMMYFUNCTION("""COMPUTED_VALUE"""),"tokamak-network")</f>
        <v>tokamak-network</v>
      </c>
      <c r="B11660" s="3" t="str">
        <f>IFERROR(__xludf.DUMMYFUNCTION("""COMPUTED_VALUE"""),"ton")</f>
        <v>ton</v>
      </c>
      <c r="C11660" s="3" t="str">
        <f>IFERROR(__xludf.DUMMYFUNCTION("""COMPUTED_VALUE"""),"Tokamak Network")</f>
        <v>Tokamak Network</v>
      </c>
    </row>
    <row r="11661">
      <c r="A11661" s="3" t="str">
        <f>IFERROR(__xludf.DUMMYFUNCTION("""COMPUTED_VALUE"""),"tokemak")</f>
        <v>tokemak</v>
      </c>
      <c r="B11661" s="3" t="str">
        <f>IFERROR(__xludf.DUMMYFUNCTION("""COMPUTED_VALUE"""),"toke")</f>
        <v>toke</v>
      </c>
      <c r="C11661" s="3" t="str">
        <f>IFERROR(__xludf.DUMMYFUNCTION("""COMPUTED_VALUE"""),"Tokemak")</f>
        <v>Tokemak</v>
      </c>
    </row>
    <row r="11662">
      <c r="A11662" s="3" t="str">
        <f>IFERROR(__xludf.DUMMYFUNCTION("""COMPUTED_VALUE"""),"tokenarium")</f>
        <v>tokenarium</v>
      </c>
      <c r="B11662" s="3" t="str">
        <f>IFERROR(__xludf.DUMMYFUNCTION("""COMPUTED_VALUE"""),"tknrm")</f>
        <v>tknrm</v>
      </c>
      <c r="C11662" s="3" t="str">
        <f>IFERROR(__xludf.DUMMYFUNCTION("""COMPUTED_VALUE"""),"Tokenarium")</f>
        <v>Tokenarium</v>
      </c>
    </row>
    <row r="11663">
      <c r="A11663" s="3" t="str">
        <f>IFERROR(__xludf.DUMMYFUNCTION("""COMPUTED_VALUE"""),"tokenasset")</f>
        <v>tokenasset</v>
      </c>
      <c r="B11663" s="3" t="str">
        <f>IFERROR(__xludf.DUMMYFUNCTION("""COMPUTED_VALUE"""),"ntb")</f>
        <v>ntb</v>
      </c>
      <c r="C11663" s="3" t="str">
        <f>IFERROR(__xludf.DUMMYFUNCTION("""COMPUTED_VALUE"""),"TokenAsset")</f>
        <v>TokenAsset</v>
      </c>
    </row>
    <row r="11664">
      <c r="A11664" s="3" t="str">
        <f>IFERROR(__xludf.DUMMYFUNCTION("""COMPUTED_VALUE"""),"tokenbank")</f>
        <v>tokenbank</v>
      </c>
      <c r="B11664" s="3" t="str">
        <f>IFERROR(__xludf.DUMMYFUNCTION("""COMPUTED_VALUE"""),"tbank")</f>
        <v>tbank</v>
      </c>
      <c r="C11664" s="3" t="str">
        <f>IFERROR(__xludf.DUMMYFUNCTION("""COMPUTED_VALUE"""),"Tokenbank")</f>
        <v>Tokenbank</v>
      </c>
    </row>
    <row r="11665">
      <c r="A11665" s="3" t="str">
        <f>IFERROR(__xludf.DUMMYFUNCTION("""COMPUTED_VALUE"""),"tokenbook")</f>
        <v>tokenbook</v>
      </c>
      <c r="B11665" s="3" t="str">
        <f>IFERROR(__xludf.DUMMYFUNCTION("""COMPUTED_VALUE"""),"tbk")</f>
        <v>tbk</v>
      </c>
      <c r="C11665" s="3" t="str">
        <f>IFERROR(__xludf.DUMMYFUNCTION("""COMPUTED_VALUE"""),"TokenBook")</f>
        <v>TokenBook</v>
      </c>
    </row>
    <row r="11666">
      <c r="A11666" s="3" t="str">
        <f>IFERROR(__xludf.DUMMYFUNCTION("""COMPUTED_VALUE"""),"tokenbot")</f>
        <v>tokenbot</v>
      </c>
      <c r="B11666" s="3" t="str">
        <f>IFERROR(__xludf.DUMMYFUNCTION("""COMPUTED_VALUE"""),"tkb")</f>
        <v>tkb</v>
      </c>
      <c r="C11666" s="3" t="str">
        <f>IFERROR(__xludf.DUMMYFUNCTION("""COMPUTED_VALUE"""),"TokenBot")</f>
        <v>TokenBot</v>
      </c>
    </row>
    <row r="11667">
      <c r="A11667" s="3" t="str">
        <f>IFERROR(__xludf.DUMMYFUNCTION("""COMPUTED_VALUE"""),"tokenbox")</f>
        <v>tokenbox</v>
      </c>
      <c r="B11667" s="3" t="str">
        <f>IFERROR(__xludf.DUMMYFUNCTION("""COMPUTED_VALUE"""),"tbx")</f>
        <v>tbx</v>
      </c>
      <c r="C11667" s="3" t="str">
        <f>IFERROR(__xludf.DUMMYFUNCTION("""COMPUTED_VALUE"""),"Tokenbox")</f>
        <v>Tokenbox</v>
      </c>
    </row>
    <row r="11668">
      <c r="A11668" s="3" t="str">
        <f>IFERROR(__xludf.DUMMYFUNCTION("""COMPUTED_VALUE"""),"tokencard")</f>
        <v>tokencard</v>
      </c>
      <c r="B11668" s="3" t="str">
        <f>IFERROR(__xludf.DUMMYFUNCTION("""COMPUTED_VALUE"""),"tkn")</f>
        <v>tkn</v>
      </c>
      <c r="C11668" s="3" t="str">
        <f>IFERROR(__xludf.DUMMYFUNCTION("""COMPUTED_VALUE"""),"Monolith")</f>
        <v>Monolith</v>
      </c>
    </row>
    <row r="11669">
      <c r="A11669" s="3" t="str">
        <f>IFERROR(__xludf.DUMMYFUNCTION("""COMPUTED_VALUE"""),"token-cashpay")</f>
        <v>token-cashpay</v>
      </c>
      <c r="B11669" s="3" t="str">
        <f>IFERROR(__xludf.DUMMYFUNCTION("""COMPUTED_VALUE"""),"tcp")</f>
        <v>tcp</v>
      </c>
      <c r="C11669" s="3" t="str">
        <f>IFERROR(__xludf.DUMMYFUNCTION("""COMPUTED_VALUE"""),"Token CashPay")</f>
        <v>Token CashPay</v>
      </c>
    </row>
    <row r="11670">
      <c r="A11670" s="3" t="str">
        <f>IFERROR(__xludf.DUMMYFUNCTION("""COMPUTED_VALUE"""),"token-cheetah")</f>
        <v>token-cheetah</v>
      </c>
      <c r="B11670" s="3" t="str">
        <f>IFERROR(__xludf.DUMMYFUNCTION("""COMPUTED_VALUE"""),"chtt")</f>
        <v>chtt</v>
      </c>
      <c r="C11670" s="3" t="str">
        <f>IFERROR(__xludf.DUMMYFUNCTION("""COMPUTED_VALUE"""),"Cheetah")</f>
        <v>Cheetah</v>
      </c>
    </row>
    <row r="11671">
      <c r="A11671" s="3" t="str">
        <f>IFERROR(__xludf.DUMMYFUNCTION("""COMPUTED_VALUE"""),"tokenclub")</f>
        <v>tokenclub</v>
      </c>
      <c r="B11671" s="3" t="str">
        <f>IFERROR(__xludf.DUMMYFUNCTION("""COMPUTED_VALUE"""),"tct")</f>
        <v>tct</v>
      </c>
      <c r="C11671" s="3" t="str">
        <f>IFERROR(__xludf.DUMMYFUNCTION("""COMPUTED_VALUE"""),"TokenClub")</f>
        <v>TokenClub</v>
      </c>
    </row>
    <row r="11672">
      <c r="A11672" s="3" t="str">
        <f>IFERROR(__xludf.DUMMYFUNCTION("""COMPUTED_VALUE"""),"tokendesk")</f>
        <v>tokendesk</v>
      </c>
      <c r="B11672" s="3" t="str">
        <f>IFERROR(__xludf.DUMMYFUNCTION("""COMPUTED_VALUE"""),"tds")</f>
        <v>tds</v>
      </c>
      <c r="C11672" s="3" t="str">
        <f>IFERROR(__xludf.DUMMYFUNCTION("""COMPUTED_VALUE"""),"TokenDesk")</f>
        <v>TokenDesk</v>
      </c>
    </row>
    <row r="11673">
      <c r="A11673" s="3" t="str">
        <f>IFERROR(__xludf.DUMMYFUNCTION("""COMPUTED_VALUE"""),"token-dforce-usd")</f>
        <v>token-dforce-usd</v>
      </c>
      <c r="B11673" s="3" t="str">
        <f>IFERROR(__xludf.DUMMYFUNCTION("""COMPUTED_VALUE"""),"usx")</f>
        <v>usx</v>
      </c>
      <c r="C11673" s="3" t="str">
        <f>IFERROR(__xludf.DUMMYFUNCTION("""COMPUTED_VALUE"""),"dForce USD")</f>
        <v>dForce USD</v>
      </c>
    </row>
    <row r="11674">
      <c r="A11674" s="3" t="str">
        <f>IFERROR(__xludf.DUMMYFUNCTION("""COMPUTED_VALUE"""),"token-engineering-commons")</f>
        <v>token-engineering-commons</v>
      </c>
      <c r="B11674" s="3" t="str">
        <f>IFERROR(__xludf.DUMMYFUNCTION("""COMPUTED_VALUE"""),"tec")</f>
        <v>tec</v>
      </c>
      <c r="C11674" s="3" t="str">
        <f>IFERROR(__xludf.DUMMYFUNCTION("""COMPUTED_VALUE"""),"Engineering Commons")</f>
        <v>Engineering Commons</v>
      </c>
    </row>
    <row r="11675">
      <c r="A11675" s="3" t="str">
        <f>IFERROR(__xludf.DUMMYFUNCTION("""COMPUTED_VALUE"""),"tokenfy")</f>
        <v>tokenfy</v>
      </c>
      <c r="B11675" s="3" t="str">
        <f>IFERROR(__xludf.DUMMYFUNCTION("""COMPUTED_VALUE"""),"tknfy")</f>
        <v>tknfy</v>
      </c>
      <c r="C11675" s="3" t="str">
        <f>IFERROR(__xludf.DUMMYFUNCTION("""COMPUTED_VALUE"""),"Tokenfy")</f>
        <v>Tokenfy</v>
      </c>
    </row>
    <row r="11676">
      <c r="A11676" s="3" t="str">
        <f>IFERROR(__xludf.DUMMYFUNCTION("""COMPUTED_VALUE"""),"tokengo")</f>
        <v>tokengo</v>
      </c>
      <c r="B11676" s="3" t="str">
        <f>IFERROR(__xludf.DUMMYFUNCTION("""COMPUTED_VALUE"""),"gpt")</f>
        <v>gpt</v>
      </c>
      <c r="C11676" s="3" t="str">
        <f>IFERROR(__xludf.DUMMYFUNCTION("""COMPUTED_VALUE"""),"GoPower")</f>
        <v>GoPower</v>
      </c>
    </row>
    <row r="11677">
      <c r="A11677" s="3" t="str">
        <f>IFERROR(__xludf.DUMMYFUNCTION("""COMPUTED_VALUE"""),"tokenize-xchange")</f>
        <v>tokenize-xchange</v>
      </c>
      <c r="B11677" s="3" t="str">
        <f>IFERROR(__xludf.DUMMYFUNCTION("""COMPUTED_VALUE"""),"tkx")</f>
        <v>tkx</v>
      </c>
      <c r="C11677" s="3" t="str">
        <f>IFERROR(__xludf.DUMMYFUNCTION("""COMPUTED_VALUE"""),"Tokenize Xchange")</f>
        <v>Tokenize Xchange</v>
      </c>
    </row>
    <row r="11678">
      <c r="A11678" s="3" t="str">
        <f>IFERROR(__xludf.DUMMYFUNCTION("""COMPUTED_VALUE"""),"tokenjenny")</f>
        <v>tokenjenny</v>
      </c>
      <c r="B11678" s="3" t="str">
        <f>IFERROR(__xludf.DUMMYFUNCTION("""COMPUTED_VALUE"""),"jenn")</f>
        <v>jenn</v>
      </c>
      <c r="C11678" s="3" t="str">
        <f>IFERROR(__xludf.DUMMYFUNCTION("""COMPUTED_VALUE"""),"TokenJenny")</f>
        <v>TokenJenny</v>
      </c>
    </row>
    <row r="11679">
      <c r="A11679" s="3" t="str">
        <f>IFERROR(__xludf.DUMMYFUNCTION("""COMPUTED_VALUE"""),"token-kennel")</f>
        <v>token-kennel</v>
      </c>
      <c r="B11679" s="3" t="str">
        <f>IFERROR(__xludf.DUMMYFUNCTION("""COMPUTED_VALUE"""),"kennel")</f>
        <v>kennel</v>
      </c>
      <c r="C11679" s="3" t="str">
        <f>IFERROR(__xludf.DUMMYFUNCTION("""COMPUTED_VALUE"""),"Kennel")</f>
        <v>Kennel</v>
      </c>
    </row>
    <row r="11680">
      <c r="A11680" s="3" t="str">
        <f>IFERROR(__xludf.DUMMYFUNCTION("""COMPUTED_VALUE"""),"tokenlon")</f>
        <v>tokenlon</v>
      </c>
      <c r="B11680" s="3" t="str">
        <f>IFERROR(__xludf.DUMMYFUNCTION("""COMPUTED_VALUE"""),"lon")</f>
        <v>lon</v>
      </c>
      <c r="C11680" s="3" t="str">
        <f>IFERROR(__xludf.DUMMYFUNCTION("""COMPUTED_VALUE"""),"Tokenlon")</f>
        <v>Tokenlon</v>
      </c>
    </row>
    <row r="11681">
      <c r="A11681" s="3" t="str">
        <f>IFERROR(__xludf.DUMMYFUNCTION("""COMPUTED_VALUE"""),"token-of-fire")</f>
        <v>token-of-fire</v>
      </c>
      <c r="B11681" s="3" t="str">
        <f>IFERROR(__xludf.DUMMYFUNCTION("""COMPUTED_VALUE"""),"rhllor")</f>
        <v>rhllor</v>
      </c>
      <c r="C11681" s="3" t="str">
        <f>IFERROR(__xludf.DUMMYFUNCTION("""COMPUTED_VALUE"""),"Token of Fire")</f>
        <v>Token of Fire</v>
      </c>
    </row>
    <row r="11682">
      <c r="A11682" s="3" t="str">
        <f>IFERROR(__xludf.DUMMYFUNCTION("""COMPUTED_VALUE"""),"tokenoid")</f>
        <v>tokenoid</v>
      </c>
      <c r="B11682" s="3" t="str">
        <f>IFERROR(__xludf.DUMMYFUNCTION("""COMPUTED_VALUE"""),"noid")</f>
        <v>noid</v>
      </c>
      <c r="C11682" s="3" t="str">
        <f>IFERROR(__xludf.DUMMYFUNCTION("""COMPUTED_VALUE"""),"Tokenoid")</f>
        <v>Tokenoid</v>
      </c>
    </row>
    <row r="11683">
      <c r="A11683" s="3" t="str">
        <f>IFERROR(__xludf.DUMMYFUNCTION("""COMPUTED_VALUE"""),"tokenomy")</f>
        <v>tokenomy</v>
      </c>
      <c r="B11683" s="3" t="str">
        <f>IFERROR(__xludf.DUMMYFUNCTION("""COMPUTED_VALUE"""),"ten")</f>
        <v>ten</v>
      </c>
      <c r="C11683" s="3" t="str">
        <f>IFERROR(__xludf.DUMMYFUNCTION("""COMPUTED_VALUE"""),"Tokenomy")</f>
        <v>Tokenomy</v>
      </c>
    </row>
    <row r="11684">
      <c r="A11684" s="3" t="str">
        <f>IFERROR(__xludf.DUMMYFUNCTION("""COMPUTED_VALUE"""),"tokenplace")</f>
        <v>tokenplace</v>
      </c>
      <c r="B11684" s="3" t="str">
        <f>IFERROR(__xludf.DUMMYFUNCTION("""COMPUTED_VALUE"""),"tok")</f>
        <v>tok</v>
      </c>
      <c r="C11684" s="3" t="str">
        <f>IFERROR(__xludf.DUMMYFUNCTION("""COMPUTED_VALUE"""),"Tokenplace")</f>
        <v>Tokenplace</v>
      </c>
    </row>
    <row r="11685">
      <c r="A11685" s="3" t="str">
        <f>IFERROR(__xludf.DUMMYFUNCTION("""COMPUTED_VALUE"""),"tokenplay")</f>
        <v>tokenplay</v>
      </c>
      <c r="B11685" s="3" t="str">
        <f>IFERROR(__xludf.DUMMYFUNCTION("""COMPUTED_VALUE"""),"top")</f>
        <v>top</v>
      </c>
      <c r="C11685" s="3" t="str">
        <f>IFERROR(__xludf.DUMMYFUNCTION("""COMPUTED_VALUE"""),"Tokenplay")</f>
        <v>Tokenplay</v>
      </c>
    </row>
    <row r="11686">
      <c r="A11686" s="3" t="str">
        <f>IFERROR(__xludf.DUMMYFUNCTION("""COMPUTED_VALUE"""),"token-play")</f>
        <v>token-play</v>
      </c>
      <c r="B11686" s="3" t="str">
        <f>IFERROR(__xludf.DUMMYFUNCTION("""COMPUTED_VALUE"""),"tp3")</f>
        <v>tp3</v>
      </c>
      <c r="C11686" s="3" t="str">
        <f>IFERROR(__xludf.DUMMYFUNCTION("""COMPUTED_VALUE"""),"Token Play")</f>
        <v>Token Play</v>
      </c>
    </row>
    <row r="11687">
      <c r="A11687" s="3" t="str">
        <f>IFERROR(__xludf.DUMMYFUNCTION("""COMPUTED_VALUE"""),"token-pocket")</f>
        <v>token-pocket</v>
      </c>
      <c r="B11687" s="3" t="str">
        <f>IFERROR(__xludf.DUMMYFUNCTION("""COMPUTED_VALUE"""),"tpt")</f>
        <v>tpt</v>
      </c>
      <c r="C11687" s="3" t="str">
        <f>IFERROR(__xludf.DUMMYFUNCTION("""COMPUTED_VALUE"""),"TokenPocket Token")</f>
        <v>TokenPocket Token</v>
      </c>
    </row>
    <row r="11688">
      <c r="A11688" s="3" t="str">
        <f>IFERROR(__xludf.DUMMYFUNCTION("""COMPUTED_VALUE"""),"token-runner")</f>
        <v>token-runner</v>
      </c>
      <c r="B11688" s="3" t="str">
        <f>IFERROR(__xludf.DUMMYFUNCTION("""COMPUTED_VALUE"""),"tkrn")</f>
        <v>tkrn</v>
      </c>
      <c r="C11688" s="3" t="str">
        <f>IFERROR(__xludf.DUMMYFUNCTION("""COMPUTED_VALUE"""),"Token Runner")</f>
        <v>Token Runner</v>
      </c>
    </row>
    <row r="11689">
      <c r="A11689" s="3" t="str">
        <f>IFERROR(__xludf.DUMMYFUNCTION("""COMPUTED_VALUE"""),"token-shelby")</f>
        <v>token-shelby</v>
      </c>
      <c r="B11689" s="3" t="str">
        <f>IFERROR(__xludf.DUMMYFUNCTION("""COMPUTED_VALUE"""),"tsy")</f>
        <v>tsy</v>
      </c>
      <c r="C11689" s="3" t="str">
        <f>IFERROR(__xludf.DUMMYFUNCTION("""COMPUTED_VALUE"""),"Token Shelby")</f>
        <v>Token Shelby</v>
      </c>
    </row>
    <row r="11690">
      <c r="A11690" s="3" t="str">
        <f>IFERROR(__xludf.DUMMYFUNCTION("""COMPUTED_VALUE"""),"tokentuber")</f>
        <v>tokentuber</v>
      </c>
      <c r="B11690" s="3" t="str">
        <f>IFERROR(__xludf.DUMMYFUNCTION("""COMPUTED_VALUE"""),"tuber")</f>
        <v>tuber</v>
      </c>
      <c r="C11690" s="3" t="str">
        <f>IFERROR(__xludf.DUMMYFUNCTION("""COMPUTED_VALUE"""),"TokenTuber")</f>
        <v>TokenTuber</v>
      </c>
    </row>
    <row r="11691">
      <c r="A11691" s="3" t="str">
        <f>IFERROR(__xludf.DUMMYFUNCTION("""COMPUTED_VALUE"""),"tokes")</f>
        <v>tokes</v>
      </c>
      <c r="B11691" s="3" t="str">
        <f>IFERROR(__xludf.DUMMYFUNCTION("""COMPUTED_VALUE"""),"tks")</f>
        <v>tks</v>
      </c>
      <c r="C11691" s="3" t="str">
        <f>IFERROR(__xludf.DUMMYFUNCTION("""COMPUTED_VALUE"""),"Tokes")</f>
        <v>Tokes</v>
      </c>
    </row>
    <row r="11692">
      <c r="A11692" s="3" t="str">
        <f>IFERROR(__xludf.DUMMYFUNCTION("""COMPUTED_VALUE"""),"toko")</f>
        <v>toko</v>
      </c>
      <c r="B11692" s="3" t="str">
        <f>IFERROR(__xludf.DUMMYFUNCTION("""COMPUTED_VALUE"""),"toko")</f>
        <v>toko</v>
      </c>
      <c r="C11692" s="3" t="str">
        <f>IFERROR(__xludf.DUMMYFUNCTION("""COMPUTED_VALUE"""),"Tokoin")</f>
        <v>Tokoin</v>
      </c>
    </row>
    <row r="11693">
      <c r="A11693" s="3" t="str">
        <f>IFERROR(__xludf.DUMMYFUNCTION("""COMPUTED_VALUE"""),"tokocrypto")</f>
        <v>tokocrypto</v>
      </c>
      <c r="B11693" s="3" t="str">
        <f>IFERROR(__xludf.DUMMYFUNCTION("""COMPUTED_VALUE"""),"tko")</f>
        <v>tko</v>
      </c>
      <c r="C11693" s="3" t="str">
        <f>IFERROR(__xludf.DUMMYFUNCTION("""COMPUTED_VALUE"""),"Tokocrypto")</f>
        <v>Tokocrypto</v>
      </c>
    </row>
    <row r="11694">
      <c r="A11694" s="3" t="str">
        <f>IFERROR(__xludf.DUMMYFUNCTION("""COMPUTED_VALUE"""),"tokonft")</f>
        <v>tokonft</v>
      </c>
      <c r="B11694" s="3" t="str">
        <f>IFERROR(__xludf.DUMMYFUNCTION("""COMPUTED_VALUE"""),"tkn")</f>
        <v>tkn</v>
      </c>
      <c r="C11694" s="3" t="str">
        <f>IFERROR(__xludf.DUMMYFUNCTION("""COMPUTED_VALUE"""),"TokoNFT")</f>
        <v>TokoNFT</v>
      </c>
    </row>
    <row r="11695">
      <c r="A11695" s="3" t="str">
        <f>IFERROR(__xludf.DUMMYFUNCTION("""COMPUTED_VALUE"""),"tokpie")</f>
        <v>tokpie</v>
      </c>
      <c r="B11695" s="3" t="str">
        <f>IFERROR(__xludf.DUMMYFUNCTION("""COMPUTED_VALUE"""),"tkp")</f>
        <v>tkp</v>
      </c>
      <c r="C11695" s="3" t="str">
        <f>IFERROR(__xludf.DUMMYFUNCTION("""COMPUTED_VALUE"""),"TOKPIE")</f>
        <v>TOKPIE</v>
      </c>
    </row>
    <row r="11696">
      <c r="A11696" s="3" t="str">
        <f>IFERROR(__xludf.DUMMYFUNCTION("""COMPUTED_VALUE"""),"toksi")</f>
        <v>toksi</v>
      </c>
      <c r="B11696" s="3" t="str">
        <f>IFERROR(__xludf.DUMMYFUNCTION("""COMPUTED_VALUE"""),"toi")</f>
        <v>toi</v>
      </c>
      <c r="C11696" s="3" t="str">
        <f>IFERROR(__xludf.DUMMYFUNCTION("""COMPUTED_VALUE"""),"Toksi")</f>
        <v>Toksi</v>
      </c>
    </row>
    <row r="11697">
      <c r="A11697" s="3" t="str">
        <f>IFERROR(__xludf.DUMMYFUNCTION("""COMPUTED_VALUE"""),"tokyo")</f>
        <v>tokyo</v>
      </c>
      <c r="B11697" s="3" t="str">
        <f>IFERROR(__xludf.DUMMYFUNCTION("""COMPUTED_VALUE"""),"tokc")</f>
        <v>tokc</v>
      </c>
      <c r="C11697" s="3" t="str">
        <f>IFERROR(__xludf.DUMMYFUNCTION("""COMPUTED_VALUE"""),"Tokyo Coin")</f>
        <v>Tokyo Coin</v>
      </c>
    </row>
    <row r="11698">
      <c r="A11698" s="3" t="str">
        <f>IFERROR(__xludf.DUMMYFUNCTION("""COMPUTED_VALUE"""),"tokyo-au")</f>
        <v>tokyo-au</v>
      </c>
      <c r="B11698" s="3" t="str">
        <f>IFERROR(__xludf.DUMMYFUNCTION("""COMPUTED_VALUE"""),"tokau")</f>
        <v>tokau</v>
      </c>
      <c r="C11698" s="3" t="str">
        <f>IFERROR(__xludf.DUMMYFUNCTION("""COMPUTED_VALUE"""),"Tokyo AU")</f>
        <v>Tokyo AU</v>
      </c>
    </row>
    <row r="11699">
      <c r="A11699" s="3" t="str">
        <f>IFERROR(__xludf.DUMMYFUNCTION("""COMPUTED_VALUE"""),"tokyo-inu")</f>
        <v>tokyo-inu</v>
      </c>
      <c r="B11699" s="3" t="str">
        <f>IFERROR(__xludf.DUMMYFUNCTION("""COMPUTED_VALUE"""),"toki")</f>
        <v>toki</v>
      </c>
      <c r="C11699" s="3" t="str">
        <f>IFERROR(__xludf.DUMMYFUNCTION("""COMPUTED_VALUE"""),"Tokyo Inu")</f>
        <v>Tokyo Inu</v>
      </c>
    </row>
    <row r="11700">
      <c r="A11700" s="3" t="str">
        <f>IFERROR(__xludf.DUMMYFUNCTION("""COMPUTED_VALUE"""),"tolar")</f>
        <v>tolar</v>
      </c>
      <c r="B11700" s="3" t="str">
        <f>IFERROR(__xludf.DUMMYFUNCTION("""COMPUTED_VALUE"""),"tol")</f>
        <v>tol</v>
      </c>
      <c r="C11700" s="3" t="str">
        <f>IFERROR(__xludf.DUMMYFUNCTION("""COMPUTED_VALUE"""),"Tolar")</f>
        <v>Tolar</v>
      </c>
    </row>
    <row r="11701">
      <c r="A11701" s="3" t="str">
        <f>IFERROR(__xludf.DUMMYFUNCTION("""COMPUTED_VALUE"""),"tomato-coin")</f>
        <v>tomato-coin</v>
      </c>
      <c r="B11701" s="3" t="str">
        <f>IFERROR(__xludf.DUMMYFUNCTION("""COMPUTED_VALUE"""),"bptc")</f>
        <v>bptc</v>
      </c>
      <c r="C11701" s="3" t="str">
        <f>IFERROR(__xludf.DUMMYFUNCTION("""COMPUTED_VALUE"""),"Tomato Coin")</f>
        <v>Tomato Coin</v>
      </c>
    </row>
    <row r="11702">
      <c r="A11702" s="3" t="str">
        <f>IFERROR(__xludf.DUMMYFUNCTION("""COMPUTED_VALUE"""),"tomb")</f>
        <v>tomb</v>
      </c>
      <c r="B11702" s="3" t="str">
        <f>IFERROR(__xludf.DUMMYFUNCTION("""COMPUTED_VALUE"""),"tomb")</f>
        <v>tomb</v>
      </c>
      <c r="C11702" s="3" t="str">
        <f>IFERROR(__xludf.DUMMYFUNCTION("""COMPUTED_VALUE"""),"Tomb")</f>
        <v>Tomb</v>
      </c>
    </row>
    <row r="11703">
      <c r="A11703" s="3" t="str">
        <f>IFERROR(__xludf.DUMMYFUNCTION("""COMPUTED_VALUE"""),"tomb-shares")</f>
        <v>tomb-shares</v>
      </c>
      <c r="B11703" s="3" t="str">
        <f>IFERROR(__xludf.DUMMYFUNCTION("""COMPUTED_VALUE"""),"tshare")</f>
        <v>tshare</v>
      </c>
      <c r="C11703" s="3" t="str">
        <f>IFERROR(__xludf.DUMMYFUNCTION("""COMPUTED_VALUE"""),"Tomb Shares")</f>
        <v>Tomb Shares</v>
      </c>
    </row>
    <row r="11704">
      <c r="A11704" s="3" t="str">
        <f>IFERROR(__xludf.DUMMYFUNCTION("""COMPUTED_VALUE"""),"tomcat")</f>
        <v>tomcat</v>
      </c>
      <c r="B11704" s="3" t="str">
        <f>IFERROR(__xludf.DUMMYFUNCTION("""COMPUTED_VALUE"""),"tcat")</f>
        <v>tcat</v>
      </c>
      <c r="C11704" s="3" t="str">
        <f>IFERROR(__xludf.DUMMYFUNCTION("""COMPUTED_VALUE"""),"TomCat")</f>
        <v>TomCat</v>
      </c>
    </row>
    <row r="11705">
      <c r="A11705" s="3" t="str">
        <f>IFERROR(__xludf.DUMMYFUNCTION("""COMPUTED_VALUE"""),"tom-coin")</f>
        <v>tom-coin</v>
      </c>
      <c r="B11705" s="3" t="str">
        <f>IFERROR(__xludf.DUMMYFUNCTION("""COMPUTED_VALUE"""),"tmc")</f>
        <v>tmc</v>
      </c>
      <c r="C11705" s="3" t="str">
        <f>IFERROR(__xludf.DUMMYFUNCTION("""COMPUTED_VALUE"""),"Tom Coin")</f>
        <v>Tom Coin</v>
      </c>
    </row>
    <row r="11706">
      <c r="A11706" s="3" t="str">
        <f>IFERROR(__xludf.DUMMYFUNCTION("""COMPUTED_VALUE"""),"tom-finance")</f>
        <v>tom-finance</v>
      </c>
      <c r="B11706" s="3" t="str">
        <f>IFERROR(__xludf.DUMMYFUNCTION("""COMPUTED_VALUE"""),"tom")</f>
        <v>tom</v>
      </c>
      <c r="C11706" s="3" t="str">
        <f>IFERROR(__xludf.DUMMYFUNCTION("""COMPUTED_VALUE"""),"TOM Finance")</f>
        <v>TOM Finance</v>
      </c>
    </row>
    <row r="11707">
      <c r="A11707" s="3" t="str">
        <f>IFERROR(__xludf.DUMMYFUNCTION("""COMPUTED_VALUE"""),"tomochain")</f>
        <v>tomochain</v>
      </c>
      <c r="B11707" s="3" t="str">
        <f>IFERROR(__xludf.DUMMYFUNCTION("""COMPUTED_VALUE"""),"tomo")</f>
        <v>tomo</v>
      </c>
      <c r="C11707" s="3" t="str">
        <f>IFERROR(__xludf.DUMMYFUNCTION("""COMPUTED_VALUE"""),"TomoChain")</f>
        <v>TomoChain</v>
      </c>
    </row>
    <row r="11708">
      <c r="A11708" s="3" t="str">
        <f>IFERROR(__xludf.DUMMYFUNCTION("""COMPUTED_VALUE"""),"tomoe")</f>
        <v>tomoe</v>
      </c>
      <c r="B11708" s="3" t="str">
        <f>IFERROR(__xludf.DUMMYFUNCTION("""COMPUTED_VALUE"""),"tomoe")</f>
        <v>tomoe</v>
      </c>
      <c r="C11708" s="3" t="str">
        <f>IFERROR(__xludf.DUMMYFUNCTION("""COMPUTED_VALUE"""),"TomoChain ERC-20")</f>
        <v>TomoChain ERC-20</v>
      </c>
    </row>
    <row r="11709">
      <c r="A11709" s="3" t="str">
        <f>IFERROR(__xludf.DUMMYFUNCTION("""COMPUTED_VALUE"""),"tomtomcoin")</f>
        <v>tomtomcoin</v>
      </c>
      <c r="B11709" s="3" t="str">
        <f>IFERROR(__xludf.DUMMYFUNCTION("""COMPUTED_VALUE"""),"toms")</f>
        <v>toms</v>
      </c>
      <c r="C11709" s="3" t="str">
        <f>IFERROR(__xludf.DUMMYFUNCTION("""COMPUTED_VALUE"""),"TomTomCoin")</f>
        <v>TomTomCoin</v>
      </c>
    </row>
    <row r="11710">
      <c r="A11710" s="3" t="str">
        <f>IFERROR(__xludf.DUMMYFUNCTION("""COMPUTED_VALUE"""),"tonestra")</f>
        <v>tonestra</v>
      </c>
      <c r="B11710" s="3" t="str">
        <f>IFERROR(__xludf.DUMMYFUNCTION("""COMPUTED_VALUE"""),"tnr")</f>
        <v>tnr</v>
      </c>
      <c r="C11710" s="3" t="str">
        <f>IFERROR(__xludf.DUMMYFUNCTION("""COMPUTED_VALUE"""),"Tonestra")</f>
        <v>Tonestra</v>
      </c>
    </row>
    <row r="11711">
      <c r="A11711" s="3" t="str">
        <f>IFERROR(__xludf.DUMMYFUNCTION("""COMPUTED_VALUE"""),"tongtong-coin")</f>
        <v>tongtong-coin</v>
      </c>
      <c r="B11711" s="3" t="str">
        <f>IFERROR(__xludf.DUMMYFUNCTION("""COMPUTED_VALUE"""),"ttc")</f>
        <v>ttc</v>
      </c>
      <c r="C11711" s="3" t="str">
        <f>IFERROR(__xludf.DUMMYFUNCTION("""COMPUTED_VALUE"""),"Tongtong Coin")</f>
        <v>Tongtong Coin</v>
      </c>
    </row>
    <row r="11712">
      <c r="A11712" s="3" t="str">
        <f>IFERROR(__xludf.DUMMYFUNCTION("""COMPUTED_VALUE"""),"tonstarter")</f>
        <v>tonstarter</v>
      </c>
      <c r="B11712" s="3" t="str">
        <f>IFERROR(__xludf.DUMMYFUNCTION("""COMPUTED_VALUE"""),"tos")</f>
        <v>tos</v>
      </c>
      <c r="C11712" s="3" t="str">
        <f>IFERROR(__xludf.DUMMYFUNCTION("""COMPUTED_VALUE"""),"TONStarter")</f>
        <v>TONStarter</v>
      </c>
    </row>
    <row r="11713">
      <c r="A11713" s="3" t="str">
        <f>IFERROR(__xludf.DUMMYFUNCTION("""COMPUTED_VALUE"""),"tontoken")</f>
        <v>tontoken</v>
      </c>
      <c r="B11713" s="3" t="str">
        <f>IFERROR(__xludf.DUMMYFUNCTION("""COMPUTED_VALUE"""),"ton")</f>
        <v>ton</v>
      </c>
      <c r="C11713" s="3" t="str">
        <f>IFERROR(__xludf.DUMMYFUNCTION("""COMPUTED_VALUE"""),"TON")</f>
        <v>TON</v>
      </c>
    </row>
    <row r="11714">
      <c r="A11714" s="3" t="str">
        <f>IFERROR(__xludf.DUMMYFUNCTION("""COMPUTED_VALUE"""),"toobcoin")</f>
        <v>toobcoin</v>
      </c>
      <c r="B11714" s="3" t="str">
        <f>IFERROR(__xludf.DUMMYFUNCTION("""COMPUTED_VALUE"""),"toob")</f>
        <v>toob</v>
      </c>
      <c r="C11714" s="3" t="str">
        <f>IFERROR(__xludf.DUMMYFUNCTION("""COMPUTED_VALUE"""),"Toobcoin")</f>
        <v>Toobcoin</v>
      </c>
    </row>
    <row r="11715">
      <c r="A11715" s="3" t="str">
        <f>IFERROR(__xludf.DUMMYFUNCTION("""COMPUTED_VALUE"""),"tools")</f>
        <v>tools</v>
      </c>
      <c r="B11715" s="3" t="str">
        <f>IFERROR(__xludf.DUMMYFUNCTION("""COMPUTED_VALUE"""),"tools")</f>
        <v>tools</v>
      </c>
      <c r="C11715" s="3" t="str">
        <f>IFERROR(__xludf.DUMMYFUNCTION("""COMPUTED_VALUE"""),"TOOLS")</f>
        <v>TOOLS</v>
      </c>
    </row>
    <row r="11716">
      <c r="A11716" s="3" t="str">
        <f>IFERROR(__xludf.DUMMYFUNCTION("""COMPUTED_VALUE"""),"toonft")</f>
        <v>toonft</v>
      </c>
      <c r="B11716" s="3" t="str">
        <f>IFERROR(__xludf.DUMMYFUNCTION("""COMPUTED_VALUE"""),"toon")</f>
        <v>toon</v>
      </c>
      <c r="C11716" s="3" t="str">
        <f>IFERROR(__xludf.DUMMYFUNCTION("""COMPUTED_VALUE"""),"TooNFT")</f>
        <v>TooNFT</v>
      </c>
    </row>
    <row r="11717">
      <c r="A11717" s="3" t="str">
        <f>IFERROR(__xludf.DUMMYFUNCTION("""COMPUTED_VALUE"""),"too-token")</f>
        <v>too-token</v>
      </c>
      <c r="B11717" s="3" t="str">
        <f>IFERROR(__xludf.DUMMYFUNCTION("""COMPUTED_VALUE"""),"too")</f>
        <v>too</v>
      </c>
      <c r="C11717" s="3" t="str">
        <f>IFERROR(__xludf.DUMMYFUNCTION("""COMPUTED_VALUE"""),"TOO")</f>
        <v>TOO</v>
      </c>
    </row>
    <row r="11718">
      <c r="A11718" s="3" t="str">
        <f>IFERROR(__xludf.DUMMYFUNCTION("""COMPUTED_VALUE"""),"topbidder")</f>
        <v>topbidder</v>
      </c>
      <c r="B11718" s="3" t="str">
        <f>IFERROR(__xludf.DUMMYFUNCTION("""COMPUTED_VALUE"""),"bid")</f>
        <v>bid</v>
      </c>
      <c r="C11718" s="3" t="str">
        <f>IFERROR(__xludf.DUMMYFUNCTION("""COMPUTED_VALUE"""),"TopBidder")</f>
        <v>TopBidder</v>
      </c>
    </row>
    <row r="11719">
      <c r="A11719" s="3" t="str">
        <f>IFERROR(__xludf.DUMMYFUNCTION("""COMPUTED_VALUE"""),"topchain")</f>
        <v>topchain</v>
      </c>
      <c r="B11719" s="3" t="str">
        <f>IFERROR(__xludf.DUMMYFUNCTION("""COMPUTED_VALUE"""),"topc")</f>
        <v>topc</v>
      </c>
      <c r="C11719" s="3" t="str">
        <f>IFERROR(__xludf.DUMMYFUNCTION("""COMPUTED_VALUE"""),"TopChain")</f>
        <v>TopChain</v>
      </c>
    </row>
    <row r="11720">
      <c r="A11720" s="3" t="str">
        <f>IFERROR(__xludf.DUMMYFUNCTION("""COMPUTED_VALUE"""),"top-coin-token")</f>
        <v>top-coin-token</v>
      </c>
      <c r="B11720" s="3" t="str">
        <f>IFERROR(__xludf.DUMMYFUNCTION("""COMPUTED_VALUE"""),"tct")</f>
        <v>tct</v>
      </c>
      <c r="C11720" s="3" t="str">
        <f>IFERROR(__xludf.DUMMYFUNCTION("""COMPUTED_VALUE"""),"Top Coin")</f>
        <v>Top Coin</v>
      </c>
    </row>
    <row r="11721">
      <c r="A11721" s="3" t="str">
        <f>IFERROR(__xludf.DUMMYFUNCTION("""COMPUTED_VALUE"""),"topg-coin")</f>
        <v>topg-coin</v>
      </c>
      <c r="B11721" s="3" t="str">
        <f>IFERROR(__xludf.DUMMYFUNCTION("""COMPUTED_VALUE"""),"topg")</f>
        <v>topg</v>
      </c>
      <c r="C11721" s="3" t="str">
        <f>IFERROR(__xludf.DUMMYFUNCTION("""COMPUTED_VALUE"""),"TopG Coin")</f>
        <v>TopG Coin</v>
      </c>
    </row>
    <row r="11722">
      <c r="A11722" s="3" t="str">
        <f>IFERROR(__xludf.DUMMYFUNCTION("""COMPUTED_VALUE"""),"topmanager")</f>
        <v>topmanager</v>
      </c>
      <c r="B11722" s="3" t="str">
        <f>IFERROR(__xludf.DUMMYFUNCTION("""COMPUTED_VALUE"""),"tmt")</f>
        <v>tmt</v>
      </c>
      <c r="C11722" s="3" t="str">
        <f>IFERROR(__xludf.DUMMYFUNCTION("""COMPUTED_VALUE"""),"TopManager")</f>
        <v>TopManager</v>
      </c>
    </row>
    <row r="11723">
      <c r="A11723" s="3" t="str">
        <f>IFERROR(__xludf.DUMMYFUNCTION("""COMPUTED_VALUE"""),"top-network")</f>
        <v>top-network</v>
      </c>
      <c r="B11723" s="3" t="str">
        <f>IFERROR(__xludf.DUMMYFUNCTION("""COMPUTED_VALUE"""),"top")</f>
        <v>top</v>
      </c>
      <c r="C11723" s="3" t="str">
        <f>IFERROR(__xludf.DUMMYFUNCTION("""COMPUTED_VALUE"""),"TOP Network")</f>
        <v>TOP Network</v>
      </c>
    </row>
    <row r="11724">
      <c r="A11724" s="3" t="str">
        <f>IFERROR(__xludf.DUMMYFUNCTION("""COMPUTED_VALUE"""),"top-one")</f>
        <v>top-one</v>
      </c>
      <c r="B11724" s="3" t="str">
        <f>IFERROR(__xludf.DUMMYFUNCTION("""COMPUTED_VALUE"""),"top1")</f>
        <v>top1</v>
      </c>
      <c r="C11724" s="3" t="str">
        <f>IFERROR(__xludf.DUMMYFUNCTION("""COMPUTED_VALUE"""),"TOP ONE")</f>
        <v>TOP ONE</v>
      </c>
    </row>
    <row r="11725">
      <c r="A11725" s="3" t="str">
        <f>IFERROR(__xludf.DUMMYFUNCTION("""COMPUTED_VALUE"""),"topshelf-finance")</f>
        <v>topshelf-finance</v>
      </c>
      <c r="B11725" s="3" t="str">
        <f>IFERROR(__xludf.DUMMYFUNCTION("""COMPUTED_VALUE"""),"liqr")</f>
        <v>liqr</v>
      </c>
      <c r="C11725" s="3" t="str">
        <f>IFERROR(__xludf.DUMMYFUNCTION("""COMPUTED_VALUE"""),"Topshelf Finance")</f>
        <v>Topshelf Finance</v>
      </c>
    </row>
    <row r="11726">
      <c r="A11726" s="3" t="str">
        <f>IFERROR(__xludf.DUMMYFUNCTION("""COMPUTED_VALUE"""),"topss")</f>
        <v>topss</v>
      </c>
      <c r="B11726" s="3" t="str">
        <f>IFERROR(__xludf.DUMMYFUNCTION("""COMPUTED_VALUE"""),"topss")</f>
        <v>topss</v>
      </c>
      <c r="C11726" s="3" t="str">
        <f>IFERROR(__xludf.DUMMYFUNCTION("""COMPUTED_VALUE"""),"TOPSS")</f>
        <v>TOPSS</v>
      </c>
    </row>
    <row r="11727">
      <c r="A11727" s="3" t="str">
        <f>IFERROR(__xludf.DUMMYFUNCTION("""COMPUTED_VALUE"""),"tor")</f>
        <v>tor</v>
      </c>
      <c r="B11727" s="3" t="str">
        <f>IFERROR(__xludf.DUMMYFUNCTION("""COMPUTED_VALUE"""),"tor")</f>
        <v>tor</v>
      </c>
      <c r="C11727" s="3" t="str">
        <f>IFERROR(__xludf.DUMMYFUNCTION("""COMPUTED_VALUE"""),"TOR")</f>
        <v>TOR</v>
      </c>
    </row>
    <row r="11728">
      <c r="A11728" s="3" t="str">
        <f>IFERROR(__xludf.DUMMYFUNCTION("""COMPUTED_VALUE"""),"torchain")</f>
        <v>torchain</v>
      </c>
      <c r="B11728" s="3" t="str">
        <f>IFERROR(__xludf.DUMMYFUNCTION("""COMPUTED_VALUE"""),"tor")</f>
        <v>tor</v>
      </c>
      <c r="C11728" s="3" t="str">
        <f>IFERROR(__xludf.DUMMYFUNCTION("""COMPUTED_VALUE"""),"Torchain")</f>
        <v>Torchain</v>
      </c>
    </row>
    <row r="11729">
      <c r="A11729" s="3" t="str">
        <f>IFERROR(__xludf.DUMMYFUNCTION("""COMPUTED_VALUE"""),"torches")</f>
        <v>torches</v>
      </c>
      <c r="B11729" s="3" t="str">
        <f>IFERROR(__xludf.DUMMYFUNCTION("""COMPUTED_VALUE"""),"tor")</f>
        <v>tor</v>
      </c>
      <c r="C11729" s="3" t="str">
        <f>IFERROR(__xludf.DUMMYFUNCTION("""COMPUTED_VALUE"""),"Torches")</f>
        <v>Torches</v>
      </c>
    </row>
    <row r="11730">
      <c r="A11730" s="3" t="str">
        <f>IFERROR(__xludf.DUMMYFUNCTION("""COMPUTED_VALUE"""),"torekko")</f>
        <v>torekko</v>
      </c>
      <c r="B11730" s="3" t="str">
        <f>IFERROR(__xludf.DUMMYFUNCTION("""COMPUTED_VALUE"""),"trk")</f>
        <v>trk</v>
      </c>
      <c r="C11730" s="3" t="str">
        <f>IFERROR(__xludf.DUMMYFUNCTION("""COMPUTED_VALUE"""),"Torekko")</f>
        <v>Torekko</v>
      </c>
    </row>
    <row r="11731">
      <c r="A11731" s="3" t="str">
        <f>IFERROR(__xludf.DUMMYFUNCTION("""COMPUTED_VALUE"""),"torg")</f>
        <v>torg</v>
      </c>
      <c r="B11731" s="3" t="str">
        <f>IFERROR(__xludf.DUMMYFUNCTION("""COMPUTED_VALUE"""),"torg")</f>
        <v>torg</v>
      </c>
      <c r="C11731" s="3" t="str">
        <f>IFERROR(__xludf.DUMMYFUNCTION("""COMPUTED_VALUE"""),"TORG")</f>
        <v>TORG</v>
      </c>
    </row>
    <row r="11732">
      <c r="A11732" s="3" t="str">
        <f>IFERROR(__xludf.DUMMYFUNCTION("""COMPUTED_VALUE"""),"torii-finance")</f>
        <v>torii-finance</v>
      </c>
      <c r="B11732" s="3" t="str">
        <f>IFERROR(__xludf.DUMMYFUNCTION("""COMPUTED_VALUE"""),"torii")</f>
        <v>torii</v>
      </c>
      <c r="C11732" s="3" t="str">
        <f>IFERROR(__xludf.DUMMYFUNCTION("""COMPUTED_VALUE"""),"Torii Finance")</f>
        <v>Torii Finance</v>
      </c>
    </row>
    <row r="11733">
      <c r="A11733" s="3" t="str">
        <f>IFERROR(__xludf.DUMMYFUNCTION("""COMPUTED_VALUE"""),"torkpad")</f>
        <v>torkpad</v>
      </c>
      <c r="B11733" s="3" t="str">
        <f>IFERROR(__xludf.DUMMYFUNCTION("""COMPUTED_VALUE"""),"tpad")</f>
        <v>tpad</v>
      </c>
      <c r="C11733" s="3" t="str">
        <f>IFERROR(__xludf.DUMMYFUNCTION("""COMPUTED_VALUE"""),"TorkPad")</f>
        <v>TorkPad</v>
      </c>
    </row>
    <row r="11734">
      <c r="A11734" s="3" t="str">
        <f>IFERROR(__xludf.DUMMYFUNCTION("""COMPUTED_VALUE"""),"tornado-cash")</f>
        <v>tornado-cash</v>
      </c>
      <c r="B11734" s="3" t="str">
        <f>IFERROR(__xludf.DUMMYFUNCTION("""COMPUTED_VALUE"""),"torn")</f>
        <v>torn</v>
      </c>
      <c r="C11734" s="3" t="str">
        <f>IFERROR(__xludf.DUMMYFUNCTION("""COMPUTED_VALUE"""),"Tornado Cash")</f>
        <v>Tornado Cash</v>
      </c>
    </row>
    <row r="11735">
      <c r="A11735" s="3" t="str">
        <f>IFERROR(__xludf.DUMMYFUNCTION("""COMPUTED_VALUE"""),"torpedo")</f>
        <v>torpedo</v>
      </c>
      <c r="B11735" s="3" t="str">
        <f>IFERROR(__xludf.DUMMYFUNCTION("""COMPUTED_VALUE"""),"torpedo")</f>
        <v>torpedo</v>
      </c>
      <c r="C11735" s="3" t="str">
        <f>IFERROR(__xludf.DUMMYFUNCTION("""COMPUTED_VALUE"""),"Torpedo")</f>
        <v>Torpedo</v>
      </c>
    </row>
    <row r="11736">
      <c r="A11736" s="3" t="str">
        <f>IFERROR(__xludf.DUMMYFUNCTION("""COMPUTED_VALUE"""),"torq-coin")</f>
        <v>torq-coin</v>
      </c>
      <c r="B11736" s="3" t="str">
        <f>IFERROR(__xludf.DUMMYFUNCTION("""COMPUTED_VALUE"""),"torq")</f>
        <v>torq</v>
      </c>
      <c r="C11736" s="3" t="str">
        <f>IFERROR(__xludf.DUMMYFUNCTION("""COMPUTED_VALUE"""),"TORQ Coin")</f>
        <v>TORQ Coin</v>
      </c>
    </row>
    <row r="11737">
      <c r="A11737" s="3" t="str">
        <f>IFERROR(__xludf.DUMMYFUNCTION("""COMPUTED_VALUE"""),"tortuga-staked-aptos")</f>
        <v>tortuga-staked-aptos</v>
      </c>
      <c r="B11737" s="3" t="str">
        <f>IFERROR(__xludf.DUMMYFUNCTION("""COMPUTED_VALUE"""),"tapt")</f>
        <v>tapt</v>
      </c>
      <c r="C11737" s="3" t="str">
        <f>IFERROR(__xludf.DUMMYFUNCTION("""COMPUTED_VALUE"""),"Tortuga Staked Aptos")</f>
        <v>Tortuga Staked Aptos</v>
      </c>
    </row>
    <row r="11738">
      <c r="A11738" s="3" t="str">
        <f>IFERROR(__xludf.DUMMYFUNCTION("""COMPUTED_VALUE"""),"torum")</f>
        <v>torum</v>
      </c>
      <c r="B11738" s="3" t="str">
        <f>IFERROR(__xludf.DUMMYFUNCTION("""COMPUTED_VALUE"""),"xtm")</f>
        <v>xtm</v>
      </c>
      <c r="C11738" s="3" t="str">
        <f>IFERROR(__xludf.DUMMYFUNCTION("""COMPUTED_VALUE"""),"Torum")</f>
        <v>Torum</v>
      </c>
    </row>
    <row r="11739">
      <c r="A11739" s="3" t="str">
        <f>IFERROR(__xludf.DUMMYFUNCTION("""COMPUTED_VALUE"""),"tosa-inu")</f>
        <v>tosa-inu</v>
      </c>
      <c r="B11739" s="3" t="str">
        <f>IFERROR(__xludf.DUMMYFUNCTION("""COMPUTED_VALUE"""),"tos")</f>
        <v>tos</v>
      </c>
      <c r="C11739" s="3" t="str">
        <f>IFERROR(__xludf.DUMMYFUNCTION("""COMPUTED_VALUE"""),"Tosa Inu")</f>
        <v>Tosa Inu</v>
      </c>
    </row>
    <row r="11740">
      <c r="A11740" s="3" t="str">
        <f>IFERROR(__xludf.DUMMYFUNCTION("""COMPUTED_VALUE"""),"tosdis")</f>
        <v>tosdis</v>
      </c>
      <c r="B11740" s="3" t="str">
        <f>IFERROR(__xludf.DUMMYFUNCTION("""COMPUTED_VALUE"""),"dis")</f>
        <v>dis</v>
      </c>
      <c r="C11740" s="3" t="str">
        <f>IFERROR(__xludf.DUMMYFUNCTION("""COMPUTED_VALUE"""),"TosDis")</f>
        <v>TosDis</v>
      </c>
    </row>
    <row r="11741">
      <c r="A11741" s="3" t="str">
        <f>IFERROR(__xludf.DUMMYFUNCTION("""COMPUTED_VALUE"""),"toshinori-inu")</f>
        <v>toshinori-inu</v>
      </c>
      <c r="B11741" s="3" t="str">
        <f>IFERROR(__xludf.DUMMYFUNCTION("""COMPUTED_VALUE"""),"toshinori")</f>
        <v>toshinori</v>
      </c>
      <c r="C11741" s="3" t="str">
        <f>IFERROR(__xludf.DUMMYFUNCTION("""COMPUTED_VALUE"""),"Toshinori Inu")</f>
        <v>Toshinori Inu</v>
      </c>
    </row>
    <row r="11742">
      <c r="A11742" s="3" t="str">
        <f>IFERROR(__xludf.DUMMYFUNCTION("""COMPUTED_VALUE"""),"toshi-token")</f>
        <v>toshi-token</v>
      </c>
      <c r="B11742" s="3" t="str">
        <f>IFERROR(__xludf.DUMMYFUNCTION("""COMPUTED_VALUE"""),"toshi")</f>
        <v>toshi</v>
      </c>
      <c r="C11742" s="3" t="str">
        <f>IFERROR(__xludf.DUMMYFUNCTION("""COMPUTED_VALUE"""),"Toshimon")</f>
        <v>Toshimon</v>
      </c>
    </row>
    <row r="11743">
      <c r="A11743" s="3" t="str">
        <f>IFERROR(__xludf.DUMMYFUNCTION("""COMPUTED_VALUE"""),"tosidrop")</f>
        <v>tosidrop</v>
      </c>
      <c r="B11743" s="3" t="str">
        <f>IFERROR(__xludf.DUMMYFUNCTION("""COMPUTED_VALUE"""),"ctosi")</f>
        <v>ctosi</v>
      </c>
      <c r="C11743" s="3" t="str">
        <f>IFERROR(__xludf.DUMMYFUNCTION("""COMPUTED_VALUE"""),"TosiDrop")</f>
        <v>TosiDrop</v>
      </c>
    </row>
    <row r="11744">
      <c r="A11744" s="3" t="str">
        <f>IFERROR(__xludf.DUMMYFUNCTION("""COMPUTED_VALUE"""),"total-crypto-market-cap-token")</f>
        <v>total-crypto-market-cap-token</v>
      </c>
      <c r="B11744" s="3" t="str">
        <f>IFERROR(__xludf.DUMMYFUNCTION("""COMPUTED_VALUE"""),"tcap")</f>
        <v>tcap</v>
      </c>
      <c r="C11744" s="3" t="str">
        <f>IFERROR(__xludf.DUMMYFUNCTION("""COMPUTED_VALUE"""),"Total Crypto Market Cap")</f>
        <v>Total Crypto Market Cap</v>
      </c>
    </row>
    <row r="11745">
      <c r="A11745" s="3" t="str">
        <f>IFERROR(__xludf.DUMMYFUNCTION("""COMPUTED_VALUE"""),"totally-a-rug-pull")</f>
        <v>totally-a-rug-pull</v>
      </c>
      <c r="B11745" s="3" t="str">
        <f>IFERROR(__xludf.DUMMYFUNCTION("""COMPUTED_VALUE"""),"tarp")</f>
        <v>tarp</v>
      </c>
      <c r="C11745" s="3" t="str">
        <f>IFERROR(__xludf.DUMMYFUNCTION("""COMPUTED_VALUE"""),"Totally A Rug Pull")</f>
        <v>Totally A Rug Pull</v>
      </c>
    </row>
    <row r="11746">
      <c r="A11746" s="3" t="str">
        <f>IFERROR(__xludf.DUMMYFUNCTION("""COMPUTED_VALUE"""),"totem-earth-systems")</f>
        <v>totem-earth-systems</v>
      </c>
      <c r="B11746" s="3" t="str">
        <f>IFERROR(__xludf.DUMMYFUNCTION("""COMPUTED_VALUE"""),"ctzn")</f>
        <v>ctzn</v>
      </c>
      <c r="C11746" s="3" t="str">
        <f>IFERROR(__xludf.DUMMYFUNCTION("""COMPUTED_VALUE"""),"Totem")</f>
        <v>Totem</v>
      </c>
    </row>
    <row r="11747">
      <c r="A11747" s="3" t="str">
        <f>IFERROR(__xludf.DUMMYFUNCTION("""COMPUTED_VALUE"""),"totemfi")</f>
        <v>totemfi</v>
      </c>
      <c r="B11747" s="3" t="str">
        <f>IFERROR(__xludf.DUMMYFUNCTION("""COMPUTED_VALUE"""),"totm")</f>
        <v>totm</v>
      </c>
      <c r="C11747" s="3" t="str">
        <f>IFERROR(__xludf.DUMMYFUNCTION("""COMPUTED_VALUE"""),"TotemFi")</f>
        <v>TotemFi</v>
      </c>
    </row>
    <row r="11748">
      <c r="A11748" s="3" t="str">
        <f>IFERROR(__xludf.DUMMYFUNCTION("""COMPUTED_VALUE"""),"totem-finance")</f>
        <v>totem-finance</v>
      </c>
      <c r="B11748" s="3" t="str">
        <f>IFERROR(__xludf.DUMMYFUNCTION("""COMPUTED_VALUE"""),"totem")</f>
        <v>totem</v>
      </c>
      <c r="C11748" s="3" t="str">
        <f>IFERROR(__xludf.DUMMYFUNCTION("""COMPUTED_VALUE"""),"Totem Finance")</f>
        <v>Totem Finance</v>
      </c>
    </row>
    <row r="11749">
      <c r="A11749" s="3" t="str">
        <f>IFERROR(__xludf.DUMMYFUNCTION("""COMPUTED_VALUE"""),"to-the-moon-token")</f>
        <v>to-the-moon-token</v>
      </c>
      <c r="B11749" s="3" t="str">
        <f>IFERROR(__xludf.DUMMYFUNCTION("""COMPUTED_VALUE"""),"ton")</f>
        <v>ton</v>
      </c>
      <c r="C11749" s="3" t="str">
        <f>IFERROR(__xludf.DUMMYFUNCTION("""COMPUTED_VALUE"""),"To The Moon Token")</f>
        <v>To The Moon Token</v>
      </c>
    </row>
    <row r="11750">
      <c r="A11750" s="3" t="str">
        <f>IFERROR(__xludf.DUMMYFUNCTION("""COMPUTED_VALUE"""),"totoro-inu")</f>
        <v>totoro-inu</v>
      </c>
      <c r="B11750" s="3" t="str">
        <f>IFERROR(__xludf.DUMMYFUNCTION("""COMPUTED_VALUE"""),"totoro")</f>
        <v>totoro</v>
      </c>
      <c r="C11750" s="3" t="str">
        <f>IFERROR(__xludf.DUMMYFUNCTION("""COMPUTED_VALUE"""),"Totoro Inu")</f>
        <v>Totoro Inu</v>
      </c>
    </row>
    <row r="11751">
      <c r="A11751" s="3" t="str">
        <f>IFERROR(__xludf.DUMMYFUNCTION("""COMPUTED_VALUE"""),"toucan-protocol-base-carbon-tonne")</f>
        <v>toucan-protocol-base-carbon-tonne</v>
      </c>
      <c r="B11751" s="3" t="str">
        <f>IFERROR(__xludf.DUMMYFUNCTION("""COMPUTED_VALUE"""),"bct")</f>
        <v>bct</v>
      </c>
      <c r="C11751" s="3" t="str">
        <f>IFERROR(__xludf.DUMMYFUNCTION("""COMPUTED_VALUE"""),"Toucan Protocol: Base Carbon Tonne")</f>
        <v>Toucan Protocol: Base Carbon Tonne</v>
      </c>
    </row>
    <row r="11752">
      <c r="A11752" s="3" t="str">
        <f>IFERROR(__xludf.DUMMYFUNCTION("""COMPUTED_VALUE"""),"toucan-protocol-nature-carbon-tonne")</f>
        <v>toucan-protocol-nature-carbon-tonne</v>
      </c>
      <c r="B11752" s="3" t="str">
        <f>IFERROR(__xludf.DUMMYFUNCTION("""COMPUTED_VALUE"""),"nct")</f>
        <v>nct</v>
      </c>
      <c r="C11752" s="3" t="str">
        <f>IFERROR(__xludf.DUMMYFUNCTION("""COMPUTED_VALUE"""),"Toucan Protocol: Nature Carbon Tonne")</f>
        <v>Toucan Protocol: Nature Carbon Tonne</v>
      </c>
    </row>
    <row r="11753">
      <c r="A11753" s="3" t="str">
        <f>IFERROR(__xludf.DUMMYFUNCTION("""COMPUTED_VALUE"""),"touchcon")</f>
        <v>touchcon</v>
      </c>
      <c r="B11753" s="3" t="str">
        <f>IFERROR(__xludf.DUMMYFUNCTION("""COMPUTED_VALUE"""),"toc")</f>
        <v>toc</v>
      </c>
      <c r="C11753" s="3" t="str">
        <f>IFERROR(__xludf.DUMMYFUNCTION("""COMPUTED_VALUE"""),"TouchCon")</f>
        <v>TouchCon</v>
      </c>
    </row>
    <row r="11754">
      <c r="A11754" s="3" t="str">
        <f>IFERROR(__xludf.DUMMYFUNCTION("""COMPUTED_VALUE"""),"tourismx")</f>
        <v>tourismx</v>
      </c>
      <c r="B11754" s="3" t="str">
        <f>IFERROR(__xludf.DUMMYFUNCTION("""COMPUTED_VALUE"""),"trmx")</f>
        <v>trmx</v>
      </c>
      <c r="C11754" s="3" t="str">
        <f>IFERROR(__xludf.DUMMYFUNCTION("""COMPUTED_VALUE"""),"TourismX")</f>
        <v>TourismX</v>
      </c>
    </row>
    <row r="11755">
      <c r="A11755" s="3" t="str">
        <f>IFERROR(__xludf.DUMMYFUNCTION("""COMPUTED_VALUE"""),"tourist-shiba-inu")</f>
        <v>tourist-shiba-inu</v>
      </c>
      <c r="B11755" s="3" t="str">
        <f>IFERROR(__xludf.DUMMYFUNCTION("""COMPUTED_VALUE"""),"tourists")</f>
        <v>tourists</v>
      </c>
      <c r="C11755" s="3" t="str">
        <f>IFERROR(__xludf.DUMMYFUNCTION("""COMPUTED_VALUE"""),"Tourist Shiba Inu")</f>
        <v>Tourist Shiba Inu</v>
      </c>
    </row>
    <row r="11756">
      <c r="A11756" s="3" t="str">
        <f>IFERROR(__xludf.DUMMYFUNCTION("""COMPUTED_VALUE"""),"tourist-token")</f>
        <v>tourist-token</v>
      </c>
      <c r="B11756" s="3" t="str">
        <f>IFERROR(__xludf.DUMMYFUNCTION("""COMPUTED_VALUE"""),"toto")</f>
        <v>toto</v>
      </c>
      <c r="C11756" s="3" t="str">
        <f>IFERROR(__xludf.DUMMYFUNCTION("""COMPUTED_VALUE"""),"Tourist")</f>
        <v>Tourist</v>
      </c>
    </row>
    <row r="11757">
      <c r="A11757" s="3" t="str">
        <f>IFERROR(__xludf.DUMMYFUNCTION("""COMPUTED_VALUE"""),"tower")</f>
        <v>tower</v>
      </c>
      <c r="B11757" s="3" t="str">
        <f>IFERROR(__xludf.DUMMYFUNCTION("""COMPUTED_VALUE"""),"tower")</f>
        <v>tower</v>
      </c>
      <c r="C11757" s="3" t="str">
        <f>IFERROR(__xludf.DUMMYFUNCTION("""COMPUTED_VALUE"""),"Tower")</f>
        <v>Tower</v>
      </c>
    </row>
    <row r="11758">
      <c r="A11758" s="3" t="str">
        <f>IFERROR(__xludf.DUMMYFUNCTION("""COMPUTED_VALUE"""),"tower-defense-titans")</f>
        <v>tower-defense-titans</v>
      </c>
      <c r="B11758" s="3" t="str">
        <f>IFERROR(__xludf.DUMMYFUNCTION("""COMPUTED_VALUE"""),"titans")</f>
        <v>titans</v>
      </c>
      <c r="C11758" s="3" t="str">
        <f>IFERROR(__xludf.DUMMYFUNCTION("""COMPUTED_VALUE"""),"Tower Defense Titans")</f>
        <v>Tower Defense Titans</v>
      </c>
    </row>
    <row r="11759">
      <c r="A11759" s="3" t="str">
        <f>IFERROR(__xludf.DUMMYFUNCTION("""COMPUTED_VALUE"""),"town-star")</f>
        <v>town-star</v>
      </c>
      <c r="B11759" s="3" t="str">
        <f>IFERROR(__xludf.DUMMYFUNCTION("""COMPUTED_VALUE"""),"town")</f>
        <v>town</v>
      </c>
      <c r="C11759" s="3" t="str">
        <f>IFERROR(__xludf.DUMMYFUNCTION("""COMPUTED_VALUE"""),"Town Star")</f>
        <v>Town Star</v>
      </c>
    </row>
    <row r="11760">
      <c r="A11760" s="3" t="str">
        <f>IFERROR(__xludf.DUMMYFUNCTION("""COMPUTED_VALUE"""),"toxicdeer-finance")</f>
        <v>toxicdeer-finance</v>
      </c>
      <c r="B11760" s="3" t="str">
        <f>IFERROR(__xludf.DUMMYFUNCTION("""COMPUTED_VALUE"""),"deer")</f>
        <v>deer</v>
      </c>
      <c r="C11760" s="3" t="str">
        <f>IFERROR(__xludf.DUMMYFUNCTION("""COMPUTED_VALUE"""),"ToxicDeer Finance")</f>
        <v>ToxicDeer Finance</v>
      </c>
    </row>
    <row r="11761">
      <c r="A11761" s="3" t="str">
        <f>IFERROR(__xludf.DUMMYFUNCTION("""COMPUTED_VALUE"""),"toxicdeer-share")</f>
        <v>toxicdeer-share</v>
      </c>
      <c r="B11761" s="3" t="str">
        <f>IFERROR(__xludf.DUMMYFUNCTION("""COMPUTED_VALUE"""),"xdshare")</f>
        <v>xdshare</v>
      </c>
      <c r="C11761" s="3" t="str">
        <f>IFERROR(__xludf.DUMMYFUNCTION("""COMPUTED_VALUE"""),"ToxicDeer Share")</f>
        <v>ToxicDeer Share</v>
      </c>
    </row>
    <row r="11762">
      <c r="A11762" s="3" t="str">
        <f>IFERROR(__xludf.DUMMYFUNCTION("""COMPUTED_VALUE"""),"toxicgamenft")</f>
        <v>toxicgamenft</v>
      </c>
      <c r="B11762" s="3" t="str">
        <f>IFERROR(__xludf.DUMMYFUNCTION("""COMPUTED_VALUE"""),"txc")</f>
        <v>txc</v>
      </c>
      <c r="C11762" s="3" t="str">
        <f>IFERROR(__xludf.DUMMYFUNCTION("""COMPUTED_VALUE"""),"ToxicGameNft")</f>
        <v>ToxicGameNft</v>
      </c>
    </row>
    <row r="11763">
      <c r="A11763" s="3" t="str">
        <f>IFERROR(__xludf.DUMMYFUNCTION("""COMPUTED_VALUE"""),"tozex")</f>
        <v>tozex</v>
      </c>
      <c r="B11763" s="3" t="str">
        <f>IFERROR(__xludf.DUMMYFUNCTION("""COMPUTED_VALUE"""),"toz")</f>
        <v>toz</v>
      </c>
      <c r="C11763" s="3" t="str">
        <f>IFERROR(__xludf.DUMMYFUNCTION("""COMPUTED_VALUE"""),"Tozex")</f>
        <v>Tozex</v>
      </c>
    </row>
    <row r="11764">
      <c r="A11764" s="3" t="str">
        <f>IFERROR(__xludf.DUMMYFUNCTION("""COMPUTED_VALUE"""),"tplatinum")</f>
        <v>tplatinum</v>
      </c>
      <c r="B11764" s="3" t="str">
        <f>IFERROR(__xludf.DUMMYFUNCTION("""COMPUTED_VALUE"""),"txpt")</f>
        <v>txpt</v>
      </c>
      <c r="C11764" s="3" t="str">
        <f>IFERROR(__xludf.DUMMYFUNCTION("""COMPUTED_VALUE"""),"tPLATINUM")</f>
        <v>tPLATINUM</v>
      </c>
    </row>
    <row r="11765">
      <c r="A11765" s="3" t="str">
        <f>IFERROR(__xludf.DUMMYFUNCTION("""COMPUTED_VALUE"""),"tpro")</f>
        <v>tpro</v>
      </c>
      <c r="B11765" s="3" t="str">
        <f>IFERROR(__xludf.DUMMYFUNCTION("""COMPUTED_VALUE"""),"tpro")</f>
        <v>tpro</v>
      </c>
      <c r="C11765" s="3" t="str">
        <f>IFERROR(__xludf.DUMMYFUNCTION("""COMPUTED_VALUE"""),"TPRO")</f>
        <v>TPRO</v>
      </c>
    </row>
    <row r="11766">
      <c r="A11766" s="3" t="str">
        <f>IFERROR(__xludf.DUMMYFUNCTION("""COMPUTED_VALUE"""),"tp-swap")</f>
        <v>tp-swap</v>
      </c>
      <c r="B11766" s="3" t="str">
        <f>IFERROR(__xludf.DUMMYFUNCTION("""COMPUTED_VALUE"""),"tp")</f>
        <v>tp</v>
      </c>
      <c r="C11766" s="3" t="str">
        <f>IFERROR(__xludf.DUMMYFUNCTION("""COMPUTED_VALUE"""),"Token Swap")</f>
        <v>Token Swap</v>
      </c>
    </row>
    <row r="11767">
      <c r="A11767" s="3" t="str">
        <f>IFERROR(__xludf.DUMMYFUNCTION("""COMPUTED_VALUE"""),"tr3zor")</f>
        <v>tr3zor</v>
      </c>
      <c r="B11767" s="3" t="str">
        <f>IFERROR(__xludf.DUMMYFUNCTION("""COMPUTED_VALUE"""),"tr3")</f>
        <v>tr3</v>
      </c>
      <c r="C11767" s="3" t="str">
        <f>IFERROR(__xludf.DUMMYFUNCTION("""COMPUTED_VALUE"""),"Tr3zor")</f>
        <v>Tr3zor</v>
      </c>
    </row>
    <row r="11768">
      <c r="A11768" s="3" t="str">
        <f>IFERROR(__xludf.DUMMYFUNCTION("""COMPUTED_VALUE"""),"trabzonspor-fan-token")</f>
        <v>trabzonspor-fan-token</v>
      </c>
      <c r="B11768" s="3" t="str">
        <f>IFERROR(__xludf.DUMMYFUNCTION("""COMPUTED_VALUE"""),"tra")</f>
        <v>tra</v>
      </c>
      <c r="C11768" s="3" t="str">
        <f>IFERROR(__xludf.DUMMYFUNCTION("""COMPUTED_VALUE"""),"Trabzonspor Fan Token")</f>
        <v>Trabzonspor Fan Token</v>
      </c>
    </row>
    <row r="11769">
      <c r="A11769" s="3" t="str">
        <f>IFERROR(__xludf.DUMMYFUNCTION("""COMPUTED_VALUE"""),"trace-network-labs")</f>
        <v>trace-network-labs</v>
      </c>
      <c r="B11769" s="3" t="str">
        <f>IFERROR(__xludf.DUMMYFUNCTION("""COMPUTED_VALUE"""),"trace")</f>
        <v>trace</v>
      </c>
      <c r="C11769" s="3" t="str">
        <f>IFERROR(__xludf.DUMMYFUNCTION("""COMPUTED_VALUE"""),"Trace Network Labs")</f>
        <v>Trace Network Labs</v>
      </c>
    </row>
    <row r="11770">
      <c r="A11770" s="3" t="str">
        <f>IFERROR(__xludf.DUMMYFUNCTION("""COMPUTED_VALUE"""),"tracer-dao")</f>
        <v>tracer-dao</v>
      </c>
      <c r="B11770" s="3" t="str">
        <f>IFERROR(__xludf.DUMMYFUNCTION("""COMPUTED_VALUE"""),"tcr")</f>
        <v>tcr</v>
      </c>
      <c r="C11770" s="3" t="str">
        <f>IFERROR(__xludf.DUMMYFUNCTION("""COMPUTED_VALUE"""),"Tracer DAO")</f>
        <v>Tracer DAO</v>
      </c>
    </row>
    <row r="11771">
      <c r="A11771" s="3" t="str">
        <f>IFERROR(__xludf.DUMMYFUNCTION("""COMPUTED_VALUE"""),"tractor-joe")</f>
        <v>tractor-joe</v>
      </c>
      <c r="B11771" s="3" t="str">
        <f>IFERROR(__xludf.DUMMYFUNCTION("""COMPUTED_VALUE"""),"tractor")</f>
        <v>tractor</v>
      </c>
      <c r="C11771" s="3" t="str">
        <f>IFERROR(__xludf.DUMMYFUNCTION("""COMPUTED_VALUE"""),"Tractor Joe")</f>
        <v>Tractor Joe</v>
      </c>
    </row>
    <row r="11772">
      <c r="A11772" s="3" t="str">
        <f>IFERROR(__xludf.DUMMYFUNCTION("""COMPUTED_VALUE"""),"tradao")</f>
        <v>tradao</v>
      </c>
      <c r="B11772" s="3" t="str">
        <f>IFERROR(__xludf.DUMMYFUNCTION("""COMPUTED_VALUE"""),"tod")</f>
        <v>tod</v>
      </c>
      <c r="C11772" s="3" t="str">
        <f>IFERROR(__xludf.DUMMYFUNCTION("""COMPUTED_VALUE"""),"TraDAO")</f>
        <v>TraDAO</v>
      </c>
    </row>
    <row r="11773">
      <c r="A11773" s="3" t="str">
        <f>IFERROR(__xludf.DUMMYFUNCTION("""COMPUTED_VALUE"""),"tradcoin")</f>
        <v>tradcoin</v>
      </c>
      <c r="B11773" s="3" t="str">
        <f>IFERROR(__xludf.DUMMYFUNCTION("""COMPUTED_VALUE"""),"trad")</f>
        <v>trad</v>
      </c>
      <c r="C11773" s="3" t="str">
        <f>IFERROR(__xludf.DUMMYFUNCTION("""COMPUTED_VALUE"""),"Tradcoin")</f>
        <v>Tradcoin</v>
      </c>
    </row>
    <row r="11774">
      <c r="A11774" s="3" t="str">
        <f>IFERROR(__xludf.DUMMYFUNCTION("""COMPUTED_VALUE"""),"trade-fighter")</f>
        <v>trade-fighter</v>
      </c>
      <c r="B11774" s="3" t="str">
        <f>IFERROR(__xludf.DUMMYFUNCTION("""COMPUTED_VALUE"""),"tdf")</f>
        <v>tdf</v>
      </c>
      <c r="C11774" s="3" t="str">
        <f>IFERROR(__xludf.DUMMYFUNCTION("""COMPUTED_VALUE"""),"Trade Fighter")</f>
        <v>Trade Fighter</v>
      </c>
    </row>
    <row r="11775">
      <c r="A11775" s="3" t="str">
        <f>IFERROR(__xludf.DUMMYFUNCTION("""COMPUTED_VALUE"""),"tradeflow")</f>
        <v>tradeflow</v>
      </c>
      <c r="B11775" s="3" t="str">
        <f>IFERROR(__xludf.DUMMYFUNCTION("""COMPUTED_VALUE"""),"tflow")</f>
        <v>tflow</v>
      </c>
      <c r="C11775" s="3" t="str">
        <f>IFERROR(__xludf.DUMMYFUNCTION("""COMPUTED_VALUE"""),"TradeFlow")</f>
        <v>TradeFlow</v>
      </c>
    </row>
    <row r="11776">
      <c r="A11776" s="3" t="str">
        <f>IFERROR(__xludf.DUMMYFUNCTION("""COMPUTED_VALUE"""),"traders-coin")</f>
        <v>traders-coin</v>
      </c>
      <c r="B11776" s="3" t="str">
        <f>IFERROR(__xludf.DUMMYFUNCTION("""COMPUTED_VALUE"""),"trdc")</f>
        <v>trdc</v>
      </c>
      <c r="C11776" s="3" t="str">
        <f>IFERROR(__xludf.DUMMYFUNCTION("""COMPUTED_VALUE"""),"Traders Coin")</f>
        <v>Traders Coin</v>
      </c>
    </row>
    <row r="11777">
      <c r="A11777" s="3" t="str">
        <f>IFERROR(__xludf.DUMMYFUNCTION("""COMPUTED_VALUE"""),"traders-global-business")</f>
        <v>traders-global-business</v>
      </c>
      <c r="B11777" s="3" t="str">
        <f>IFERROR(__xludf.DUMMYFUNCTION("""COMPUTED_VALUE"""),"tgb")</f>
        <v>tgb</v>
      </c>
      <c r="C11777" s="3" t="str">
        <f>IFERROR(__xludf.DUMMYFUNCTION("""COMPUTED_VALUE"""),"Traders Global Business")</f>
        <v>Traders Global Business</v>
      </c>
    </row>
    <row r="11778">
      <c r="A11778" s="3" t="str">
        <f>IFERROR(__xludf.DUMMYFUNCTION("""COMPUTED_VALUE"""),"tradestars")</f>
        <v>tradestars</v>
      </c>
      <c r="B11778" s="3" t="str">
        <f>IFERROR(__xludf.DUMMYFUNCTION("""COMPUTED_VALUE"""),"tsx")</f>
        <v>tsx</v>
      </c>
      <c r="C11778" s="3" t="str">
        <f>IFERROR(__xludf.DUMMYFUNCTION("""COMPUTED_VALUE"""),"TradeStars")</f>
        <v>TradeStars</v>
      </c>
    </row>
    <row r="11779">
      <c r="A11779" s="3" t="str">
        <f>IFERROR(__xludf.DUMMYFUNCTION("""COMPUTED_VALUE"""),"trade-win")</f>
        <v>trade-win</v>
      </c>
      <c r="B11779" s="3" t="str">
        <f>IFERROR(__xludf.DUMMYFUNCTION("""COMPUTED_VALUE"""),"twi")</f>
        <v>twi</v>
      </c>
      <c r="C11779" s="3" t="str">
        <f>IFERROR(__xludf.DUMMYFUNCTION("""COMPUTED_VALUE"""),"Trade.win")</f>
        <v>Trade.win</v>
      </c>
    </row>
    <row r="11780">
      <c r="A11780" s="3" t="str">
        <f>IFERROR(__xludf.DUMMYFUNCTION("""COMPUTED_VALUE"""),"tranche-finance")</f>
        <v>tranche-finance</v>
      </c>
      <c r="B11780" s="3" t="str">
        <f>IFERROR(__xludf.DUMMYFUNCTION("""COMPUTED_VALUE"""),"slice")</f>
        <v>slice</v>
      </c>
      <c r="C11780" s="3" t="str">
        <f>IFERROR(__xludf.DUMMYFUNCTION("""COMPUTED_VALUE"""),"Tranche Finance")</f>
        <v>Tranche Finance</v>
      </c>
    </row>
    <row r="11781">
      <c r="A11781" s="3" t="str">
        <f>IFERROR(__xludf.DUMMYFUNCTION("""COMPUTED_VALUE"""),"tranchess")</f>
        <v>tranchess</v>
      </c>
      <c r="B11781" s="3" t="str">
        <f>IFERROR(__xludf.DUMMYFUNCTION("""COMPUTED_VALUE"""),"chess")</f>
        <v>chess</v>
      </c>
      <c r="C11781" s="3" t="str">
        <f>IFERROR(__xludf.DUMMYFUNCTION("""COMPUTED_VALUE"""),"Tranchess")</f>
        <v>Tranchess</v>
      </c>
    </row>
    <row r="11782">
      <c r="A11782" s="3" t="str">
        <f>IFERROR(__xludf.DUMMYFUNCTION("""COMPUTED_VALUE"""),"tranquil-finance")</f>
        <v>tranquil-finance</v>
      </c>
      <c r="B11782" s="3" t="str">
        <f>IFERROR(__xludf.DUMMYFUNCTION("""COMPUTED_VALUE"""),"tranq")</f>
        <v>tranq</v>
      </c>
      <c r="C11782" s="3" t="str">
        <f>IFERROR(__xludf.DUMMYFUNCTION("""COMPUTED_VALUE"""),"Tranquil Finance")</f>
        <v>Tranquil Finance</v>
      </c>
    </row>
    <row r="11783">
      <c r="A11783" s="3" t="str">
        <f>IFERROR(__xludf.DUMMYFUNCTION("""COMPUTED_VALUE"""),"tranquility-city")</f>
        <v>tranquility-city</v>
      </c>
      <c r="B11783" s="3" t="str">
        <f>IFERROR(__xludf.DUMMYFUNCTION("""COMPUTED_VALUE"""),"lumen")</f>
        <v>lumen</v>
      </c>
      <c r="C11783" s="3" t="str">
        <f>IFERROR(__xludf.DUMMYFUNCTION("""COMPUTED_VALUE"""),"Tranquility City")</f>
        <v>Tranquility City</v>
      </c>
    </row>
    <row r="11784">
      <c r="A11784" s="3" t="str">
        <f>IFERROR(__xludf.DUMMYFUNCTION("""COMPUTED_VALUE"""),"tranquil-staked-one")</f>
        <v>tranquil-staked-one</v>
      </c>
      <c r="B11784" s="3" t="str">
        <f>IFERROR(__xludf.DUMMYFUNCTION("""COMPUTED_VALUE"""),"stone")</f>
        <v>stone</v>
      </c>
      <c r="C11784" s="3" t="str">
        <f>IFERROR(__xludf.DUMMYFUNCTION("""COMPUTED_VALUE"""),"Tranquil Staked ONE")</f>
        <v>Tranquil Staked ONE</v>
      </c>
    </row>
    <row r="11785">
      <c r="A11785" s="3" t="str">
        <f>IFERROR(__xludf.DUMMYFUNCTION("""COMPUTED_VALUE"""),"transcodium")</f>
        <v>transcodium</v>
      </c>
      <c r="B11785" s="3" t="str">
        <f>IFERROR(__xludf.DUMMYFUNCTION("""COMPUTED_VALUE"""),"tns")</f>
        <v>tns</v>
      </c>
      <c r="C11785" s="3" t="str">
        <f>IFERROR(__xludf.DUMMYFUNCTION("""COMPUTED_VALUE"""),"Transcodium")</f>
        <v>Transcodium</v>
      </c>
    </row>
    <row r="11786">
      <c r="A11786" s="3" t="str">
        <f>IFERROR(__xludf.DUMMYFUNCTION("""COMPUTED_VALUE"""),"transhuman-coin")</f>
        <v>transhuman-coin</v>
      </c>
      <c r="B11786" s="3" t="str">
        <f>IFERROR(__xludf.DUMMYFUNCTION("""COMPUTED_VALUE"""),"thc")</f>
        <v>thc</v>
      </c>
      <c r="C11786" s="3" t="str">
        <f>IFERROR(__xludf.DUMMYFUNCTION("""COMPUTED_VALUE"""),"Transhuman Coin")</f>
        <v>Transhuman Coin</v>
      </c>
    </row>
    <row r="11787">
      <c r="A11787" s="3" t="str">
        <f>IFERROR(__xludf.DUMMYFUNCTION("""COMPUTED_VALUE"""),"transient")</f>
        <v>transient</v>
      </c>
      <c r="B11787" s="3" t="str">
        <f>IFERROR(__xludf.DUMMYFUNCTION("""COMPUTED_VALUE"""),"tsct")</f>
        <v>tsct</v>
      </c>
      <c r="C11787" s="3" t="str">
        <f>IFERROR(__xludf.DUMMYFUNCTION("""COMPUTED_VALUE"""),"Transient")</f>
        <v>Transient</v>
      </c>
    </row>
    <row r="11788">
      <c r="A11788" s="3" t="str">
        <f>IFERROR(__xludf.DUMMYFUNCTION("""COMPUTED_VALUE"""),"tratok")</f>
        <v>tratok</v>
      </c>
      <c r="B11788" s="3" t="str">
        <f>IFERROR(__xludf.DUMMYFUNCTION("""COMPUTED_VALUE"""),"trat")</f>
        <v>trat</v>
      </c>
      <c r="C11788" s="3" t="str">
        <f>IFERROR(__xludf.DUMMYFUNCTION("""COMPUTED_VALUE"""),"Tratok")</f>
        <v>Tratok</v>
      </c>
    </row>
    <row r="11789">
      <c r="A11789" s="3" t="str">
        <f>IFERROR(__xludf.DUMMYFUNCTION("""COMPUTED_VALUE"""),"trava-finance")</f>
        <v>trava-finance</v>
      </c>
      <c r="B11789" s="3" t="str">
        <f>IFERROR(__xludf.DUMMYFUNCTION("""COMPUTED_VALUE"""),"trava")</f>
        <v>trava</v>
      </c>
      <c r="C11789" s="3" t="str">
        <f>IFERROR(__xludf.DUMMYFUNCTION("""COMPUTED_VALUE"""),"Trava Finance")</f>
        <v>Trava Finance</v>
      </c>
    </row>
    <row r="11790">
      <c r="A11790" s="3" t="str">
        <f>IFERROR(__xludf.DUMMYFUNCTION("""COMPUTED_VALUE"""),"travel-care-2")</f>
        <v>travel-care-2</v>
      </c>
      <c r="B11790" s="3" t="str">
        <f>IFERROR(__xludf.DUMMYFUNCTION("""COMPUTED_VALUE"""),"travel")</f>
        <v>travel</v>
      </c>
      <c r="C11790" s="3" t="str">
        <f>IFERROR(__xludf.DUMMYFUNCTION("""COMPUTED_VALUE"""),"Travel Care")</f>
        <v>Travel Care</v>
      </c>
    </row>
    <row r="11791">
      <c r="A11791" s="3" t="str">
        <f>IFERROR(__xludf.DUMMYFUNCTION("""COMPUTED_VALUE"""),"travel-coin")</f>
        <v>travel-coin</v>
      </c>
      <c r="B11791" s="3" t="str">
        <f>IFERROR(__xludf.DUMMYFUNCTION("""COMPUTED_VALUE"""),"tcoin")</f>
        <v>tcoin</v>
      </c>
      <c r="C11791" s="3" t="str">
        <f>IFERROR(__xludf.DUMMYFUNCTION("""COMPUTED_VALUE"""),"Travel Coin")</f>
        <v>Travel Coin</v>
      </c>
    </row>
    <row r="11792">
      <c r="A11792" s="3" t="str">
        <f>IFERROR(__xludf.DUMMYFUNCTION("""COMPUTED_VALUE"""),"travelnote")</f>
        <v>travelnote</v>
      </c>
      <c r="B11792" s="3" t="str">
        <f>IFERROR(__xludf.DUMMYFUNCTION("""COMPUTED_VALUE"""),"tvnt")</f>
        <v>tvnt</v>
      </c>
      <c r="C11792" s="3" t="str">
        <f>IFERROR(__xludf.DUMMYFUNCTION("""COMPUTED_VALUE"""),"TravelNote")</f>
        <v>TravelNote</v>
      </c>
    </row>
    <row r="11793">
      <c r="A11793" s="3" t="str">
        <f>IFERROR(__xludf.DUMMYFUNCTION("""COMPUTED_VALUE"""),"travgopv")</f>
        <v>travgopv</v>
      </c>
      <c r="B11793" s="3" t="str">
        <f>IFERROR(__xludf.DUMMYFUNCTION("""COMPUTED_VALUE"""),"tpv")</f>
        <v>tpv</v>
      </c>
      <c r="C11793" s="3" t="str">
        <f>IFERROR(__xludf.DUMMYFUNCTION("""COMPUTED_VALUE"""),"TravGoPV")</f>
        <v>TravGoPV</v>
      </c>
    </row>
    <row r="11794">
      <c r="A11794" s="3" t="str">
        <f>IFERROR(__xludf.DUMMYFUNCTION("""COMPUTED_VALUE"""),"traxia")</f>
        <v>traxia</v>
      </c>
      <c r="B11794" s="3" t="str">
        <f>IFERROR(__xludf.DUMMYFUNCTION("""COMPUTED_VALUE"""),"tmt")</f>
        <v>tmt</v>
      </c>
      <c r="C11794" s="3" t="str">
        <f>IFERROR(__xludf.DUMMYFUNCTION("""COMPUTED_VALUE"""),"Traxia")</f>
        <v>Traxia</v>
      </c>
    </row>
    <row r="11795">
      <c r="A11795" s="3" t="str">
        <f>IFERROR(__xludf.DUMMYFUNCTION("""COMPUTED_VALUE"""),"traxx")</f>
        <v>traxx</v>
      </c>
      <c r="B11795" s="3" t="str">
        <f>IFERROR(__xludf.DUMMYFUNCTION("""COMPUTED_VALUE"""),"traxx")</f>
        <v>traxx</v>
      </c>
      <c r="C11795" s="3" t="str">
        <f>IFERROR(__xludf.DUMMYFUNCTION("""COMPUTED_VALUE"""),"Traxx")</f>
        <v>Traxx</v>
      </c>
    </row>
    <row r="11796">
      <c r="A11796" s="3" t="str">
        <f>IFERROR(__xludf.DUMMYFUNCTION("""COMPUTED_VALUE"""),"trazable")</f>
        <v>trazable</v>
      </c>
      <c r="B11796" s="3" t="str">
        <f>IFERROR(__xludf.DUMMYFUNCTION("""COMPUTED_VALUE"""),"trz")</f>
        <v>trz</v>
      </c>
      <c r="C11796" s="3" t="str">
        <f>IFERROR(__xludf.DUMMYFUNCTION("""COMPUTED_VALUE"""),"Trazable")</f>
        <v>Trazable</v>
      </c>
    </row>
    <row r="11797">
      <c r="A11797" s="3" t="str">
        <f>IFERROR(__xludf.DUMMYFUNCTION("""COMPUTED_VALUE"""),"treasure-sl")</f>
        <v>treasure-sl</v>
      </c>
      <c r="B11797" s="3" t="str">
        <f>IFERROR(__xludf.DUMMYFUNCTION("""COMPUTED_VALUE"""),"tsl")</f>
        <v>tsl</v>
      </c>
      <c r="C11797" s="3" t="str">
        <f>IFERROR(__xludf.DUMMYFUNCTION("""COMPUTED_VALUE"""),"Treasure SL")</f>
        <v>Treasure SL</v>
      </c>
    </row>
    <row r="11798">
      <c r="A11798" s="3" t="str">
        <f>IFERROR(__xludf.DUMMYFUNCTION("""COMPUTED_VALUE"""),"treasure-token-finance")</f>
        <v>treasure-token-finance</v>
      </c>
      <c r="B11798" s="3" t="str">
        <f>IFERROR(__xludf.DUMMYFUNCTION("""COMPUTED_VALUE"""),"trove")</f>
        <v>trove</v>
      </c>
      <c r="C11798" s="3" t="str">
        <f>IFERROR(__xludf.DUMMYFUNCTION("""COMPUTED_VALUE"""),"TroveDAO")</f>
        <v>TroveDAO</v>
      </c>
    </row>
    <row r="11799">
      <c r="A11799" s="3" t="str">
        <f>IFERROR(__xludf.DUMMYFUNCTION("""COMPUTED_VALUE"""),"treasure-under-sea")</f>
        <v>treasure-under-sea</v>
      </c>
      <c r="B11799" s="3" t="str">
        <f>IFERROR(__xludf.DUMMYFUNCTION("""COMPUTED_VALUE"""),"tus")</f>
        <v>tus</v>
      </c>
      <c r="C11799" s="3" t="str">
        <f>IFERROR(__xludf.DUMMYFUNCTION("""COMPUTED_VALUE"""),"Treasure Under Sea")</f>
        <v>Treasure Under Sea</v>
      </c>
    </row>
    <row r="11800">
      <c r="A11800" s="3" t="str">
        <f>IFERROR(__xludf.DUMMYFUNCTION("""COMPUTED_VALUE"""),"treasury-bond-eth-tokenized-stock-defichain")</f>
        <v>treasury-bond-eth-tokenized-stock-defichain</v>
      </c>
      <c r="B11800" s="3" t="str">
        <f>IFERROR(__xludf.DUMMYFUNCTION("""COMPUTED_VALUE"""),"dtlt")</f>
        <v>dtlt</v>
      </c>
      <c r="C11800" s="3" t="str">
        <f>IFERROR(__xludf.DUMMYFUNCTION("""COMPUTED_VALUE"""),"iShares 20+ Year Treasury Bond ETF Defichain")</f>
        <v>iShares 20+ Year Treasury Bond ETF Defichain</v>
      </c>
    </row>
    <row r="11801">
      <c r="A11801" s="3" t="str">
        <f>IFERROR(__xludf.DUMMYFUNCTION("""COMPUTED_VALUE"""),"treat")</f>
        <v>treat</v>
      </c>
      <c r="B11801" s="3" t="str">
        <f>IFERROR(__xludf.DUMMYFUNCTION("""COMPUTED_VALUE"""),"treat")</f>
        <v>treat</v>
      </c>
      <c r="C11801" s="3" t="str">
        <f>IFERROR(__xludf.DUMMYFUNCTION("""COMPUTED_VALUE"""),"Treat")</f>
        <v>Treat</v>
      </c>
    </row>
    <row r="11802">
      <c r="A11802" s="3" t="str">
        <f>IFERROR(__xludf.DUMMYFUNCTION("""COMPUTED_VALUE"""),"treatdao")</f>
        <v>treatdao</v>
      </c>
      <c r="B11802" s="3" t="str">
        <f>IFERROR(__xludf.DUMMYFUNCTION("""COMPUTED_VALUE"""),"treat")</f>
        <v>treat</v>
      </c>
      <c r="C11802" s="3" t="str">
        <f>IFERROR(__xludf.DUMMYFUNCTION("""COMPUTED_VALUE"""),"TreatDAO [OLD]")</f>
        <v>TreatDAO [OLD]</v>
      </c>
    </row>
    <row r="11803">
      <c r="A11803" s="3" t="str">
        <f>IFERROR(__xludf.DUMMYFUNCTION("""COMPUTED_VALUE"""),"treatdao-v2")</f>
        <v>treatdao-v2</v>
      </c>
      <c r="B11803" s="3" t="str">
        <f>IFERROR(__xludf.DUMMYFUNCTION("""COMPUTED_VALUE"""),"treat")</f>
        <v>treat</v>
      </c>
      <c r="C11803" s="3" t="str">
        <f>IFERROR(__xludf.DUMMYFUNCTION("""COMPUTED_VALUE"""),"TreatDAO")</f>
        <v>TreatDAO</v>
      </c>
    </row>
    <row r="11804">
      <c r="A11804" s="3" t="str">
        <f>IFERROR(__xludf.DUMMYFUNCTION("""COMPUTED_VALUE"""),"treeb")</f>
        <v>treeb</v>
      </c>
      <c r="B11804" s="3" t="str">
        <f>IFERROR(__xludf.DUMMYFUNCTION("""COMPUTED_VALUE"""),"treeb")</f>
        <v>treeb</v>
      </c>
      <c r="C11804" s="3" t="str">
        <f>IFERROR(__xludf.DUMMYFUNCTION("""COMPUTED_VALUE"""),"Retreeb")</f>
        <v>Retreeb</v>
      </c>
    </row>
    <row r="11805">
      <c r="A11805" s="3" t="str">
        <f>IFERROR(__xludf.DUMMYFUNCTION("""COMPUTED_VALUE"""),"treecle")</f>
        <v>treecle</v>
      </c>
      <c r="B11805" s="3" t="str">
        <f>IFERROR(__xludf.DUMMYFUNCTION("""COMPUTED_VALUE"""),"trcl")</f>
        <v>trcl</v>
      </c>
      <c r="C11805" s="3" t="str">
        <f>IFERROR(__xludf.DUMMYFUNCTION("""COMPUTED_VALUE"""),"Treecle")</f>
        <v>Treecle</v>
      </c>
    </row>
    <row r="11806">
      <c r="A11806" s="3" t="str">
        <f>IFERROR(__xludf.DUMMYFUNCTION("""COMPUTED_VALUE"""),"tremendous-coin")</f>
        <v>tremendous-coin</v>
      </c>
      <c r="B11806" s="3" t="str">
        <f>IFERROR(__xludf.DUMMYFUNCTION("""COMPUTED_VALUE"""),"tmds")</f>
        <v>tmds</v>
      </c>
      <c r="C11806" s="3" t="str">
        <f>IFERROR(__xludf.DUMMYFUNCTION("""COMPUTED_VALUE"""),"Tremendous Coin")</f>
        <v>Tremendous Coin</v>
      </c>
    </row>
    <row r="11807">
      <c r="A11807" s="3" t="str">
        <f>IFERROR(__xludf.DUMMYFUNCTION("""COMPUTED_VALUE"""),"trendering")</f>
        <v>trendering</v>
      </c>
      <c r="B11807" s="3" t="str">
        <f>IFERROR(__xludf.DUMMYFUNCTION("""COMPUTED_VALUE"""),"trnd")</f>
        <v>trnd</v>
      </c>
      <c r="C11807" s="3" t="str">
        <f>IFERROR(__xludf.DUMMYFUNCTION("""COMPUTED_VALUE"""),"Trendering")</f>
        <v>Trendering</v>
      </c>
    </row>
    <row r="11808">
      <c r="A11808" s="3" t="str">
        <f>IFERROR(__xludf.DUMMYFUNCTION("""COMPUTED_VALUE"""),"trendsy")</f>
        <v>trendsy</v>
      </c>
      <c r="B11808" s="3" t="str">
        <f>IFERROR(__xludf.DUMMYFUNCTION("""COMPUTED_VALUE"""),"trndz")</f>
        <v>trndz</v>
      </c>
      <c r="C11808" s="3" t="str">
        <f>IFERROR(__xludf.DUMMYFUNCTION("""COMPUTED_VALUE"""),"Trendsy")</f>
        <v>Trendsy</v>
      </c>
    </row>
    <row r="11809">
      <c r="A11809" s="3" t="str">
        <f>IFERROR(__xludf.DUMMYFUNCTION("""COMPUTED_VALUE"""),"trezarcoin")</f>
        <v>trezarcoin</v>
      </c>
      <c r="B11809" s="3" t="str">
        <f>IFERROR(__xludf.DUMMYFUNCTION("""COMPUTED_VALUE"""),"tzc")</f>
        <v>tzc</v>
      </c>
      <c r="C11809" s="3" t="str">
        <f>IFERROR(__xludf.DUMMYFUNCTION("""COMPUTED_VALUE"""),"TrezarCoin")</f>
        <v>TrezarCoin</v>
      </c>
    </row>
    <row r="11810">
      <c r="A11810" s="3" t="str">
        <f>IFERROR(__xludf.DUMMYFUNCTION("""COMPUTED_VALUE"""),"triall")</f>
        <v>triall</v>
      </c>
      <c r="B11810" s="3" t="str">
        <f>IFERROR(__xludf.DUMMYFUNCTION("""COMPUTED_VALUE"""),"trl")</f>
        <v>trl</v>
      </c>
      <c r="C11810" s="3" t="str">
        <f>IFERROR(__xludf.DUMMYFUNCTION("""COMPUTED_VALUE"""),"Triall")</f>
        <v>Triall</v>
      </c>
    </row>
    <row r="11811">
      <c r="A11811" s="3" t="str">
        <f>IFERROR(__xludf.DUMMYFUNCTION("""COMPUTED_VALUE"""),"trias-token")</f>
        <v>trias-token</v>
      </c>
      <c r="B11811" s="3" t="str">
        <f>IFERROR(__xludf.DUMMYFUNCTION("""COMPUTED_VALUE"""),"trias")</f>
        <v>trias</v>
      </c>
      <c r="C11811" s="3" t="str">
        <f>IFERROR(__xludf.DUMMYFUNCTION("""COMPUTED_VALUE"""),"TriasLab")</f>
        <v>TriasLab</v>
      </c>
    </row>
    <row r="11812">
      <c r="A11812" s="3" t="str">
        <f>IFERROR(__xludf.DUMMYFUNCTION("""COMPUTED_VALUE"""),"tribalpunk-cryptoverse")</f>
        <v>tribalpunk-cryptoverse</v>
      </c>
      <c r="B11812" s="3" t="str">
        <f>IFERROR(__xludf.DUMMYFUNCTION("""COMPUTED_VALUE"""),"anta")</f>
        <v>anta</v>
      </c>
      <c r="C11812" s="3" t="str">
        <f>IFERROR(__xludf.DUMMYFUNCTION("""COMPUTED_VALUE"""),"Tribalpunk Cryptoverse")</f>
        <v>Tribalpunk Cryptoverse</v>
      </c>
    </row>
    <row r="11813">
      <c r="A11813" s="3" t="str">
        <f>IFERROR(__xludf.DUMMYFUNCTION("""COMPUTED_VALUE"""),"tribal-token")</f>
        <v>tribal-token</v>
      </c>
      <c r="B11813" s="3" t="str">
        <f>IFERROR(__xludf.DUMMYFUNCTION("""COMPUTED_VALUE"""),"tribl")</f>
        <v>tribl</v>
      </c>
      <c r="C11813" s="3" t="str">
        <f>IFERROR(__xludf.DUMMYFUNCTION("""COMPUTED_VALUE"""),"Tribal Token")</f>
        <v>Tribal Token</v>
      </c>
    </row>
    <row r="11814">
      <c r="A11814" s="3" t="str">
        <f>IFERROR(__xludf.DUMMYFUNCTION("""COMPUTED_VALUE"""),"tribar")</f>
        <v>tribar</v>
      </c>
      <c r="B11814" s="3" t="str">
        <f>IFERROR(__xludf.DUMMYFUNCTION("""COMPUTED_VALUE"""),"xtri")</f>
        <v>xtri</v>
      </c>
      <c r="C11814" s="3" t="str">
        <f>IFERROR(__xludf.DUMMYFUNCTION("""COMPUTED_VALUE"""),"Tribar")</f>
        <v>Tribar</v>
      </c>
    </row>
    <row r="11815">
      <c r="A11815" s="3" t="str">
        <f>IFERROR(__xludf.DUMMYFUNCTION("""COMPUTED_VALUE"""),"tribe-2")</f>
        <v>tribe-2</v>
      </c>
      <c r="B11815" s="3" t="str">
        <f>IFERROR(__xludf.DUMMYFUNCTION("""COMPUTED_VALUE"""),"tribe")</f>
        <v>tribe</v>
      </c>
      <c r="C11815" s="3" t="str">
        <f>IFERROR(__xludf.DUMMYFUNCTION("""COMPUTED_VALUE"""),"Tribe")</f>
        <v>Tribe</v>
      </c>
    </row>
    <row r="11816">
      <c r="A11816" s="3" t="str">
        <f>IFERROR(__xludf.DUMMYFUNCTION("""COMPUTED_VALUE"""),"tribeland")</f>
        <v>tribeland</v>
      </c>
      <c r="B11816" s="3" t="str">
        <f>IFERROR(__xludf.DUMMYFUNCTION("""COMPUTED_VALUE"""),"trbl")</f>
        <v>trbl</v>
      </c>
      <c r="C11816" s="3" t="str">
        <f>IFERROR(__xludf.DUMMYFUNCTION("""COMPUTED_VALUE"""),"Tribeland")</f>
        <v>Tribeland</v>
      </c>
    </row>
    <row r="11817">
      <c r="A11817" s="3" t="str">
        <f>IFERROR(__xludf.DUMMYFUNCTION("""COMPUTED_VALUE"""),"tribeone")</f>
        <v>tribeone</v>
      </c>
      <c r="B11817" s="3" t="str">
        <f>IFERROR(__xludf.DUMMYFUNCTION("""COMPUTED_VALUE"""),"haka")</f>
        <v>haka</v>
      </c>
      <c r="C11817" s="3" t="str">
        <f>IFERROR(__xludf.DUMMYFUNCTION("""COMPUTED_VALUE"""),"TribeOne")</f>
        <v>TribeOne</v>
      </c>
    </row>
    <row r="11818">
      <c r="A11818" s="3" t="str">
        <f>IFERROR(__xludf.DUMMYFUNCTION("""COMPUTED_VALUE"""),"tribe-token")</f>
        <v>tribe-token</v>
      </c>
      <c r="B11818" s="3" t="str">
        <f>IFERROR(__xludf.DUMMYFUNCTION("""COMPUTED_VALUE"""),"tribex")</f>
        <v>tribex</v>
      </c>
      <c r="C11818" s="3" t="str">
        <f>IFERROR(__xludf.DUMMYFUNCTION("""COMPUTED_VALUE"""),"Tribe Token")</f>
        <v>Tribe Token</v>
      </c>
    </row>
    <row r="11819">
      <c r="A11819" s="3" t="str">
        <f>IFERROR(__xludf.DUMMYFUNCTION("""COMPUTED_VALUE"""),"trice")</f>
        <v>trice</v>
      </c>
      <c r="B11819" s="3" t="str">
        <f>IFERROR(__xludf.DUMMYFUNCTION("""COMPUTED_VALUE"""),"tri")</f>
        <v>tri</v>
      </c>
      <c r="C11819" s="3" t="str">
        <f>IFERROR(__xludf.DUMMYFUNCTION("""COMPUTED_VALUE"""),"Trice")</f>
        <v>Trice</v>
      </c>
    </row>
    <row r="11820">
      <c r="A11820" s="3" t="str">
        <f>IFERROR(__xludf.DUMMYFUNCTION("""COMPUTED_VALUE"""),"trickle")</f>
        <v>trickle</v>
      </c>
      <c r="B11820" s="3" t="str">
        <f>IFERROR(__xludf.DUMMYFUNCTION("""COMPUTED_VALUE"""),"h2o")</f>
        <v>h2o</v>
      </c>
      <c r="C11820" s="3" t="str">
        <f>IFERROR(__xludf.DUMMYFUNCTION("""COMPUTED_VALUE"""),"Trickle")</f>
        <v>Trickle</v>
      </c>
    </row>
    <row r="11821">
      <c r="A11821" s="3" t="str">
        <f>IFERROR(__xludf.DUMMYFUNCTION("""COMPUTED_VALUE"""),"triflex-token")</f>
        <v>triflex-token</v>
      </c>
      <c r="B11821" s="3" t="str">
        <f>IFERROR(__xludf.DUMMYFUNCTION("""COMPUTED_VALUE"""),"trfx")</f>
        <v>trfx</v>
      </c>
      <c r="C11821" s="3" t="str">
        <f>IFERROR(__xludf.DUMMYFUNCTION("""COMPUTED_VALUE"""),"Triflex")</f>
        <v>Triflex</v>
      </c>
    </row>
    <row r="11822">
      <c r="A11822" s="3" t="str">
        <f>IFERROR(__xludf.DUMMYFUNCTION("""COMPUTED_VALUE"""),"triipmiles")</f>
        <v>triipmiles</v>
      </c>
      <c r="B11822" s="3" t="str">
        <f>IFERROR(__xludf.DUMMYFUNCTION("""COMPUTED_VALUE"""),"tiim")</f>
        <v>tiim</v>
      </c>
      <c r="C11822" s="3" t="str">
        <f>IFERROR(__xludf.DUMMYFUNCTION("""COMPUTED_VALUE"""),"TriipMiles")</f>
        <v>TriipMiles</v>
      </c>
    </row>
    <row r="11823">
      <c r="A11823" s="3" t="str">
        <f>IFERROR(__xludf.DUMMYFUNCTION("""COMPUTED_VALUE"""),"trillion")</f>
        <v>trillion</v>
      </c>
      <c r="B11823" s="3" t="str">
        <f>IFERROR(__xludf.DUMMYFUNCTION("""COMPUTED_VALUE"""),"tt")</f>
        <v>tt</v>
      </c>
      <c r="C11823" s="3" t="str">
        <f>IFERROR(__xludf.DUMMYFUNCTION("""COMPUTED_VALUE"""),"Trillion")</f>
        <v>Trillion</v>
      </c>
    </row>
    <row r="11824">
      <c r="A11824" s="3" t="str">
        <f>IFERROR(__xludf.DUMMYFUNCTION("""COMPUTED_VALUE"""),"trillium")</f>
        <v>trillium</v>
      </c>
      <c r="B11824" s="3" t="str">
        <f>IFERROR(__xludf.DUMMYFUNCTION("""COMPUTED_VALUE"""),"tt")</f>
        <v>tt</v>
      </c>
      <c r="C11824" s="3" t="str">
        <f>IFERROR(__xludf.DUMMYFUNCTION("""COMPUTED_VALUE"""),"Trillium")</f>
        <v>Trillium</v>
      </c>
    </row>
    <row r="11825">
      <c r="A11825" s="3" t="str">
        <f>IFERROR(__xludf.DUMMYFUNCTION("""COMPUTED_VALUE"""),"trinity")</f>
        <v>trinity</v>
      </c>
      <c r="B11825" s="3" t="str">
        <f>IFERROR(__xludf.DUMMYFUNCTION("""COMPUTED_VALUE"""),"tty")</f>
        <v>tty</v>
      </c>
      <c r="C11825" s="3" t="str">
        <f>IFERROR(__xludf.DUMMYFUNCTION("""COMPUTED_VALUE"""),"Trinity")</f>
        <v>Trinity</v>
      </c>
    </row>
    <row r="11826">
      <c r="A11826" s="3" t="str">
        <f>IFERROR(__xludf.DUMMYFUNCTION("""COMPUTED_VALUE"""),"trinity-network-credit")</f>
        <v>trinity-network-credit</v>
      </c>
      <c r="B11826" s="3" t="str">
        <f>IFERROR(__xludf.DUMMYFUNCTION("""COMPUTED_VALUE"""),"tnc")</f>
        <v>tnc</v>
      </c>
      <c r="C11826" s="3" t="str">
        <f>IFERROR(__xludf.DUMMYFUNCTION("""COMPUTED_VALUE"""),"Trinity Network Credit")</f>
        <v>Trinity Network Credit</v>
      </c>
    </row>
    <row r="11827">
      <c r="A11827" s="3" t="str">
        <f>IFERROR(__xludf.DUMMYFUNCTION("""COMPUTED_VALUE"""),"trinity-swap")</f>
        <v>trinity-swap</v>
      </c>
      <c r="B11827" s="3" t="str">
        <f>IFERROR(__xludf.DUMMYFUNCTION("""COMPUTED_VALUE"""),"trinity")</f>
        <v>trinity</v>
      </c>
      <c r="C11827" s="3" t="str">
        <f>IFERROR(__xludf.DUMMYFUNCTION("""COMPUTED_VALUE"""),"Trinity Swap")</f>
        <v>Trinity Swap</v>
      </c>
    </row>
    <row r="11828">
      <c r="A11828" s="3" t="str">
        <f>IFERROR(__xludf.DUMMYFUNCTION("""COMPUTED_VALUE"""),"tripcandy")</f>
        <v>tripcandy</v>
      </c>
      <c r="B11828" s="3" t="str">
        <f>IFERROR(__xludf.DUMMYFUNCTION("""COMPUTED_VALUE"""),"candy")</f>
        <v>candy</v>
      </c>
      <c r="C11828" s="3" t="str">
        <f>IFERROR(__xludf.DUMMYFUNCTION("""COMPUTED_VALUE"""),"TripCandy")</f>
        <v>TripCandy</v>
      </c>
    </row>
    <row r="11829">
      <c r="A11829" s="3" t="str">
        <f>IFERROR(__xludf.DUMMYFUNCTION("""COMPUTED_VALUE"""),"tripedia")</f>
        <v>tripedia</v>
      </c>
      <c r="B11829" s="3" t="str">
        <f>IFERROR(__xludf.DUMMYFUNCTION("""COMPUTED_VALUE"""),"trip")</f>
        <v>trip</v>
      </c>
      <c r="C11829" s="3" t="str">
        <f>IFERROR(__xludf.DUMMYFUNCTION("""COMPUTED_VALUE"""),"Tripedia")</f>
        <v>Tripedia</v>
      </c>
    </row>
    <row r="11830">
      <c r="A11830" s="3" t="str">
        <f>IFERROR(__xludf.DUMMYFUNCTION("""COMPUTED_VALUE"""),"tripio")</f>
        <v>tripio</v>
      </c>
      <c r="B11830" s="3" t="str">
        <f>IFERROR(__xludf.DUMMYFUNCTION("""COMPUTED_VALUE"""),"trio")</f>
        <v>trio</v>
      </c>
      <c r="C11830" s="3" t="str">
        <f>IFERROR(__xludf.DUMMYFUNCTION("""COMPUTED_VALUE"""),"Tripio")</f>
        <v>Tripio</v>
      </c>
    </row>
    <row r="11831">
      <c r="A11831" s="3" t="str">
        <f>IFERROR(__xludf.DUMMYFUNCTION("""COMPUTED_VALUE"""),"trip-leverage-token")</f>
        <v>trip-leverage-token</v>
      </c>
      <c r="B11831" s="3" t="str">
        <f>IFERROR(__xludf.DUMMYFUNCTION("""COMPUTED_VALUE"""),"tlt")</f>
        <v>tlt</v>
      </c>
      <c r="C11831" s="3" t="str">
        <f>IFERROR(__xludf.DUMMYFUNCTION("""COMPUTED_VALUE"""),"Trip Leverage")</f>
        <v>Trip Leverage</v>
      </c>
    </row>
    <row r="11832">
      <c r="A11832" s="3" t="str">
        <f>IFERROR(__xludf.DUMMYFUNCTION("""COMPUTED_VALUE"""),"tripolar")</f>
        <v>tripolar</v>
      </c>
      <c r="B11832" s="3" t="str">
        <f>IFERROR(__xludf.DUMMYFUNCTION("""COMPUTED_VALUE"""),"tripolar")</f>
        <v>tripolar</v>
      </c>
      <c r="C11832" s="3" t="str">
        <f>IFERROR(__xludf.DUMMYFUNCTION("""COMPUTED_VALUE"""),"Tripolar")</f>
        <v>Tripolar</v>
      </c>
    </row>
    <row r="11833">
      <c r="A11833" s="3" t="str">
        <f>IFERROR(__xludf.DUMMYFUNCTION("""COMPUTED_VALUE"""),"trips-community")</f>
        <v>trips-community</v>
      </c>
      <c r="B11833" s="3" t="str">
        <f>IFERROR(__xludf.DUMMYFUNCTION("""COMPUTED_VALUE"""),"trips")</f>
        <v>trips</v>
      </c>
      <c r="C11833" s="3" t="str">
        <f>IFERROR(__xludf.DUMMYFUNCTION("""COMPUTED_VALUE"""),"Trips Community")</f>
        <v>Trips Community</v>
      </c>
    </row>
    <row r="11834">
      <c r="A11834" s="3" t="str">
        <f>IFERROR(__xludf.DUMMYFUNCTION("""COMPUTED_VALUE"""),"trism")</f>
        <v>trism</v>
      </c>
      <c r="B11834" s="3" t="str">
        <f>IFERROR(__xludf.DUMMYFUNCTION("""COMPUTED_VALUE"""),"trism")</f>
        <v>trism</v>
      </c>
      <c r="C11834" s="3" t="str">
        <f>IFERROR(__xludf.DUMMYFUNCTION("""COMPUTED_VALUE"""),"Trism")</f>
        <v>Trism</v>
      </c>
    </row>
    <row r="11835">
      <c r="A11835" s="3" t="str">
        <f>IFERROR(__xludf.DUMMYFUNCTION("""COMPUTED_VALUE"""),"trisolaris")</f>
        <v>trisolaris</v>
      </c>
      <c r="B11835" s="3" t="str">
        <f>IFERROR(__xludf.DUMMYFUNCTION("""COMPUTED_VALUE"""),"tri")</f>
        <v>tri</v>
      </c>
      <c r="C11835" s="3" t="str">
        <f>IFERROR(__xludf.DUMMYFUNCTION("""COMPUTED_VALUE"""),"Trisolaris")</f>
        <v>Trisolaris</v>
      </c>
    </row>
    <row r="11836">
      <c r="A11836" s="3" t="str">
        <f>IFERROR(__xludf.DUMMYFUNCTION("""COMPUTED_VALUE"""),"triton")</f>
        <v>triton</v>
      </c>
      <c r="B11836" s="3" t="str">
        <f>IFERROR(__xludf.DUMMYFUNCTION("""COMPUTED_VALUE"""),"xeq")</f>
        <v>xeq</v>
      </c>
      <c r="C11836" s="3" t="str">
        <f>IFERROR(__xludf.DUMMYFUNCTION("""COMPUTED_VALUE"""),"Equilibria")</f>
        <v>Equilibria</v>
      </c>
    </row>
    <row r="11837">
      <c r="A11837" s="3" t="str">
        <f>IFERROR(__xludf.DUMMYFUNCTION("""COMPUTED_VALUE"""),"trittium")</f>
        <v>trittium</v>
      </c>
      <c r="B11837" s="3" t="str">
        <f>IFERROR(__xludf.DUMMYFUNCTION("""COMPUTED_VALUE"""),"trtt")</f>
        <v>trtt</v>
      </c>
      <c r="C11837" s="3" t="str">
        <f>IFERROR(__xludf.DUMMYFUNCTION("""COMPUTED_VALUE"""),"Trittium")</f>
        <v>Trittium</v>
      </c>
    </row>
    <row r="11838">
      <c r="A11838" s="3" t="str">
        <f>IFERROR(__xludf.DUMMYFUNCTION("""COMPUTED_VALUE"""),"triumphx")</f>
        <v>triumphx</v>
      </c>
      <c r="B11838" s="3" t="str">
        <f>IFERROR(__xludf.DUMMYFUNCTION("""COMPUTED_VALUE"""),"trix")</f>
        <v>trix</v>
      </c>
      <c r="C11838" s="3" t="str">
        <f>IFERROR(__xludf.DUMMYFUNCTION("""COMPUTED_VALUE"""),"TriumphX")</f>
        <v>TriumphX</v>
      </c>
    </row>
    <row r="11839">
      <c r="A11839" s="3" t="str">
        <f>IFERROR(__xludf.DUMMYFUNCTION("""COMPUTED_VALUE"""),"triveum")</f>
        <v>triveum</v>
      </c>
      <c r="B11839" s="3" t="str">
        <f>IFERROR(__xludf.DUMMYFUNCTION("""COMPUTED_VALUE"""),"trv")</f>
        <v>trv</v>
      </c>
      <c r="C11839" s="3" t="str">
        <f>IFERROR(__xludf.DUMMYFUNCTION("""COMPUTED_VALUE"""),"Triveum")</f>
        <v>Triveum</v>
      </c>
    </row>
    <row r="11840">
      <c r="A11840" s="3" t="str">
        <f>IFERROR(__xludf.DUMMYFUNCTION("""COMPUTED_VALUE"""),"trivian")</f>
        <v>trivian</v>
      </c>
      <c r="B11840" s="3" t="str">
        <f>IFERROR(__xludf.DUMMYFUNCTION("""COMPUTED_VALUE"""),"trivia")</f>
        <v>trivia</v>
      </c>
      <c r="C11840" s="3" t="str">
        <f>IFERROR(__xludf.DUMMYFUNCTION("""COMPUTED_VALUE"""),"Trivians")</f>
        <v>Trivians</v>
      </c>
    </row>
    <row r="11841">
      <c r="A11841" s="3" t="str">
        <f>IFERROR(__xludf.DUMMYFUNCTION("""COMPUTED_VALUE"""),"trodl")</f>
        <v>trodl</v>
      </c>
      <c r="B11841" s="3" t="str">
        <f>IFERROR(__xludf.DUMMYFUNCTION("""COMPUTED_VALUE"""),"tro")</f>
        <v>tro</v>
      </c>
      <c r="C11841" s="3" t="str">
        <f>IFERROR(__xludf.DUMMYFUNCTION("""COMPUTED_VALUE"""),"Trodl")</f>
        <v>Trodl</v>
      </c>
    </row>
    <row r="11842">
      <c r="A11842" s="3" t="str">
        <f>IFERROR(__xludf.DUMMYFUNCTION("""COMPUTED_VALUE"""),"trolite")</f>
        <v>trolite</v>
      </c>
      <c r="B11842" s="3" t="str">
        <f>IFERROR(__xludf.DUMMYFUNCTION("""COMPUTED_VALUE"""),"trl")</f>
        <v>trl</v>
      </c>
      <c r="C11842" s="3" t="str">
        <f>IFERROR(__xludf.DUMMYFUNCTION("""COMPUTED_VALUE"""),"Trolite")</f>
        <v>Trolite</v>
      </c>
    </row>
    <row r="11843">
      <c r="A11843" s="3" t="str">
        <f>IFERROR(__xludf.DUMMYFUNCTION("""COMPUTED_VALUE"""),"trollbox")</f>
        <v>trollbox</v>
      </c>
      <c r="B11843" s="3" t="str">
        <f>IFERROR(__xludf.DUMMYFUNCTION("""COMPUTED_VALUE"""),"tox")</f>
        <v>tox</v>
      </c>
      <c r="C11843" s="3" t="str">
        <f>IFERROR(__xludf.DUMMYFUNCTION("""COMPUTED_VALUE"""),"trollbox")</f>
        <v>trollbox</v>
      </c>
    </row>
    <row r="11844">
      <c r="A11844" s="3" t="str">
        <f>IFERROR(__xludf.DUMMYFUNCTION("""COMPUTED_VALUE"""),"trollcoin")</f>
        <v>trollcoin</v>
      </c>
      <c r="B11844" s="3" t="str">
        <f>IFERROR(__xludf.DUMMYFUNCTION("""COMPUTED_VALUE"""),"troll")</f>
        <v>troll</v>
      </c>
      <c r="C11844" s="3" t="str">
        <f>IFERROR(__xludf.DUMMYFUNCTION("""COMPUTED_VALUE"""),"Trollcoin")</f>
        <v>Trollcoin</v>
      </c>
    </row>
    <row r="11845">
      <c r="A11845" s="3" t="str">
        <f>IFERROR(__xludf.DUMMYFUNCTION("""COMPUTED_VALUE"""),"tron")</f>
        <v>tron</v>
      </c>
      <c r="B11845" s="3" t="str">
        <f>IFERROR(__xludf.DUMMYFUNCTION("""COMPUTED_VALUE"""),"trx")</f>
        <v>trx</v>
      </c>
      <c r="C11845" s="3" t="str">
        <f>IFERROR(__xludf.DUMMYFUNCTION("""COMPUTED_VALUE"""),"TRON")</f>
        <v>TRON</v>
      </c>
    </row>
    <row r="11846">
      <c r="A11846" s="3" t="str">
        <f>IFERROR(__xludf.DUMMYFUNCTION("""COMPUTED_VALUE"""),"tronado")</f>
        <v>tronado</v>
      </c>
      <c r="B11846" s="3" t="str">
        <f>IFERROR(__xludf.DUMMYFUNCTION("""COMPUTED_VALUE"""),"trdo")</f>
        <v>trdo</v>
      </c>
      <c r="C11846" s="3" t="str">
        <f>IFERROR(__xludf.DUMMYFUNCTION("""COMPUTED_VALUE"""),"TRONADO")</f>
        <v>TRONADO</v>
      </c>
    </row>
    <row r="11847">
      <c r="A11847" s="3" t="str">
        <f>IFERROR(__xludf.DUMMYFUNCTION("""COMPUTED_VALUE"""),"tronbetdice")</f>
        <v>tronbetdice</v>
      </c>
      <c r="B11847" s="3" t="str">
        <f>IFERROR(__xludf.DUMMYFUNCTION("""COMPUTED_VALUE"""),"dice")</f>
        <v>dice</v>
      </c>
      <c r="C11847" s="3" t="str">
        <f>IFERROR(__xludf.DUMMYFUNCTION("""COMPUTED_VALUE"""),"TRONbetDice")</f>
        <v>TRONbetDice</v>
      </c>
    </row>
    <row r="11848">
      <c r="A11848" s="3" t="str">
        <f>IFERROR(__xludf.DUMMYFUNCTION("""COMPUTED_VALUE"""),"tronbetlive")</f>
        <v>tronbetlive</v>
      </c>
      <c r="B11848" s="3" t="str">
        <f>IFERROR(__xludf.DUMMYFUNCTION("""COMPUTED_VALUE"""),"live")</f>
        <v>live</v>
      </c>
      <c r="C11848" s="3" t="str">
        <f>IFERROR(__xludf.DUMMYFUNCTION("""COMPUTED_VALUE"""),"TRONbetLive")</f>
        <v>TRONbetLive</v>
      </c>
    </row>
    <row r="11849">
      <c r="A11849" s="3" t="str">
        <f>IFERROR(__xludf.DUMMYFUNCTION("""COMPUTED_VALUE"""),"tron-bsc")</f>
        <v>tron-bsc</v>
      </c>
      <c r="B11849" s="3" t="str">
        <f>IFERROR(__xludf.DUMMYFUNCTION("""COMPUTED_VALUE"""),"trx")</f>
        <v>trx</v>
      </c>
      <c r="C11849" s="3" t="str">
        <f>IFERROR(__xludf.DUMMYFUNCTION("""COMPUTED_VALUE"""),"TRON (BSC)")</f>
        <v>TRON (BSC)</v>
      </c>
    </row>
    <row r="11850">
      <c r="A11850" s="3" t="str">
        <f>IFERROR(__xludf.DUMMYFUNCTION("""COMPUTED_VALUE"""),"tronclassic")</f>
        <v>tronclassic</v>
      </c>
      <c r="B11850" s="3" t="str">
        <f>IFERROR(__xludf.DUMMYFUNCTION("""COMPUTED_VALUE"""),"trxc")</f>
        <v>trxc</v>
      </c>
      <c r="C11850" s="3" t="str">
        <f>IFERROR(__xludf.DUMMYFUNCTION("""COMPUTED_VALUE"""),"TronClassic")</f>
        <v>TronClassic</v>
      </c>
    </row>
    <row r="11851">
      <c r="A11851" s="3" t="str">
        <f>IFERROR(__xludf.DUMMYFUNCTION("""COMPUTED_VALUE"""),"troneuroperewardcoin")</f>
        <v>troneuroperewardcoin</v>
      </c>
      <c r="B11851" s="3" t="str">
        <f>IFERROR(__xludf.DUMMYFUNCTION("""COMPUTED_VALUE"""),"terc")</f>
        <v>terc</v>
      </c>
      <c r="C11851" s="3" t="str">
        <f>IFERROR(__xludf.DUMMYFUNCTION("""COMPUTED_VALUE"""),"TronEuropeRewardCoin")</f>
        <v>TronEuropeRewardCoin</v>
      </c>
    </row>
    <row r="11852">
      <c r="A11852" s="3" t="str">
        <f>IFERROR(__xludf.DUMMYFUNCTION("""COMPUTED_VALUE"""),"tronpad")</f>
        <v>tronpad</v>
      </c>
      <c r="B11852" s="3" t="str">
        <f>IFERROR(__xludf.DUMMYFUNCTION("""COMPUTED_VALUE"""),"tronpad")</f>
        <v>tronpad</v>
      </c>
      <c r="C11852" s="3" t="str">
        <f>IFERROR(__xludf.DUMMYFUNCTION("""COMPUTED_VALUE"""),"TRONPAD")</f>
        <v>TRONPAD</v>
      </c>
    </row>
    <row r="11853">
      <c r="A11853" s="3" t="str">
        <f>IFERROR(__xludf.DUMMYFUNCTION("""COMPUTED_VALUE"""),"tropical-finance")</f>
        <v>tropical-finance</v>
      </c>
      <c r="B11853" s="3" t="str">
        <f>IFERROR(__xludf.DUMMYFUNCTION("""COMPUTED_VALUE"""),"daiquiri")</f>
        <v>daiquiri</v>
      </c>
      <c r="C11853" s="3" t="str">
        <f>IFERROR(__xludf.DUMMYFUNCTION("""COMPUTED_VALUE"""),"Tropical Finance")</f>
        <v>Tropical Finance</v>
      </c>
    </row>
    <row r="11854">
      <c r="A11854" s="3" t="str">
        <f>IFERROR(__xludf.DUMMYFUNCTION("""COMPUTED_VALUE"""),"troy")</f>
        <v>troy</v>
      </c>
      <c r="B11854" s="3" t="str">
        <f>IFERROR(__xludf.DUMMYFUNCTION("""COMPUTED_VALUE"""),"troy")</f>
        <v>troy</v>
      </c>
      <c r="C11854" s="3" t="str">
        <f>IFERROR(__xludf.DUMMYFUNCTION("""COMPUTED_VALUE"""),"Troy")</f>
        <v>Troy</v>
      </c>
    </row>
    <row r="11855">
      <c r="A11855" s="3" t="str">
        <f>IFERROR(__xludf.DUMMYFUNCTION("""COMPUTED_VALUE"""),"trubadger")</f>
        <v>trubadger</v>
      </c>
      <c r="B11855" s="3" t="str">
        <f>IFERROR(__xludf.DUMMYFUNCTION("""COMPUTED_VALUE"""),"trubgr")</f>
        <v>trubgr</v>
      </c>
      <c r="C11855" s="3" t="str">
        <f>IFERROR(__xludf.DUMMYFUNCTION("""COMPUTED_VALUE"""),"TruBadger")</f>
        <v>TruBadger</v>
      </c>
    </row>
    <row r="11856">
      <c r="A11856" s="3" t="str">
        <f>IFERROR(__xludf.DUMMYFUNCTION("""COMPUTED_VALUE"""),"truebit-protocol")</f>
        <v>truebit-protocol</v>
      </c>
      <c r="B11856" s="3" t="str">
        <f>IFERROR(__xludf.DUMMYFUNCTION("""COMPUTED_VALUE"""),"tru")</f>
        <v>tru</v>
      </c>
      <c r="C11856" s="3" t="str">
        <f>IFERROR(__xludf.DUMMYFUNCTION("""COMPUTED_VALUE"""),"Truebit Protocol")</f>
        <v>Truebit Protocol</v>
      </c>
    </row>
    <row r="11857">
      <c r="A11857" s="3" t="str">
        <f>IFERROR(__xludf.DUMMYFUNCTION("""COMPUTED_VALUE"""),"trueburn")</f>
        <v>trueburn</v>
      </c>
      <c r="B11857" s="3" t="str">
        <f>IFERROR(__xludf.DUMMYFUNCTION("""COMPUTED_VALUE"""),"true")</f>
        <v>true</v>
      </c>
      <c r="C11857" s="3" t="str">
        <f>IFERROR(__xludf.DUMMYFUNCTION("""COMPUTED_VALUE"""),"TrueBurn")</f>
        <v>TrueBurn</v>
      </c>
    </row>
    <row r="11858">
      <c r="A11858" s="3" t="str">
        <f>IFERROR(__xludf.DUMMYFUNCTION("""COMPUTED_VALUE"""),"true-chain")</f>
        <v>true-chain</v>
      </c>
      <c r="B11858" s="3" t="str">
        <f>IFERROR(__xludf.DUMMYFUNCTION("""COMPUTED_VALUE"""),"true")</f>
        <v>true</v>
      </c>
      <c r="C11858" s="3" t="str">
        <f>IFERROR(__xludf.DUMMYFUNCTION("""COMPUTED_VALUE"""),"TrueChain")</f>
        <v>TrueChain</v>
      </c>
    </row>
    <row r="11859">
      <c r="A11859" s="3" t="str">
        <f>IFERROR(__xludf.DUMMYFUNCTION("""COMPUTED_VALUE"""),"truedeck")</f>
        <v>truedeck</v>
      </c>
      <c r="B11859" s="3" t="str">
        <f>IFERROR(__xludf.DUMMYFUNCTION("""COMPUTED_VALUE"""),"tdp")</f>
        <v>tdp</v>
      </c>
      <c r="C11859" s="3" t="str">
        <f>IFERROR(__xludf.DUMMYFUNCTION("""COMPUTED_VALUE"""),"TrueDeck")</f>
        <v>TrueDeck</v>
      </c>
    </row>
    <row r="11860">
      <c r="A11860" s="3" t="str">
        <f>IFERROR(__xludf.DUMMYFUNCTION("""COMPUTED_VALUE"""),"truefeedbackchain")</f>
        <v>truefeedbackchain</v>
      </c>
      <c r="B11860" s="3" t="str">
        <f>IFERROR(__xludf.DUMMYFUNCTION("""COMPUTED_VALUE"""),"tfbx")</f>
        <v>tfbx</v>
      </c>
      <c r="C11860" s="3" t="str">
        <f>IFERROR(__xludf.DUMMYFUNCTION("""COMPUTED_VALUE"""),"Truefeedback")</f>
        <v>Truefeedback</v>
      </c>
    </row>
    <row r="11861">
      <c r="A11861" s="3" t="str">
        <f>IFERROR(__xludf.DUMMYFUNCTION("""COMPUTED_VALUE"""),"truefi")</f>
        <v>truefi</v>
      </c>
      <c r="B11861" s="3" t="str">
        <f>IFERROR(__xludf.DUMMYFUNCTION("""COMPUTED_VALUE"""),"tru")</f>
        <v>tru</v>
      </c>
      <c r="C11861" s="3" t="str">
        <f>IFERROR(__xludf.DUMMYFUNCTION("""COMPUTED_VALUE"""),"TrueFi")</f>
        <v>TrueFi</v>
      </c>
    </row>
    <row r="11862">
      <c r="A11862" s="3" t="str">
        <f>IFERROR(__xludf.DUMMYFUNCTION("""COMPUTED_VALUE"""),"trueflip")</f>
        <v>trueflip</v>
      </c>
      <c r="B11862" s="3" t="str">
        <f>IFERROR(__xludf.DUMMYFUNCTION("""COMPUTED_VALUE"""),"tfl")</f>
        <v>tfl</v>
      </c>
      <c r="C11862" s="3" t="str">
        <f>IFERROR(__xludf.DUMMYFUNCTION("""COMPUTED_VALUE"""),"TrueFlip")</f>
        <v>TrueFlip</v>
      </c>
    </row>
    <row r="11863">
      <c r="A11863" s="3" t="str">
        <f>IFERROR(__xludf.DUMMYFUNCTION("""COMPUTED_VALUE"""),"truegame")</f>
        <v>truegame</v>
      </c>
      <c r="B11863" s="3" t="str">
        <f>IFERROR(__xludf.DUMMYFUNCTION("""COMPUTED_VALUE"""),"tgame")</f>
        <v>tgame</v>
      </c>
      <c r="C11863" s="3" t="str">
        <f>IFERROR(__xludf.DUMMYFUNCTION("""COMPUTED_VALUE"""),"Truegame")</f>
        <v>Truegame</v>
      </c>
    </row>
    <row r="11864">
      <c r="A11864" s="3" t="str">
        <f>IFERROR(__xludf.DUMMYFUNCTION("""COMPUTED_VALUE"""),"true-pnl")</f>
        <v>true-pnl</v>
      </c>
      <c r="B11864" s="3" t="str">
        <f>IFERROR(__xludf.DUMMYFUNCTION("""COMPUTED_VALUE"""),"pnl")</f>
        <v>pnl</v>
      </c>
      <c r="C11864" s="3" t="str">
        <f>IFERROR(__xludf.DUMMYFUNCTION("""COMPUTED_VALUE"""),"True PNL")</f>
        <v>True PNL</v>
      </c>
    </row>
    <row r="11865">
      <c r="A11865" s="3" t="str">
        <f>IFERROR(__xludf.DUMMYFUNCTION("""COMPUTED_VALUE"""),"true-usd")</f>
        <v>true-usd</v>
      </c>
      <c r="B11865" s="3" t="str">
        <f>IFERROR(__xludf.DUMMYFUNCTION("""COMPUTED_VALUE"""),"tusd")</f>
        <v>tusd</v>
      </c>
      <c r="C11865" s="3" t="str">
        <f>IFERROR(__xludf.DUMMYFUNCTION("""COMPUTED_VALUE"""),"TrueUSD")</f>
        <v>TrueUSD</v>
      </c>
    </row>
    <row r="11866">
      <c r="A11866" s="3" t="str">
        <f>IFERROR(__xludf.DUMMYFUNCTION("""COMPUTED_VALUE"""),"trustbase")</f>
        <v>trustbase</v>
      </c>
      <c r="B11866" s="3" t="str">
        <f>IFERROR(__xludf.DUMMYFUNCTION("""COMPUTED_VALUE"""),"tbe")</f>
        <v>tbe</v>
      </c>
      <c r="C11866" s="3" t="str">
        <f>IFERROR(__xludf.DUMMYFUNCTION("""COMPUTED_VALUE"""),"TrustBase")</f>
        <v>TrustBase</v>
      </c>
    </row>
    <row r="11867">
      <c r="A11867" s="3" t="str">
        <f>IFERROR(__xludf.DUMMYFUNCTION("""COMPUTED_VALUE"""),"trusted-node")</f>
        <v>trusted-node</v>
      </c>
      <c r="B11867" s="3" t="str">
        <f>IFERROR(__xludf.DUMMYFUNCTION("""COMPUTED_VALUE"""),"tnode")</f>
        <v>tnode</v>
      </c>
      <c r="C11867" s="3" t="str">
        <f>IFERROR(__xludf.DUMMYFUNCTION("""COMPUTED_VALUE"""),"Trusted Node")</f>
        <v>Trusted Node</v>
      </c>
    </row>
    <row r="11868">
      <c r="A11868" s="3" t="str">
        <f>IFERROR(__xludf.DUMMYFUNCTION("""COMPUTED_VALUE"""),"trustfi-network-token")</f>
        <v>trustfi-network-token</v>
      </c>
      <c r="B11868" s="3" t="str">
        <f>IFERROR(__xludf.DUMMYFUNCTION("""COMPUTED_VALUE"""),"tfi")</f>
        <v>tfi</v>
      </c>
      <c r="C11868" s="3" t="str">
        <f>IFERROR(__xludf.DUMMYFUNCTION("""COMPUTED_VALUE"""),"TrustFi Network")</f>
        <v>TrustFi Network</v>
      </c>
    </row>
    <row r="11869">
      <c r="A11869" s="3" t="str">
        <f>IFERROR(__xludf.DUMMYFUNCTION("""COMPUTED_VALUE"""),"trustkeys-network")</f>
        <v>trustkeys-network</v>
      </c>
      <c r="B11869" s="3" t="str">
        <f>IFERROR(__xludf.DUMMYFUNCTION("""COMPUTED_VALUE"""),"trustk")</f>
        <v>trustk</v>
      </c>
      <c r="C11869" s="3" t="str">
        <f>IFERROR(__xludf.DUMMYFUNCTION("""COMPUTED_VALUE"""),"TrustKeys Network")</f>
        <v>TrustKeys Network</v>
      </c>
    </row>
    <row r="11870">
      <c r="A11870" s="3" t="str">
        <f>IFERROR(__xludf.DUMMYFUNCTION("""COMPUTED_VALUE"""),"trustnft")</f>
        <v>trustnft</v>
      </c>
      <c r="B11870" s="3" t="str">
        <f>IFERROR(__xludf.DUMMYFUNCTION("""COMPUTED_VALUE"""),"trustnft")</f>
        <v>trustnft</v>
      </c>
      <c r="C11870" s="3" t="str">
        <f>IFERROR(__xludf.DUMMYFUNCTION("""COMPUTED_VALUE"""),"TrustNFT")</f>
        <v>TrustNFT</v>
      </c>
    </row>
    <row r="11871">
      <c r="A11871" s="3" t="str">
        <f>IFERROR(__xludf.DUMMYFUNCTION("""COMPUTED_VALUE"""),"trustpad")</f>
        <v>trustpad</v>
      </c>
      <c r="B11871" s="3" t="str">
        <f>IFERROR(__xludf.DUMMYFUNCTION("""COMPUTED_VALUE"""),"tpad")</f>
        <v>tpad</v>
      </c>
      <c r="C11871" s="3" t="str">
        <f>IFERROR(__xludf.DUMMYFUNCTION("""COMPUTED_VALUE"""),"TrustPad")</f>
        <v>TrustPad</v>
      </c>
    </row>
    <row r="11872">
      <c r="A11872" s="3" t="str">
        <f>IFERROR(__xludf.DUMMYFUNCTION("""COMPUTED_VALUE"""),"trustpay")</f>
        <v>trustpay</v>
      </c>
      <c r="B11872" s="3" t="str">
        <f>IFERROR(__xludf.DUMMYFUNCTION("""COMPUTED_VALUE"""),"tph")</f>
        <v>tph</v>
      </c>
      <c r="C11872" s="3" t="str">
        <f>IFERROR(__xludf.DUMMYFUNCTION("""COMPUTED_VALUE"""),"Trustpay")</f>
        <v>Trustpay</v>
      </c>
    </row>
    <row r="11873">
      <c r="A11873" s="3" t="str">
        <f>IFERROR(__xludf.DUMMYFUNCTION("""COMPUTED_VALUE"""),"trustrise")</f>
        <v>trustrise</v>
      </c>
      <c r="B11873" s="3" t="str">
        <f>IFERROR(__xludf.DUMMYFUNCTION("""COMPUTED_VALUE"""),"trise")</f>
        <v>trise</v>
      </c>
      <c r="C11873" s="3" t="str">
        <f>IFERROR(__xludf.DUMMYFUNCTION("""COMPUTED_VALUE"""),"TrustRise")</f>
        <v>TrustRise</v>
      </c>
    </row>
    <row r="11874">
      <c r="A11874" s="3" t="str">
        <f>IFERROR(__xludf.DUMMYFUNCTION("""COMPUTED_VALUE"""),"trustswap")</f>
        <v>trustswap</v>
      </c>
      <c r="B11874" s="3" t="str">
        <f>IFERROR(__xludf.DUMMYFUNCTION("""COMPUTED_VALUE"""),"swap")</f>
        <v>swap</v>
      </c>
      <c r="C11874" s="3" t="str">
        <f>IFERROR(__xludf.DUMMYFUNCTION("""COMPUTED_VALUE"""),"Trustswap")</f>
        <v>Trustswap</v>
      </c>
    </row>
    <row r="11875">
      <c r="A11875" s="3" t="str">
        <f>IFERROR(__xludf.DUMMYFUNCTION("""COMPUTED_VALUE"""),"trustverse")</f>
        <v>trustverse</v>
      </c>
      <c r="B11875" s="3" t="str">
        <f>IFERROR(__xludf.DUMMYFUNCTION("""COMPUTED_VALUE"""),"trv")</f>
        <v>trv</v>
      </c>
      <c r="C11875" s="3" t="str">
        <f>IFERROR(__xludf.DUMMYFUNCTION("""COMPUTED_VALUE"""),"TrustVerse")</f>
        <v>TrustVerse</v>
      </c>
    </row>
    <row r="11876">
      <c r="A11876" s="3" t="str">
        <f>IFERROR(__xludf.DUMMYFUNCTION("""COMPUTED_VALUE"""),"trust-wallet-token")</f>
        <v>trust-wallet-token</v>
      </c>
      <c r="B11876" s="3" t="str">
        <f>IFERROR(__xludf.DUMMYFUNCTION("""COMPUTED_VALUE"""),"twt")</f>
        <v>twt</v>
      </c>
      <c r="C11876" s="3" t="str">
        <f>IFERROR(__xludf.DUMMYFUNCTION("""COMPUTED_VALUE"""),"Trust Wallet")</f>
        <v>Trust Wallet</v>
      </c>
    </row>
    <row r="11877">
      <c r="A11877" s="3" t="str">
        <f>IFERROR(__xludf.DUMMYFUNCTION("""COMPUTED_VALUE"""),"trustworks")</f>
        <v>trustworks</v>
      </c>
      <c r="B11877" s="3" t="str">
        <f>IFERROR(__xludf.DUMMYFUNCTION("""COMPUTED_VALUE"""),"trust")</f>
        <v>trust</v>
      </c>
      <c r="C11877" s="3" t="str">
        <f>IFERROR(__xludf.DUMMYFUNCTION("""COMPUTED_VALUE"""),"Trustworks")</f>
        <v>Trustworks</v>
      </c>
    </row>
    <row r="11878">
      <c r="A11878" s="3" t="str">
        <f>IFERROR(__xludf.DUMMYFUNCTION("""COMPUTED_VALUE"""),"trx3l")</f>
        <v>trx3l</v>
      </c>
      <c r="B11878" s="3" t="str">
        <f>IFERROR(__xludf.DUMMYFUNCTION("""COMPUTED_VALUE"""),"trx3l")</f>
        <v>trx3l</v>
      </c>
      <c r="C11878" s="3" t="str">
        <f>IFERROR(__xludf.DUMMYFUNCTION("""COMPUTED_VALUE"""),"TRX3L")</f>
        <v>TRX3L</v>
      </c>
    </row>
    <row r="11879">
      <c r="A11879" s="3" t="str">
        <f>IFERROR(__xludf.DUMMYFUNCTION("""COMPUTED_VALUE"""),"tryc")</f>
        <v>tryc</v>
      </c>
      <c r="B11879" s="3" t="str">
        <f>IFERROR(__xludf.DUMMYFUNCTION("""COMPUTED_VALUE"""),"tryc")</f>
        <v>tryc</v>
      </c>
      <c r="C11879" s="3" t="str">
        <f>IFERROR(__xludf.DUMMYFUNCTION("""COMPUTED_VALUE"""),"TRYC")</f>
        <v>TRYC</v>
      </c>
    </row>
    <row r="11880">
      <c r="A11880" s="3" t="str">
        <f>IFERROR(__xludf.DUMMYFUNCTION("""COMPUTED_VALUE"""),"try-finance")</f>
        <v>try-finance</v>
      </c>
      <c r="B11880" s="3" t="str">
        <f>IFERROR(__xludf.DUMMYFUNCTION("""COMPUTED_VALUE"""),"try")</f>
        <v>try</v>
      </c>
      <c r="C11880" s="3" t="str">
        <f>IFERROR(__xludf.DUMMYFUNCTION("""COMPUTED_VALUE"""),"Try.Finance")</f>
        <v>Try.Finance</v>
      </c>
    </row>
    <row r="11881">
      <c r="A11881" s="3" t="str">
        <f>IFERROR(__xludf.DUMMYFUNCTION("""COMPUTED_VALUE"""),"tryhards")</f>
        <v>tryhards</v>
      </c>
      <c r="B11881" s="3" t="str">
        <f>IFERROR(__xludf.DUMMYFUNCTION("""COMPUTED_VALUE"""),"try")</f>
        <v>try</v>
      </c>
      <c r="C11881" s="3" t="str">
        <f>IFERROR(__xludf.DUMMYFUNCTION("""COMPUTED_VALUE"""),"TryHards")</f>
        <v>TryHards</v>
      </c>
    </row>
    <row r="11882">
      <c r="A11882" s="3" t="str">
        <f>IFERROR(__xludf.DUMMYFUNCTION("""COMPUTED_VALUE"""),"tryvium-2")</f>
        <v>tryvium-2</v>
      </c>
      <c r="B11882" s="3" t="str">
        <f>IFERROR(__xludf.DUMMYFUNCTION("""COMPUTED_VALUE"""),"tryv")</f>
        <v>tryv</v>
      </c>
      <c r="C11882" s="3" t="str">
        <f>IFERROR(__xludf.DUMMYFUNCTION("""COMPUTED_VALUE"""),"Tryvium")</f>
        <v>Tryvium</v>
      </c>
    </row>
    <row r="11883">
      <c r="A11883" s="3" t="str">
        <f>IFERROR(__xludf.DUMMYFUNCTION("""COMPUTED_VALUE"""),"tsilver")</f>
        <v>tsilver</v>
      </c>
      <c r="B11883" s="3" t="str">
        <f>IFERROR(__xludf.DUMMYFUNCTION("""COMPUTED_VALUE"""),"txag")</f>
        <v>txag</v>
      </c>
      <c r="C11883" s="3" t="str">
        <f>IFERROR(__xludf.DUMMYFUNCTION("""COMPUTED_VALUE"""),"tSILVER")</f>
        <v>tSILVER</v>
      </c>
    </row>
    <row r="11884">
      <c r="A11884" s="3" t="str">
        <f>IFERROR(__xludf.DUMMYFUNCTION("""COMPUTED_VALUE"""),"tsuki-inu")</f>
        <v>tsuki-inu</v>
      </c>
      <c r="B11884" s="3" t="str">
        <f>IFERROR(__xludf.DUMMYFUNCTION("""COMPUTED_VALUE"""),"tkinu")</f>
        <v>tkinu</v>
      </c>
      <c r="C11884" s="3" t="str">
        <f>IFERROR(__xludf.DUMMYFUNCTION("""COMPUTED_VALUE"""),"Tsuki Inu")</f>
        <v>Tsuki Inu</v>
      </c>
    </row>
    <row r="11885">
      <c r="A11885" s="3" t="str">
        <f>IFERROR(__xludf.DUMMYFUNCTION("""COMPUTED_VALUE"""),"tsukiverse-galactic-adventures")</f>
        <v>tsukiverse-galactic-adventures</v>
      </c>
      <c r="B11885" s="3" t="str">
        <f>IFERROR(__xludf.DUMMYFUNCTION("""COMPUTED_VALUE"""),"tsuga")</f>
        <v>tsuga</v>
      </c>
      <c r="C11885" s="3" t="str">
        <f>IFERROR(__xludf.DUMMYFUNCTION("""COMPUTED_VALUE"""),"Tsukiverse:Galactic Adventures")</f>
        <v>Tsukiverse:Galactic Adventures</v>
      </c>
    </row>
    <row r="11886">
      <c r="A11886" s="3" t="str">
        <f>IFERROR(__xludf.DUMMYFUNCTION("""COMPUTED_VALUE"""),"tsukuyomi-no-mikoto")</f>
        <v>tsukuyomi-no-mikoto</v>
      </c>
      <c r="B11886" s="3" t="str">
        <f>IFERROR(__xludf.DUMMYFUNCTION("""COMPUTED_VALUE"""),"mikoto")</f>
        <v>mikoto</v>
      </c>
      <c r="C11886" s="3" t="str">
        <f>IFERROR(__xludf.DUMMYFUNCTION("""COMPUTED_VALUE"""),"Tsukuyomi-no-Mikoto")</f>
        <v>Tsukuyomi-no-Mikoto</v>
      </c>
    </row>
    <row r="11887">
      <c r="A11887" s="3" t="str">
        <f>IFERROR(__xludf.DUMMYFUNCTION("""COMPUTED_VALUE"""),"tsuzuki-inu")</f>
        <v>tsuzuki-inu</v>
      </c>
      <c r="B11887" s="3" t="str">
        <f>IFERROR(__xludf.DUMMYFUNCTION("""COMPUTED_VALUE"""),"tzki")</f>
        <v>tzki</v>
      </c>
      <c r="C11887" s="3" t="str">
        <f>IFERROR(__xludf.DUMMYFUNCTION("""COMPUTED_VALUE"""),"Tsuzuki Inu")</f>
        <v>Tsuzuki Inu</v>
      </c>
    </row>
    <row r="11888">
      <c r="A11888" s="3" t="str">
        <f>IFERROR(__xludf.DUMMYFUNCTION("""COMPUTED_VALUE"""),"ttanslateme-network-token")</f>
        <v>ttanslateme-network-token</v>
      </c>
      <c r="B11888" s="3" t="str">
        <f>IFERROR(__xludf.DUMMYFUNCTION("""COMPUTED_VALUE"""),"tmn")</f>
        <v>tmn</v>
      </c>
      <c r="C11888" s="3" t="str">
        <f>IFERROR(__xludf.DUMMYFUNCTION("""COMPUTED_VALUE"""),"TranslateMe Network")</f>
        <v>TranslateMe Network</v>
      </c>
    </row>
    <row r="11889">
      <c r="A11889" s="3" t="str">
        <f>IFERROR(__xludf.DUMMYFUNCTION("""COMPUTED_VALUE"""),"ttcoin")</f>
        <v>ttcoin</v>
      </c>
      <c r="B11889" s="3" t="str">
        <f>IFERROR(__xludf.DUMMYFUNCTION("""COMPUTED_VALUE"""),"tc")</f>
        <v>tc</v>
      </c>
      <c r="C11889" s="3" t="str">
        <f>IFERROR(__xludf.DUMMYFUNCTION("""COMPUTED_VALUE"""),"TTcoin")</f>
        <v>TTcoin</v>
      </c>
    </row>
    <row r="11890">
      <c r="A11890" s="3" t="str">
        <f>IFERROR(__xludf.DUMMYFUNCTION("""COMPUTED_VALUE"""),"ttc-protocol")</f>
        <v>ttc-protocol</v>
      </c>
      <c r="B11890" s="3" t="str">
        <f>IFERROR(__xludf.DUMMYFUNCTION("""COMPUTED_VALUE"""),"maro")</f>
        <v>maro</v>
      </c>
      <c r="C11890" s="3" t="str">
        <f>IFERROR(__xludf.DUMMYFUNCTION("""COMPUTED_VALUE"""),"Maro")</f>
        <v>Maro</v>
      </c>
    </row>
    <row r="11891">
      <c r="A11891" s="3" t="str">
        <f>IFERROR(__xludf.DUMMYFUNCTION("""COMPUTED_VALUE"""),"ttx-metaverse")</f>
        <v>ttx-metaverse</v>
      </c>
      <c r="B11891" s="3" t="str">
        <f>IFERROR(__xludf.DUMMYFUNCTION("""COMPUTED_VALUE"""),"xmeta")</f>
        <v>xmeta</v>
      </c>
      <c r="C11891" s="3" t="str">
        <f>IFERROR(__xludf.DUMMYFUNCTION("""COMPUTED_VALUE"""),"TTX Metaverse")</f>
        <v>TTX Metaverse</v>
      </c>
    </row>
    <row r="11892">
      <c r="A11892" s="3" t="str">
        <f>IFERROR(__xludf.DUMMYFUNCTION("""COMPUTED_VALUE"""),"tube2")</f>
        <v>tube2</v>
      </c>
      <c r="B11892" s="3" t="str">
        <f>IFERROR(__xludf.DUMMYFUNCTION("""COMPUTED_VALUE"""),"tube2")</f>
        <v>tube2</v>
      </c>
      <c r="C11892" s="3" t="str">
        <f>IFERROR(__xludf.DUMMYFUNCTION("""COMPUTED_VALUE"""),"TUBE2")</f>
        <v>TUBE2</v>
      </c>
    </row>
    <row r="11893">
      <c r="A11893" s="3" t="str">
        <f>IFERROR(__xludf.DUMMYFUNCTION("""COMPUTED_VALUE"""),"tudabirds")</f>
        <v>tudabirds</v>
      </c>
      <c r="B11893" s="3" t="str">
        <f>IFERROR(__xludf.DUMMYFUNCTION("""COMPUTED_VALUE"""),"burd")</f>
        <v>burd</v>
      </c>
      <c r="C11893" s="3" t="str">
        <f>IFERROR(__xludf.DUMMYFUNCTION("""COMPUTED_VALUE"""),"tudaBirds")</f>
        <v>tudaBirds</v>
      </c>
    </row>
    <row r="11894">
      <c r="A11894" s="3" t="str">
        <f>IFERROR(__xludf.DUMMYFUNCTION("""COMPUTED_VALUE"""),"tundra-token")</f>
        <v>tundra-token</v>
      </c>
      <c r="B11894" s="3" t="str">
        <f>IFERROR(__xludf.DUMMYFUNCTION("""COMPUTED_VALUE"""),"tundra")</f>
        <v>tundra</v>
      </c>
      <c r="C11894" s="3" t="str">
        <f>IFERROR(__xludf.DUMMYFUNCTION("""COMPUTED_VALUE"""),"Tundra")</f>
        <v>Tundra</v>
      </c>
    </row>
    <row r="11895">
      <c r="A11895" s="3" t="str">
        <f>IFERROR(__xludf.DUMMYFUNCTION("""COMPUTED_VALUE"""),"tune")</f>
        <v>tune</v>
      </c>
      <c r="B11895" s="3" t="str">
        <f>IFERROR(__xludf.DUMMYFUNCTION("""COMPUTED_VALUE"""),"tun")</f>
        <v>tun</v>
      </c>
      <c r="C11895" s="3" t="str">
        <f>IFERROR(__xludf.DUMMYFUNCTION("""COMPUTED_VALUE"""),"TUNE")</f>
        <v>TUNE</v>
      </c>
    </row>
    <row r="11896">
      <c r="A11896" s="3" t="str">
        <f>IFERROR(__xludf.DUMMYFUNCTION("""COMPUTED_VALUE"""),"tune-fm")</f>
        <v>tune-fm</v>
      </c>
      <c r="B11896" s="3" t="str">
        <f>IFERROR(__xludf.DUMMYFUNCTION("""COMPUTED_VALUE"""),"jam")</f>
        <v>jam</v>
      </c>
      <c r="C11896" s="4" t="str">
        <f>IFERROR(__xludf.DUMMYFUNCTION("""COMPUTED_VALUE"""),"Tune.Fm")</f>
        <v>Tune.Fm</v>
      </c>
    </row>
    <row r="11897">
      <c r="A11897" s="3" t="str">
        <f>IFERROR(__xludf.DUMMYFUNCTION("""COMPUTED_VALUE"""),"tune-token")</f>
        <v>tune-token</v>
      </c>
      <c r="B11897" s="3" t="str">
        <f>IFERROR(__xludf.DUMMYFUNCTION("""COMPUTED_VALUE"""),"tune")</f>
        <v>tune</v>
      </c>
      <c r="C11897" s="3" t="str">
        <f>IFERROR(__xludf.DUMMYFUNCTION("""COMPUTED_VALUE"""),"TUNE TOKEN")</f>
        <v>TUNE TOKEN</v>
      </c>
    </row>
    <row r="11898">
      <c r="A11898" s="3" t="str">
        <f>IFERROR(__xludf.DUMMYFUNCTION("""COMPUTED_VALUE"""),"turbo-wallet")</f>
        <v>turbo-wallet</v>
      </c>
      <c r="B11898" s="3" t="str">
        <f>IFERROR(__xludf.DUMMYFUNCTION("""COMPUTED_VALUE"""),"turbo")</f>
        <v>turbo</v>
      </c>
      <c r="C11898" s="3" t="str">
        <f>IFERROR(__xludf.DUMMYFUNCTION("""COMPUTED_VALUE"""),"Turbo Wallet")</f>
        <v>Turbo Wallet</v>
      </c>
    </row>
    <row r="11899">
      <c r="A11899" s="3" t="str">
        <f>IFERROR(__xludf.DUMMYFUNCTION("""COMPUTED_VALUE"""),"turex")</f>
        <v>turex</v>
      </c>
      <c r="B11899" s="3" t="str">
        <f>IFERROR(__xludf.DUMMYFUNCTION("""COMPUTED_VALUE"""),"tur")</f>
        <v>tur</v>
      </c>
      <c r="C11899" s="3" t="str">
        <f>IFERROR(__xludf.DUMMYFUNCTION("""COMPUTED_VALUE"""),"Turex")</f>
        <v>Turex</v>
      </c>
    </row>
    <row r="11900">
      <c r="A11900" s="3" t="str">
        <f>IFERROR(__xludf.DUMMYFUNCTION("""COMPUTED_VALUE"""),"turkiye-basketbol-federasyonu-token")</f>
        <v>turkiye-basketbol-federasyonu-token</v>
      </c>
      <c r="B11900" s="3" t="str">
        <f>IFERROR(__xludf.DUMMYFUNCTION("""COMPUTED_VALUE"""),"tbft")</f>
        <v>tbft</v>
      </c>
      <c r="C11900" s="3" t="str">
        <f>IFERROR(__xludf.DUMMYFUNCTION("""COMPUTED_VALUE"""),"Türkiye Basketbol Federasyonu Fan Token")</f>
        <v>Türkiye Basketbol Federasyonu Fan Token</v>
      </c>
    </row>
    <row r="11901">
      <c r="A11901" s="3" t="str">
        <f>IFERROR(__xludf.DUMMYFUNCTION("""COMPUTED_VALUE"""),"turkiye-motosiklet-federasyonu-fan-token")</f>
        <v>turkiye-motosiklet-federasyonu-fan-token</v>
      </c>
      <c r="B11901" s="3" t="str">
        <f>IFERROR(__xludf.DUMMYFUNCTION("""COMPUTED_VALUE"""),"tmft")</f>
        <v>tmft</v>
      </c>
      <c r="C11901" s="3" t="str">
        <f>IFERROR(__xludf.DUMMYFUNCTION("""COMPUTED_VALUE"""),"Türkiye Motosiklet Federasyonu Fan Token")</f>
        <v>Türkiye Motosiklet Federasyonu Fan Token</v>
      </c>
    </row>
    <row r="11902">
      <c r="A11902" s="3" t="str">
        <f>IFERROR(__xludf.DUMMYFUNCTION("""COMPUTED_VALUE"""),"turnt-up-tikis")</f>
        <v>turnt-up-tikis</v>
      </c>
      <c r="B11902" s="3" t="str">
        <f>IFERROR(__xludf.DUMMYFUNCTION("""COMPUTED_VALUE"""),"tut")</f>
        <v>tut</v>
      </c>
      <c r="C11902" s="3" t="str">
        <f>IFERROR(__xludf.DUMMYFUNCTION("""COMPUTED_VALUE"""),"Turnt Up Tikis")</f>
        <v>Turnt Up Tikis</v>
      </c>
    </row>
    <row r="11903">
      <c r="A11903" s="3" t="str">
        <f>IFERROR(__xludf.DUMMYFUNCTION("""COMPUTED_VALUE"""),"turtlecoin")</f>
        <v>turtlecoin</v>
      </c>
      <c r="B11903" s="3" t="str">
        <f>IFERROR(__xludf.DUMMYFUNCTION("""COMPUTED_VALUE"""),"trtl")</f>
        <v>trtl</v>
      </c>
      <c r="C11903" s="3" t="str">
        <f>IFERROR(__xludf.DUMMYFUNCTION("""COMPUTED_VALUE"""),"TurtleCoin")</f>
        <v>TurtleCoin</v>
      </c>
    </row>
    <row r="11904">
      <c r="A11904" s="3" t="str">
        <f>IFERROR(__xludf.DUMMYFUNCTION("""COMPUTED_VALUE"""),"turtle-shell-islands")</f>
        <v>turtle-shell-islands</v>
      </c>
      <c r="B11904" s="3" t="str">
        <f>IFERROR(__xludf.DUMMYFUNCTION("""COMPUTED_VALUE"""),"shell")</f>
        <v>shell</v>
      </c>
      <c r="C11904" s="3" t="str">
        <f>IFERROR(__xludf.DUMMYFUNCTION("""COMPUTED_VALUE"""),"Turtle Shell Islands")</f>
        <v>Turtle Shell Islands</v>
      </c>
    </row>
    <row r="11905">
      <c r="A11905" s="3" t="str">
        <f>IFERROR(__xludf.DUMMYFUNCTION("""COMPUTED_VALUE"""),"turtles-token")</f>
        <v>turtles-token</v>
      </c>
      <c r="B11905" s="3" t="str">
        <f>IFERROR(__xludf.DUMMYFUNCTION("""COMPUTED_VALUE"""),"trtls")</f>
        <v>trtls</v>
      </c>
      <c r="C11905" s="3" t="str">
        <f>IFERROR(__xludf.DUMMYFUNCTION("""COMPUTED_VALUE"""),"Turtles")</f>
        <v>Turtles</v>
      </c>
    </row>
    <row r="11906">
      <c r="A11906" s="3" t="str">
        <f>IFERROR(__xludf.DUMMYFUNCTION("""COMPUTED_VALUE"""),"tusk-token")</f>
        <v>tusk-token</v>
      </c>
      <c r="B11906" s="3" t="str">
        <f>IFERROR(__xludf.DUMMYFUNCTION("""COMPUTED_VALUE"""),"tusk")</f>
        <v>tusk</v>
      </c>
      <c r="C11906" s="3" t="str">
        <f>IFERROR(__xludf.DUMMYFUNCTION("""COMPUTED_VALUE"""),"Mammoth.Bet")</f>
        <v>Mammoth.Bet</v>
      </c>
    </row>
    <row r="11907">
      <c r="A11907" s="3" t="str">
        <f>IFERROR(__xludf.DUMMYFUNCTION("""COMPUTED_VALUE"""),"tutela")</f>
        <v>tutela</v>
      </c>
      <c r="B11907" s="3" t="str">
        <f>IFERROR(__xludf.DUMMYFUNCTION("""COMPUTED_VALUE"""),"tutl")</f>
        <v>tutl</v>
      </c>
      <c r="C11907" s="3" t="str">
        <f>IFERROR(__xludf.DUMMYFUNCTION("""COMPUTED_VALUE"""),"Tutela")</f>
        <v>Tutela</v>
      </c>
    </row>
    <row r="11908">
      <c r="A11908" s="3" t="str">
        <f>IFERROR(__xludf.DUMMYFUNCTION("""COMPUTED_VALUE"""),"tutellus")</f>
        <v>tutellus</v>
      </c>
      <c r="B11908" s="3" t="str">
        <f>IFERROR(__xludf.DUMMYFUNCTION("""COMPUTED_VALUE"""),"tut")</f>
        <v>tut</v>
      </c>
      <c r="C11908" s="3" t="str">
        <f>IFERROR(__xludf.DUMMYFUNCTION("""COMPUTED_VALUE"""),"Tutellus")</f>
        <v>Tutellus</v>
      </c>
    </row>
    <row r="11909">
      <c r="A11909" s="3" t="str">
        <f>IFERROR(__xludf.DUMMYFUNCTION("""COMPUTED_VALUE"""),"tutors-diary")</f>
        <v>tutors-diary</v>
      </c>
      <c r="B11909" s="3" t="str">
        <f>IFERROR(__xludf.DUMMYFUNCTION("""COMPUTED_VALUE"""),"tuda")</f>
        <v>tuda</v>
      </c>
      <c r="C11909" s="3" t="str">
        <f>IFERROR(__xludf.DUMMYFUNCTION("""COMPUTED_VALUE"""),"Tutor's Diary")</f>
        <v>Tutor's Diary</v>
      </c>
    </row>
    <row r="11910">
      <c r="A11910" s="3" t="str">
        <f>IFERROR(__xludf.DUMMYFUNCTION("""COMPUTED_VALUE"""),"tutti-frutti-finance")</f>
        <v>tutti-frutti-finance</v>
      </c>
      <c r="B11910" s="3" t="str">
        <f>IFERROR(__xludf.DUMMYFUNCTION("""COMPUTED_VALUE"""),"tff")</f>
        <v>tff</v>
      </c>
      <c r="C11910" s="3" t="str">
        <f>IFERROR(__xludf.DUMMYFUNCTION("""COMPUTED_VALUE"""),"Tutti Frutti")</f>
        <v>Tutti Frutti</v>
      </c>
    </row>
    <row r="11911">
      <c r="A11911" s="3" t="str">
        <f>IFERROR(__xludf.DUMMYFUNCTION("""COMPUTED_VALUE"""),"tuzlaspor")</f>
        <v>tuzlaspor</v>
      </c>
      <c r="B11911" s="3" t="str">
        <f>IFERROR(__xludf.DUMMYFUNCTION("""COMPUTED_VALUE"""),"tuzla")</f>
        <v>tuzla</v>
      </c>
      <c r="C11911" s="3" t="str">
        <f>IFERROR(__xludf.DUMMYFUNCTION("""COMPUTED_VALUE"""),"Tuzlaspor Token")</f>
        <v>Tuzlaspor Token</v>
      </c>
    </row>
    <row r="11912">
      <c r="A11912" s="3" t="str">
        <f>IFERROR(__xludf.DUMMYFUNCTION("""COMPUTED_VALUE"""),"tvt")</f>
        <v>tvt</v>
      </c>
      <c r="B11912" s="3" t="str">
        <f>IFERROR(__xludf.DUMMYFUNCTION("""COMPUTED_VALUE"""),"tvt")</f>
        <v>tvt</v>
      </c>
      <c r="C11912" s="3" t="str">
        <f>IFERROR(__xludf.DUMMYFUNCTION("""COMPUTED_VALUE"""),"TVT")</f>
        <v>TVT</v>
      </c>
    </row>
    <row r="11913">
      <c r="A11913" s="3" t="str">
        <f>IFERROR(__xludf.DUMMYFUNCTION("""COMPUTED_VALUE"""),"twelve-legions")</f>
        <v>twelve-legions</v>
      </c>
      <c r="B11913" s="3" t="str">
        <f>IFERROR(__xludf.DUMMYFUNCTION("""COMPUTED_VALUE"""),"ctl")</f>
        <v>ctl</v>
      </c>
      <c r="C11913" s="3" t="str">
        <f>IFERROR(__xludf.DUMMYFUNCTION("""COMPUTED_VALUE"""),"Twelve Legions")</f>
        <v>Twelve Legions</v>
      </c>
    </row>
    <row r="11914">
      <c r="A11914" s="3" t="str">
        <f>IFERROR(__xludf.DUMMYFUNCTION("""COMPUTED_VALUE"""),"twinci")</f>
        <v>twinci</v>
      </c>
      <c r="B11914" s="3" t="str">
        <f>IFERROR(__xludf.DUMMYFUNCTION("""COMPUTED_VALUE"""),"twin")</f>
        <v>twin</v>
      </c>
      <c r="C11914" s="3" t="str">
        <f>IFERROR(__xludf.DUMMYFUNCTION("""COMPUTED_VALUE"""),"Twinci")</f>
        <v>Twinci</v>
      </c>
    </row>
    <row r="11915">
      <c r="A11915" s="3" t="str">
        <f>IFERROR(__xludf.DUMMYFUNCTION("""COMPUTED_VALUE"""),"twirl-governance-token")</f>
        <v>twirl-governance-token</v>
      </c>
      <c r="B11915" s="3" t="str">
        <f>IFERROR(__xludf.DUMMYFUNCTION("""COMPUTED_VALUE"""),"tgt")</f>
        <v>tgt</v>
      </c>
      <c r="C11915" s="3" t="str">
        <f>IFERROR(__xludf.DUMMYFUNCTION("""COMPUTED_VALUE"""),"Twirl Governance")</f>
        <v>Twirl Governance</v>
      </c>
    </row>
    <row r="11916">
      <c r="A11916" s="3" t="str">
        <f>IFERROR(__xludf.DUMMYFUNCTION("""COMPUTED_VALUE"""),"twitterx")</f>
        <v>twitterx</v>
      </c>
      <c r="B11916" s="3" t="str">
        <f>IFERROR(__xludf.DUMMYFUNCTION("""COMPUTED_VALUE"""),"twitterx")</f>
        <v>twitterx</v>
      </c>
      <c r="C11916" s="3" t="str">
        <f>IFERROR(__xludf.DUMMYFUNCTION("""COMPUTED_VALUE"""),"TwitterX")</f>
        <v>TwitterX</v>
      </c>
    </row>
    <row r="11917">
      <c r="A11917" s="3" t="str">
        <f>IFERROR(__xludf.DUMMYFUNCTION("""COMPUTED_VALUE"""),"twoge-inu")</f>
        <v>twoge-inu</v>
      </c>
      <c r="B11917" s="3" t="str">
        <f>IFERROR(__xludf.DUMMYFUNCTION("""COMPUTED_VALUE"""),"twoge")</f>
        <v>twoge</v>
      </c>
      <c r="C11917" s="3" t="str">
        <f>IFERROR(__xludf.DUMMYFUNCTION("""COMPUTED_VALUE"""),"Twoge Inu")</f>
        <v>Twoge Inu</v>
      </c>
    </row>
    <row r="11918">
      <c r="A11918" s="3" t="str">
        <f>IFERROR(__xludf.DUMMYFUNCTION("""COMPUTED_VALUE"""),"two-monkey-juice-bar")</f>
        <v>two-monkey-juice-bar</v>
      </c>
      <c r="B11918" s="3" t="str">
        <f>IFERROR(__xludf.DUMMYFUNCTION("""COMPUTED_VALUE"""),"$tmon")</f>
        <v>$tmon</v>
      </c>
      <c r="C11918" s="3" t="str">
        <f>IFERROR(__xludf.DUMMYFUNCTION("""COMPUTED_VALUE"""),"Two Monkey Juice Bar")</f>
        <v>Two Monkey Juice Bar</v>
      </c>
    </row>
    <row r="11919">
      <c r="A11919" s="3" t="str">
        <f>IFERROR(__xludf.DUMMYFUNCTION("""COMPUTED_VALUE"""),"txa")</f>
        <v>txa</v>
      </c>
      <c r="B11919" s="3" t="str">
        <f>IFERROR(__xludf.DUMMYFUNCTION("""COMPUTED_VALUE"""),"txa")</f>
        <v>txa</v>
      </c>
      <c r="C11919" s="3" t="str">
        <f>IFERROR(__xludf.DUMMYFUNCTION("""COMPUTED_VALUE"""),"TXA")</f>
        <v>TXA</v>
      </c>
    </row>
    <row r="11920">
      <c r="A11920" s="3" t="str">
        <f>IFERROR(__xludf.DUMMYFUNCTION("""COMPUTED_VALUE"""),"txbit")</f>
        <v>txbit</v>
      </c>
      <c r="B11920" s="3" t="str">
        <f>IFERROR(__xludf.DUMMYFUNCTION("""COMPUTED_VALUE"""),"txbit")</f>
        <v>txbit</v>
      </c>
      <c r="C11920" s="3" t="str">
        <f>IFERROR(__xludf.DUMMYFUNCTION("""COMPUTED_VALUE"""),"Txbit")</f>
        <v>Txbit</v>
      </c>
    </row>
    <row r="11921">
      <c r="A11921" s="3" t="str">
        <f>IFERROR(__xludf.DUMMYFUNCTION("""COMPUTED_VALUE"""),"tycoon")</f>
        <v>tycoon</v>
      </c>
      <c r="B11921" s="3" t="str">
        <f>IFERROR(__xludf.DUMMYFUNCTION("""COMPUTED_VALUE"""),"tyc")</f>
        <v>tyc</v>
      </c>
      <c r="C11921" s="3" t="str">
        <f>IFERROR(__xludf.DUMMYFUNCTION("""COMPUTED_VALUE"""),"Tycoon")</f>
        <v>Tycoon</v>
      </c>
    </row>
    <row r="11922">
      <c r="A11922" s="3" t="str">
        <f>IFERROR(__xludf.DUMMYFUNCTION("""COMPUTED_VALUE"""),"tycoon-global")</f>
        <v>tycoon-global</v>
      </c>
      <c r="B11922" s="3" t="str">
        <f>IFERROR(__xludf.DUMMYFUNCTION("""COMPUTED_VALUE"""),"tct")</f>
        <v>tct</v>
      </c>
      <c r="C11922" s="3" t="str">
        <f>IFERROR(__xludf.DUMMYFUNCTION("""COMPUTED_VALUE"""),"Tycoon Global")</f>
        <v>Tycoon Global</v>
      </c>
    </row>
    <row r="11923">
      <c r="A11923" s="3" t="str">
        <f>IFERROR(__xludf.DUMMYFUNCTION("""COMPUTED_VALUE"""),"typerium")</f>
        <v>typerium</v>
      </c>
      <c r="B11923" s="3" t="str">
        <f>IFERROR(__xludf.DUMMYFUNCTION("""COMPUTED_VALUE"""),"type")</f>
        <v>type</v>
      </c>
      <c r="C11923" s="3" t="str">
        <f>IFERROR(__xludf.DUMMYFUNCTION("""COMPUTED_VALUE"""),"Typerium")</f>
        <v>Typerium</v>
      </c>
    </row>
    <row r="11924">
      <c r="A11924" s="3" t="str">
        <f>IFERROR(__xludf.DUMMYFUNCTION("""COMPUTED_VALUE"""),"typhoon-cash")</f>
        <v>typhoon-cash</v>
      </c>
      <c r="B11924" s="3" t="str">
        <f>IFERROR(__xludf.DUMMYFUNCTION("""COMPUTED_VALUE"""),"phoon")</f>
        <v>phoon</v>
      </c>
      <c r="C11924" s="3" t="str">
        <f>IFERROR(__xludf.DUMMYFUNCTION("""COMPUTED_VALUE"""),"Typhoon Cash")</f>
        <v>Typhoon Cash</v>
      </c>
    </row>
    <row r="11925">
      <c r="A11925" s="3" t="str">
        <f>IFERROR(__xludf.DUMMYFUNCTION("""COMPUTED_VALUE"""),"typhoon-network")</f>
        <v>typhoon-network</v>
      </c>
      <c r="B11925" s="3" t="str">
        <f>IFERROR(__xludf.DUMMYFUNCTION("""COMPUTED_VALUE"""),"typh")</f>
        <v>typh</v>
      </c>
      <c r="C11925" s="3" t="str">
        <f>IFERROR(__xludf.DUMMYFUNCTION("""COMPUTED_VALUE"""),"Typhoon Network")</f>
        <v>Typhoon Network</v>
      </c>
    </row>
    <row r="11926">
      <c r="A11926" s="3" t="str">
        <f>IFERROR(__xludf.DUMMYFUNCTION("""COMPUTED_VALUE"""),"tyv")</f>
        <v>tyv</v>
      </c>
      <c r="B11926" s="3" t="str">
        <f>IFERROR(__xludf.DUMMYFUNCTION("""COMPUTED_VALUE"""),"tyv")</f>
        <v>tyv</v>
      </c>
      <c r="C11926" s="3" t="str">
        <f>IFERROR(__xludf.DUMMYFUNCTION("""COMPUTED_VALUE"""),"TYV")</f>
        <v>TYV</v>
      </c>
    </row>
    <row r="11927">
      <c r="A11927" s="3" t="str">
        <f>IFERROR(__xludf.DUMMYFUNCTION("""COMPUTED_VALUE"""),"uangmarket")</f>
        <v>uangmarket</v>
      </c>
      <c r="B11927" s="3" t="str">
        <f>IFERROR(__xludf.DUMMYFUNCTION("""COMPUTED_VALUE"""),"uang")</f>
        <v>uang</v>
      </c>
      <c r="C11927" s="3" t="str">
        <f>IFERROR(__xludf.DUMMYFUNCTION("""COMPUTED_VALUE"""),"UangMarket")</f>
        <v>UangMarket</v>
      </c>
    </row>
    <row r="11928">
      <c r="A11928" s="3" t="str">
        <f>IFERROR(__xludf.DUMMYFUNCTION("""COMPUTED_VALUE"""),"ubeswap")</f>
        <v>ubeswap</v>
      </c>
      <c r="B11928" s="3" t="str">
        <f>IFERROR(__xludf.DUMMYFUNCTION("""COMPUTED_VALUE"""),"ube")</f>
        <v>ube</v>
      </c>
      <c r="C11928" s="3" t="str">
        <f>IFERROR(__xludf.DUMMYFUNCTION("""COMPUTED_VALUE"""),"Ubeswap")</f>
        <v>Ubeswap</v>
      </c>
    </row>
    <row r="11929">
      <c r="A11929" s="3" t="str">
        <f>IFERROR(__xludf.DUMMYFUNCTION("""COMPUTED_VALUE"""),"ubex")</f>
        <v>ubex</v>
      </c>
      <c r="B11929" s="3" t="str">
        <f>IFERROR(__xludf.DUMMYFUNCTION("""COMPUTED_VALUE"""),"ubex")</f>
        <v>ubex</v>
      </c>
      <c r="C11929" s="3" t="str">
        <f>IFERROR(__xludf.DUMMYFUNCTION("""COMPUTED_VALUE"""),"Ubex")</f>
        <v>Ubex</v>
      </c>
    </row>
    <row r="11930">
      <c r="A11930" s="3" t="str">
        <f>IFERROR(__xludf.DUMMYFUNCTION("""COMPUTED_VALUE"""),"ubiner")</f>
        <v>ubiner</v>
      </c>
      <c r="B11930" s="3" t="str">
        <f>IFERROR(__xludf.DUMMYFUNCTION("""COMPUTED_VALUE"""),"ubin")</f>
        <v>ubin</v>
      </c>
      <c r="C11930" s="3" t="str">
        <f>IFERROR(__xludf.DUMMYFUNCTION("""COMPUTED_VALUE"""),"Ubiner")</f>
        <v>Ubiner</v>
      </c>
    </row>
    <row r="11931">
      <c r="A11931" s="3" t="str">
        <f>IFERROR(__xludf.DUMMYFUNCTION("""COMPUTED_VALUE"""),"ubiq")</f>
        <v>ubiq</v>
      </c>
      <c r="B11931" s="3" t="str">
        <f>IFERROR(__xludf.DUMMYFUNCTION("""COMPUTED_VALUE"""),"ubq")</f>
        <v>ubq</v>
      </c>
      <c r="C11931" s="3" t="str">
        <f>IFERROR(__xludf.DUMMYFUNCTION("""COMPUTED_VALUE"""),"Ubiq")</f>
        <v>Ubiq</v>
      </c>
    </row>
    <row r="11932">
      <c r="A11932" s="3" t="str">
        <f>IFERROR(__xludf.DUMMYFUNCTION("""COMPUTED_VALUE"""),"ubix-network")</f>
        <v>ubix-network</v>
      </c>
      <c r="B11932" s="3" t="str">
        <f>IFERROR(__xludf.DUMMYFUNCTION("""COMPUTED_VALUE"""),"ubx")</f>
        <v>ubx</v>
      </c>
      <c r="C11932" s="3" t="str">
        <f>IFERROR(__xludf.DUMMYFUNCTION("""COMPUTED_VALUE"""),"UBIX Network")</f>
        <v>UBIX Network</v>
      </c>
    </row>
    <row r="11933">
      <c r="A11933" s="3" t="str">
        <f>IFERROR(__xludf.DUMMYFUNCTION("""COMPUTED_VALUE"""),"ubu")</f>
        <v>ubu</v>
      </c>
      <c r="B11933" s="3" t="str">
        <f>IFERROR(__xludf.DUMMYFUNCTION("""COMPUTED_VALUE"""),"ubu")</f>
        <v>ubu</v>
      </c>
      <c r="C11933" s="3" t="str">
        <f>IFERROR(__xludf.DUMMYFUNCTION("""COMPUTED_VALUE"""),"UBU")</f>
        <v>UBU</v>
      </c>
    </row>
    <row r="11934">
      <c r="A11934" s="3" t="str">
        <f>IFERROR(__xludf.DUMMYFUNCTION("""COMPUTED_VALUE"""),"ubu-finance")</f>
        <v>ubu-finance</v>
      </c>
      <c r="B11934" s="3" t="str">
        <f>IFERROR(__xludf.DUMMYFUNCTION("""COMPUTED_VALUE"""),"ubu")</f>
        <v>ubu</v>
      </c>
      <c r="C11934" s="3" t="str">
        <f>IFERROR(__xludf.DUMMYFUNCTION("""COMPUTED_VALUE"""),"UBU Finance")</f>
        <v>UBU Finance</v>
      </c>
    </row>
    <row r="11935">
      <c r="A11935" s="3" t="str">
        <f>IFERROR(__xludf.DUMMYFUNCTION("""COMPUTED_VALUE"""),"ubxs-token")</f>
        <v>ubxs-token</v>
      </c>
      <c r="B11935" s="3" t="str">
        <f>IFERROR(__xludf.DUMMYFUNCTION("""COMPUTED_VALUE"""),"ubxs")</f>
        <v>ubxs</v>
      </c>
      <c r="C11935" s="3" t="str">
        <f>IFERROR(__xludf.DUMMYFUNCTION("""COMPUTED_VALUE"""),"UBXS")</f>
        <v>UBXS</v>
      </c>
    </row>
    <row r="11936">
      <c r="A11936" s="3" t="str">
        <f>IFERROR(__xludf.DUMMYFUNCTION("""COMPUTED_VALUE"""),"uca")</f>
        <v>uca</v>
      </c>
      <c r="B11936" s="3" t="str">
        <f>IFERROR(__xludf.DUMMYFUNCTION("""COMPUTED_VALUE"""),"uca")</f>
        <v>uca</v>
      </c>
      <c r="C11936" s="3" t="str">
        <f>IFERROR(__xludf.DUMMYFUNCTION("""COMPUTED_VALUE"""),"UCA Coin")</f>
        <v>UCA Coin</v>
      </c>
    </row>
    <row r="11937">
      <c r="A11937" s="3" t="str">
        <f>IFERROR(__xludf.DUMMYFUNCTION("""COMPUTED_VALUE"""),"ucash")</f>
        <v>ucash</v>
      </c>
      <c r="B11937" s="3" t="str">
        <f>IFERROR(__xludf.DUMMYFUNCTION("""COMPUTED_VALUE"""),"ucash")</f>
        <v>ucash</v>
      </c>
      <c r="C11937" s="3" t="str">
        <f>IFERROR(__xludf.DUMMYFUNCTION("""COMPUTED_VALUE"""),"U.CASH")</f>
        <v>U.CASH</v>
      </c>
    </row>
    <row r="11938">
      <c r="A11938" s="3" t="str">
        <f>IFERROR(__xludf.DUMMYFUNCTION("""COMPUTED_VALUE"""),"uchain")</f>
        <v>uchain</v>
      </c>
      <c r="B11938" s="3" t="str">
        <f>IFERROR(__xludf.DUMMYFUNCTION("""COMPUTED_VALUE"""),"ucn")</f>
        <v>ucn</v>
      </c>
      <c r="C11938" s="3" t="str">
        <f>IFERROR(__xludf.DUMMYFUNCTION("""COMPUTED_VALUE"""),"UChain")</f>
        <v>UChain</v>
      </c>
    </row>
    <row r="11939">
      <c r="A11939" s="3" t="str">
        <f>IFERROR(__xludf.DUMMYFUNCTION("""COMPUTED_VALUE"""),"uconetwork")</f>
        <v>uconetwork</v>
      </c>
      <c r="B11939" s="3" t="str">
        <f>IFERROR(__xludf.DUMMYFUNCTION("""COMPUTED_VALUE"""),"ucoil")</f>
        <v>ucoil</v>
      </c>
      <c r="C11939" s="3" t="str">
        <f>IFERROR(__xludf.DUMMYFUNCTION("""COMPUTED_VALUE"""),"UCONetwork")</f>
        <v>UCONetwork</v>
      </c>
    </row>
    <row r="11940">
      <c r="A11940" s="3" t="str">
        <f>IFERROR(__xludf.DUMMYFUNCTION("""COMPUTED_VALUE"""),"ucrowdme")</f>
        <v>ucrowdme</v>
      </c>
      <c r="B11940" s="3" t="str">
        <f>IFERROR(__xludf.DUMMYFUNCTION("""COMPUTED_VALUE"""),"ucm")</f>
        <v>ucm</v>
      </c>
      <c r="C11940" s="3" t="str">
        <f>IFERROR(__xludf.DUMMYFUNCTION("""COMPUTED_VALUE"""),"UCROWDME")</f>
        <v>UCROWDME</v>
      </c>
    </row>
    <row r="11941">
      <c r="A11941" s="3" t="str">
        <f>IFERROR(__xludf.DUMMYFUNCTION("""COMPUTED_VALUE"""),"ucx")</f>
        <v>ucx</v>
      </c>
      <c r="B11941" s="3" t="str">
        <f>IFERROR(__xludf.DUMMYFUNCTION("""COMPUTED_VALUE"""),"ucx")</f>
        <v>ucx</v>
      </c>
      <c r="C11941" s="3" t="str">
        <f>IFERROR(__xludf.DUMMYFUNCTION("""COMPUTED_VALUE"""),"UCX")</f>
        <v>UCX</v>
      </c>
    </row>
    <row r="11942">
      <c r="A11942" s="3" t="str">
        <f>IFERROR(__xludf.DUMMYFUNCTION("""COMPUTED_VALUE"""),"udder-chaos-milk")</f>
        <v>udder-chaos-milk</v>
      </c>
      <c r="B11942" s="3" t="str">
        <f>IFERROR(__xludf.DUMMYFUNCTION("""COMPUTED_VALUE"""),"milk")</f>
        <v>milk</v>
      </c>
      <c r="C11942" s="3" t="str">
        <f>IFERROR(__xludf.DUMMYFUNCTION("""COMPUTED_VALUE"""),"MILK")</f>
        <v>MILK</v>
      </c>
    </row>
    <row r="11943">
      <c r="A11943" s="3" t="str">
        <f>IFERROR(__xludf.DUMMYFUNCTION("""COMPUTED_VALUE"""),"ufc-fan-token")</f>
        <v>ufc-fan-token</v>
      </c>
      <c r="B11943" s="3" t="str">
        <f>IFERROR(__xludf.DUMMYFUNCTION("""COMPUTED_VALUE"""),"ufc")</f>
        <v>ufc</v>
      </c>
      <c r="C11943" s="3" t="str">
        <f>IFERROR(__xludf.DUMMYFUNCTION("""COMPUTED_VALUE"""),"UFC Fan Token")</f>
        <v>UFC Fan Token</v>
      </c>
    </row>
    <row r="11944">
      <c r="A11944" s="3" t="str">
        <f>IFERROR(__xludf.DUMMYFUNCTION("""COMPUTED_VALUE"""),"ufocoin")</f>
        <v>ufocoin</v>
      </c>
      <c r="B11944" s="3" t="str">
        <f>IFERROR(__xludf.DUMMYFUNCTION("""COMPUTED_VALUE"""),"ufo")</f>
        <v>ufo</v>
      </c>
      <c r="C11944" s="3" t="str">
        <f>IFERROR(__xludf.DUMMYFUNCTION("""COMPUTED_VALUE"""),"Uniform Fiscal Object")</f>
        <v>Uniform Fiscal Object</v>
      </c>
    </row>
    <row r="11945">
      <c r="A11945" s="3" t="str">
        <f>IFERROR(__xludf.DUMMYFUNCTION("""COMPUTED_VALUE"""),"ufo-gaming")</f>
        <v>ufo-gaming</v>
      </c>
      <c r="B11945" s="3" t="str">
        <f>IFERROR(__xludf.DUMMYFUNCTION("""COMPUTED_VALUE"""),"ufo")</f>
        <v>ufo</v>
      </c>
      <c r="C11945" s="3" t="str">
        <f>IFERROR(__xludf.DUMMYFUNCTION("""COMPUTED_VALUE"""),"UFO Gaming")</f>
        <v>UFO Gaming</v>
      </c>
    </row>
    <row r="11946">
      <c r="A11946" s="3" t="str">
        <f>IFERROR(__xludf.DUMMYFUNCTION("""COMPUTED_VALUE"""),"uhive")</f>
        <v>uhive</v>
      </c>
      <c r="B11946" s="3" t="str">
        <f>IFERROR(__xludf.DUMMYFUNCTION("""COMPUTED_VALUE"""),"hve2")</f>
        <v>hve2</v>
      </c>
      <c r="C11946" s="3" t="str">
        <f>IFERROR(__xludf.DUMMYFUNCTION("""COMPUTED_VALUE"""),"Uhive")</f>
        <v>Uhive</v>
      </c>
    </row>
    <row r="11947">
      <c r="A11947" s="3" t="str">
        <f>IFERROR(__xludf.DUMMYFUNCTION("""COMPUTED_VALUE"""),"uka-doge-coin")</f>
        <v>uka-doge-coin</v>
      </c>
      <c r="B11947" s="3" t="str">
        <f>IFERROR(__xludf.DUMMYFUNCTION("""COMPUTED_VALUE"""),"udoge")</f>
        <v>udoge</v>
      </c>
      <c r="C11947" s="3" t="str">
        <f>IFERROR(__xludf.DUMMYFUNCTION("""COMPUTED_VALUE"""),"Uka Doge Coin")</f>
        <v>Uka Doge Coin</v>
      </c>
    </row>
    <row r="11948">
      <c r="A11948" s="3" t="str">
        <f>IFERROR(__xludf.DUMMYFUNCTION("""COMPUTED_VALUE"""),"ukrainedao-flag-nft")</f>
        <v>ukrainedao-flag-nft</v>
      </c>
      <c r="B11948" s="3" t="str">
        <f>IFERROR(__xludf.DUMMYFUNCTION("""COMPUTED_VALUE"""),"love")</f>
        <v>love</v>
      </c>
      <c r="C11948" s="3" t="str">
        <f>IFERROR(__xludf.DUMMYFUNCTION("""COMPUTED_VALUE"""),"UkraineDAO Flag NFT")</f>
        <v>UkraineDAO Flag NFT</v>
      </c>
    </row>
    <row r="11949">
      <c r="A11949" s="3" t="str">
        <f>IFERROR(__xludf.DUMMYFUNCTION("""COMPUTED_VALUE"""),"ulanco")</f>
        <v>ulanco</v>
      </c>
      <c r="B11949" s="3" t="str">
        <f>IFERROR(__xludf.DUMMYFUNCTION("""COMPUTED_VALUE"""),"uac")</f>
        <v>uac</v>
      </c>
      <c r="C11949" s="3" t="str">
        <f>IFERROR(__xludf.DUMMYFUNCTION("""COMPUTED_VALUE"""),"Ulanco")</f>
        <v>Ulanco</v>
      </c>
    </row>
    <row r="11950">
      <c r="A11950" s="3" t="str">
        <f>IFERROR(__xludf.DUMMYFUNCTION("""COMPUTED_VALUE"""),"uland")</f>
        <v>uland</v>
      </c>
      <c r="B11950" s="3" t="str">
        <f>IFERROR(__xludf.DUMMYFUNCTION("""COMPUTED_VALUE"""),"uland")</f>
        <v>uland</v>
      </c>
      <c r="C11950" s="3" t="str">
        <f>IFERROR(__xludf.DUMMYFUNCTION("""COMPUTED_VALUE"""),"ULAND")</f>
        <v>ULAND</v>
      </c>
    </row>
    <row r="11951">
      <c r="A11951" s="3" t="str">
        <f>IFERROR(__xludf.DUMMYFUNCTION("""COMPUTED_VALUE"""),"ulgen-hash-power")</f>
        <v>ulgen-hash-power</v>
      </c>
      <c r="B11951" s="3" t="str">
        <f>IFERROR(__xludf.DUMMYFUNCTION("""COMPUTED_VALUE"""),"uhp")</f>
        <v>uhp</v>
      </c>
      <c r="C11951" s="3" t="str">
        <f>IFERROR(__xludf.DUMMYFUNCTION("""COMPUTED_VALUE"""),"Ulgen Hash Power")</f>
        <v>Ulgen Hash Power</v>
      </c>
    </row>
    <row r="11952">
      <c r="A11952" s="3" t="str">
        <f>IFERROR(__xludf.DUMMYFUNCTION("""COMPUTED_VALUE"""),"ulord")</f>
        <v>ulord</v>
      </c>
      <c r="B11952" s="3" t="str">
        <f>IFERROR(__xludf.DUMMYFUNCTION("""COMPUTED_VALUE"""),"ut")</f>
        <v>ut</v>
      </c>
      <c r="C11952" s="3" t="str">
        <f>IFERROR(__xludf.DUMMYFUNCTION("""COMPUTED_VALUE"""),"Ulord")</f>
        <v>Ulord</v>
      </c>
    </row>
    <row r="11953">
      <c r="A11953" s="3" t="str">
        <f>IFERROR(__xludf.DUMMYFUNCTION("""COMPUTED_VALUE"""),"ulti-arena")</f>
        <v>ulti-arena</v>
      </c>
      <c r="B11953" s="3" t="str">
        <f>IFERROR(__xludf.DUMMYFUNCTION("""COMPUTED_VALUE"""),"ulti")</f>
        <v>ulti</v>
      </c>
      <c r="C11953" s="3" t="str">
        <f>IFERROR(__xludf.DUMMYFUNCTION("""COMPUTED_VALUE"""),"Ulti Arena")</f>
        <v>Ulti Arena</v>
      </c>
    </row>
    <row r="11954">
      <c r="A11954" s="3" t="str">
        <f>IFERROR(__xludf.DUMMYFUNCTION("""COMPUTED_VALUE"""),"ultiledger")</f>
        <v>ultiledger</v>
      </c>
      <c r="B11954" s="3" t="str">
        <f>IFERROR(__xludf.DUMMYFUNCTION("""COMPUTED_VALUE"""),"ult")</f>
        <v>ult</v>
      </c>
      <c r="C11954" s="3" t="str">
        <f>IFERROR(__xludf.DUMMYFUNCTION("""COMPUTED_VALUE"""),"Ultiledger")</f>
        <v>Ultiledger</v>
      </c>
    </row>
    <row r="11955">
      <c r="A11955" s="3" t="str">
        <f>IFERROR(__xludf.DUMMYFUNCTION("""COMPUTED_VALUE"""),"ultimate-champions")</f>
        <v>ultimate-champions</v>
      </c>
      <c r="B11955" s="3" t="str">
        <f>IFERROR(__xludf.DUMMYFUNCTION("""COMPUTED_VALUE"""),"champ")</f>
        <v>champ</v>
      </c>
      <c r="C11955" s="3" t="str">
        <f>IFERROR(__xludf.DUMMYFUNCTION("""COMPUTED_VALUE"""),"Ultimate Champions")</f>
        <v>Ultimate Champions</v>
      </c>
    </row>
    <row r="11956">
      <c r="A11956" s="3" t="str">
        <f>IFERROR(__xludf.DUMMYFUNCTION("""COMPUTED_VALUE"""),"ultimogg")</f>
        <v>ultimogg</v>
      </c>
      <c r="B11956" s="3" t="str">
        <f>IFERROR(__xludf.DUMMYFUNCTION("""COMPUTED_VALUE"""),"ultgg")</f>
        <v>ultgg</v>
      </c>
      <c r="C11956" s="3" t="str">
        <f>IFERROR(__xludf.DUMMYFUNCTION("""COMPUTED_VALUE"""),"UltimoGG")</f>
        <v>UltimoGG</v>
      </c>
    </row>
    <row r="11957">
      <c r="A11957" s="3" t="str">
        <f>IFERROR(__xludf.DUMMYFUNCTION("""COMPUTED_VALUE"""),"ultra")</f>
        <v>ultra</v>
      </c>
      <c r="B11957" s="3" t="str">
        <f>IFERROR(__xludf.DUMMYFUNCTION("""COMPUTED_VALUE"""),"uos")</f>
        <v>uos</v>
      </c>
      <c r="C11957" s="3" t="str">
        <f>IFERROR(__xludf.DUMMYFUNCTION("""COMPUTED_VALUE"""),"Ultra")</f>
        <v>Ultra</v>
      </c>
    </row>
    <row r="11958">
      <c r="A11958" s="3" t="str">
        <f>IFERROR(__xludf.DUMMYFUNCTION("""COMPUTED_VALUE"""),"ultrachad")</f>
        <v>ultrachad</v>
      </c>
      <c r="B11958" s="3" t="str">
        <f>IFERROR(__xludf.DUMMYFUNCTION("""COMPUTED_VALUE"""),"uchad")</f>
        <v>uchad</v>
      </c>
      <c r="C11958" s="3" t="str">
        <f>IFERROR(__xludf.DUMMYFUNCTION("""COMPUTED_VALUE"""),"UltraChad")</f>
        <v>UltraChad</v>
      </c>
    </row>
    <row r="11959">
      <c r="A11959" s="3" t="str">
        <f>IFERROR(__xludf.DUMMYFUNCTION("""COMPUTED_VALUE"""),"ultra-clear")</f>
        <v>ultra-clear</v>
      </c>
      <c r="B11959" s="3" t="str">
        <f>IFERROR(__xludf.DUMMYFUNCTION("""COMPUTED_VALUE"""),"ucr")</f>
        <v>ucr</v>
      </c>
      <c r="C11959" s="3" t="str">
        <f>IFERROR(__xludf.DUMMYFUNCTION("""COMPUTED_VALUE"""),"Ultra Clear")</f>
        <v>Ultra Clear</v>
      </c>
    </row>
    <row r="11960">
      <c r="A11960" s="3" t="str">
        <f>IFERROR(__xludf.DUMMYFUNCTION("""COMPUTED_VALUE"""),"ultragate")</f>
        <v>ultragate</v>
      </c>
      <c r="B11960" s="3" t="str">
        <f>IFERROR(__xludf.DUMMYFUNCTION("""COMPUTED_VALUE"""),"ulg")</f>
        <v>ulg</v>
      </c>
      <c r="C11960" s="3" t="str">
        <f>IFERROR(__xludf.DUMMYFUNCTION("""COMPUTED_VALUE"""),"Ultragate")</f>
        <v>Ultragate</v>
      </c>
    </row>
    <row r="11961">
      <c r="A11961" s="3" t="str">
        <f>IFERROR(__xludf.DUMMYFUNCTION("""COMPUTED_VALUE"""),"ultrain")</f>
        <v>ultrain</v>
      </c>
      <c r="B11961" s="3" t="str">
        <f>IFERROR(__xludf.DUMMYFUNCTION("""COMPUTED_VALUE"""),"ugas")</f>
        <v>ugas</v>
      </c>
      <c r="C11961" s="3" t="str">
        <f>IFERROR(__xludf.DUMMYFUNCTION("""COMPUTED_VALUE"""),"Ultrain")</f>
        <v>Ultrain</v>
      </c>
    </row>
    <row r="11962">
      <c r="A11962" s="3" t="str">
        <f>IFERROR(__xludf.DUMMYFUNCTION("""COMPUTED_VALUE"""),"ultralpha")</f>
        <v>ultralpha</v>
      </c>
      <c r="B11962" s="3" t="str">
        <f>IFERROR(__xludf.DUMMYFUNCTION("""COMPUTED_VALUE"""),"uat")</f>
        <v>uat</v>
      </c>
      <c r="C11962" s="3" t="str">
        <f>IFERROR(__xludf.DUMMYFUNCTION("""COMPUTED_VALUE"""),"UltrAlpha")</f>
        <v>UltrAlpha</v>
      </c>
    </row>
    <row r="11963">
      <c r="A11963" s="3" t="str">
        <f>IFERROR(__xludf.DUMMYFUNCTION("""COMPUTED_VALUE"""),"ultramoc")</f>
        <v>ultramoc</v>
      </c>
      <c r="B11963" s="3" t="str">
        <f>IFERROR(__xludf.DUMMYFUNCTION("""COMPUTED_VALUE"""),"umc")</f>
        <v>umc</v>
      </c>
      <c r="C11963" s="3" t="str">
        <f>IFERROR(__xludf.DUMMYFUNCTION("""COMPUTED_VALUE"""),"Ultramoc")</f>
        <v>Ultramoc</v>
      </c>
    </row>
    <row r="11964">
      <c r="A11964" s="3" t="str">
        <f>IFERROR(__xludf.DUMMYFUNCTION("""COMPUTED_VALUE"""),"ultra-nft")</f>
        <v>ultra-nft</v>
      </c>
      <c r="B11964" s="3" t="str">
        <f>IFERROR(__xludf.DUMMYFUNCTION("""COMPUTED_VALUE"""),"unft")</f>
        <v>unft</v>
      </c>
      <c r="C11964" s="3" t="str">
        <f>IFERROR(__xludf.DUMMYFUNCTION("""COMPUTED_VALUE"""),"Ultra NFT")</f>
        <v>Ultra NFT</v>
      </c>
    </row>
    <row r="11965">
      <c r="A11965" s="3" t="str">
        <f>IFERROR(__xludf.DUMMYFUNCTION("""COMPUTED_VALUE"""),"ultrasafe")</f>
        <v>ultrasafe</v>
      </c>
      <c r="B11965" s="3" t="str">
        <f>IFERROR(__xludf.DUMMYFUNCTION("""COMPUTED_VALUE"""),"ultra")</f>
        <v>ultra</v>
      </c>
      <c r="C11965" s="3" t="str">
        <f>IFERROR(__xludf.DUMMYFUNCTION("""COMPUTED_VALUE"""),"UltraSafe")</f>
        <v>UltraSafe</v>
      </c>
    </row>
    <row r="11966">
      <c r="A11966" s="3" t="str">
        <f>IFERROR(__xludf.DUMMYFUNCTION("""COMPUTED_VALUE"""),"ultron")</f>
        <v>ultron</v>
      </c>
      <c r="B11966" s="3" t="str">
        <f>IFERROR(__xludf.DUMMYFUNCTION("""COMPUTED_VALUE"""),"ulx")</f>
        <v>ulx</v>
      </c>
      <c r="C11966" s="3" t="str">
        <f>IFERROR(__xludf.DUMMYFUNCTION("""COMPUTED_VALUE"""),"ULTRON")</f>
        <v>ULTRON</v>
      </c>
    </row>
    <row r="11967">
      <c r="A11967" s="3" t="str">
        <f>IFERROR(__xludf.DUMMYFUNCTION("""COMPUTED_VALUE"""),"ultronglow")</f>
        <v>ultronglow</v>
      </c>
      <c r="B11967" s="3" t="str">
        <f>IFERROR(__xludf.DUMMYFUNCTION("""COMPUTED_VALUE"""),"utg")</f>
        <v>utg</v>
      </c>
      <c r="C11967" s="3" t="str">
        <f>IFERROR(__xludf.DUMMYFUNCTION("""COMPUTED_VALUE"""),"UltronGlow")</f>
        <v>UltronGlow</v>
      </c>
    </row>
    <row r="11968">
      <c r="A11968" s="3" t="str">
        <f>IFERROR(__xludf.DUMMYFUNCTION("""COMPUTED_VALUE"""),"uma")</f>
        <v>uma</v>
      </c>
      <c r="B11968" s="3" t="str">
        <f>IFERROR(__xludf.DUMMYFUNCTION("""COMPUTED_VALUE"""),"uma")</f>
        <v>uma</v>
      </c>
      <c r="C11968" s="3" t="str">
        <f>IFERROR(__xludf.DUMMYFUNCTION("""COMPUTED_VALUE"""),"UMA")</f>
        <v>UMA</v>
      </c>
    </row>
    <row r="11969">
      <c r="A11969" s="3" t="str">
        <f>IFERROR(__xludf.DUMMYFUNCTION("""COMPUTED_VALUE"""),"umami-finance")</f>
        <v>umami-finance</v>
      </c>
      <c r="B11969" s="3" t="str">
        <f>IFERROR(__xludf.DUMMYFUNCTION("""COMPUTED_VALUE"""),"umami")</f>
        <v>umami</v>
      </c>
      <c r="C11969" s="3" t="str">
        <f>IFERROR(__xludf.DUMMYFUNCTION("""COMPUTED_VALUE"""),"Umami")</f>
        <v>Umami</v>
      </c>
    </row>
    <row r="11970">
      <c r="A11970" s="3" t="str">
        <f>IFERROR(__xludf.DUMMYFUNCTION("""COMPUTED_VALUE"""),"umbra-network")</f>
        <v>umbra-network</v>
      </c>
      <c r="B11970" s="3" t="str">
        <f>IFERROR(__xludf.DUMMYFUNCTION("""COMPUTED_VALUE"""),"umbr")</f>
        <v>umbr</v>
      </c>
      <c r="C11970" s="3" t="str">
        <f>IFERROR(__xludf.DUMMYFUNCTION("""COMPUTED_VALUE"""),"Umbria Network")</f>
        <v>Umbria Network</v>
      </c>
    </row>
    <row r="11971">
      <c r="A11971" s="3" t="str">
        <f>IFERROR(__xludf.DUMMYFUNCTION("""COMPUTED_VALUE"""),"umbrellacoin")</f>
        <v>umbrellacoin</v>
      </c>
      <c r="B11971" s="3" t="str">
        <f>IFERROR(__xludf.DUMMYFUNCTION("""COMPUTED_VALUE"""),"umc")</f>
        <v>umc</v>
      </c>
      <c r="C11971" s="3" t="str">
        <f>IFERROR(__xludf.DUMMYFUNCTION("""COMPUTED_VALUE"""),"Umbrella Coin")</f>
        <v>Umbrella Coin</v>
      </c>
    </row>
    <row r="11972">
      <c r="A11972" s="3" t="str">
        <f>IFERROR(__xludf.DUMMYFUNCTION("""COMPUTED_VALUE"""),"umbrella-network")</f>
        <v>umbrella-network</v>
      </c>
      <c r="B11972" s="3" t="str">
        <f>IFERROR(__xludf.DUMMYFUNCTION("""COMPUTED_VALUE"""),"umb")</f>
        <v>umb</v>
      </c>
      <c r="C11972" s="3" t="str">
        <f>IFERROR(__xludf.DUMMYFUNCTION("""COMPUTED_VALUE"""),"Umbrella Network")</f>
        <v>Umbrella Network</v>
      </c>
    </row>
    <row r="11973">
      <c r="A11973" s="3" t="str">
        <f>IFERROR(__xludf.DUMMYFUNCTION("""COMPUTED_VALUE"""),"umee")</f>
        <v>umee</v>
      </c>
      <c r="B11973" s="3" t="str">
        <f>IFERROR(__xludf.DUMMYFUNCTION("""COMPUTED_VALUE"""),"umee")</f>
        <v>umee</v>
      </c>
      <c r="C11973" s="3" t="str">
        <f>IFERROR(__xludf.DUMMYFUNCTION("""COMPUTED_VALUE"""),"Umee")</f>
        <v>Umee</v>
      </c>
    </row>
    <row r="11974">
      <c r="A11974" s="3" t="str">
        <f>IFERROR(__xludf.DUMMYFUNCTION("""COMPUTED_VALUE"""),"umetaworld")</f>
        <v>umetaworld</v>
      </c>
      <c r="B11974" s="3" t="str">
        <f>IFERROR(__xludf.DUMMYFUNCTION("""COMPUTED_VALUE"""),"umw")</f>
        <v>umw</v>
      </c>
      <c r="C11974" s="3" t="str">
        <f>IFERROR(__xludf.DUMMYFUNCTION("""COMPUTED_VALUE"""),"UMetaWorld")</f>
        <v>UMetaWorld</v>
      </c>
    </row>
    <row r="11975">
      <c r="A11975" s="3" t="str">
        <f>IFERROR(__xludf.DUMMYFUNCTION("""COMPUTED_VALUE"""),"ume-token")</f>
        <v>ume-token</v>
      </c>
      <c r="B11975" s="3" t="str">
        <f>IFERROR(__xludf.DUMMYFUNCTION("""COMPUTED_VALUE"""),"ume")</f>
        <v>ume</v>
      </c>
      <c r="C11975" s="3" t="str">
        <f>IFERROR(__xludf.DUMMYFUNCTION("""COMPUTED_VALUE"""),"UME")</f>
        <v>UME</v>
      </c>
    </row>
    <row r="11976">
      <c r="A11976" s="3" t="str">
        <f>IFERROR(__xludf.DUMMYFUNCTION("""COMPUTED_VALUE"""),"umi")</f>
        <v>umi</v>
      </c>
      <c r="B11976" s="3" t="str">
        <f>IFERROR(__xludf.DUMMYFUNCTION("""COMPUTED_VALUE"""),"umi")</f>
        <v>umi</v>
      </c>
      <c r="C11976" s="3" t="str">
        <f>IFERROR(__xludf.DUMMYFUNCTION("""COMPUTED_VALUE"""),"UMI")</f>
        <v>UMI</v>
      </c>
    </row>
    <row r="11977">
      <c r="A11977" s="3" t="str">
        <f>IFERROR(__xludf.DUMMYFUNCTION("""COMPUTED_VALUE"""),"umi-digital")</f>
        <v>umi-digital</v>
      </c>
      <c r="B11977" s="3" t="str">
        <f>IFERROR(__xludf.DUMMYFUNCTION("""COMPUTED_VALUE"""),"umi")</f>
        <v>umi</v>
      </c>
      <c r="C11977" s="3" t="str">
        <f>IFERROR(__xludf.DUMMYFUNCTION("""COMPUTED_VALUE"""),"Umi Digital")</f>
        <v>Umi Digital</v>
      </c>
    </row>
    <row r="11978">
      <c r="A11978" s="3" t="str">
        <f>IFERROR(__xludf.DUMMYFUNCTION("""COMPUTED_VALUE"""),"unagii-dai")</f>
        <v>unagii-dai</v>
      </c>
      <c r="B11978" s="3" t="str">
        <f>IFERROR(__xludf.DUMMYFUNCTION("""COMPUTED_VALUE"""),"udai")</f>
        <v>udai</v>
      </c>
      <c r="C11978" s="3" t="str">
        <f>IFERROR(__xludf.DUMMYFUNCTION("""COMPUTED_VALUE"""),"Unagii Dai")</f>
        <v>Unagii Dai</v>
      </c>
    </row>
    <row r="11979">
      <c r="A11979" s="3" t="str">
        <f>IFERROR(__xludf.DUMMYFUNCTION("""COMPUTED_VALUE"""),"unagii-eth")</f>
        <v>unagii-eth</v>
      </c>
      <c r="B11979" s="3" t="str">
        <f>IFERROR(__xludf.DUMMYFUNCTION("""COMPUTED_VALUE"""),"ueth")</f>
        <v>ueth</v>
      </c>
      <c r="C11979" s="3" t="str">
        <f>IFERROR(__xludf.DUMMYFUNCTION("""COMPUTED_VALUE"""),"Unagii ETH")</f>
        <v>Unagii ETH</v>
      </c>
    </row>
    <row r="11980">
      <c r="A11980" s="3" t="str">
        <f>IFERROR(__xludf.DUMMYFUNCTION("""COMPUTED_VALUE"""),"unagii-tether-usd")</f>
        <v>unagii-tether-usd</v>
      </c>
      <c r="B11980" s="3" t="str">
        <f>IFERROR(__xludf.DUMMYFUNCTION("""COMPUTED_VALUE"""),"uusdt")</f>
        <v>uusdt</v>
      </c>
      <c r="C11980" s="3" t="str">
        <f>IFERROR(__xludf.DUMMYFUNCTION("""COMPUTED_VALUE"""),"Unagii Tether USD")</f>
        <v>Unagii Tether USD</v>
      </c>
    </row>
    <row r="11981">
      <c r="A11981" s="3" t="str">
        <f>IFERROR(__xludf.DUMMYFUNCTION("""COMPUTED_VALUE"""),"unagii-usd-coin")</f>
        <v>unagii-usd-coin</v>
      </c>
      <c r="B11981" s="3" t="str">
        <f>IFERROR(__xludf.DUMMYFUNCTION("""COMPUTED_VALUE"""),"uusdc")</f>
        <v>uusdc</v>
      </c>
      <c r="C11981" s="3" t="str">
        <f>IFERROR(__xludf.DUMMYFUNCTION("""COMPUTED_VALUE"""),"Unagii USD Coin")</f>
        <v>Unagii USD Coin</v>
      </c>
    </row>
    <row r="11982">
      <c r="A11982" s="3" t="str">
        <f>IFERROR(__xludf.DUMMYFUNCTION("""COMPUTED_VALUE"""),"unagii-wrapped-bitcoin")</f>
        <v>unagii-wrapped-bitcoin</v>
      </c>
      <c r="B11982" s="3" t="str">
        <f>IFERROR(__xludf.DUMMYFUNCTION("""COMPUTED_VALUE"""),"uwbtc")</f>
        <v>uwbtc</v>
      </c>
      <c r="C11982" s="3" t="str">
        <f>IFERROR(__xludf.DUMMYFUNCTION("""COMPUTED_VALUE"""),"Unagii Wrapped Bitcoin")</f>
        <v>Unagii Wrapped Bitcoin</v>
      </c>
    </row>
    <row r="11983">
      <c r="A11983" s="3" t="str">
        <f>IFERROR(__xludf.DUMMYFUNCTION("""COMPUTED_VALUE"""),"unbanked")</f>
        <v>unbanked</v>
      </c>
      <c r="B11983" s="3" t="str">
        <f>IFERROR(__xludf.DUMMYFUNCTION("""COMPUTED_VALUE"""),"unbnk")</f>
        <v>unbnk</v>
      </c>
      <c r="C11983" s="3" t="str">
        <f>IFERROR(__xludf.DUMMYFUNCTION("""COMPUTED_VALUE"""),"Unbanked")</f>
        <v>Unbanked</v>
      </c>
    </row>
    <row r="11984">
      <c r="A11984" s="3" t="str">
        <f>IFERROR(__xludf.DUMMYFUNCTION("""COMPUTED_VALUE"""),"unbound-finance")</f>
        <v>unbound-finance</v>
      </c>
      <c r="B11984" s="3" t="str">
        <f>IFERROR(__xludf.DUMMYFUNCTION("""COMPUTED_VALUE"""),"unb")</f>
        <v>unb</v>
      </c>
      <c r="C11984" s="3" t="str">
        <f>IFERROR(__xludf.DUMMYFUNCTION("""COMPUTED_VALUE"""),"Unbound Finance")</f>
        <v>Unbound Finance</v>
      </c>
    </row>
    <row r="11985">
      <c r="A11985" s="3" t="str">
        <f>IFERROR(__xludf.DUMMYFUNCTION("""COMPUTED_VALUE"""),"uncl")</f>
        <v>uncl</v>
      </c>
      <c r="B11985" s="3" t="str">
        <f>IFERROR(__xludf.DUMMYFUNCTION("""COMPUTED_VALUE"""),"uncl")</f>
        <v>uncl</v>
      </c>
      <c r="C11985" s="3" t="str">
        <f>IFERROR(__xludf.DUMMYFUNCTION("""COMPUTED_VALUE"""),"UNCL")</f>
        <v>UNCL</v>
      </c>
    </row>
    <row r="11986">
      <c r="A11986" s="3" t="str">
        <f>IFERROR(__xludf.DUMMYFUNCTION("""COMPUTED_VALUE"""),"unclemine")</f>
        <v>unclemine</v>
      </c>
      <c r="B11986" s="3" t="str">
        <f>IFERROR(__xludf.DUMMYFUNCTION("""COMPUTED_VALUE"""),"um")</f>
        <v>um</v>
      </c>
      <c r="C11986" s="3" t="str">
        <f>IFERROR(__xludf.DUMMYFUNCTION("""COMPUTED_VALUE"""),"UncleMine")</f>
        <v>UncleMine</v>
      </c>
    </row>
    <row r="11987">
      <c r="A11987" s="3" t="str">
        <f>IFERROR(__xludf.DUMMYFUNCTION("""COMPUTED_VALUE"""),"undead-blocks")</f>
        <v>undead-blocks</v>
      </c>
      <c r="B11987" s="3" t="str">
        <f>IFERROR(__xludf.DUMMYFUNCTION("""COMPUTED_VALUE"""),"undead")</f>
        <v>undead</v>
      </c>
      <c r="C11987" s="3" t="str">
        <f>IFERROR(__xludf.DUMMYFUNCTION("""COMPUTED_VALUE"""),"Undead Blocks")</f>
        <v>Undead Blocks</v>
      </c>
    </row>
    <row r="11988">
      <c r="A11988" s="3" t="str">
        <f>IFERROR(__xludf.DUMMYFUNCTION("""COMPUTED_VALUE"""),"undead-finance")</f>
        <v>undead-finance</v>
      </c>
      <c r="B11988" s="3" t="str">
        <f>IFERROR(__xludf.DUMMYFUNCTION("""COMPUTED_VALUE"""),"undead")</f>
        <v>undead</v>
      </c>
      <c r="C11988" s="3" t="str">
        <f>IFERROR(__xludf.DUMMYFUNCTION("""COMPUTED_VALUE"""),"Undead Finance")</f>
        <v>Undead Finance</v>
      </c>
    </row>
    <row r="11989">
      <c r="A11989" s="3" t="str">
        <f>IFERROR(__xludf.DUMMYFUNCTION("""COMPUTED_VALUE"""),"underminegold")</f>
        <v>underminegold</v>
      </c>
      <c r="B11989" s="3" t="str">
        <f>IFERROR(__xludf.DUMMYFUNCTION("""COMPUTED_VALUE"""),"umg")</f>
        <v>umg</v>
      </c>
      <c r="C11989" s="3" t="str">
        <f>IFERROR(__xludf.DUMMYFUNCTION("""COMPUTED_VALUE"""),"UnderMineGold")</f>
        <v>UnderMineGold</v>
      </c>
    </row>
    <row r="11990">
      <c r="A11990" s="3" t="str">
        <f>IFERROR(__xludf.DUMMYFUNCTION("""COMPUTED_VALUE"""),"u-network")</f>
        <v>u-network</v>
      </c>
      <c r="B11990" s="3" t="str">
        <f>IFERROR(__xludf.DUMMYFUNCTION("""COMPUTED_VALUE"""),"uuu")</f>
        <v>uuu</v>
      </c>
      <c r="C11990" s="3" t="str">
        <f>IFERROR(__xludf.DUMMYFUNCTION("""COMPUTED_VALUE"""),"U Network")</f>
        <v>U Network</v>
      </c>
    </row>
    <row r="11991">
      <c r="A11991" s="3" t="str">
        <f>IFERROR(__xludf.DUMMYFUNCTION("""COMPUTED_VALUE"""),"unfederalreserve")</f>
        <v>unfederalreserve</v>
      </c>
      <c r="B11991" s="3" t="str">
        <f>IFERROR(__xludf.DUMMYFUNCTION("""COMPUTED_VALUE"""),"ersdl")</f>
        <v>ersdl</v>
      </c>
      <c r="C11991" s="3" t="str">
        <f>IFERROR(__xludf.DUMMYFUNCTION("""COMPUTED_VALUE"""),"unFederalReserve")</f>
        <v>unFederalReserve</v>
      </c>
    </row>
    <row r="11992">
      <c r="A11992" s="3" t="str">
        <f>IFERROR(__xludf.DUMMYFUNCTION("""COMPUTED_VALUE"""),"uniarts")</f>
        <v>uniarts</v>
      </c>
      <c r="B11992" s="3" t="str">
        <f>IFERROR(__xludf.DUMMYFUNCTION("""COMPUTED_VALUE"""),"uart")</f>
        <v>uart</v>
      </c>
      <c r="C11992" s="3" t="str">
        <f>IFERROR(__xludf.DUMMYFUNCTION("""COMPUTED_VALUE"""),"UniArts")</f>
        <v>UniArts</v>
      </c>
    </row>
    <row r="11993">
      <c r="A11993" s="3" t="str">
        <f>IFERROR(__xludf.DUMMYFUNCTION("""COMPUTED_VALUE"""),"unibright")</f>
        <v>unibright</v>
      </c>
      <c r="B11993" s="3" t="str">
        <f>IFERROR(__xludf.DUMMYFUNCTION("""COMPUTED_VALUE"""),"ubt")</f>
        <v>ubt</v>
      </c>
      <c r="C11993" s="3" t="str">
        <f>IFERROR(__xludf.DUMMYFUNCTION("""COMPUTED_VALUE"""),"Unibright")</f>
        <v>Unibright</v>
      </c>
    </row>
    <row r="11994">
      <c r="A11994" s="3" t="str">
        <f>IFERROR(__xludf.DUMMYFUNCTION("""COMPUTED_VALUE"""),"unicap-finance")</f>
        <v>unicap-finance</v>
      </c>
      <c r="B11994" s="3" t="str">
        <f>IFERROR(__xludf.DUMMYFUNCTION("""COMPUTED_VALUE"""),"ucap")</f>
        <v>ucap</v>
      </c>
      <c r="C11994" s="3" t="str">
        <f>IFERROR(__xludf.DUMMYFUNCTION("""COMPUTED_VALUE"""),"Unicap.Finance")</f>
        <v>Unicap.Finance</v>
      </c>
    </row>
    <row r="11995">
      <c r="A11995" s="3" t="str">
        <f>IFERROR(__xludf.DUMMYFUNCTION("""COMPUTED_VALUE"""),"unicly")</f>
        <v>unicly</v>
      </c>
      <c r="B11995" s="3" t="str">
        <f>IFERROR(__xludf.DUMMYFUNCTION("""COMPUTED_VALUE"""),"unic")</f>
        <v>unic</v>
      </c>
      <c r="C11995" s="3" t="str">
        <f>IFERROR(__xludf.DUMMYFUNCTION("""COMPUTED_VALUE"""),"Unicly")</f>
        <v>Unicly</v>
      </c>
    </row>
    <row r="11996">
      <c r="A11996" s="3" t="str">
        <f>IFERROR(__xludf.DUMMYFUNCTION("""COMPUTED_VALUE"""),"unicly-aavegotchi-astronauts-collection")</f>
        <v>unicly-aavegotchi-astronauts-collection</v>
      </c>
      <c r="B11996" s="3" t="str">
        <f>IFERROR(__xludf.DUMMYFUNCTION("""COMPUTED_VALUE"""),"ugotchi")</f>
        <v>ugotchi</v>
      </c>
      <c r="C11996" s="3" t="str">
        <f>IFERROR(__xludf.DUMMYFUNCTION("""COMPUTED_VALUE"""),"Unicly Aavegotchi Astronauts Collection")</f>
        <v>Unicly Aavegotchi Astronauts Collection</v>
      </c>
    </row>
    <row r="11997">
      <c r="A11997" s="3" t="str">
        <f>IFERROR(__xludf.DUMMYFUNCTION("""COMPUTED_VALUE"""),"unicly-cryptopunks-collection")</f>
        <v>unicly-cryptopunks-collection</v>
      </c>
      <c r="B11997" s="3" t="str">
        <f>IFERROR(__xludf.DUMMYFUNCTION("""COMPUTED_VALUE"""),"upunk")</f>
        <v>upunk</v>
      </c>
      <c r="C11997" s="3" t="str">
        <f>IFERROR(__xludf.DUMMYFUNCTION("""COMPUTED_VALUE"""),"Unicly CryptoPunks Collection")</f>
        <v>Unicly CryptoPunks Collection</v>
      </c>
    </row>
    <row r="11998">
      <c r="A11998" s="3" t="str">
        <f>IFERROR(__xludf.DUMMYFUNCTION("""COMPUTED_VALUE"""),"unicly-doki-doki-collection")</f>
        <v>unicly-doki-doki-collection</v>
      </c>
      <c r="B11998" s="3" t="str">
        <f>IFERROR(__xludf.DUMMYFUNCTION("""COMPUTED_VALUE"""),"udoki")</f>
        <v>udoki</v>
      </c>
      <c r="C11998" s="3" t="str">
        <f>IFERROR(__xludf.DUMMYFUNCTION("""COMPUTED_VALUE"""),"Unicly Doki Doki Collection")</f>
        <v>Unicly Doki Doki Collection</v>
      </c>
    </row>
    <row r="11999">
      <c r="A11999" s="3" t="str">
        <f>IFERROR(__xludf.DUMMYFUNCTION("""COMPUTED_VALUE"""),"unicly-fewocious-collection")</f>
        <v>unicly-fewocious-collection</v>
      </c>
      <c r="B11999" s="3" t="str">
        <f>IFERROR(__xludf.DUMMYFUNCTION("""COMPUTED_VALUE"""),"ufewo")</f>
        <v>ufewo</v>
      </c>
      <c r="C11999" s="3" t="str">
        <f>IFERROR(__xludf.DUMMYFUNCTION("""COMPUTED_VALUE"""),"Unicly Fewocious Collection")</f>
        <v>Unicly Fewocious Collection</v>
      </c>
    </row>
    <row r="12000">
      <c r="A12000" s="3" t="str">
        <f>IFERROR(__xludf.DUMMYFUNCTION("""COMPUTED_VALUE"""),"unicly-genesis-collection")</f>
        <v>unicly-genesis-collection</v>
      </c>
      <c r="B12000" s="3" t="str">
        <f>IFERROR(__xludf.DUMMYFUNCTION("""COMPUTED_VALUE"""),"uunicly")</f>
        <v>uunicly</v>
      </c>
      <c r="C12000" s="3" t="str">
        <f>IFERROR(__xludf.DUMMYFUNCTION("""COMPUTED_VALUE"""),"Unicly Genesis Collection")</f>
        <v>Unicly Genesis Collection</v>
      </c>
    </row>
    <row r="12001">
      <c r="A12001" s="3" t="str">
        <f>IFERROR(__xludf.DUMMYFUNCTION("""COMPUTED_VALUE"""),"unicly-genesis-mooncats-collection")</f>
        <v>unicly-genesis-mooncats-collection</v>
      </c>
      <c r="B12001" s="3" t="str">
        <f>IFERROR(__xludf.DUMMYFUNCTION("""COMPUTED_VALUE"""),"ugmc")</f>
        <v>ugmc</v>
      </c>
      <c r="C12001" s="3" t="str">
        <f>IFERROR(__xludf.DUMMYFUNCTION("""COMPUTED_VALUE"""),"Unicly Genesis MoonCats Collection")</f>
        <v>Unicly Genesis MoonCats Collection</v>
      </c>
    </row>
    <row r="12002">
      <c r="A12002" s="3" t="str">
        <f>IFERROR(__xludf.DUMMYFUNCTION("""COMPUTED_VALUE"""),"unicly-mooncats-collection")</f>
        <v>unicly-mooncats-collection</v>
      </c>
      <c r="B12002" s="3" t="str">
        <f>IFERROR(__xludf.DUMMYFUNCTION("""COMPUTED_VALUE"""),"umoon")</f>
        <v>umoon</v>
      </c>
      <c r="C12002" s="3" t="str">
        <f>IFERROR(__xludf.DUMMYFUNCTION("""COMPUTED_VALUE"""),"Unicly MoonCats Collection")</f>
        <v>Unicly MoonCats Collection</v>
      </c>
    </row>
    <row r="12003">
      <c r="A12003" s="3" t="str">
        <f>IFERROR(__xludf.DUMMYFUNCTION("""COMPUTED_VALUE"""),"unicly-mystic-axies-collection")</f>
        <v>unicly-mystic-axies-collection</v>
      </c>
      <c r="B12003" s="3" t="str">
        <f>IFERROR(__xludf.DUMMYFUNCTION("""COMPUTED_VALUE"""),"uaxie")</f>
        <v>uaxie</v>
      </c>
      <c r="C12003" s="3" t="str">
        <f>IFERROR(__xludf.DUMMYFUNCTION("""COMPUTED_VALUE"""),"Unicly Mystic Axies Collection")</f>
        <v>Unicly Mystic Axies Collection</v>
      </c>
    </row>
    <row r="12004">
      <c r="A12004" s="3" t="str">
        <f>IFERROR(__xludf.DUMMYFUNCTION("""COMPUTED_VALUE"""),"unicorn-cake")</f>
        <v>unicorn-cake</v>
      </c>
      <c r="B12004" s="3" t="str">
        <f>IFERROR(__xludf.DUMMYFUNCTION("""COMPUTED_VALUE"""),"unic")</f>
        <v>unic</v>
      </c>
      <c r="C12004" s="3" t="str">
        <f>IFERROR(__xludf.DUMMYFUNCTION("""COMPUTED_VALUE"""),"Unicorn Cake")</f>
        <v>Unicorn Cake</v>
      </c>
    </row>
    <row r="12005">
      <c r="A12005" s="3" t="str">
        <f>IFERROR(__xludf.DUMMYFUNCTION("""COMPUTED_VALUE"""),"unicorn-milk")</f>
        <v>unicorn-milk</v>
      </c>
      <c r="B12005" s="3" t="str">
        <f>IFERROR(__xludf.DUMMYFUNCTION("""COMPUTED_VALUE"""),"unim")</f>
        <v>unim</v>
      </c>
      <c r="C12005" s="3" t="str">
        <f>IFERROR(__xludf.DUMMYFUNCTION("""COMPUTED_VALUE"""),"Unicorn Milk")</f>
        <v>Unicorn Milk</v>
      </c>
    </row>
    <row r="12006">
      <c r="A12006" s="3" t="str">
        <f>IFERROR(__xludf.DUMMYFUNCTION("""COMPUTED_VALUE"""),"unicorn-token")</f>
        <v>unicorn-token</v>
      </c>
      <c r="B12006" s="3" t="str">
        <f>IFERROR(__xludf.DUMMYFUNCTION("""COMPUTED_VALUE"""),"uni")</f>
        <v>uni</v>
      </c>
      <c r="C12006" s="3" t="str">
        <f>IFERROR(__xludf.DUMMYFUNCTION("""COMPUTED_VALUE"""),"UNICORN")</f>
        <v>UNICORN</v>
      </c>
    </row>
    <row r="12007">
      <c r="A12007" s="3" t="str">
        <f>IFERROR(__xludf.DUMMYFUNCTION("""COMPUTED_VALUE"""),"unicrypt-2")</f>
        <v>unicrypt-2</v>
      </c>
      <c r="B12007" s="3" t="str">
        <f>IFERROR(__xludf.DUMMYFUNCTION("""COMPUTED_VALUE"""),"uncx")</f>
        <v>uncx</v>
      </c>
      <c r="C12007" s="3" t="str">
        <f>IFERROR(__xludf.DUMMYFUNCTION("""COMPUTED_VALUE"""),"UniCrypt")</f>
        <v>UniCrypt</v>
      </c>
    </row>
    <row r="12008">
      <c r="A12008" s="3" t="str">
        <f>IFERROR(__xludf.DUMMYFUNCTION("""COMPUTED_VALUE"""),"unidef")</f>
        <v>unidef</v>
      </c>
      <c r="B12008" s="3" t="str">
        <f>IFERROR(__xludf.DUMMYFUNCTION("""COMPUTED_VALUE"""),"u")</f>
        <v>u</v>
      </c>
      <c r="C12008" s="3" t="str">
        <f>IFERROR(__xludf.DUMMYFUNCTION("""COMPUTED_VALUE"""),"Unidef")</f>
        <v>Unidef</v>
      </c>
    </row>
    <row r="12009">
      <c r="A12009" s="3" t="str">
        <f>IFERROR(__xludf.DUMMYFUNCTION("""COMPUTED_VALUE"""),"unidex")</f>
        <v>unidex</v>
      </c>
      <c r="B12009" s="3" t="str">
        <f>IFERROR(__xludf.DUMMYFUNCTION("""COMPUTED_VALUE"""),"unidx")</f>
        <v>unidx</v>
      </c>
      <c r="C12009" s="3" t="str">
        <f>IFERROR(__xludf.DUMMYFUNCTION("""COMPUTED_VALUE"""),"UniDex")</f>
        <v>UniDex</v>
      </c>
    </row>
    <row r="12010">
      <c r="A12010" s="3" t="str">
        <f>IFERROR(__xludf.DUMMYFUNCTION("""COMPUTED_VALUE"""),"unido-ep")</f>
        <v>unido-ep</v>
      </c>
      <c r="B12010" s="3" t="str">
        <f>IFERROR(__xludf.DUMMYFUNCTION("""COMPUTED_VALUE"""),"udo")</f>
        <v>udo</v>
      </c>
      <c r="C12010" s="3" t="str">
        <f>IFERROR(__xludf.DUMMYFUNCTION("""COMPUTED_VALUE"""),"Unido")</f>
        <v>Unido</v>
      </c>
    </row>
    <row r="12011">
      <c r="A12011" s="3" t="str">
        <f>IFERROR(__xludf.DUMMYFUNCTION("""COMPUTED_VALUE"""),"unidogefinance-token")</f>
        <v>unidogefinance-token</v>
      </c>
      <c r="B12011" s="3" t="str">
        <f>IFERROR(__xludf.DUMMYFUNCTION("""COMPUTED_VALUE"""),"unido")</f>
        <v>unido</v>
      </c>
      <c r="C12011" s="3" t="str">
        <f>IFERROR(__xludf.DUMMYFUNCTION("""COMPUTED_VALUE"""),"UnidogeFinance Token")</f>
        <v>UnidogeFinance Token</v>
      </c>
    </row>
    <row r="12012">
      <c r="A12012" s="3" t="str">
        <f>IFERROR(__xludf.DUMMYFUNCTION("""COMPUTED_VALUE"""),"unifarm")</f>
        <v>unifarm</v>
      </c>
      <c r="B12012" s="3" t="str">
        <f>IFERROR(__xludf.DUMMYFUNCTION("""COMPUTED_VALUE"""),"ufarm")</f>
        <v>ufarm</v>
      </c>
      <c r="C12012" s="3" t="str">
        <f>IFERROR(__xludf.DUMMYFUNCTION("""COMPUTED_VALUE"""),"UniFarm")</f>
        <v>UniFarm</v>
      </c>
    </row>
    <row r="12013">
      <c r="A12013" s="3" t="str">
        <f>IFERROR(__xludf.DUMMYFUNCTION("""COMPUTED_VALUE"""),"unifees")</f>
        <v>unifees</v>
      </c>
      <c r="B12013" s="3" t="str">
        <f>IFERROR(__xludf.DUMMYFUNCTION("""COMPUTED_VALUE"""),"fees")</f>
        <v>fees</v>
      </c>
      <c r="C12013" s="3" t="str">
        <f>IFERROR(__xludf.DUMMYFUNCTION("""COMPUTED_VALUE"""),"Unifees")</f>
        <v>Unifees</v>
      </c>
    </row>
    <row r="12014">
      <c r="A12014" s="3" t="str">
        <f>IFERROR(__xludf.DUMMYFUNCTION("""COMPUTED_VALUE"""),"unifi")</f>
        <v>unifi</v>
      </c>
      <c r="B12014" s="3" t="str">
        <f>IFERROR(__xludf.DUMMYFUNCTION("""COMPUTED_VALUE"""),"unifi")</f>
        <v>unifi</v>
      </c>
      <c r="C12014" s="3" t="str">
        <f>IFERROR(__xludf.DUMMYFUNCTION("""COMPUTED_VALUE"""),"Covenants")</f>
        <v>Covenants</v>
      </c>
    </row>
    <row r="12015">
      <c r="A12015" s="3" t="str">
        <f>IFERROR(__xludf.DUMMYFUNCTION("""COMPUTED_VALUE"""),"unification")</f>
        <v>unification</v>
      </c>
      <c r="B12015" s="3" t="str">
        <f>IFERROR(__xludf.DUMMYFUNCTION("""COMPUTED_VALUE"""),"fund")</f>
        <v>fund</v>
      </c>
      <c r="C12015" s="3" t="str">
        <f>IFERROR(__xludf.DUMMYFUNCTION("""COMPUTED_VALUE"""),"Unification")</f>
        <v>Unification</v>
      </c>
    </row>
    <row r="12016">
      <c r="A12016" s="3" t="str">
        <f>IFERROR(__xludf.DUMMYFUNCTION("""COMPUTED_VALUE"""),"unifi-defi")</f>
        <v>unifi-defi</v>
      </c>
      <c r="B12016" s="3" t="str">
        <f>IFERROR(__xludf.DUMMYFUNCTION("""COMPUTED_VALUE"""),"unifi")</f>
        <v>unifi</v>
      </c>
      <c r="C12016" s="3" t="str">
        <f>IFERROR(__xludf.DUMMYFUNCTION("""COMPUTED_VALUE"""),"UNIFI DeFi")</f>
        <v>UNIFI DeFi</v>
      </c>
    </row>
    <row r="12017">
      <c r="A12017" s="3" t="str">
        <f>IFERROR(__xludf.DUMMYFUNCTION("""COMPUTED_VALUE"""),"unifi-protocol")</f>
        <v>unifi-protocol</v>
      </c>
      <c r="B12017" s="3" t="str">
        <f>IFERROR(__xludf.DUMMYFUNCTION("""COMPUTED_VALUE"""),"up")</f>
        <v>up</v>
      </c>
      <c r="C12017" s="3" t="str">
        <f>IFERROR(__xludf.DUMMYFUNCTION("""COMPUTED_VALUE"""),"UniFi Protocol")</f>
        <v>UniFi Protocol</v>
      </c>
    </row>
    <row r="12018">
      <c r="A12018" s="3" t="str">
        <f>IFERROR(__xludf.DUMMYFUNCTION("""COMPUTED_VALUE"""),"unifi-protocol-dao")</f>
        <v>unifi-protocol-dao</v>
      </c>
      <c r="B12018" s="3" t="str">
        <f>IFERROR(__xludf.DUMMYFUNCTION("""COMPUTED_VALUE"""),"unfi")</f>
        <v>unfi</v>
      </c>
      <c r="C12018" s="3" t="str">
        <f>IFERROR(__xludf.DUMMYFUNCTION("""COMPUTED_VALUE"""),"Unifi Protocol DAO")</f>
        <v>Unifi Protocol DAO</v>
      </c>
    </row>
    <row r="12019">
      <c r="A12019" s="3" t="str">
        <f>IFERROR(__xludf.DUMMYFUNCTION("""COMPUTED_VALUE"""),"unifty")</f>
        <v>unifty</v>
      </c>
      <c r="B12019" s="3" t="str">
        <f>IFERROR(__xludf.DUMMYFUNCTION("""COMPUTED_VALUE"""),"nif")</f>
        <v>nif</v>
      </c>
      <c r="C12019" s="3" t="str">
        <f>IFERROR(__xludf.DUMMYFUNCTION("""COMPUTED_VALUE"""),"Unifty")</f>
        <v>Unifty</v>
      </c>
    </row>
    <row r="12020">
      <c r="A12020" s="3" t="str">
        <f>IFERROR(__xludf.DUMMYFUNCTION("""COMPUTED_VALUE"""),"unifund")</f>
        <v>unifund</v>
      </c>
      <c r="B12020" s="3" t="str">
        <f>IFERROR(__xludf.DUMMYFUNCTION("""COMPUTED_VALUE"""),"ifund")</f>
        <v>ifund</v>
      </c>
      <c r="C12020" s="3" t="str">
        <f>IFERROR(__xludf.DUMMYFUNCTION("""COMPUTED_VALUE"""),"Unifund")</f>
        <v>Unifund</v>
      </c>
    </row>
    <row r="12021">
      <c r="A12021" s="3" t="str">
        <f>IFERROR(__xludf.DUMMYFUNCTION("""COMPUTED_VALUE"""),"unikoin-gold")</f>
        <v>unikoin-gold</v>
      </c>
      <c r="B12021" s="3" t="str">
        <f>IFERROR(__xludf.DUMMYFUNCTION("""COMPUTED_VALUE"""),"ukg")</f>
        <v>ukg</v>
      </c>
      <c r="C12021" s="3" t="str">
        <f>IFERROR(__xludf.DUMMYFUNCTION("""COMPUTED_VALUE"""),"Unikoin Gold")</f>
        <v>Unikoin Gold</v>
      </c>
    </row>
    <row r="12022">
      <c r="A12022" s="3" t="str">
        <f>IFERROR(__xludf.DUMMYFUNCTION("""COMPUTED_VALUE"""),"unilab-network")</f>
        <v>unilab-network</v>
      </c>
      <c r="B12022" s="3" t="str">
        <f>IFERROR(__xludf.DUMMYFUNCTION("""COMPUTED_VALUE"""),"ulab")</f>
        <v>ulab</v>
      </c>
      <c r="C12022" s="3" t="str">
        <f>IFERROR(__xludf.DUMMYFUNCTION("""COMPUTED_VALUE"""),"Unilab")</f>
        <v>Unilab</v>
      </c>
    </row>
    <row r="12023">
      <c r="A12023" s="3" t="str">
        <f>IFERROR(__xludf.DUMMYFUNCTION("""COMPUTED_VALUE"""),"unilayer")</f>
        <v>unilayer</v>
      </c>
      <c r="B12023" s="3" t="str">
        <f>IFERROR(__xludf.DUMMYFUNCTION("""COMPUTED_VALUE"""),"layer")</f>
        <v>layer</v>
      </c>
      <c r="C12023" s="3" t="str">
        <f>IFERROR(__xludf.DUMMYFUNCTION("""COMPUTED_VALUE"""),"UniLayer")</f>
        <v>UniLayer</v>
      </c>
    </row>
    <row r="12024">
      <c r="A12024" s="3" t="str">
        <f>IFERROR(__xludf.DUMMYFUNCTION("""COMPUTED_VALUE"""),"unilock-network-2")</f>
        <v>unilock-network-2</v>
      </c>
      <c r="B12024" s="3" t="str">
        <f>IFERROR(__xludf.DUMMYFUNCTION("""COMPUTED_VALUE"""),"unl")</f>
        <v>unl</v>
      </c>
      <c r="C12024" s="3" t="str">
        <f>IFERROR(__xludf.DUMMYFUNCTION("""COMPUTED_VALUE"""),"Unilock.Network")</f>
        <v>Unilock.Network</v>
      </c>
    </row>
    <row r="12025">
      <c r="A12025" s="3" t="str">
        <f>IFERROR(__xludf.DUMMYFUNCTION("""COMPUTED_VALUE"""),"unimex-network")</f>
        <v>unimex-network</v>
      </c>
      <c r="B12025" s="3" t="str">
        <f>IFERROR(__xludf.DUMMYFUNCTION("""COMPUTED_VALUE"""),"umx")</f>
        <v>umx</v>
      </c>
      <c r="C12025" s="3" t="str">
        <f>IFERROR(__xludf.DUMMYFUNCTION("""COMPUTED_VALUE"""),"UniMex Network")</f>
        <v>UniMex Network</v>
      </c>
    </row>
    <row r="12026">
      <c r="A12026" s="3" t="str">
        <f>IFERROR(__xludf.DUMMYFUNCTION("""COMPUTED_VALUE"""),"union-protocol-governance-token")</f>
        <v>union-protocol-governance-token</v>
      </c>
      <c r="B12026" s="3" t="str">
        <f>IFERROR(__xludf.DUMMYFUNCTION("""COMPUTED_VALUE"""),"unn")</f>
        <v>unn</v>
      </c>
      <c r="C12026" s="3" t="str">
        <f>IFERROR(__xludf.DUMMYFUNCTION("""COMPUTED_VALUE"""),"UNION Protocol Governance")</f>
        <v>UNION Protocol Governance</v>
      </c>
    </row>
    <row r="12027">
      <c r="A12027" s="3" t="str">
        <f>IFERROR(__xludf.DUMMYFUNCTION("""COMPUTED_VALUE"""),"unipilot")</f>
        <v>unipilot</v>
      </c>
      <c r="B12027" s="3" t="str">
        <f>IFERROR(__xludf.DUMMYFUNCTION("""COMPUTED_VALUE"""),"pilot")</f>
        <v>pilot</v>
      </c>
      <c r="C12027" s="3" t="str">
        <f>IFERROR(__xludf.DUMMYFUNCTION("""COMPUTED_VALUE"""),"Unipilot")</f>
        <v>Unipilot</v>
      </c>
    </row>
    <row r="12028">
      <c r="A12028" s="3" t="str">
        <f>IFERROR(__xludf.DUMMYFUNCTION("""COMPUTED_VALUE"""),"uniplay")</f>
        <v>uniplay</v>
      </c>
      <c r="B12028" s="3" t="str">
        <f>IFERROR(__xludf.DUMMYFUNCTION("""COMPUTED_VALUE"""),"unp")</f>
        <v>unp</v>
      </c>
      <c r="C12028" s="3" t="str">
        <f>IFERROR(__xludf.DUMMYFUNCTION("""COMPUTED_VALUE"""),"UniPlay")</f>
        <v>UniPlay</v>
      </c>
    </row>
    <row r="12029">
      <c r="A12029" s="3" t="str">
        <f>IFERROR(__xludf.DUMMYFUNCTION("""COMPUTED_VALUE"""),"unipower")</f>
        <v>unipower</v>
      </c>
      <c r="B12029" s="3" t="str">
        <f>IFERROR(__xludf.DUMMYFUNCTION("""COMPUTED_VALUE"""),"power")</f>
        <v>power</v>
      </c>
      <c r="C12029" s="3" t="str">
        <f>IFERROR(__xludf.DUMMYFUNCTION("""COMPUTED_VALUE"""),"UniPower")</f>
        <v>UniPower</v>
      </c>
    </row>
    <row r="12030">
      <c r="A12030" s="3" t="str">
        <f>IFERROR(__xludf.DUMMYFUNCTION("""COMPUTED_VALUE"""),"uniqly")</f>
        <v>uniqly</v>
      </c>
      <c r="B12030" s="3" t="str">
        <f>IFERROR(__xludf.DUMMYFUNCTION("""COMPUTED_VALUE"""),"uniq")</f>
        <v>uniq</v>
      </c>
      <c r="C12030" s="3" t="str">
        <f>IFERROR(__xludf.DUMMYFUNCTION("""COMPUTED_VALUE"""),"Uniqly")</f>
        <v>Uniqly</v>
      </c>
    </row>
    <row r="12031">
      <c r="A12031" s="3" t="str">
        <f>IFERROR(__xludf.DUMMYFUNCTION("""COMPUTED_VALUE"""),"unique-fans")</f>
        <v>unique-fans</v>
      </c>
      <c r="B12031" s="3" t="str">
        <f>IFERROR(__xludf.DUMMYFUNCTION("""COMPUTED_VALUE"""),"fans")</f>
        <v>fans</v>
      </c>
      <c r="C12031" s="3" t="str">
        <f>IFERROR(__xludf.DUMMYFUNCTION("""COMPUTED_VALUE"""),"Unique Fans")</f>
        <v>Unique Fans</v>
      </c>
    </row>
    <row r="12032">
      <c r="A12032" s="3" t="str">
        <f>IFERROR(__xludf.DUMMYFUNCTION("""COMPUTED_VALUE"""),"unique-network")</f>
        <v>unique-network</v>
      </c>
      <c r="B12032" s="3" t="str">
        <f>IFERROR(__xludf.DUMMYFUNCTION("""COMPUTED_VALUE"""),"unq")</f>
        <v>unq</v>
      </c>
      <c r="C12032" s="3" t="str">
        <f>IFERROR(__xludf.DUMMYFUNCTION("""COMPUTED_VALUE"""),"Unique")</f>
        <v>Unique</v>
      </c>
    </row>
    <row r="12033">
      <c r="A12033" s="3" t="str">
        <f>IFERROR(__xludf.DUMMYFUNCTION("""COMPUTED_VALUE"""),"unique-one")</f>
        <v>unique-one</v>
      </c>
      <c r="B12033" s="3" t="str">
        <f>IFERROR(__xludf.DUMMYFUNCTION("""COMPUTED_VALUE"""),"rare")</f>
        <v>rare</v>
      </c>
      <c r="C12033" s="3" t="str">
        <f>IFERROR(__xludf.DUMMYFUNCTION("""COMPUTED_VALUE"""),"Unique One")</f>
        <v>Unique One</v>
      </c>
    </row>
    <row r="12034">
      <c r="A12034" s="3" t="str">
        <f>IFERROR(__xludf.DUMMYFUNCTION("""COMPUTED_VALUE"""),"uniqueone-photo")</f>
        <v>uniqueone-photo</v>
      </c>
      <c r="B12034" s="3" t="str">
        <f>IFERROR(__xludf.DUMMYFUNCTION("""COMPUTED_VALUE"""),"foto")</f>
        <v>foto</v>
      </c>
      <c r="C12034" s="3" t="str">
        <f>IFERROR(__xludf.DUMMYFUNCTION("""COMPUTED_VALUE"""),"UniqueOne Photo")</f>
        <v>UniqueOne Photo</v>
      </c>
    </row>
    <row r="12035">
      <c r="A12035" s="3" t="str">
        <f>IFERROR(__xludf.DUMMYFUNCTION("""COMPUTED_VALUE"""),"unique-utility-token")</f>
        <v>unique-utility-token</v>
      </c>
      <c r="B12035" s="3" t="str">
        <f>IFERROR(__xludf.DUMMYFUNCTION("""COMPUTED_VALUE"""),"unqt")</f>
        <v>unqt</v>
      </c>
      <c r="C12035" s="3" t="str">
        <f>IFERROR(__xludf.DUMMYFUNCTION("""COMPUTED_VALUE"""),"Unique Utility")</f>
        <v>Unique Utility</v>
      </c>
    </row>
    <row r="12036">
      <c r="A12036" s="3" t="str">
        <f>IFERROR(__xludf.DUMMYFUNCTION("""COMPUTED_VALUE"""),"unisocks")</f>
        <v>unisocks</v>
      </c>
      <c r="B12036" s="3" t="str">
        <f>IFERROR(__xludf.DUMMYFUNCTION("""COMPUTED_VALUE"""),"socks")</f>
        <v>socks</v>
      </c>
      <c r="C12036" s="3" t="str">
        <f>IFERROR(__xludf.DUMMYFUNCTION("""COMPUTED_VALUE"""),"Unisocks")</f>
        <v>Unisocks</v>
      </c>
    </row>
    <row r="12037">
      <c r="A12037" s="3" t="str">
        <f>IFERROR(__xludf.DUMMYFUNCTION("""COMPUTED_VALUE"""),"unistake")</f>
        <v>unistake</v>
      </c>
      <c r="B12037" s="3" t="str">
        <f>IFERROR(__xludf.DUMMYFUNCTION("""COMPUTED_VALUE"""),"unistake")</f>
        <v>unistake</v>
      </c>
      <c r="C12037" s="3" t="str">
        <f>IFERROR(__xludf.DUMMYFUNCTION("""COMPUTED_VALUE"""),"Unistake")</f>
        <v>Unistake</v>
      </c>
    </row>
    <row r="12038">
      <c r="A12038" s="3" t="str">
        <f>IFERROR(__xludf.DUMMYFUNCTION("""COMPUTED_VALUE"""),"uniswap")</f>
        <v>uniswap</v>
      </c>
      <c r="B12038" s="3" t="str">
        <f>IFERROR(__xludf.DUMMYFUNCTION("""COMPUTED_VALUE"""),"uni")</f>
        <v>uni</v>
      </c>
      <c r="C12038" s="3" t="str">
        <f>IFERROR(__xludf.DUMMYFUNCTION("""COMPUTED_VALUE"""),"Uniswap")</f>
        <v>Uniswap</v>
      </c>
    </row>
    <row r="12039">
      <c r="A12039" s="3" t="str">
        <f>IFERROR(__xludf.DUMMYFUNCTION("""COMPUTED_VALUE"""),"uniswap-state-dollar")</f>
        <v>uniswap-state-dollar</v>
      </c>
      <c r="B12039" s="3" t="str">
        <f>IFERROR(__xludf.DUMMYFUNCTION("""COMPUTED_VALUE"""),"usd")</f>
        <v>usd</v>
      </c>
      <c r="C12039" s="3" t="str">
        <f>IFERROR(__xludf.DUMMYFUNCTION("""COMPUTED_VALUE"""),"unified Stable Dollar")</f>
        <v>unified Stable Dollar</v>
      </c>
    </row>
    <row r="12040">
      <c r="A12040" s="3" t="str">
        <f>IFERROR(__xludf.DUMMYFUNCTION("""COMPUTED_VALUE"""),"uniswap-wormhole")</f>
        <v>uniswap-wormhole</v>
      </c>
      <c r="B12040" s="3" t="str">
        <f>IFERROR(__xludf.DUMMYFUNCTION("""COMPUTED_VALUE"""),"uni")</f>
        <v>uni</v>
      </c>
      <c r="C12040" s="3" t="str">
        <f>IFERROR(__xludf.DUMMYFUNCTION("""COMPUTED_VALUE"""),"Uniswap (Wormhole)")</f>
        <v>Uniswap (Wormhole)</v>
      </c>
    </row>
    <row r="12041">
      <c r="A12041" s="3" t="str">
        <f>IFERROR(__xludf.DUMMYFUNCTION("""COMPUTED_VALUE"""),"unite")</f>
        <v>unite</v>
      </c>
      <c r="B12041" s="3" t="str">
        <f>IFERROR(__xludf.DUMMYFUNCTION("""COMPUTED_VALUE"""),"unite")</f>
        <v>unite</v>
      </c>
      <c r="C12041" s="3" t="str">
        <f>IFERROR(__xludf.DUMMYFUNCTION("""COMPUTED_VALUE"""),"Unite")</f>
        <v>Unite</v>
      </c>
    </row>
    <row r="12042">
      <c r="A12042" s="3" t="str">
        <f>IFERROR(__xludf.DUMMYFUNCTION("""COMPUTED_VALUE"""),"unitech")</f>
        <v>unitech</v>
      </c>
      <c r="B12042" s="3" t="str">
        <f>IFERROR(__xludf.DUMMYFUNCTION("""COMPUTED_VALUE"""),"utc")</f>
        <v>utc</v>
      </c>
      <c r="C12042" s="3" t="str">
        <f>IFERROR(__xludf.DUMMYFUNCTION("""COMPUTED_VALUE"""),"Unitech")</f>
        <v>Unitech</v>
      </c>
    </row>
    <row r="12043">
      <c r="A12043" s="3" t="str">
        <f>IFERROR(__xludf.DUMMYFUNCTION("""COMPUTED_VALUE"""),"unitedcoins")</f>
        <v>unitedcoins</v>
      </c>
      <c r="B12043" s="3" t="str">
        <f>IFERROR(__xludf.DUMMYFUNCTION("""COMPUTED_VALUE"""),"units")</f>
        <v>units</v>
      </c>
      <c r="C12043" s="3" t="str">
        <f>IFERROR(__xludf.DUMMYFUNCTION("""COMPUTED_VALUE"""),"UnitedCoins")</f>
        <v>UnitedCoins</v>
      </c>
    </row>
    <row r="12044">
      <c r="A12044" s="3" t="str">
        <f>IFERROR(__xludf.DUMMYFUNCTION("""COMPUTED_VALUE"""),"unitedcrowd")</f>
        <v>unitedcrowd</v>
      </c>
      <c r="B12044" s="3" t="str">
        <f>IFERROR(__xludf.DUMMYFUNCTION("""COMPUTED_VALUE"""),"uct")</f>
        <v>uct</v>
      </c>
      <c r="C12044" s="3" t="str">
        <f>IFERROR(__xludf.DUMMYFUNCTION("""COMPUTED_VALUE"""),"UnitedCrowd")</f>
        <v>UnitedCrowd</v>
      </c>
    </row>
    <row r="12045">
      <c r="A12045" s="3" t="str">
        <f>IFERROR(__xludf.DUMMYFUNCTION("""COMPUTED_VALUE"""),"united-emirate-decentralized-coin")</f>
        <v>united-emirate-decentralized-coin</v>
      </c>
      <c r="B12045" s="3" t="str">
        <f>IFERROR(__xludf.DUMMYFUNCTION("""COMPUTED_VALUE"""),"uedc")</f>
        <v>uedc</v>
      </c>
      <c r="C12045" s="3" t="str">
        <f>IFERROR(__xludf.DUMMYFUNCTION("""COMPUTED_VALUE"""),"United Emirate Decentralized Coin")</f>
        <v>United Emirate Decentralized Coin</v>
      </c>
    </row>
    <row r="12046">
      <c r="A12046" s="3" t="str">
        <f>IFERROR(__xludf.DUMMYFUNCTION("""COMPUTED_VALUE"""),"united-token")</f>
        <v>united-token</v>
      </c>
      <c r="B12046" s="3" t="str">
        <f>IFERROR(__xludf.DUMMYFUNCTION("""COMPUTED_VALUE"""),"uted")</f>
        <v>uted</v>
      </c>
      <c r="C12046" s="3" t="str">
        <f>IFERROR(__xludf.DUMMYFUNCTION("""COMPUTED_VALUE"""),"United")</f>
        <v>United</v>
      </c>
    </row>
    <row r="12047">
      <c r="A12047" s="3" t="str">
        <f>IFERROR(__xludf.DUMMYFUNCTION("""COMPUTED_VALUE"""),"united-traders-token")</f>
        <v>united-traders-token</v>
      </c>
      <c r="B12047" s="3" t="str">
        <f>IFERROR(__xludf.DUMMYFUNCTION("""COMPUTED_VALUE"""),"utt")</f>
        <v>utt</v>
      </c>
      <c r="C12047" s="3" t="str">
        <f>IFERROR(__xludf.DUMMYFUNCTION("""COMPUTED_VALUE"""),"United Traders")</f>
        <v>United Traders</v>
      </c>
    </row>
    <row r="12048">
      <c r="A12048" s="3" t="str">
        <f>IFERROR(__xludf.DUMMYFUNCTION("""COMPUTED_VALUE"""),"unit-network")</f>
        <v>unit-network</v>
      </c>
      <c r="B12048" s="3" t="str">
        <f>IFERROR(__xludf.DUMMYFUNCTION("""COMPUTED_VALUE"""),"unit")</f>
        <v>unit</v>
      </c>
      <c r="C12048" s="3" t="str">
        <f>IFERROR(__xludf.DUMMYFUNCTION("""COMPUTED_VALUE"""),"Unit Network")</f>
        <v>Unit Network</v>
      </c>
    </row>
    <row r="12049">
      <c r="A12049" s="3" t="str">
        <f>IFERROR(__xludf.DUMMYFUNCTION("""COMPUTED_VALUE"""),"unit-protocol-duck")</f>
        <v>unit-protocol-duck</v>
      </c>
      <c r="B12049" s="3" t="str">
        <f>IFERROR(__xludf.DUMMYFUNCTION("""COMPUTED_VALUE"""),"duck")</f>
        <v>duck</v>
      </c>
      <c r="C12049" s="3" t="str">
        <f>IFERROR(__xludf.DUMMYFUNCTION("""COMPUTED_VALUE"""),"Unit Protocol")</f>
        <v>Unit Protocol</v>
      </c>
    </row>
    <row r="12050">
      <c r="A12050" s="3" t="str">
        <f>IFERROR(__xludf.DUMMYFUNCTION("""COMPUTED_VALUE"""),"unitrade")</f>
        <v>unitrade</v>
      </c>
      <c r="B12050" s="3" t="str">
        <f>IFERROR(__xludf.DUMMYFUNCTION("""COMPUTED_VALUE"""),"trade")</f>
        <v>trade</v>
      </c>
      <c r="C12050" s="3" t="str">
        <f>IFERROR(__xludf.DUMMYFUNCTION("""COMPUTED_VALUE"""),"Unitrade")</f>
        <v>Unitrade</v>
      </c>
    </row>
    <row r="12051">
      <c r="A12051" s="3" t="str">
        <f>IFERROR(__xludf.DUMMYFUNCTION("""COMPUTED_VALUE"""),"unitus")</f>
        <v>unitus</v>
      </c>
      <c r="B12051" s="3" t="str">
        <f>IFERROR(__xludf.DUMMYFUNCTION("""COMPUTED_VALUE"""),"uis")</f>
        <v>uis</v>
      </c>
      <c r="C12051" s="3" t="str">
        <f>IFERROR(__xludf.DUMMYFUNCTION("""COMPUTED_VALUE"""),"Unitus")</f>
        <v>Unitus</v>
      </c>
    </row>
    <row r="12052">
      <c r="A12052" s="3" t="str">
        <f>IFERROR(__xludf.DUMMYFUNCTION("""COMPUTED_VALUE"""),"unity-network")</f>
        <v>unity-network</v>
      </c>
      <c r="B12052" s="3" t="str">
        <f>IFERROR(__xludf.DUMMYFUNCTION("""COMPUTED_VALUE"""),"unt")</f>
        <v>unt</v>
      </c>
      <c r="C12052" s="3" t="str">
        <f>IFERROR(__xludf.DUMMYFUNCTION("""COMPUTED_VALUE"""),"Unity Network")</f>
        <v>Unity Network</v>
      </c>
    </row>
    <row r="12053">
      <c r="A12053" s="3" t="str">
        <f>IFERROR(__xludf.DUMMYFUNCTION("""COMPUTED_VALUE"""),"unity-protocol")</f>
        <v>unity-protocol</v>
      </c>
      <c r="B12053" s="3" t="str">
        <f>IFERROR(__xludf.DUMMYFUNCTION("""COMPUTED_VALUE"""),"unity")</f>
        <v>unity</v>
      </c>
      <c r="C12053" s="3" t="str">
        <f>IFERROR(__xludf.DUMMYFUNCTION("""COMPUTED_VALUE"""),"Unity Protocol")</f>
        <v>Unity Protocol</v>
      </c>
    </row>
    <row r="12054">
      <c r="A12054" s="3" t="str">
        <f>IFERROR(__xludf.DUMMYFUNCTION("""COMPUTED_VALUE"""),"unityventures")</f>
        <v>unityventures</v>
      </c>
      <c r="B12054" s="3" t="str">
        <f>IFERROR(__xludf.DUMMYFUNCTION("""COMPUTED_VALUE"""),"uv")</f>
        <v>uv</v>
      </c>
      <c r="C12054" s="3" t="str">
        <f>IFERROR(__xludf.DUMMYFUNCTION("""COMPUTED_VALUE"""),"UnityVentures")</f>
        <v>UnityVentures</v>
      </c>
    </row>
    <row r="12055">
      <c r="A12055" s="3" t="str">
        <f>IFERROR(__xludf.DUMMYFUNCTION("""COMPUTED_VALUE"""),"unium")</f>
        <v>unium</v>
      </c>
      <c r="B12055" s="3" t="str">
        <f>IFERROR(__xludf.DUMMYFUNCTION("""COMPUTED_VALUE"""),"unm")</f>
        <v>unm</v>
      </c>
      <c r="C12055" s="3" t="str">
        <f>IFERROR(__xludf.DUMMYFUNCTION("""COMPUTED_VALUE"""),"UNIUM")</f>
        <v>UNIUM</v>
      </c>
    </row>
    <row r="12056">
      <c r="A12056" s="3" t="str">
        <f>IFERROR(__xludf.DUMMYFUNCTION("""COMPUTED_VALUE"""),"universal-basic-income")</f>
        <v>universal-basic-income</v>
      </c>
      <c r="B12056" s="3" t="str">
        <f>IFERROR(__xludf.DUMMYFUNCTION("""COMPUTED_VALUE"""),"ubi")</f>
        <v>ubi</v>
      </c>
      <c r="C12056" s="3" t="str">
        <f>IFERROR(__xludf.DUMMYFUNCTION("""COMPUTED_VALUE"""),"Universal Basic Income")</f>
        <v>Universal Basic Income</v>
      </c>
    </row>
    <row r="12057">
      <c r="A12057" s="3" t="str">
        <f>IFERROR(__xludf.DUMMYFUNCTION("""COMPUTED_VALUE"""),"universal-basic-offset")</f>
        <v>universal-basic-offset</v>
      </c>
      <c r="B12057" s="3" t="str">
        <f>IFERROR(__xludf.DUMMYFUNCTION("""COMPUTED_VALUE"""),"ubo")</f>
        <v>ubo</v>
      </c>
      <c r="C12057" s="3" t="str">
        <f>IFERROR(__xludf.DUMMYFUNCTION("""COMPUTED_VALUE"""),"Universal Basic Offset")</f>
        <v>Universal Basic Offset</v>
      </c>
    </row>
    <row r="12058">
      <c r="A12058" s="3" t="str">
        <f>IFERROR(__xludf.DUMMYFUNCTION("""COMPUTED_VALUE"""),"universal-coin")</f>
        <v>universal-coin</v>
      </c>
      <c r="B12058" s="3" t="str">
        <f>IFERROR(__xludf.DUMMYFUNCTION("""COMPUTED_VALUE"""),"ucoin")</f>
        <v>ucoin</v>
      </c>
      <c r="C12058" s="3" t="str">
        <f>IFERROR(__xludf.DUMMYFUNCTION("""COMPUTED_VALUE"""),"Universal Coin")</f>
        <v>Universal Coin</v>
      </c>
    </row>
    <row r="12059">
      <c r="A12059" s="3" t="str">
        <f>IFERROR(__xludf.DUMMYFUNCTION("""COMPUTED_VALUE"""),"universal-currency")</f>
        <v>universal-currency</v>
      </c>
      <c r="B12059" s="3" t="str">
        <f>IFERROR(__xludf.DUMMYFUNCTION("""COMPUTED_VALUE"""),"unit")</f>
        <v>unit</v>
      </c>
      <c r="C12059" s="3" t="str">
        <f>IFERROR(__xludf.DUMMYFUNCTION("""COMPUTED_VALUE"""),"Universal Currency")</f>
        <v>Universal Currency</v>
      </c>
    </row>
    <row r="12060">
      <c r="A12060" s="3" t="str">
        <f>IFERROR(__xludf.DUMMYFUNCTION("""COMPUTED_VALUE"""),"universal-floki-coin")</f>
        <v>universal-floki-coin</v>
      </c>
      <c r="B12060" s="3" t="str">
        <f>IFERROR(__xludf.DUMMYFUNCTION("""COMPUTED_VALUE"""),"ufloki")</f>
        <v>ufloki</v>
      </c>
      <c r="C12060" s="3" t="str">
        <f>IFERROR(__xludf.DUMMYFUNCTION("""COMPUTED_VALUE"""),"Universal Floki Coin")</f>
        <v>Universal Floki Coin</v>
      </c>
    </row>
    <row r="12061">
      <c r="A12061" s="3" t="str">
        <f>IFERROR(__xludf.DUMMYFUNCTION("""COMPUTED_VALUE"""),"universal-gold")</f>
        <v>universal-gold</v>
      </c>
      <c r="B12061" s="3" t="str">
        <f>IFERROR(__xludf.DUMMYFUNCTION("""COMPUTED_VALUE"""),"upxau")</f>
        <v>upxau</v>
      </c>
      <c r="C12061" s="3" t="str">
        <f>IFERROR(__xludf.DUMMYFUNCTION("""COMPUTED_VALUE"""),"Universal Gold")</f>
        <v>Universal Gold</v>
      </c>
    </row>
    <row r="12062">
      <c r="A12062" s="3" t="str">
        <f>IFERROR(__xludf.DUMMYFUNCTION("""COMPUTED_VALUE"""),"universal-liquidity-union")</f>
        <v>universal-liquidity-union</v>
      </c>
      <c r="B12062" s="3" t="str">
        <f>IFERROR(__xludf.DUMMYFUNCTION("""COMPUTED_VALUE"""),"ulu")</f>
        <v>ulu</v>
      </c>
      <c r="C12062" s="3" t="str">
        <f>IFERROR(__xludf.DUMMYFUNCTION("""COMPUTED_VALUE"""),"Universal Liquidity Union")</f>
        <v>Universal Liquidity Union</v>
      </c>
    </row>
    <row r="12063">
      <c r="A12063" s="3" t="str">
        <f>IFERROR(__xludf.DUMMYFUNCTION("""COMPUTED_VALUE"""),"universal-pickle")</f>
        <v>universal-pickle</v>
      </c>
      <c r="B12063" s="3" t="str">
        <f>IFERROR(__xludf.DUMMYFUNCTION("""COMPUTED_VALUE"""),"$upl")</f>
        <v>$upl</v>
      </c>
      <c r="C12063" s="3" t="str">
        <f>IFERROR(__xludf.DUMMYFUNCTION("""COMPUTED_VALUE"""),"Universal Pickle")</f>
        <v>Universal Pickle</v>
      </c>
    </row>
    <row r="12064">
      <c r="A12064" s="3" t="str">
        <f>IFERROR(__xludf.DUMMYFUNCTION("""COMPUTED_VALUE"""),"universal-protocol-token")</f>
        <v>universal-protocol-token</v>
      </c>
      <c r="B12064" s="3" t="str">
        <f>IFERROR(__xludf.DUMMYFUNCTION("""COMPUTED_VALUE"""),"upt")</f>
        <v>upt</v>
      </c>
      <c r="C12064" s="3" t="str">
        <f>IFERROR(__xludf.DUMMYFUNCTION("""COMPUTED_VALUE"""),"Universal Protocol Token")</f>
        <v>Universal Protocol Token</v>
      </c>
    </row>
    <row r="12065">
      <c r="A12065" s="3" t="str">
        <f>IFERROR(__xludf.DUMMYFUNCTION("""COMPUTED_VALUE"""),"universe-coin")</f>
        <v>universe-coin</v>
      </c>
      <c r="B12065" s="3" t="str">
        <f>IFERROR(__xludf.DUMMYFUNCTION("""COMPUTED_VALUE"""),"unis")</f>
        <v>unis</v>
      </c>
      <c r="C12065" s="3" t="str">
        <f>IFERROR(__xludf.DUMMYFUNCTION("""COMPUTED_VALUE"""),"Universe Coin")</f>
        <v>Universe Coin</v>
      </c>
    </row>
    <row r="12066">
      <c r="A12066" s="3" t="str">
        <f>IFERROR(__xludf.DUMMYFUNCTION("""COMPUTED_VALUE"""),"universe-crystal-gene")</f>
        <v>universe-crystal-gene</v>
      </c>
      <c r="B12066" s="3" t="str">
        <f>IFERROR(__xludf.DUMMYFUNCTION("""COMPUTED_VALUE"""),"ucg")</f>
        <v>ucg</v>
      </c>
      <c r="C12066" s="3" t="str">
        <f>IFERROR(__xludf.DUMMYFUNCTION("""COMPUTED_VALUE"""),"Universe Crystal Gene")</f>
        <v>Universe Crystal Gene</v>
      </c>
    </row>
    <row r="12067">
      <c r="A12067" s="3" t="str">
        <f>IFERROR(__xludf.DUMMYFUNCTION("""COMPUTED_VALUE"""),"universe-island")</f>
        <v>universe-island</v>
      </c>
      <c r="B12067" s="3" t="str">
        <f>IFERROR(__xludf.DUMMYFUNCTION("""COMPUTED_VALUE"""),"uim")</f>
        <v>uim</v>
      </c>
      <c r="C12067" s="3" t="str">
        <f>IFERROR(__xludf.DUMMYFUNCTION("""COMPUTED_VALUE"""),"Universe Island")</f>
        <v>Universe Island</v>
      </c>
    </row>
    <row r="12068">
      <c r="A12068" s="3" t="str">
        <f>IFERROR(__xludf.DUMMYFUNCTION("""COMPUTED_VALUE"""),"universe-xyz")</f>
        <v>universe-xyz</v>
      </c>
      <c r="B12068" s="3" t="str">
        <f>IFERROR(__xludf.DUMMYFUNCTION("""COMPUTED_VALUE"""),"xyz")</f>
        <v>xyz</v>
      </c>
      <c r="C12068" s="3" t="str">
        <f>IFERROR(__xludf.DUMMYFUNCTION("""COMPUTED_VALUE"""),"Universe.XYZ")</f>
        <v>Universe.XYZ</v>
      </c>
    </row>
    <row r="12069">
      <c r="A12069" s="3" t="str">
        <f>IFERROR(__xludf.DUMMYFUNCTION("""COMPUTED_VALUE"""),"universidad-de-chile-fan-token")</f>
        <v>universidad-de-chile-fan-token</v>
      </c>
      <c r="B12069" s="3" t="str">
        <f>IFERROR(__xludf.DUMMYFUNCTION("""COMPUTED_VALUE"""),"uch")</f>
        <v>uch</v>
      </c>
      <c r="C12069" s="3" t="str">
        <f>IFERROR(__xludf.DUMMYFUNCTION("""COMPUTED_VALUE"""),"Universidad de Chile Fan Token")</f>
        <v>Universidad de Chile Fan Token</v>
      </c>
    </row>
    <row r="12070">
      <c r="A12070" s="3" t="str">
        <f>IFERROR(__xludf.DUMMYFUNCTION("""COMPUTED_VALUE"""),"uniwhales")</f>
        <v>uniwhales</v>
      </c>
      <c r="B12070" s="3" t="str">
        <f>IFERROR(__xludf.DUMMYFUNCTION("""COMPUTED_VALUE"""),"uwl")</f>
        <v>uwl</v>
      </c>
      <c r="C12070" s="3" t="str">
        <f>IFERROR(__xludf.DUMMYFUNCTION("""COMPUTED_VALUE"""),"UniWhales")</f>
        <v>UniWhales</v>
      </c>
    </row>
    <row r="12071">
      <c r="A12071" s="3" t="str">
        <f>IFERROR(__xludf.DUMMYFUNCTION("""COMPUTED_VALUE"""),"uniworld")</f>
        <v>uniworld</v>
      </c>
      <c r="B12071" s="3" t="str">
        <f>IFERROR(__xludf.DUMMYFUNCTION("""COMPUTED_VALUE"""),"unw")</f>
        <v>unw</v>
      </c>
      <c r="C12071" s="3" t="str">
        <f>IFERROR(__xludf.DUMMYFUNCTION("""COMPUTED_VALUE"""),"UniWorld")</f>
        <v>UniWorld</v>
      </c>
    </row>
    <row r="12072">
      <c r="A12072" s="3" t="str">
        <f>IFERROR(__xludf.DUMMYFUNCTION("""COMPUTED_VALUE"""),"uniwswap")</f>
        <v>uniwswap</v>
      </c>
      <c r="B12072" s="3" t="str">
        <f>IFERROR(__xludf.DUMMYFUNCTION("""COMPUTED_VALUE"""),"uniw")</f>
        <v>uniw</v>
      </c>
      <c r="C12072" s="3" t="str">
        <f>IFERROR(__xludf.DUMMYFUNCTION("""COMPUTED_VALUE"""),"UniWswap")</f>
        <v>UniWswap</v>
      </c>
    </row>
    <row r="12073">
      <c r="A12073" s="3" t="str">
        <f>IFERROR(__xludf.DUMMYFUNCTION("""COMPUTED_VALUE"""),"unix")</f>
        <v>unix</v>
      </c>
      <c r="B12073" s="3" t="str">
        <f>IFERROR(__xludf.DUMMYFUNCTION("""COMPUTED_VALUE"""),"unix")</f>
        <v>unix</v>
      </c>
      <c r="C12073" s="3" t="str">
        <f>IFERROR(__xludf.DUMMYFUNCTION("""COMPUTED_VALUE"""),"UniX")</f>
        <v>UniX</v>
      </c>
    </row>
    <row r="12074">
      <c r="A12074" s="3" t="str">
        <f>IFERROR(__xludf.DUMMYFUNCTION("""COMPUTED_VALUE"""),"unizen")</f>
        <v>unizen</v>
      </c>
      <c r="B12074" s="3" t="str">
        <f>IFERROR(__xludf.DUMMYFUNCTION("""COMPUTED_VALUE"""),"zcx")</f>
        <v>zcx</v>
      </c>
      <c r="C12074" s="3" t="str">
        <f>IFERROR(__xludf.DUMMYFUNCTION("""COMPUTED_VALUE"""),"Unizen")</f>
        <v>Unizen</v>
      </c>
    </row>
    <row r="12075">
      <c r="A12075" s="3" t="str">
        <f>IFERROR(__xludf.DUMMYFUNCTION("""COMPUTED_VALUE"""),"unkai")</f>
        <v>unkai</v>
      </c>
      <c r="B12075" s="3" t="str">
        <f>IFERROR(__xludf.DUMMYFUNCTION("""COMPUTED_VALUE"""),"unkai")</f>
        <v>unkai</v>
      </c>
      <c r="C12075" s="3" t="str">
        <f>IFERROR(__xludf.DUMMYFUNCTION("""COMPUTED_VALUE"""),"Unkai")</f>
        <v>Unkai</v>
      </c>
    </row>
    <row r="12076">
      <c r="A12076" s="3" t="str">
        <f>IFERROR(__xludf.DUMMYFUNCTION("""COMPUTED_VALUE"""),"unknown-fair-object")</f>
        <v>unknown-fair-object</v>
      </c>
      <c r="B12076" s="3" t="str">
        <f>IFERROR(__xludf.DUMMYFUNCTION("""COMPUTED_VALUE"""),"ufo")</f>
        <v>ufo</v>
      </c>
      <c r="C12076" s="3" t="str">
        <f>IFERROR(__xludf.DUMMYFUNCTION("""COMPUTED_VALUE"""),"Unknown Fair Object")</f>
        <v>Unknown Fair Object</v>
      </c>
    </row>
    <row r="12077">
      <c r="A12077" s="3" t="str">
        <f>IFERROR(__xludf.DUMMYFUNCTION("""COMPUTED_VALUE"""),"unlend-finance")</f>
        <v>unlend-finance</v>
      </c>
      <c r="B12077" s="3" t="str">
        <f>IFERROR(__xludf.DUMMYFUNCTION("""COMPUTED_VALUE"""),"uft")</f>
        <v>uft</v>
      </c>
      <c r="C12077" s="3" t="str">
        <f>IFERROR(__xludf.DUMMYFUNCTION("""COMPUTED_VALUE"""),"UniLend Finance")</f>
        <v>UniLend Finance</v>
      </c>
    </row>
    <row r="12078">
      <c r="A12078" s="3" t="str">
        <f>IFERROR(__xludf.DUMMYFUNCTION("""COMPUTED_VALUE"""),"unlimitedip")</f>
        <v>unlimitedip</v>
      </c>
      <c r="B12078" s="3" t="str">
        <f>IFERROR(__xludf.DUMMYFUNCTION("""COMPUTED_VALUE"""),"uip")</f>
        <v>uip</v>
      </c>
      <c r="C12078" s="3" t="str">
        <f>IFERROR(__xludf.DUMMYFUNCTION("""COMPUTED_VALUE"""),"UnlimitedIP")</f>
        <v>UnlimitedIP</v>
      </c>
    </row>
    <row r="12079">
      <c r="A12079" s="3" t="str">
        <f>IFERROR(__xludf.DUMMYFUNCTION("""COMPUTED_VALUE"""),"unlock")</f>
        <v>unlock</v>
      </c>
      <c r="B12079" s="3" t="str">
        <f>IFERROR(__xludf.DUMMYFUNCTION("""COMPUTED_VALUE"""),"unlock")</f>
        <v>unlock</v>
      </c>
      <c r="C12079" s="3" t="str">
        <f>IFERROR(__xludf.DUMMYFUNCTION("""COMPUTED_VALUE"""),"UNLOCK")</f>
        <v>UNLOCK</v>
      </c>
    </row>
    <row r="12080">
      <c r="A12080" s="3" t="str">
        <f>IFERROR(__xludf.DUMMYFUNCTION("""COMPUTED_VALUE"""),"unlockd")</f>
        <v>unlockd</v>
      </c>
      <c r="B12080" s="3" t="str">
        <f>IFERROR(__xludf.DUMMYFUNCTION("""COMPUTED_VALUE"""),"unlk")</f>
        <v>unlk</v>
      </c>
      <c r="C12080" s="3" t="str">
        <f>IFERROR(__xludf.DUMMYFUNCTION("""COMPUTED_VALUE"""),"Unlockd")</f>
        <v>Unlockd</v>
      </c>
    </row>
    <row r="12081">
      <c r="A12081" s="3" t="str">
        <f>IFERROR(__xludf.DUMMYFUNCTION("""COMPUTED_VALUE"""),"unlock-protocol")</f>
        <v>unlock-protocol</v>
      </c>
      <c r="B12081" s="3" t="str">
        <f>IFERROR(__xludf.DUMMYFUNCTION("""COMPUTED_VALUE"""),"udt")</f>
        <v>udt</v>
      </c>
      <c r="C12081" s="3" t="str">
        <f>IFERROR(__xludf.DUMMYFUNCTION("""COMPUTED_VALUE"""),"Unlock Protocol")</f>
        <v>Unlock Protocol</v>
      </c>
    </row>
    <row r="12082">
      <c r="A12082" s="3" t="str">
        <f>IFERROR(__xludf.DUMMYFUNCTION("""COMPUTED_VALUE"""),"unmarshal")</f>
        <v>unmarshal</v>
      </c>
      <c r="B12082" s="3" t="str">
        <f>IFERROR(__xludf.DUMMYFUNCTION("""COMPUTED_VALUE"""),"marsh")</f>
        <v>marsh</v>
      </c>
      <c r="C12082" s="3" t="str">
        <f>IFERROR(__xludf.DUMMYFUNCTION("""COMPUTED_VALUE"""),"Unmarshal")</f>
        <v>Unmarshal</v>
      </c>
    </row>
    <row r="12083">
      <c r="A12083" s="3" t="str">
        <f>IFERROR(__xludf.DUMMYFUNCTION("""COMPUTED_VALUE"""),"unobtainium")</f>
        <v>unobtainium</v>
      </c>
      <c r="B12083" s="3" t="str">
        <f>IFERROR(__xludf.DUMMYFUNCTION("""COMPUTED_VALUE"""),"uno")</f>
        <v>uno</v>
      </c>
      <c r="C12083" s="3" t="str">
        <f>IFERROR(__xludf.DUMMYFUNCTION("""COMPUTED_VALUE"""),"Unobtainium")</f>
        <v>Unobtainium</v>
      </c>
    </row>
    <row r="12084">
      <c r="A12084" s="3" t="str">
        <f>IFERROR(__xludf.DUMMYFUNCTION("""COMPUTED_VALUE"""),"unobtanium")</f>
        <v>unobtanium</v>
      </c>
      <c r="B12084" s="3" t="str">
        <f>IFERROR(__xludf.DUMMYFUNCTION("""COMPUTED_VALUE"""),"uno")</f>
        <v>uno</v>
      </c>
      <c r="C12084" s="3" t="str">
        <f>IFERROR(__xludf.DUMMYFUNCTION("""COMPUTED_VALUE"""),"Unobtanium")</f>
        <v>Unobtanium</v>
      </c>
    </row>
    <row r="12085">
      <c r="A12085" s="3" t="str">
        <f>IFERROR(__xludf.DUMMYFUNCTION("""COMPUTED_VALUE"""),"unobtanium-tezos")</f>
        <v>unobtanium-tezos</v>
      </c>
      <c r="B12085" s="3" t="str">
        <f>IFERROR(__xludf.DUMMYFUNCTION("""COMPUTED_VALUE"""),"uno")</f>
        <v>uno</v>
      </c>
      <c r="C12085" s="3" t="str">
        <f>IFERROR(__xludf.DUMMYFUNCTION("""COMPUTED_VALUE"""),"Unobtanium Tezos")</f>
        <v>Unobtanium Tezos</v>
      </c>
    </row>
    <row r="12086">
      <c r="A12086" s="3" t="str">
        <f>IFERROR(__xludf.DUMMYFUNCTION("""COMPUTED_VALUE"""),"uno-re")</f>
        <v>uno-re</v>
      </c>
      <c r="B12086" s="3" t="str">
        <f>IFERROR(__xludf.DUMMYFUNCTION("""COMPUTED_VALUE"""),"uno")</f>
        <v>uno</v>
      </c>
      <c r="C12086" s="3" t="str">
        <f>IFERROR(__xludf.DUMMYFUNCTION("""COMPUTED_VALUE"""),"Uno Re")</f>
        <v>Uno Re</v>
      </c>
    </row>
    <row r="12087">
      <c r="A12087" s="3" t="str">
        <f>IFERROR(__xludf.DUMMYFUNCTION("""COMPUTED_VALUE"""),"unq")</f>
        <v>unq</v>
      </c>
      <c r="B12087" s="3" t="str">
        <f>IFERROR(__xludf.DUMMYFUNCTION("""COMPUTED_VALUE"""),"unq")</f>
        <v>unq</v>
      </c>
      <c r="C12087" s="3" t="str">
        <f>IFERROR(__xludf.DUMMYFUNCTION("""COMPUTED_VALUE"""),"Unique Venture clubs")</f>
        <v>Unique Venture clubs</v>
      </c>
    </row>
    <row r="12088">
      <c r="A12088" s="3" t="str">
        <f>IFERROR(__xludf.DUMMYFUNCTION("""COMPUTED_VALUE"""),"unreal-finance")</f>
        <v>unreal-finance</v>
      </c>
      <c r="B12088" s="3" t="str">
        <f>IFERROR(__xludf.DUMMYFUNCTION("""COMPUTED_VALUE"""),"ugt")</f>
        <v>ugt</v>
      </c>
      <c r="C12088" s="3" t="str">
        <f>IFERROR(__xludf.DUMMYFUNCTION("""COMPUTED_VALUE"""),"Unreal Finance")</f>
        <v>Unreal Finance</v>
      </c>
    </row>
    <row r="12089">
      <c r="A12089" s="3" t="str">
        <f>IFERROR(__xludf.DUMMYFUNCTION("""COMPUTED_VALUE"""),"unslashed-finance")</f>
        <v>unslashed-finance</v>
      </c>
      <c r="B12089" s="3" t="str">
        <f>IFERROR(__xludf.DUMMYFUNCTION("""COMPUTED_VALUE"""),"usf")</f>
        <v>usf</v>
      </c>
      <c r="C12089" s="3" t="str">
        <f>IFERROR(__xludf.DUMMYFUNCTION("""COMPUTED_VALUE"""),"Unslashed Finance")</f>
        <v>Unslashed Finance</v>
      </c>
    </row>
    <row r="12090">
      <c r="A12090" s="3" t="str">
        <f>IFERROR(__xludf.DUMMYFUNCTION("""COMPUTED_VALUE"""),"unus-dao")</f>
        <v>unus-dao</v>
      </c>
      <c r="B12090" s="3" t="str">
        <f>IFERROR(__xludf.DUMMYFUNCTION("""COMPUTED_VALUE"""),"udo")</f>
        <v>udo</v>
      </c>
      <c r="C12090" s="3" t="str">
        <f>IFERROR(__xludf.DUMMYFUNCTION("""COMPUTED_VALUE"""),"Unus Dao")</f>
        <v>Unus Dao</v>
      </c>
    </row>
    <row r="12091">
      <c r="A12091" s="3" t="str">
        <f>IFERROR(__xludf.DUMMYFUNCTION("""COMPUTED_VALUE"""),"unvest")</f>
        <v>unvest</v>
      </c>
      <c r="B12091" s="3" t="str">
        <f>IFERROR(__xludf.DUMMYFUNCTION("""COMPUTED_VALUE"""),"unv")</f>
        <v>unv</v>
      </c>
      <c r="C12091" s="3" t="str">
        <f>IFERROR(__xludf.DUMMYFUNCTION("""COMPUTED_VALUE"""),"Unvest")</f>
        <v>Unvest</v>
      </c>
    </row>
    <row r="12092">
      <c r="A12092" s="3" t="str">
        <f>IFERROR(__xludf.DUMMYFUNCTION("""COMPUTED_VALUE"""),"upark")</f>
        <v>upark</v>
      </c>
      <c r="B12092" s="3" t="str">
        <f>IFERROR(__xludf.DUMMYFUNCTION("""COMPUTED_VALUE"""),"upark")</f>
        <v>upark</v>
      </c>
      <c r="C12092" s="3" t="str">
        <f>IFERROR(__xludf.DUMMYFUNCTION("""COMPUTED_VALUE"""),"uPark")</f>
        <v>uPark</v>
      </c>
    </row>
    <row r="12093">
      <c r="A12093" s="3" t="str">
        <f>IFERROR(__xludf.DUMMYFUNCTION("""COMPUTED_VALUE"""),"upbnb")</f>
        <v>upbnb</v>
      </c>
      <c r="B12093" s="3" t="str">
        <f>IFERROR(__xludf.DUMMYFUNCTION("""COMPUTED_VALUE"""),"upbnb")</f>
        <v>upbnb</v>
      </c>
      <c r="C12093" s="3" t="str">
        <f>IFERROR(__xludf.DUMMYFUNCTION("""COMPUTED_VALUE"""),"upBNB")</f>
        <v>upBNB</v>
      </c>
    </row>
    <row r="12094">
      <c r="A12094" s="3" t="str">
        <f>IFERROR(__xludf.DUMMYFUNCTION("""COMPUTED_VALUE"""),"upbots")</f>
        <v>upbots</v>
      </c>
      <c r="B12094" s="3" t="str">
        <f>IFERROR(__xludf.DUMMYFUNCTION("""COMPUTED_VALUE"""),"ubxt")</f>
        <v>ubxt</v>
      </c>
      <c r="C12094" s="3" t="str">
        <f>IFERROR(__xludf.DUMMYFUNCTION("""COMPUTED_VALUE"""),"UpBots")</f>
        <v>UpBots</v>
      </c>
    </row>
    <row r="12095">
      <c r="A12095" s="3" t="str">
        <f>IFERROR(__xludf.DUMMYFUNCTION("""COMPUTED_VALUE"""),"upcoin")</f>
        <v>upcoin</v>
      </c>
      <c r="B12095" s="3" t="str">
        <f>IFERROR(__xludf.DUMMYFUNCTION("""COMPUTED_VALUE"""),"upcoin")</f>
        <v>upcoin</v>
      </c>
      <c r="C12095" s="3" t="str">
        <f>IFERROR(__xludf.DUMMYFUNCTION("""COMPUTED_VALUE"""),"Upcoin")</f>
        <v>Upcoin</v>
      </c>
    </row>
    <row r="12096">
      <c r="A12096" s="3" t="str">
        <f>IFERROR(__xludf.DUMMYFUNCTION("""COMPUTED_VALUE"""),"updog")</f>
        <v>updog</v>
      </c>
      <c r="B12096" s="3" t="str">
        <f>IFERROR(__xludf.DUMMYFUNCTION("""COMPUTED_VALUE"""),"updog")</f>
        <v>updog</v>
      </c>
      <c r="C12096" s="3" t="str">
        <f>IFERROR(__xludf.DUMMYFUNCTION("""COMPUTED_VALUE"""),"UpDog")</f>
        <v>UpDog</v>
      </c>
    </row>
    <row r="12097">
      <c r="A12097" s="3" t="str">
        <f>IFERROR(__xludf.DUMMYFUNCTION("""COMPUTED_VALUE"""),"upfi-network")</f>
        <v>upfi-network</v>
      </c>
      <c r="B12097" s="3" t="str">
        <f>IFERROR(__xludf.DUMMYFUNCTION("""COMPUTED_VALUE"""),"ups")</f>
        <v>ups</v>
      </c>
      <c r="C12097" s="3" t="str">
        <f>IFERROR(__xludf.DUMMYFUNCTION("""COMPUTED_VALUE"""),"UPFI Network")</f>
        <v>UPFI Network</v>
      </c>
    </row>
    <row r="12098">
      <c r="A12098" s="3" t="str">
        <f>IFERROR(__xludf.DUMMYFUNCTION("""COMPUTED_VALUE"""),"upfire")</f>
        <v>upfire</v>
      </c>
      <c r="B12098" s="3" t="str">
        <f>IFERROR(__xludf.DUMMYFUNCTION("""COMPUTED_VALUE"""),"upr")</f>
        <v>upr</v>
      </c>
      <c r="C12098" s="3" t="str">
        <f>IFERROR(__xludf.DUMMYFUNCTION("""COMPUTED_VALUE"""),"Upfire")</f>
        <v>Upfire</v>
      </c>
    </row>
    <row r="12099">
      <c r="A12099" s="3" t="str">
        <f>IFERROR(__xludf.DUMMYFUNCTION("""COMPUTED_VALUE"""),"upfiring")</f>
        <v>upfiring</v>
      </c>
      <c r="B12099" s="3" t="str">
        <f>IFERROR(__xludf.DUMMYFUNCTION("""COMPUTED_VALUE"""),"ufr")</f>
        <v>ufr</v>
      </c>
      <c r="C12099" s="3" t="str">
        <f>IFERROR(__xludf.DUMMYFUNCTION("""COMPUTED_VALUE"""),"Upfiring")</f>
        <v>Upfiring</v>
      </c>
    </row>
    <row r="12100">
      <c r="A12100" s="3" t="str">
        <f>IFERROR(__xludf.DUMMYFUNCTION("""COMPUTED_VALUE"""),"uplexa")</f>
        <v>uplexa</v>
      </c>
      <c r="B12100" s="3" t="str">
        <f>IFERROR(__xludf.DUMMYFUNCTION("""COMPUTED_VALUE"""),"upx")</f>
        <v>upx</v>
      </c>
      <c r="C12100" s="3" t="str">
        <f>IFERROR(__xludf.DUMMYFUNCTION("""COMPUTED_VALUE"""),"uPlexa")</f>
        <v>uPlexa</v>
      </c>
    </row>
    <row r="12101">
      <c r="A12101" s="3" t="str">
        <f>IFERROR(__xludf.DUMMYFUNCTION("""COMPUTED_VALUE"""),"uplift")</f>
        <v>uplift</v>
      </c>
      <c r="B12101" s="3" t="str">
        <f>IFERROR(__xludf.DUMMYFUNCTION("""COMPUTED_VALUE"""),"lift")</f>
        <v>lift</v>
      </c>
      <c r="C12101" s="3" t="str">
        <f>IFERROR(__xludf.DUMMYFUNCTION("""COMPUTED_VALUE"""),"Uplift")</f>
        <v>Uplift</v>
      </c>
    </row>
    <row r="12102">
      <c r="A12102" s="3" t="str">
        <f>IFERROR(__xludf.DUMMYFUNCTION("""COMPUTED_VALUE"""),"uponly-token")</f>
        <v>uponly-token</v>
      </c>
      <c r="B12102" s="3" t="str">
        <f>IFERROR(__xludf.DUMMYFUNCTION("""COMPUTED_VALUE"""),"upo")</f>
        <v>upo</v>
      </c>
      <c r="C12102" s="3" t="str">
        <f>IFERROR(__xludf.DUMMYFUNCTION("""COMPUTED_VALUE"""),"UpOnly")</f>
        <v>UpOnly</v>
      </c>
    </row>
    <row r="12103">
      <c r="A12103" s="3" t="str">
        <f>IFERROR(__xludf.DUMMYFUNCTION("""COMPUTED_VALUE"""),"upper-dollar")</f>
        <v>upper-dollar</v>
      </c>
      <c r="B12103" s="3" t="str">
        <f>IFERROR(__xludf.DUMMYFUNCTION("""COMPUTED_VALUE"""),"usdu")</f>
        <v>usdu</v>
      </c>
      <c r="C12103" s="3" t="str">
        <f>IFERROR(__xludf.DUMMYFUNCTION("""COMPUTED_VALUE"""),"Upper Dollar")</f>
        <v>Upper Dollar</v>
      </c>
    </row>
    <row r="12104">
      <c r="A12104" s="3" t="str">
        <f>IFERROR(__xludf.DUMMYFUNCTION("""COMPUTED_VALUE"""),"upper-euro")</f>
        <v>upper-euro</v>
      </c>
      <c r="B12104" s="3" t="str">
        <f>IFERROR(__xludf.DUMMYFUNCTION("""COMPUTED_VALUE"""),"euru")</f>
        <v>euru</v>
      </c>
      <c r="C12104" s="3" t="str">
        <f>IFERROR(__xludf.DUMMYFUNCTION("""COMPUTED_VALUE"""),"Upper Euro")</f>
        <v>Upper Euro</v>
      </c>
    </row>
    <row r="12105">
      <c r="A12105" s="3" t="str">
        <f>IFERROR(__xludf.DUMMYFUNCTION("""COMPUTED_VALUE"""),"upper-pound")</f>
        <v>upper-pound</v>
      </c>
      <c r="B12105" s="3" t="str">
        <f>IFERROR(__xludf.DUMMYFUNCTION("""COMPUTED_VALUE"""),"gbpu")</f>
        <v>gbpu</v>
      </c>
      <c r="C12105" s="3" t="str">
        <f>IFERROR(__xludf.DUMMYFUNCTION("""COMPUTED_VALUE"""),"Upper Pound")</f>
        <v>Upper Pound</v>
      </c>
    </row>
    <row r="12106">
      <c r="A12106" s="3" t="str">
        <f>IFERROR(__xludf.DUMMYFUNCTION("""COMPUTED_VALUE"""),"upper-swiss-franc")</f>
        <v>upper-swiss-franc</v>
      </c>
      <c r="B12106" s="3" t="str">
        <f>IFERROR(__xludf.DUMMYFUNCTION("""COMPUTED_VALUE"""),"chfu")</f>
        <v>chfu</v>
      </c>
      <c r="C12106" s="3" t="str">
        <f>IFERROR(__xludf.DUMMYFUNCTION("""COMPUTED_VALUE"""),"Upper Swiss Franc")</f>
        <v>Upper Swiss Franc</v>
      </c>
    </row>
    <row r="12107">
      <c r="A12107" s="3" t="str">
        <f>IFERROR(__xludf.DUMMYFUNCTION("""COMPUTED_VALUE"""),"upshib")</f>
        <v>upshib</v>
      </c>
      <c r="B12107" s="3" t="str">
        <f>IFERROR(__xludf.DUMMYFUNCTION("""COMPUTED_VALUE"""),"upshib")</f>
        <v>upshib</v>
      </c>
      <c r="C12107" s="3" t="str">
        <f>IFERROR(__xludf.DUMMYFUNCTION("""COMPUTED_VALUE"""),"upShib")</f>
        <v>upShib</v>
      </c>
    </row>
    <row r="12108">
      <c r="A12108" s="3" t="str">
        <f>IFERROR(__xludf.DUMMYFUNCTION("""COMPUTED_VALUE"""),"upsorber")</f>
        <v>upsorber</v>
      </c>
      <c r="B12108" s="3" t="str">
        <f>IFERROR(__xludf.DUMMYFUNCTION("""COMPUTED_VALUE"""),"up")</f>
        <v>up</v>
      </c>
      <c r="C12108" s="3" t="str">
        <f>IFERROR(__xludf.DUMMYFUNCTION("""COMPUTED_VALUE"""),"Upsorber")</f>
        <v>Upsorber</v>
      </c>
    </row>
    <row r="12109">
      <c r="A12109" s="3" t="str">
        <f>IFERROR(__xludf.DUMMYFUNCTION("""COMPUTED_VALUE"""),"up-spiral")</f>
        <v>up-spiral</v>
      </c>
      <c r="B12109" s="3" t="str">
        <f>IFERROR(__xludf.DUMMYFUNCTION("""COMPUTED_VALUE"""),"spiral")</f>
        <v>spiral</v>
      </c>
      <c r="C12109" s="3" t="str">
        <f>IFERROR(__xludf.DUMMYFUNCTION("""COMPUTED_VALUE"""),"Up Spiral")</f>
        <v>Up Spiral</v>
      </c>
    </row>
    <row r="12110">
      <c r="A12110" s="3" t="str">
        <f>IFERROR(__xludf.DUMMYFUNCTION("""COMPUTED_VALUE"""),"uptrend")</f>
        <v>uptrend</v>
      </c>
      <c r="B12110" s="3" t="str">
        <f>IFERROR(__xludf.DUMMYFUNCTION("""COMPUTED_VALUE"""),"trend")</f>
        <v>trend</v>
      </c>
      <c r="C12110" s="3" t="str">
        <f>IFERROR(__xludf.DUMMYFUNCTION("""COMPUTED_VALUE"""),"UpTrend")</f>
        <v>UpTrend</v>
      </c>
    </row>
    <row r="12111">
      <c r="A12111" s="3" t="str">
        <f>IFERROR(__xludf.DUMMYFUNCTION("""COMPUTED_VALUE"""),"uquid-coin")</f>
        <v>uquid-coin</v>
      </c>
      <c r="B12111" s="3" t="str">
        <f>IFERROR(__xludf.DUMMYFUNCTION("""COMPUTED_VALUE"""),"uqc")</f>
        <v>uqc</v>
      </c>
      <c r="C12111" s="3" t="str">
        <f>IFERROR(__xludf.DUMMYFUNCTION("""COMPUTED_VALUE"""),"Uquid Coin")</f>
        <v>Uquid Coin</v>
      </c>
    </row>
    <row r="12112">
      <c r="A12112" s="3" t="str">
        <f>IFERROR(__xludf.DUMMYFUNCTION("""COMPUTED_VALUE"""),"uraniumx")</f>
        <v>uraniumx</v>
      </c>
      <c r="B12112" s="3" t="str">
        <f>IFERROR(__xludf.DUMMYFUNCTION("""COMPUTED_VALUE"""),"urx")</f>
        <v>urx</v>
      </c>
      <c r="C12112" s="3" t="str">
        <f>IFERROR(__xludf.DUMMYFUNCTION("""COMPUTED_VALUE"""),"UraniumX")</f>
        <v>UraniumX</v>
      </c>
    </row>
    <row r="12113">
      <c r="A12113" s="3" t="str">
        <f>IFERROR(__xludf.DUMMYFUNCTION("""COMPUTED_VALUE"""),"uranus")</f>
        <v>uranus</v>
      </c>
      <c r="B12113" s="3" t="str">
        <f>IFERROR(__xludf.DUMMYFUNCTION("""COMPUTED_VALUE"""),"urac")</f>
        <v>urac</v>
      </c>
      <c r="C12113" s="3" t="str">
        <f>IFERROR(__xludf.DUMMYFUNCTION("""COMPUTED_VALUE"""),"Uranus")</f>
        <v>Uranus</v>
      </c>
    </row>
    <row r="12114">
      <c r="A12114" s="3" t="str">
        <f>IFERROR(__xludf.DUMMYFUNCTION("""COMPUTED_VALUE"""),"ureeqa")</f>
        <v>ureeqa</v>
      </c>
      <c r="B12114" s="3" t="str">
        <f>IFERROR(__xludf.DUMMYFUNCTION("""COMPUTED_VALUE"""),"urqa")</f>
        <v>urqa</v>
      </c>
      <c r="C12114" s="3" t="str">
        <f>IFERROR(__xludf.DUMMYFUNCTION("""COMPUTED_VALUE"""),"UREEQA")</f>
        <v>UREEQA</v>
      </c>
    </row>
    <row r="12115">
      <c r="A12115" s="3" t="str">
        <f>IFERROR(__xludf.DUMMYFUNCTION("""COMPUTED_VALUE"""),"urubit")</f>
        <v>urubit</v>
      </c>
      <c r="B12115" s="3" t="str">
        <f>IFERROR(__xludf.DUMMYFUNCTION("""COMPUTED_VALUE"""),"urub")</f>
        <v>urub</v>
      </c>
      <c r="C12115" s="3" t="str">
        <f>IFERROR(__xludf.DUMMYFUNCTION("""COMPUTED_VALUE"""),"Urubit")</f>
        <v>Urubit</v>
      </c>
    </row>
    <row r="12116">
      <c r="A12116" s="3" t="str">
        <f>IFERROR(__xludf.DUMMYFUNCTION("""COMPUTED_VALUE"""),"urust-global")</f>
        <v>urust-global</v>
      </c>
      <c r="B12116" s="3" t="str">
        <f>IFERROR(__xludf.DUMMYFUNCTION("""COMPUTED_VALUE"""),"urust")</f>
        <v>urust</v>
      </c>
      <c r="C12116" s="3" t="str">
        <f>IFERROR(__xludf.DUMMYFUNCTION("""COMPUTED_VALUE"""),"Urust Global")</f>
        <v>Urust Global</v>
      </c>
    </row>
    <row r="12117">
      <c r="A12117" s="3" t="str">
        <f>IFERROR(__xludf.DUMMYFUNCTION("""COMPUTED_VALUE"""),"urus-token")</f>
        <v>urus-token</v>
      </c>
      <c r="B12117" s="3" t="str">
        <f>IFERROR(__xludf.DUMMYFUNCTION("""COMPUTED_VALUE"""),"urus")</f>
        <v>urus</v>
      </c>
      <c r="C12117" s="3" t="str">
        <f>IFERROR(__xludf.DUMMYFUNCTION("""COMPUTED_VALUE"""),"Aurox")</f>
        <v>Aurox</v>
      </c>
    </row>
    <row r="12118">
      <c r="A12118" s="3" t="str">
        <f>IFERROR(__xludf.DUMMYFUNCTION("""COMPUTED_VALUE"""),"usd")</f>
        <v>usd</v>
      </c>
      <c r="B12118" s="3" t="str">
        <f>IFERROR(__xludf.DUMMYFUNCTION("""COMPUTED_VALUE"""),"usd+")</f>
        <v>usd+</v>
      </c>
      <c r="C12118" s="3" t="str">
        <f>IFERROR(__xludf.DUMMYFUNCTION("""COMPUTED_VALUE"""),"USD+")</f>
        <v>USD+</v>
      </c>
    </row>
    <row r="12119">
      <c r="A12119" s="3" t="str">
        <f>IFERROR(__xludf.DUMMYFUNCTION("""COMPUTED_VALUE"""),"usd-balance")</f>
        <v>usd-balance</v>
      </c>
      <c r="B12119" s="3" t="str">
        <f>IFERROR(__xludf.DUMMYFUNCTION("""COMPUTED_VALUE"""),"usdb")</f>
        <v>usdb</v>
      </c>
      <c r="C12119" s="3" t="str">
        <f>IFERROR(__xludf.DUMMYFUNCTION("""COMPUTED_VALUE"""),"USD Balance")</f>
        <v>USD Balance</v>
      </c>
    </row>
    <row r="12120">
      <c r="A12120" s="3" t="str">
        <f>IFERROR(__xludf.DUMMYFUNCTION("""COMPUTED_VALUE"""),"usd-bancor")</f>
        <v>usd-bancor</v>
      </c>
      <c r="B12120" s="3" t="str">
        <f>IFERROR(__xludf.DUMMYFUNCTION("""COMPUTED_VALUE"""),"usdb")</f>
        <v>usdb</v>
      </c>
      <c r="C12120" s="3" t="str">
        <f>IFERROR(__xludf.DUMMYFUNCTION("""COMPUTED_VALUE"""),"USD Bancor")</f>
        <v>USD Bancor</v>
      </c>
    </row>
    <row r="12121">
      <c r="A12121" s="3" t="str">
        <f>IFERROR(__xludf.DUMMYFUNCTION("""COMPUTED_VALUE"""),"usd-coin")</f>
        <v>usd-coin</v>
      </c>
      <c r="B12121" s="3" t="str">
        <f>IFERROR(__xludf.DUMMYFUNCTION("""COMPUTED_VALUE"""),"usdc")</f>
        <v>usdc</v>
      </c>
      <c r="C12121" s="3" t="str">
        <f>IFERROR(__xludf.DUMMYFUNCTION("""COMPUTED_VALUE"""),"USD Coin")</f>
        <v>USD Coin</v>
      </c>
    </row>
    <row r="12122">
      <c r="A12122" s="3" t="str">
        <f>IFERROR(__xludf.DUMMYFUNCTION("""COMPUTED_VALUE"""),"usd-coin-avalanche-bridged-usdc-e")</f>
        <v>usd-coin-avalanche-bridged-usdc-e</v>
      </c>
      <c r="B12122" s="3" t="str">
        <f>IFERROR(__xludf.DUMMYFUNCTION("""COMPUTED_VALUE"""),"usdc")</f>
        <v>usdc</v>
      </c>
      <c r="C12122" s="3" t="str">
        <f>IFERROR(__xludf.DUMMYFUNCTION("""COMPUTED_VALUE"""),"USD Coin Avalanche Bridged (USDC.e)")</f>
        <v>USD Coin Avalanche Bridged (USDC.e)</v>
      </c>
    </row>
    <row r="12123">
      <c r="A12123" s="3" t="str">
        <f>IFERROR(__xludf.DUMMYFUNCTION("""COMPUTED_VALUE"""),"usd-coin-celer")</f>
        <v>usd-coin-celer</v>
      </c>
      <c r="B12123" s="3" t="str">
        <f>IFERROR(__xludf.DUMMYFUNCTION("""COMPUTED_VALUE"""),"ceusdc")</f>
        <v>ceusdc</v>
      </c>
      <c r="C12123" s="3" t="str">
        <f>IFERROR(__xludf.DUMMYFUNCTION("""COMPUTED_VALUE"""),"USD Coin - Celer")</f>
        <v>USD Coin - Celer</v>
      </c>
    </row>
    <row r="12124">
      <c r="A12124" s="3" t="str">
        <f>IFERROR(__xludf.DUMMYFUNCTION("""COMPUTED_VALUE"""),"usd-coin-nomad")</f>
        <v>usd-coin-nomad</v>
      </c>
      <c r="B12124" s="3" t="str">
        <f>IFERROR(__xludf.DUMMYFUNCTION("""COMPUTED_VALUE"""),"nomadusdc")</f>
        <v>nomadusdc</v>
      </c>
      <c r="C12124" s="3" t="str">
        <f>IFERROR(__xludf.DUMMYFUNCTION("""COMPUTED_VALUE"""),"USD Coin - Nomad")</f>
        <v>USD Coin - Nomad</v>
      </c>
    </row>
    <row r="12125">
      <c r="A12125" s="3" t="str">
        <f>IFERROR(__xludf.DUMMYFUNCTION("""COMPUTED_VALUE"""),"usd-coin-pos-wormhole")</f>
        <v>usd-coin-pos-wormhole</v>
      </c>
      <c r="B12125" s="3" t="str">
        <f>IFERROR(__xludf.DUMMYFUNCTION("""COMPUTED_VALUE"""),"usdcpo")</f>
        <v>usdcpo</v>
      </c>
      <c r="C12125" s="3" t="str">
        <f>IFERROR(__xludf.DUMMYFUNCTION("""COMPUTED_VALUE"""),"USD Coin (PoS) (Wormhole)")</f>
        <v>USD Coin (PoS) (Wormhole)</v>
      </c>
    </row>
    <row r="12126">
      <c r="A12126" s="3" t="str">
        <f>IFERROR(__xludf.DUMMYFUNCTION("""COMPUTED_VALUE"""),"usd-coin-wormhole-from-ethereum")</f>
        <v>usd-coin-wormhole-from-ethereum</v>
      </c>
      <c r="B12126" s="3" t="str">
        <f>IFERROR(__xludf.DUMMYFUNCTION("""COMPUTED_VALUE"""),"usdcet")</f>
        <v>usdcet</v>
      </c>
      <c r="C12126" s="3" t="str">
        <f>IFERROR(__xludf.DUMMYFUNCTION("""COMPUTED_VALUE"""),"USD Coin (Wormhole from Ethereum)")</f>
        <v>USD Coin (Wormhole from Ethereum)</v>
      </c>
    </row>
    <row r="12127">
      <c r="A12127" s="3" t="str">
        <f>IFERROR(__xludf.DUMMYFUNCTION("""COMPUTED_VALUE"""),"usdd")</f>
        <v>usdd</v>
      </c>
      <c r="B12127" s="3" t="str">
        <f>IFERROR(__xludf.DUMMYFUNCTION("""COMPUTED_VALUE"""),"usdd")</f>
        <v>usdd</v>
      </c>
      <c r="C12127" s="3" t="str">
        <f>IFERROR(__xludf.DUMMYFUNCTION("""COMPUTED_VALUE"""),"USDD")</f>
        <v>USDD</v>
      </c>
    </row>
    <row r="12128">
      <c r="A12128" s="3" t="str">
        <f>IFERROR(__xludf.DUMMYFUNCTION("""COMPUTED_VALUE"""),"usdex-stablecoin")</f>
        <v>usdex-stablecoin</v>
      </c>
      <c r="B12128" s="3" t="str">
        <f>IFERROR(__xludf.DUMMYFUNCTION("""COMPUTED_VALUE"""),"usdex")</f>
        <v>usdex</v>
      </c>
      <c r="C12128" s="3" t="str">
        <f>IFERROR(__xludf.DUMMYFUNCTION("""COMPUTED_VALUE"""),"USDEX")</f>
        <v>USDEX</v>
      </c>
    </row>
    <row r="12129">
      <c r="A12129" s="3" t="str">
        <f>IFERROR(__xludf.DUMMYFUNCTION("""COMPUTED_VALUE"""),"usd-freedom")</f>
        <v>usd-freedom</v>
      </c>
      <c r="B12129" s="3" t="str">
        <f>IFERROR(__xludf.DUMMYFUNCTION("""COMPUTED_VALUE"""),"usdf")</f>
        <v>usdf</v>
      </c>
      <c r="C12129" s="3" t="str">
        <f>IFERROR(__xludf.DUMMYFUNCTION("""COMPUTED_VALUE"""),"USD Freedom")</f>
        <v>USD Freedom</v>
      </c>
    </row>
    <row r="12130">
      <c r="A12130" s="3" t="str">
        <f>IFERROR(__xludf.DUMMYFUNCTION("""COMPUTED_VALUE"""),"usd-gambit")</f>
        <v>usd-gambit</v>
      </c>
      <c r="B12130" s="3" t="str">
        <f>IFERROR(__xludf.DUMMYFUNCTION("""COMPUTED_VALUE"""),"usdg")</f>
        <v>usdg</v>
      </c>
      <c r="C12130" s="3" t="str">
        <f>IFERROR(__xludf.DUMMYFUNCTION("""COMPUTED_VALUE"""),"USD Gambit")</f>
        <v>USD Gambit</v>
      </c>
    </row>
    <row r="12131">
      <c r="A12131" s="3" t="str">
        <f>IFERROR(__xludf.DUMMYFUNCTION("""COMPUTED_VALUE"""),"usdh")</f>
        <v>usdh</v>
      </c>
      <c r="B12131" s="3" t="str">
        <f>IFERROR(__xludf.DUMMYFUNCTION("""COMPUTED_VALUE"""),"usdh")</f>
        <v>usdh</v>
      </c>
      <c r="C12131" s="3" t="str">
        <f>IFERROR(__xludf.DUMMYFUNCTION("""COMPUTED_VALUE"""),"USDH")</f>
        <v>USDH</v>
      </c>
    </row>
    <row r="12132">
      <c r="A12132" s="3" t="str">
        <f>IFERROR(__xludf.DUMMYFUNCTION("""COMPUTED_VALUE"""),"usdk")</f>
        <v>usdk</v>
      </c>
      <c r="B12132" s="3" t="str">
        <f>IFERROR(__xludf.DUMMYFUNCTION("""COMPUTED_VALUE"""),"usdk")</f>
        <v>usdk</v>
      </c>
      <c r="C12132" s="3" t="str">
        <f>IFERROR(__xludf.DUMMYFUNCTION("""COMPUTED_VALUE"""),"USDK")</f>
        <v>USDK</v>
      </c>
    </row>
    <row r="12133">
      <c r="A12133" s="3" t="str">
        <f>IFERROR(__xludf.DUMMYFUNCTION("""COMPUTED_VALUE"""),"usd-mars")</f>
        <v>usd-mars</v>
      </c>
      <c r="B12133" s="3" t="str">
        <f>IFERROR(__xludf.DUMMYFUNCTION("""COMPUTED_VALUE"""),"usdm")</f>
        <v>usdm</v>
      </c>
      <c r="C12133" s="3" t="str">
        <f>IFERROR(__xludf.DUMMYFUNCTION("""COMPUTED_VALUE"""),"USD Mars")</f>
        <v>USD Mars</v>
      </c>
    </row>
    <row r="12134">
      <c r="A12134" s="3" t="str">
        <f>IFERROR(__xludf.DUMMYFUNCTION("""COMPUTED_VALUE"""),"usd-open-dollar")</f>
        <v>usd-open-dollar</v>
      </c>
      <c r="B12134" s="3" t="str">
        <f>IFERROR(__xludf.DUMMYFUNCTION("""COMPUTED_VALUE"""),"usdo")</f>
        <v>usdo</v>
      </c>
      <c r="C12134" s="3" t="str">
        <f>IFERROR(__xludf.DUMMYFUNCTION("""COMPUTED_VALUE"""),"USD Open Dollar")</f>
        <v>USD Open Dollar</v>
      </c>
    </row>
    <row r="12135">
      <c r="A12135" s="3" t="str">
        <f>IFERROR(__xludf.DUMMYFUNCTION("""COMPUTED_VALUE"""),"usdp")</f>
        <v>usdp</v>
      </c>
      <c r="B12135" s="3" t="str">
        <f>IFERROR(__xludf.DUMMYFUNCTION("""COMPUTED_VALUE"""),"usdp")</f>
        <v>usdp</v>
      </c>
      <c r="C12135" s="3" t="str">
        <f>IFERROR(__xludf.DUMMYFUNCTION("""COMPUTED_VALUE"""),"USDP Stablecoin")</f>
        <v>USDP Stablecoin</v>
      </c>
    </row>
    <row r="12136">
      <c r="A12136" s="3" t="str">
        <f>IFERROR(__xludf.DUMMYFUNCTION("""COMPUTED_VALUE"""),"usd-sports")</f>
        <v>usd-sports</v>
      </c>
      <c r="B12136" s="3" t="str">
        <f>IFERROR(__xludf.DUMMYFUNCTION("""COMPUTED_VALUE"""),"usdsp")</f>
        <v>usdsp</v>
      </c>
      <c r="C12136" s="3" t="str">
        <f>IFERROR(__xludf.DUMMYFUNCTION("""COMPUTED_VALUE"""),"USD Sports")</f>
        <v>USD Sports</v>
      </c>
    </row>
    <row r="12137">
      <c r="A12137" s="3" t="str">
        <f>IFERROR(__xludf.DUMMYFUNCTION("""COMPUTED_VALUE"""),"usdtez")</f>
        <v>usdtez</v>
      </c>
      <c r="B12137" s="3" t="str">
        <f>IFERROR(__xludf.DUMMYFUNCTION("""COMPUTED_VALUE"""),"usdtz")</f>
        <v>usdtz</v>
      </c>
      <c r="C12137" s="3" t="str">
        <f>IFERROR(__xludf.DUMMYFUNCTION("""COMPUTED_VALUE"""),"USDtez")</f>
        <v>USDtez</v>
      </c>
    </row>
    <row r="12138">
      <c r="A12138" s="3" t="str">
        <f>IFERROR(__xludf.DUMMYFUNCTION("""COMPUTED_VALUE"""),"usdv")</f>
        <v>usdv</v>
      </c>
      <c r="B12138" s="3" t="str">
        <f>IFERROR(__xludf.DUMMYFUNCTION("""COMPUTED_VALUE"""),"usdv")</f>
        <v>usdv</v>
      </c>
      <c r="C12138" s="3" t="str">
        <f>IFERROR(__xludf.DUMMYFUNCTION("""COMPUTED_VALUE"""),"USD Velero Stablecoin")</f>
        <v>USD Velero Stablecoin</v>
      </c>
    </row>
    <row r="12139">
      <c r="A12139" s="3" t="str">
        <f>IFERROR(__xludf.DUMMYFUNCTION("""COMPUTED_VALUE"""),"usdx")</f>
        <v>usdx</v>
      </c>
      <c r="B12139" s="3" t="str">
        <f>IFERROR(__xludf.DUMMYFUNCTION("""COMPUTED_VALUE"""),"usdx")</f>
        <v>usdx</v>
      </c>
      <c r="C12139" s="3" t="str">
        <f>IFERROR(__xludf.DUMMYFUNCTION("""COMPUTED_VALUE"""),"USDX")</f>
        <v>USDX</v>
      </c>
    </row>
    <row r="12140">
      <c r="A12140" s="3" t="str">
        <f>IFERROR(__xludf.DUMMYFUNCTION("""COMPUTED_VALUE"""),"usd-zee")</f>
        <v>usd-zee</v>
      </c>
      <c r="B12140" s="3" t="str">
        <f>IFERROR(__xludf.DUMMYFUNCTION("""COMPUTED_VALUE"""),"usdz")</f>
        <v>usdz</v>
      </c>
      <c r="C12140" s="3" t="str">
        <f>IFERROR(__xludf.DUMMYFUNCTION("""COMPUTED_VALUE"""),"USD ZEE")</f>
        <v>USD ZEE</v>
      </c>
    </row>
    <row r="12141">
      <c r="A12141" s="3" t="str">
        <f>IFERROR(__xludf.DUMMYFUNCTION("""COMPUTED_VALUE"""),"useless-2")</f>
        <v>useless-2</v>
      </c>
      <c r="B12141" s="3" t="str">
        <f>IFERROR(__xludf.DUMMYFUNCTION("""COMPUTED_VALUE"""),"use")</f>
        <v>use</v>
      </c>
      <c r="C12141" s="3" t="str">
        <f>IFERROR(__xludf.DUMMYFUNCTION("""COMPUTED_VALUE"""),"Useless")</f>
        <v>Useless</v>
      </c>
    </row>
    <row r="12142">
      <c r="A12142" s="3" t="str">
        <f>IFERROR(__xludf.DUMMYFUNCTION("""COMPUTED_VALUE"""),"usgold")</f>
        <v>usgold</v>
      </c>
      <c r="B12142" s="3" t="str">
        <f>IFERROR(__xludf.DUMMYFUNCTION("""COMPUTED_VALUE"""),"usg")</f>
        <v>usg</v>
      </c>
      <c r="C12142" s="3" t="str">
        <f>IFERROR(__xludf.DUMMYFUNCTION("""COMPUTED_VALUE"""),"USGold")</f>
        <v>USGold</v>
      </c>
    </row>
    <row r="12143">
      <c r="A12143" s="3" t="str">
        <f>IFERROR(__xludf.DUMMYFUNCTION("""COMPUTED_VALUE"""),"ushare")</f>
        <v>ushare</v>
      </c>
      <c r="B12143" s="3" t="str">
        <f>IFERROR(__xludf.DUMMYFUNCTION("""COMPUTED_VALUE"""),"ushare")</f>
        <v>ushare</v>
      </c>
      <c r="C12143" s="3" t="str">
        <f>IFERROR(__xludf.DUMMYFUNCTION("""COMPUTED_VALUE"""),"USHARE")</f>
        <v>USHARE</v>
      </c>
    </row>
    <row r="12144">
      <c r="A12144" s="3" t="str">
        <f>IFERROR(__xludf.DUMMYFUNCTION("""COMPUTED_VALUE"""),"ushi")</f>
        <v>ushi</v>
      </c>
      <c r="B12144" s="3" t="str">
        <f>IFERROR(__xludf.DUMMYFUNCTION("""COMPUTED_VALUE"""),"ushi")</f>
        <v>ushi</v>
      </c>
      <c r="C12144" s="3" t="str">
        <f>IFERROR(__xludf.DUMMYFUNCTION("""COMPUTED_VALUE"""),"Ushi")</f>
        <v>Ushi</v>
      </c>
    </row>
    <row r="12145">
      <c r="A12145" s="3" t="str">
        <f>IFERROR(__xludf.DUMMYFUNCTION("""COMPUTED_VALUE"""),"usk")</f>
        <v>usk</v>
      </c>
      <c r="B12145" s="3" t="str">
        <f>IFERROR(__xludf.DUMMYFUNCTION("""COMPUTED_VALUE"""),"usk")</f>
        <v>usk</v>
      </c>
      <c r="C12145" s="3" t="str">
        <f>IFERROR(__xludf.DUMMYFUNCTION("""COMPUTED_VALUE"""),"USK")</f>
        <v>USK</v>
      </c>
    </row>
    <row r="12146">
      <c r="A12146" s="3" t="str">
        <f>IFERROR(__xludf.DUMMYFUNCTION("""COMPUTED_VALUE"""),"usn")</f>
        <v>usn</v>
      </c>
      <c r="B12146" s="3" t="str">
        <f>IFERROR(__xludf.DUMMYFUNCTION("""COMPUTED_VALUE"""),"usn")</f>
        <v>usn</v>
      </c>
      <c r="C12146" s="3" t="str">
        <f>IFERROR(__xludf.DUMMYFUNCTION("""COMPUTED_VALUE"""),"USN")</f>
        <v>USN</v>
      </c>
    </row>
    <row r="12147">
      <c r="A12147" s="3" t="str">
        <f>IFERROR(__xludf.DUMMYFUNCTION("""COMPUTED_VALUE"""),"usp")</f>
        <v>usp</v>
      </c>
      <c r="B12147" s="3" t="str">
        <f>IFERROR(__xludf.DUMMYFUNCTION("""COMPUTED_VALUE"""),"usp")</f>
        <v>usp</v>
      </c>
      <c r="C12147" s="3" t="str">
        <f>IFERROR(__xludf.DUMMYFUNCTION("""COMPUTED_VALUE"""),"USP")</f>
        <v>USP</v>
      </c>
    </row>
    <row r="12148">
      <c r="A12148" s="3" t="str">
        <f>IFERROR(__xludf.DUMMYFUNCTION("""COMPUTED_VALUE"""),"utility-nft-coin")</f>
        <v>utility-nft-coin</v>
      </c>
      <c r="B12148" s="3" t="str">
        <f>IFERROR(__xludf.DUMMYFUNCTION("""COMPUTED_VALUE"""),"unc")</f>
        <v>unc</v>
      </c>
      <c r="C12148" s="3" t="str">
        <f>IFERROR(__xludf.DUMMYFUNCTION("""COMPUTED_VALUE"""),"Utility NFT Coin")</f>
        <v>Utility NFT Coin</v>
      </c>
    </row>
    <row r="12149">
      <c r="A12149" s="3" t="str">
        <f>IFERROR(__xludf.DUMMYFUNCTION("""COMPUTED_VALUE"""),"utip")</f>
        <v>utip</v>
      </c>
      <c r="B12149" s="3" t="str">
        <f>IFERROR(__xludf.DUMMYFUNCTION("""COMPUTED_VALUE"""),"utip")</f>
        <v>utip</v>
      </c>
      <c r="C12149" s="3" t="str">
        <f>IFERROR(__xludf.DUMMYFUNCTION("""COMPUTED_VALUE"""),"uTip")</f>
        <v>uTip</v>
      </c>
    </row>
    <row r="12150">
      <c r="A12150" s="3" t="str">
        <f>IFERROR(__xludf.DUMMYFUNCTION("""COMPUTED_VALUE"""),"utopia")</f>
        <v>utopia</v>
      </c>
      <c r="B12150" s="3" t="str">
        <f>IFERROR(__xludf.DUMMYFUNCTION("""COMPUTED_VALUE"""),"crp")</f>
        <v>crp</v>
      </c>
      <c r="C12150" s="3" t="str">
        <f>IFERROR(__xludf.DUMMYFUNCTION("""COMPUTED_VALUE"""),"Crypton")</f>
        <v>Crypton</v>
      </c>
    </row>
    <row r="12151">
      <c r="A12151" s="3" t="str">
        <f>IFERROR(__xludf.DUMMYFUNCTION("""COMPUTED_VALUE"""),"utopia-2")</f>
        <v>utopia-2</v>
      </c>
      <c r="B12151" s="3" t="str">
        <f>IFERROR(__xludf.DUMMYFUNCTION("""COMPUTED_VALUE"""),"topia")</f>
        <v>topia</v>
      </c>
      <c r="C12151" s="3" t="str">
        <f>IFERROR(__xludf.DUMMYFUNCTION("""COMPUTED_VALUE"""),"Utopia")</f>
        <v>Utopia</v>
      </c>
    </row>
    <row r="12152">
      <c r="A12152" s="3" t="str">
        <f>IFERROR(__xludf.DUMMYFUNCTION("""COMPUTED_VALUE"""),"utopia-genesis-foundation")</f>
        <v>utopia-genesis-foundation</v>
      </c>
      <c r="B12152" s="3" t="str">
        <f>IFERROR(__xludf.DUMMYFUNCTION("""COMPUTED_VALUE"""),"uop")</f>
        <v>uop</v>
      </c>
      <c r="C12152" s="3" t="str">
        <f>IFERROR(__xludf.DUMMYFUNCTION("""COMPUTED_VALUE"""),"Utopia Genesis Foundation")</f>
        <v>Utopia Genesis Foundation</v>
      </c>
    </row>
    <row r="12153">
      <c r="A12153" s="3" t="str">
        <f>IFERROR(__xludf.DUMMYFUNCTION("""COMPUTED_VALUE"""),"utopia-token")</f>
        <v>utopia-token</v>
      </c>
      <c r="B12153" s="3" t="str">
        <f>IFERROR(__xludf.DUMMYFUNCTION("""COMPUTED_VALUE"""),"uto")</f>
        <v>uto</v>
      </c>
      <c r="C12153" s="3" t="str">
        <f>IFERROR(__xludf.DUMMYFUNCTION("""COMPUTED_VALUE"""),"Secret Skellies Society Utopia")</f>
        <v>Secret Skellies Society Utopia</v>
      </c>
    </row>
    <row r="12154">
      <c r="A12154" s="3" t="str">
        <f>IFERROR(__xludf.DUMMYFUNCTION("""COMPUTED_VALUE"""),"utrust")</f>
        <v>utrust</v>
      </c>
      <c r="B12154" s="3" t="str">
        <f>IFERROR(__xludf.DUMMYFUNCTION("""COMPUTED_VALUE"""),"utk")</f>
        <v>utk</v>
      </c>
      <c r="C12154" s="3" t="str">
        <f>IFERROR(__xludf.DUMMYFUNCTION("""COMPUTED_VALUE"""),"Utrust")</f>
        <v>Utrust</v>
      </c>
    </row>
    <row r="12155">
      <c r="A12155" s="3" t="str">
        <f>IFERROR(__xludf.DUMMYFUNCTION("""COMPUTED_VALUE"""),"utu-coin")</f>
        <v>utu-coin</v>
      </c>
      <c r="B12155" s="3" t="str">
        <f>IFERROR(__xludf.DUMMYFUNCTION("""COMPUTED_VALUE"""),"utu")</f>
        <v>utu</v>
      </c>
      <c r="C12155" s="3" t="str">
        <f>IFERROR(__xludf.DUMMYFUNCTION("""COMPUTED_VALUE"""),"UTU Coin")</f>
        <v>UTU Coin</v>
      </c>
    </row>
    <row r="12156">
      <c r="A12156" s="3" t="str">
        <f>IFERROR(__xludf.DUMMYFUNCTION("""COMPUTED_VALUE"""),"uvtoken")</f>
        <v>uvtoken</v>
      </c>
      <c r="B12156" s="3" t="str">
        <f>IFERROR(__xludf.DUMMYFUNCTION("""COMPUTED_VALUE"""),"uvt")</f>
        <v>uvt</v>
      </c>
      <c r="C12156" s="3" t="str">
        <f>IFERROR(__xludf.DUMMYFUNCTION("""COMPUTED_VALUE"""),"UvToken")</f>
        <v>UvToken</v>
      </c>
    </row>
    <row r="12157">
      <c r="A12157" s="3" t="str">
        <f>IFERROR(__xludf.DUMMYFUNCTION("""COMPUTED_VALUE"""),"uwu-lend")</f>
        <v>uwu-lend</v>
      </c>
      <c r="B12157" s="3" t="str">
        <f>IFERROR(__xludf.DUMMYFUNCTION("""COMPUTED_VALUE"""),"uwu")</f>
        <v>uwu</v>
      </c>
      <c r="C12157" s="3" t="str">
        <f>IFERROR(__xludf.DUMMYFUNCTION("""COMPUTED_VALUE"""),"UwU Lend")</f>
        <v>UwU Lend</v>
      </c>
    </row>
    <row r="12158">
      <c r="A12158" s="3" t="str">
        <f>IFERROR(__xludf.DUMMYFUNCTION("""COMPUTED_VALUE"""),"uwu-vault-nftx")</f>
        <v>uwu-vault-nftx</v>
      </c>
      <c r="B12158" s="3" t="str">
        <f>IFERROR(__xludf.DUMMYFUNCTION("""COMPUTED_VALUE"""),"uwu")</f>
        <v>uwu</v>
      </c>
      <c r="C12158" s="3" t="str">
        <f>IFERROR(__xludf.DUMMYFUNCTION("""COMPUTED_VALUE"""),"UWU Vault (NFTX)")</f>
        <v>UWU Vault (NFTX)</v>
      </c>
    </row>
    <row r="12159">
      <c r="A12159" s="3" t="str">
        <f>IFERROR(__xludf.DUMMYFUNCTION("""COMPUTED_VALUE"""),"uxcord-token")</f>
        <v>uxcord-token</v>
      </c>
      <c r="B12159" s="3" t="str">
        <f>IFERROR(__xludf.DUMMYFUNCTION("""COMPUTED_VALUE"""),"uxt")</f>
        <v>uxt</v>
      </c>
      <c r="C12159" s="3" t="str">
        <f>IFERROR(__xludf.DUMMYFUNCTION("""COMPUTED_VALUE"""),"Uxcord Token")</f>
        <v>Uxcord Token</v>
      </c>
    </row>
    <row r="12160">
      <c r="A12160" s="3" t="str">
        <f>IFERROR(__xludf.DUMMYFUNCTION("""COMPUTED_VALUE"""),"uxd-protocol-token")</f>
        <v>uxd-protocol-token</v>
      </c>
      <c r="B12160" s="3" t="str">
        <f>IFERROR(__xludf.DUMMYFUNCTION("""COMPUTED_VALUE"""),"uxp")</f>
        <v>uxp</v>
      </c>
      <c r="C12160" s="3" t="str">
        <f>IFERROR(__xludf.DUMMYFUNCTION("""COMPUTED_VALUE"""),"UXD Protocol")</f>
        <v>UXD Protocol</v>
      </c>
    </row>
    <row r="12161">
      <c r="A12161" s="3" t="str">
        <f>IFERROR(__xludf.DUMMYFUNCTION("""COMPUTED_VALUE"""),"uxd-stablecoin")</f>
        <v>uxd-stablecoin</v>
      </c>
      <c r="B12161" s="3" t="str">
        <f>IFERROR(__xludf.DUMMYFUNCTION("""COMPUTED_VALUE"""),"uxd")</f>
        <v>uxd</v>
      </c>
      <c r="C12161" s="3" t="str">
        <f>IFERROR(__xludf.DUMMYFUNCTION("""COMPUTED_VALUE"""),"UXD Stablecoin")</f>
        <v>UXD Stablecoin</v>
      </c>
    </row>
    <row r="12162">
      <c r="A12162" s="3" t="str">
        <f>IFERROR(__xludf.DUMMYFUNCTION("""COMPUTED_VALUE"""),"uzumaki-inu")</f>
        <v>uzumaki-inu</v>
      </c>
      <c r="B12162" s="3" t="str">
        <f>IFERROR(__xludf.DUMMYFUNCTION("""COMPUTED_VALUE"""),"uzumaki")</f>
        <v>uzumaki</v>
      </c>
      <c r="C12162" s="3" t="str">
        <f>IFERROR(__xludf.DUMMYFUNCTION("""COMPUTED_VALUE"""),"Uzumaki Inu")</f>
        <v>Uzumaki Inu</v>
      </c>
    </row>
    <row r="12163">
      <c r="A12163" s="3" t="str">
        <f>IFERROR(__xludf.DUMMYFUNCTION("""COMPUTED_VALUE"""),"uzurocks")</f>
        <v>uzurocks</v>
      </c>
      <c r="B12163" s="3" t="str">
        <f>IFERROR(__xludf.DUMMYFUNCTION("""COMPUTED_VALUE"""),"uzrs")</f>
        <v>uzrs</v>
      </c>
      <c r="C12163" s="3" t="str">
        <f>IFERROR(__xludf.DUMMYFUNCTION("""COMPUTED_VALUE"""),"UZUROCKS")</f>
        <v>UZUROCKS</v>
      </c>
    </row>
    <row r="12164">
      <c r="A12164" s="3" t="str">
        <f>IFERROR(__xludf.DUMMYFUNCTION("""COMPUTED_VALUE"""),"uzyth")</f>
        <v>uzyth</v>
      </c>
      <c r="B12164" s="3" t="str">
        <f>IFERROR(__xludf.DUMMYFUNCTION("""COMPUTED_VALUE"""),"zyth")</f>
        <v>zyth</v>
      </c>
      <c r="C12164" s="3" t="str">
        <f>IFERROR(__xludf.DUMMYFUNCTION("""COMPUTED_VALUE"""),"Uzyth")</f>
        <v>Uzyth</v>
      </c>
    </row>
    <row r="12165">
      <c r="A12165" s="3" t="str">
        <f>IFERROR(__xludf.DUMMYFUNCTION("""COMPUTED_VALUE"""),"v3s-share")</f>
        <v>v3s-share</v>
      </c>
      <c r="B12165" s="3" t="str">
        <f>IFERROR(__xludf.DUMMYFUNCTION("""COMPUTED_VALUE"""),"vshare")</f>
        <v>vshare</v>
      </c>
      <c r="C12165" s="3" t="str">
        <f>IFERROR(__xludf.DUMMYFUNCTION("""COMPUTED_VALUE"""),"V3S Share")</f>
        <v>V3S Share</v>
      </c>
    </row>
    <row r="12166">
      <c r="A12166" s="3" t="str">
        <f>IFERROR(__xludf.DUMMYFUNCTION("""COMPUTED_VALUE"""),"vabble")</f>
        <v>vabble</v>
      </c>
      <c r="B12166" s="3" t="str">
        <f>IFERROR(__xludf.DUMMYFUNCTION("""COMPUTED_VALUE"""),"vab")</f>
        <v>vab</v>
      </c>
      <c r="C12166" s="3" t="str">
        <f>IFERROR(__xludf.DUMMYFUNCTION("""COMPUTED_VALUE"""),"Vabble")</f>
        <v>Vabble</v>
      </c>
    </row>
    <row r="12167">
      <c r="A12167" s="3" t="str">
        <f>IFERROR(__xludf.DUMMYFUNCTION("""COMPUTED_VALUE"""),"vacay")</f>
        <v>vacay</v>
      </c>
      <c r="B12167" s="3" t="str">
        <f>IFERROR(__xludf.DUMMYFUNCTION("""COMPUTED_VALUE"""),"vacay")</f>
        <v>vacay</v>
      </c>
      <c r="C12167" s="3" t="str">
        <f>IFERROR(__xludf.DUMMYFUNCTION("""COMPUTED_VALUE"""),"Vacay")</f>
        <v>Vacay</v>
      </c>
    </row>
    <row r="12168">
      <c r="A12168" s="3" t="str">
        <f>IFERROR(__xludf.DUMMYFUNCTION("""COMPUTED_VALUE"""),"vacus-finance")</f>
        <v>vacus-finance</v>
      </c>
      <c r="B12168" s="3" t="str">
        <f>IFERROR(__xludf.DUMMYFUNCTION("""COMPUTED_VALUE"""),"vcs")</f>
        <v>vcs</v>
      </c>
      <c r="C12168" s="3" t="str">
        <f>IFERROR(__xludf.DUMMYFUNCTION("""COMPUTED_VALUE"""),"Vacus Finance")</f>
        <v>Vacus Finance</v>
      </c>
    </row>
    <row r="12169">
      <c r="A12169" s="3" t="str">
        <f>IFERROR(__xludf.DUMMYFUNCTION("""COMPUTED_VALUE"""),"vader-protocol")</f>
        <v>vader-protocol</v>
      </c>
      <c r="B12169" s="3" t="str">
        <f>IFERROR(__xludf.DUMMYFUNCTION("""COMPUTED_VALUE"""),"vader")</f>
        <v>vader</v>
      </c>
      <c r="C12169" s="3" t="str">
        <f>IFERROR(__xludf.DUMMYFUNCTION("""COMPUTED_VALUE"""),"Vader Protocol")</f>
        <v>Vader Protocol</v>
      </c>
    </row>
    <row r="12170">
      <c r="A12170" s="3" t="str">
        <f>IFERROR(__xludf.DUMMYFUNCTION("""COMPUTED_VALUE"""),"vagabond")</f>
        <v>vagabond</v>
      </c>
      <c r="B12170" s="3" t="str">
        <f>IFERROR(__xludf.DUMMYFUNCTION("""COMPUTED_VALUE"""),"vgo")</f>
        <v>vgo</v>
      </c>
      <c r="C12170" s="3" t="str">
        <f>IFERROR(__xludf.DUMMYFUNCTION("""COMPUTED_VALUE"""),"Vagabond")</f>
        <v>Vagabond</v>
      </c>
    </row>
    <row r="12171">
      <c r="A12171" s="3" t="str">
        <f>IFERROR(__xludf.DUMMYFUNCTION("""COMPUTED_VALUE"""),"vai")</f>
        <v>vai</v>
      </c>
      <c r="B12171" s="3" t="str">
        <f>IFERROR(__xludf.DUMMYFUNCTION("""COMPUTED_VALUE"""),"vai")</f>
        <v>vai</v>
      </c>
      <c r="C12171" s="3" t="str">
        <f>IFERROR(__xludf.DUMMYFUNCTION("""COMPUTED_VALUE"""),"Vai")</f>
        <v>Vai</v>
      </c>
    </row>
    <row r="12172">
      <c r="A12172" s="3" t="str">
        <f>IFERROR(__xludf.DUMMYFUNCTION("""COMPUTED_VALUE"""),"vaiot")</f>
        <v>vaiot</v>
      </c>
      <c r="B12172" s="3" t="str">
        <f>IFERROR(__xludf.DUMMYFUNCTION("""COMPUTED_VALUE"""),"vai")</f>
        <v>vai</v>
      </c>
      <c r="C12172" s="3" t="str">
        <f>IFERROR(__xludf.DUMMYFUNCTION("""COMPUTED_VALUE"""),"Vaiot")</f>
        <v>Vaiot</v>
      </c>
    </row>
    <row r="12173">
      <c r="A12173" s="3" t="str">
        <f>IFERROR(__xludf.DUMMYFUNCTION("""COMPUTED_VALUE"""),"valas-finance")</f>
        <v>valas-finance</v>
      </c>
      <c r="B12173" s="3" t="str">
        <f>IFERROR(__xludf.DUMMYFUNCTION("""COMPUTED_VALUE"""),"valas")</f>
        <v>valas</v>
      </c>
      <c r="C12173" s="3" t="str">
        <f>IFERROR(__xludf.DUMMYFUNCTION("""COMPUTED_VALUE"""),"Valas Finance")</f>
        <v>Valas Finance</v>
      </c>
    </row>
    <row r="12174">
      <c r="A12174" s="3" t="str">
        <f>IFERROR(__xludf.DUMMYFUNCTION("""COMPUTED_VALUE"""),"valencia-cf-fan-token")</f>
        <v>valencia-cf-fan-token</v>
      </c>
      <c r="B12174" s="3" t="str">
        <f>IFERROR(__xludf.DUMMYFUNCTION("""COMPUTED_VALUE"""),"vcf")</f>
        <v>vcf</v>
      </c>
      <c r="C12174" s="3" t="str">
        <f>IFERROR(__xludf.DUMMYFUNCTION("""COMPUTED_VALUE"""),"Valencia CF Fan Token")</f>
        <v>Valencia CF Fan Token</v>
      </c>
    </row>
    <row r="12175">
      <c r="A12175" s="3" t="str">
        <f>IFERROR(__xludf.DUMMYFUNCTION("""COMPUTED_VALUE"""),"valentine-floki")</f>
        <v>valentine-floki</v>
      </c>
      <c r="B12175" s="3" t="str">
        <f>IFERROR(__xludf.DUMMYFUNCTION("""COMPUTED_VALUE"""),"flov")</f>
        <v>flov</v>
      </c>
      <c r="C12175" s="3" t="str">
        <f>IFERROR(__xludf.DUMMYFUNCTION("""COMPUTED_VALUE"""),"Valentine Floki")</f>
        <v>Valentine Floki</v>
      </c>
    </row>
    <row r="12176">
      <c r="A12176" s="3" t="str">
        <f>IFERROR(__xludf.DUMMYFUNCTION("""COMPUTED_VALUE"""),"valhalla-protocol")</f>
        <v>valhalla-protocol</v>
      </c>
      <c r="B12176" s="3" t="str">
        <f>IFERROR(__xludf.DUMMYFUNCTION("""COMPUTED_VALUE"""),"val")</f>
        <v>val</v>
      </c>
      <c r="C12176" s="3" t="str">
        <f>IFERROR(__xludf.DUMMYFUNCTION("""COMPUTED_VALUE"""),"Valhalla Protocol")</f>
        <v>Valhalla Protocol</v>
      </c>
    </row>
    <row r="12177">
      <c r="A12177" s="3" t="str">
        <f>IFERROR(__xludf.DUMMYFUNCTION("""COMPUTED_VALUE"""),"valimarket")</f>
        <v>valimarket</v>
      </c>
      <c r="B12177" s="3" t="str">
        <f>IFERROR(__xludf.DUMMYFUNCTION("""COMPUTED_VALUE"""),"vali")</f>
        <v>vali</v>
      </c>
      <c r="C12177" s="3" t="str">
        <f>IFERROR(__xludf.DUMMYFUNCTION("""COMPUTED_VALUE"""),"Valimarket")</f>
        <v>Valimarket</v>
      </c>
    </row>
    <row r="12178">
      <c r="A12178" s="3" t="str">
        <f>IFERROR(__xludf.DUMMYFUNCTION("""COMPUTED_VALUE"""),"valkyrio-token")</f>
        <v>valkyrio-token</v>
      </c>
      <c r="B12178" s="3" t="str">
        <f>IFERROR(__xludf.DUMMYFUNCTION("""COMPUTED_VALUE"""),"valk")</f>
        <v>valk</v>
      </c>
      <c r="C12178" s="3" t="str">
        <f>IFERROR(__xludf.DUMMYFUNCTION("""COMPUTED_VALUE"""),"Valkyrio")</f>
        <v>Valkyrio</v>
      </c>
    </row>
    <row r="12179">
      <c r="A12179" s="3" t="str">
        <f>IFERROR(__xludf.DUMMYFUNCTION("""COMPUTED_VALUE"""),"valobit")</f>
        <v>valobit</v>
      </c>
      <c r="B12179" s="3" t="str">
        <f>IFERROR(__xludf.DUMMYFUNCTION("""COMPUTED_VALUE"""),"vbit")</f>
        <v>vbit</v>
      </c>
      <c r="C12179" s="3" t="str">
        <f>IFERROR(__xludf.DUMMYFUNCTION("""COMPUTED_VALUE"""),"VALOBIT")</f>
        <v>VALOBIT</v>
      </c>
    </row>
    <row r="12180">
      <c r="A12180" s="3" t="str">
        <f>IFERROR(__xludf.DUMMYFUNCTION("""COMPUTED_VALUE"""),"valor")</f>
        <v>valor</v>
      </c>
      <c r="B12180" s="3" t="str">
        <f>IFERROR(__xludf.DUMMYFUNCTION("""COMPUTED_VALUE"""),"v$")</f>
        <v>v$</v>
      </c>
      <c r="C12180" s="3" t="str">
        <f>IFERROR(__xludf.DUMMYFUNCTION("""COMPUTED_VALUE"""),"Valor")</f>
        <v>Valor</v>
      </c>
    </row>
    <row r="12181">
      <c r="A12181" s="3" t="str">
        <f>IFERROR(__xludf.DUMMYFUNCTION("""COMPUTED_VALUE"""),"valuablecoins")</f>
        <v>valuablecoins</v>
      </c>
      <c r="B12181" s="3" t="str">
        <f>IFERROR(__xludf.DUMMYFUNCTION("""COMPUTED_VALUE"""),"vc")</f>
        <v>vc</v>
      </c>
      <c r="C12181" s="3" t="str">
        <f>IFERROR(__xludf.DUMMYFUNCTION("""COMPUTED_VALUE"""),"ValuableCoins")</f>
        <v>ValuableCoins</v>
      </c>
    </row>
    <row r="12182">
      <c r="A12182" s="3" t="str">
        <f>IFERROR(__xludf.DUMMYFUNCTION("""COMPUTED_VALUE"""),"value-finance")</f>
        <v>value-finance</v>
      </c>
      <c r="B12182" s="3" t="str">
        <f>IFERROR(__xludf.DUMMYFUNCTION("""COMPUTED_VALUE"""),"vft")</f>
        <v>vft</v>
      </c>
      <c r="C12182" s="3" t="str">
        <f>IFERROR(__xludf.DUMMYFUNCTION("""COMPUTED_VALUE"""),"Value Finance")</f>
        <v>Value Finance</v>
      </c>
    </row>
    <row r="12183">
      <c r="A12183" s="3" t="str">
        <f>IFERROR(__xludf.DUMMYFUNCTION("""COMPUTED_VALUE"""),"value-liquidity")</f>
        <v>value-liquidity</v>
      </c>
      <c r="B12183" s="3" t="str">
        <f>IFERROR(__xludf.DUMMYFUNCTION("""COMPUTED_VALUE"""),"value")</f>
        <v>value</v>
      </c>
      <c r="C12183" s="3" t="str">
        <f>IFERROR(__xludf.DUMMYFUNCTION("""COMPUTED_VALUE"""),"Value DeFi")</f>
        <v>Value DeFi</v>
      </c>
    </row>
    <row r="12184">
      <c r="A12184" s="3" t="str">
        <f>IFERROR(__xludf.DUMMYFUNCTION("""COMPUTED_VALUE"""),"vancat")</f>
        <v>vancat</v>
      </c>
      <c r="B12184" s="3" t="str">
        <f>IFERROR(__xludf.DUMMYFUNCTION("""COMPUTED_VALUE"""),"vancat")</f>
        <v>vancat</v>
      </c>
      <c r="C12184" s="3" t="str">
        <f>IFERROR(__xludf.DUMMYFUNCTION("""COMPUTED_VALUE"""),"Vancat [OLD]")</f>
        <v>Vancat [OLD]</v>
      </c>
    </row>
    <row r="12185">
      <c r="A12185" s="3" t="str">
        <f>IFERROR(__xludf.DUMMYFUNCTION("""COMPUTED_VALUE"""),"vancat-2")</f>
        <v>vancat-2</v>
      </c>
      <c r="B12185" s="3" t="str">
        <f>IFERROR(__xludf.DUMMYFUNCTION("""COMPUTED_VALUE"""),"vancat")</f>
        <v>vancat</v>
      </c>
      <c r="C12185" s="3" t="str">
        <f>IFERROR(__xludf.DUMMYFUNCTION("""COMPUTED_VALUE"""),"Vancat")</f>
        <v>Vancat</v>
      </c>
    </row>
    <row r="12186">
      <c r="A12186" s="3" t="str">
        <f>IFERROR(__xludf.DUMMYFUNCTION("""COMPUTED_VALUE"""),"vanci-finance")</f>
        <v>vanci-finance</v>
      </c>
      <c r="B12186" s="3" t="str">
        <f>IFERROR(__xludf.DUMMYFUNCTION("""COMPUTED_VALUE"""),"vancii")</f>
        <v>vancii</v>
      </c>
      <c r="C12186" s="3" t="str">
        <f>IFERROR(__xludf.DUMMYFUNCTION("""COMPUTED_VALUE"""),"Vanci Finance")</f>
        <v>Vanci Finance</v>
      </c>
    </row>
    <row r="12187">
      <c r="A12187" s="3" t="str">
        <f>IFERROR(__xludf.DUMMYFUNCTION("""COMPUTED_VALUE"""),"vanesse")</f>
        <v>vanesse</v>
      </c>
      <c r="B12187" s="3" t="str">
        <f>IFERROR(__xludf.DUMMYFUNCTION("""COMPUTED_VALUE"""),"vnes")</f>
        <v>vnes</v>
      </c>
      <c r="C12187" s="3" t="str">
        <f>IFERROR(__xludf.DUMMYFUNCTION("""COMPUTED_VALUE"""),"Vanesse")</f>
        <v>Vanesse</v>
      </c>
    </row>
    <row r="12188">
      <c r="A12188" s="3" t="str">
        <f>IFERROR(__xludf.DUMMYFUNCTION("""COMPUTED_VALUE"""),"vanguard-real-estate-tokenized-stock-defichain")</f>
        <v>vanguard-real-estate-tokenized-stock-defichain</v>
      </c>
      <c r="B12188" s="3" t="str">
        <f>IFERROR(__xludf.DUMMYFUNCTION("""COMPUTED_VALUE"""),"dvnq")</f>
        <v>dvnq</v>
      </c>
      <c r="C12188" s="3" t="str">
        <f>IFERROR(__xludf.DUMMYFUNCTION("""COMPUTED_VALUE"""),"Vanguard Real Estate Tokenized Stock Defichain")</f>
        <v>Vanguard Real Estate Tokenized Stock Defichain</v>
      </c>
    </row>
    <row r="12189">
      <c r="A12189" s="3" t="str">
        <f>IFERROR(__xludf.DUMMYFUNCTION("""COMPUTED_VALUE"""),"vanguard-sp-500-etf-tokenized-stock-defichain")</f>
        <v>vanguard-sp-500-etf-tokenized-stock-defichain</v>
      </c>
      <c r="B12189" s="3" t="str">
        <f>IFERROR(__xludf.DUMMYFUNCTION("""COMPUTED_VALUE"""),"dvoo")</f>
        <v>dvoo</v>
      </c>
      <c r="C12189" s="3" t="str">
        <f>IFERROR(__xludf.DUMMYFUNCTION("""COMPUTED_VALUE"""),"Vanguard S&amp;P 500 ETF Tokenized Stock Defichain")</f>
        <v>Vanguard S&amp;P 500 ETF Tokenized Stock Defichain</v>
      </c>
    </row>
    <row r="12190">
      <c r="A12190" s="3" t="str">
        <f>IFERROR(__xludf.DUMMYFUNCTION("""COMPUTED_VALUE"""),"vanilla")</f>
        <v>vanilla</v>
      </c>
      <c r="B12190" s="3" t="str">
        <f>IFERROR(__xludf.DUMMYFUNCTION("""COMPUTED_VALUE"""),"vnl")</f>
        <v>vnl</v>
      </c>
      <c r="C12190" s="3" t="str">
        <f>IFERROR(__xludf.DUMMYFUNCTION("""COMPUTED_VALUE"""),"Vanilla")</f>
        <v>Vanilla</v>
      </c>
    </row>
    <row r="12191">
      <c r="A12191" s="3" t="str">
        <f>IFERROR(__xludf.DUMMYFUNCTION("""COMPUTED_VALUE"""),"vanilla-network")</f>
        <v>vanilla-network</v>
      </c>
      <c r="B12191" s="3" t="str">
        <f>IFERROR(__xludf.DUMMYFUNCTION("""COMPUTED_VALUE"""),"vnla")</f>
        <v>vnla</v>
      </c>
      <c r="C12191" s="3" t="str">
        <f>IFERROR(__xludf.DUMMYFUNCTION("""COMPUTED_VALUE"""),"Vanilla Network")</f>
        <v>Vanilla Network</v>
      </c>
    </row>
    <row r="12192">
      <c r="A12192" s="3" t="str">
        <f>IFERROR(__xludf.DUMMYFUNCTION("""COMPUTED_VALUE"""),"vanity")</f>
        <v>vanity</v>
      </c>
      <c r="B12192" s="3" t="str">
        <f>IFERROR(__xludf.DUMMYFUNCTION("""COMPUTED_VALUE"""),"vny")</f>
        <v>vny</v>
      </c>
      <c r="C12192" s="3" t="str">
        <f>IFERROR(__xludf.DUMMYFUNCTION("""COMPUTED_VALUE"""),"Vanity")</f>
        <v>Vanity</v>
      </c>
    </row>
    <row r="12193">
      <c r="A12193" s="3" t="str">
        <f>IFERROR(__xludf.DUMMYFUNCTION("""COMPUTED_VALUE"""),"vankia-chain")</f>
        <v>vankia-chain</v>
      </c>
      <c r="B12193" s="3" t="str">
        <f>IFERROR(__xludf.DUMMYFUNCTION("""COMPUTED_VALUE"""),"vkt")</f>
        <v>vkt</v>
      </c>
      <c r="C12193" s="3" t="str">
        <f>IFERROR(__xludf.DUMMYFUNCTION("""COMPUTED_VALUE"""),"Vankia Chain")</f>
        <v>Vankia Chain</v>
      </c>
    </row>
    <row r="12194">
      <c r="A12194" s="3" t="str">
        <f>IFERROR(__xludf.DUMMYFUNCTION("""COMPUTED_VALUE"""),"vanspor-token")</f>
        <v>vanspor-token</v>
      </c>
      <c r="B12194" s="3" t="str">
        <f>IFERROR(__xludf.DUMMYFUNCTION("""COMPUTED_VALUE"""),"van")</f>
        <v>van</v>
      </c>
      <c r="C12194" s="3" t="str">
        <f>IFERROR(__xludf.DUMMYFUNCTION("""COMPUTED_VALUE"""),"Vanspor Token")</f>
        <v>Vanspor Token</v>
      </c>
    </row>
    <row r="12195">
      <c r="A12195" s="3" t="str">
        <f>IFERROR(__xludf.DUMMYFUNCTION("""COMPUTED_VALUE"""),"vantaur")</f>
        <v>vantaur</v>
      </c>
      <c r="B12195" s="3" t="str">
        <f>IFERROR(__xludf.DUMMYFUNCTION("""COMPUTED_VALUE"""),"vtar")</f>
        <v>vtar</v>
      </c>
      <c r="C12195" s="3" t="str">
        <f>IFERROR(__xludf.DUMMYFUNCTION("""COMPUTED_VALUE"""),"Vantaur")</f>
        <v>Vantaur</v>
      </c>
    </row>
    <row r="12196">
      <c r="A12196" s="3" t="str">
        <f>IFERROR(__xludf.DUMMYFUNCTION("""COMPUTED_VALUE"""),"vanywhere")</f>
        <v>vanywhere</v>
      </c>
      <c r="B12196" s="3" t="str">
        <f>IFERROR(__xludf.DUMMYFUNCTION("""COMPUTED_VALUE"""),"vany")</f>
        <v>vany</v>
      </c>
      <c r="C12196" s="3" t="str">
        <f>IFERROR(__xludf.DUMMYFUNCTION("""COMPUTED_VALUE"""),"Vanywhere")</f>
        <v>Vanywhere</v>
      </c>
    </row>
    <row r="12197">
      <c r="A12197" s="3" t="str">
        <f>IFERROR(__xludf.DUMMYFUNCTION("""COMPUTED_VALUE"""),"vaperscoin")</f>
        <v>vaperscoin</v>
      </c>
      <c r="B12197" s="3" t="str">
        <f>IFERROR(__xludf.DUMMYFUNCTION("""COMPUTED_VALUE"""),"vprc")</f>
        <v>vprc</v>
      </c>
      <c r="C12197" s="3" t="str">
        <f>IFERROR(__xludf.DUMMYFUNCTION("""COMPUTED_VALUE"""),"VapersCoin")</f>
        <v>VapersCoin</v>
      </c>
    </row>
    <row r="12198">
      <c r="A12198" s="3" t="str">
        <f>IFERROR(__xludf.DUMMYFUNCTION("""COMPUTED_VALUE"""),"vapornodes")</f>
        <v>vapornodes</v>
      </c>
      <c r="B12198" s="3" t="str">
        <f>IFERROR(__xludf.DUMMYFUNCTION("""COMPUTED_VALUE"""),"vpnd")</f>
        <v>vpnd</v>
      </c>
      <c r="C12198" s="3" t="str">
        <f>IFERROR(__xludf.DUMMYFUNCTION("""COMPUTED_VALUE"""),"VaporNodes")</f>
        <v>VaporNodes</v>
      </c>
    </row>
    <row r="12199">
      <c r="A12199" s="3" t="str">
        <f>IFERROR(__xludf.DUMMYFUNCTION("""COMPUTED_VALUE"""),"vaporwave")</f>
        <v>vaporwave</v>
      </c>
      <c r="B12199" s="3" t="str">
        <f>IFERROR(__xludf.DUMMYFUNCTION("""COMPUTED_VALUE"""),"vwave")</f>
        <v>vwave</v>
      </c>
      <c r="C12199" s="3" t="str">
        <f>IFERROR(__xludf.DUMMYFUNCTION("""COMPUTED_VALUE"""),"Vaporwave")</f>
        <v>Vaporwave</v>
      </c>
    </row>
    <row r="12200">
      <c r="A12200" s="3" t="str">
        <f>IFERROR(__xludf.DUMMYFUNCTION("""COMPUTED_VALUE"""),"varen")</f>
        <v>varen</v>
      </c>
      <c r="B12200" s="3" t="str">
        <f>IFERROR(__xludf.DUMMYFUNCTION("""COMPUTED_VALUE"""),"vrn")</f>
        <v>vrn</v>
      </c>
      <c r="C12200" s="3" t="str">
        <f>IFERROR(__xludf.DUMMYFUNCTION("""COMPUTED_VALUE"""),"Varen")</f>
        <v>Varen</v>
      </c>
    </row>
    <row r="12201">
      <c r="A12201" s="3" t="str">
        <f>IFERROR(__xludf.DUMMYFUNCTION("""COMPUTED_VALUE"""),"vault")</f>
        <v>vault</v>
      </c>
      <c r="B12201" s="3" t="str">
        <f>IFERROR(__xludf.DUMMYFUNCTION("""COMPUTED_VALUE"""),"vault")</f>
        <v>vault</v>
      </c>
      <c r="C12201" s="3" t="str">
        <f>IFERROR(__xludf.DUMMYFUNCTION("""COMPUTED_VALUE"""),"VAULT")</f>
        <v>VAULT</v>
      </c>
    </row>
    <row r="12202">
      <c r="A12202" s="3" t="str">
        <f>IFERROR(__xludf.DUMMYFUNCTION("""COMPUTED_VALUE"""),"vault-hill-city")</f>
        <v>vault-hill-city</v>
      </c>
      <c r="B12202" s="3" t="str">
        <f>IFERROR(__xludf.DUMMYFUNCTION("""COMPUTED_VALUE"""),"vhc")</f>
        <v>vhc</v>
      </c>
      <c r="C12202" s="3" t="str">
        <f>IFERROR(__xludf.DUMMYFUNCTION("""COMPUTED_VALUE"""),"Vault Hill City")</f>
        <v>Vault Hill City</v>
      </c>
    </row>
    <row r="12203">
      <c r="A12203" s="3" t="str">
        <f>IFERROR(__xludf.DUMMYFUNCTION("""COMPUTED_VALUE"""),"vaulty-token")</f>
        <v>vaulty-token</v>
      </c>
      <c r="B12203" s="3" t="str">
        <f>IFERROR(__xludf.DUMMYFUNCTION("""COMPUTED_VALUE"""),"vlty")</f>
        <v>vlty</v>
      </c>
      <c r="C12203" s="3" t="str">
        <f>IFERROR(__xludf.DUMMYFUNCTION("""COMPUTED_VALUE"""),"Vaulty")</f>
        <v>Vaulty</v>
      </c>
    </row>
    <row r="12204">
      <c r="A12204" s="3" t="str">
        <f>IFERROR(__xludf.DUMMYFUNCTION("""COMPUTED_VALUE"""),"vbswap")</f>
        <v>vbswap</v>
      </c>
      <c r="B12204" s="3" t="str">
        <f>IFERROR(__xludf.DUMMYFUNCTION("""COMPUTED_VALUE"""),"vbswap")</f>
        <v>vbswap</v>
      </c>
      <c r="C12204" s="3" t="str">
        <f>IFERROR(__xludf.DUMMYFUNCTION("""COMPUTED_VALUE"""),"vBSWAP")</f>
        <v>vBSWAP</v>
      </c>
    </row>
    <row r="12205">
      <c r="A12205" s="3" t="str">
        <f>IFERROR(__xludf.DUMMYFUNCTION("""COMPUTED_VALUE"""),"vcash")</f>
        <v>vcash</v>
      </c>
      <c r="B12205" s="3" t="str">
        <f>IFERROR(__xludf.DUMMYFUNCTION("""COMPUTED_VALUE"""),"xvc")</f>
        <v>xvc</v>
      </c>
      <c r="C12205" s="3" t="str">
        <f>IFERROR(__xludf.DUMMYFUNCTION("""COMPUTED_VALUE"""),"Vcash")</f>
        <v>Vcash</v>
      </c>
    </row>
    <row r="12206">
      <c r="A12206" s="3" t="str">
        <f>IFERROR(__xludf.DUMMYFUNCTION("""COMPUTED_VALUE"""),"vcgamers")</f>
        <v>vcgamers</v>
      </c>
      <c r="B12206" s="3" t="str">
        <f>IFERROR(__xludf.DUMMYFUNCTION("""COMPUTED_VALUE"""),"vcg")</f>
        <v>vcg</v>
      </c>
      <c r="C12206" s="3" t="str">
        <f>IFERROR(__xludf.DUMMYFUNCTION("""COMPUTED_VALUE"""),"VCGamers")</f>
        <v>VCGamers</v>
      </c>
    </row>
    <row r="12207">
      <c r="A12207" s="3" t="str">
        <f>IFERROR(__xludf.DUMMYFUNCTION("""COMPUTED_VALUE"""),"vechain")</f>
        <v>vechain</v>
      </c>
      <c r="B12207" s="3" t="str">
        <f>IFERROR(__xludf.DUMMYFUNCTION("""COMPUTED_VALUE"""),"vet")</f>
        <v>vet</v>
      </c>
      <c r="C12207" s="3" t="str">
        <f>IFERROR(__xludf.DUMMYFUNCTION("""COMPUTED_VALUE"""),"VeChain")</f>
        <v>VeChain</v>
      </c>
    </row>
    <row r="12208">
      <c r="A12208" s="3" t="str">
        <f>IFERROR(__xludf.DUMMYFUNCTION("""COMPUTED_VALUE"""),"veco")</f>
        <v>veco</v>
      </c>
      <c r="B12208" s="3" t="str">
        <f>IFERROR(__xludf.DUMMYFUNCTION("""COMPUTED_VALUE"""),"veco")</f>
        <v>veco</v>
      </c>
      <c r="C12208" s="3" t="str">
        <f>IFERROR(__xludf.DUMMYFUNCTION("""COMPUTED_VALUE"""),"Veco")</f>
        <v>Veco</v>
      </c>
    </row>
    <row r="12209">
      <c r="A12209" s="3" t="str">
        <f>IFERROR(__xludf.DUMMYFUNCTION("""COMPUTED_VALUE"""),"vecrv-dao-yvault")</f>
        <v>vecrv-dao-yvault</v>
      </c>
      <c r="B12209" s="3" t="str">
        <f>IFERROR(__xludf.DUMMYFUNCTION("""COMPUTED_VALUE"""),"yve-crvdao")</f>
        <v>yve-crvdao</v>
      </c>
      <c r="C12209" s="3" t="str">
        <f>IFERROR(__xludf.DUMMYFUNCTION("""COMPUTED_VALUE"""),"veCRV-DAO yVault")</f>
        <v>veCRV-DAO yVault</v>
      </c>
    </row>
    <row r="12210">
      <c r="A12210" s="3" t="str">
        <f>IFERROR(__xludf.DUMMYFUNCTION("""COMPUTED_VALUE"""),"vector-finance")</f>
        <v>vector-finance</v>
      </c>
      <c r="B12210" s="3" t="str">
        <f>IFERROR(__xludf.DUMMYFUNCTION("""COMPUTED_VALUE"""),"vtx")</f>
        <v>vtx</v>
      </c>
      <c r="C12210" s="3" t="str">
        <f>IFERROR(__xludf.DUMMYFUNCTION("""COMPUTED_VALUE"""),"Vector Finance")</f>
        <v>Vector Finance</v>
      </c>
    </row>
    <row r="12211">
      <c r="A12211" s="3" t="str">
        <f>IFERROR(__xludf.DUMMYFUNCTION("""COMPUTED_VALUE"""),"vectorium")</f>
        <v>vectorium</v>
      </c>
      <c r="B12211" s="3" t="str">
        <f>IFERROR(__xludf.DUMMYFUNCTION("""COMPUTED_VALUE"""),"vect")</f>
        <v>vect</v>
      </c>
      <c r="C12211" s="3" t="str">
        <f>IFERROR(__xludf.DUMMYFUNCTION("""COMPUTED_VALUE"""),"Vectorium")</f>
        <v>Vectorium</v>
      </c>
    </row>
    <row r="12212">
      <c r="A12212" s="3" t="str">
        <f>IFERROR(__xludf.DUMMYFUNCTION("""COMPUTED_VALUE"""),"vectorspace")</f>
        <v>vectorspace</v>
      </c>
      <c r="B12212" s="3" t="str">
        <f>IFERROR(__xludf.DUMMYFUNCTION("""COMPUTED_VALUE"""),"vxv")</f>
        <v>vxv</v>
      </c>
      <c r="C12212" s="3" t="str">
        <f>IFERROR(__xludf.DUMMYFUNCTION("""COMPUTED_VALUE"""),"Vectorspace AI")</f>
        <v>Vectorspace AI</v>
      </c>
    </row>
    <row r="12213">
      <c r="A12213" s="3" t="str">
        <f>IFERROR(__xludf.DUMMYFUNCTION("""COMPUTED_VALUE"""),"vedao")</f>
        <v>vedao</v>
      </c>
      <c r="B12213" s="3" t="str">
        <f>IFERROR(__xludf.DUMMYFUNCTION("""COMPUTED_VALUE"""),"weve")</f>
        <v>weve</v>
      </c>
      <c r="C12213" s="3" t="str">
        <f>IFERROR(__xludf.DUMMYFUNCTION("""COMPUTED_VALUE"""),"veDAO")</f>
        <v>veDAO</v>
      </c>
    </row>
    <row r="12214">
      <c r="A12214" s="3" t="str">
        <f>IFERROR(__xludf.DUMMYFUNCTION("""COMPUTED_VALUE"""),"veed")</f>
        <v>veed</v>
      </c>
      <c r="B12214" s="3" t="str">
        <f>IFERROR(__xludf.DUMMYFUNCTION("""COMPUTED_VALUE"""),"veed")</f>
        <v>veed</v>
      </c>
      <c r="C12214" s="3" t="str">
        <f>IFERROR(__xludf.DUMMYFUNCTION("""COMPUTED_VALUE"""),"VEED")</f>
        <v>VEED</v>
      </c>
    </row>
    <row r="12215">
      <c r="A12215" s="3" t="str">
        <f>IFERROR(__xludf.DUMMYFUNCTION("""COMPUTED_VALUE"""),"vee-finance")</f>
        <v>vee-finance</v>
      </c>
      <c r="B12215" s="3" t="str">
        <f>IFERROR(__xludf.DUMMYFUNCTION("""COMPUTED_VALUE"""),"vee")</f>
        <v>vee</v>
      </c>
      <c r="C12215" s="3" t="str">
        <f>IFERROR(__xludf.DUMMYFUNCTION("""COMPUTED_VALUE"""),"Vee Finance")</f>
        <v>Vee Finance</v>
      </c>
    </row>
    <row r="12216">
      <c r="A12216" s="3" t="str">
        <f>IFERROR(__xludf.DUMMYFUNCTION("""COMPUTED_VALUE"""),"vefi")</f>
        <v>vefi</v>
      </c>
      <c r="B12216" s="3" t="str">
        <f>IFERROR(__xludf.DUMMYFUNCTION("""COMPUTED_VALUE"""),"vef")</f>
        <v>vef</v>
      </c>
      <c r="C12216" s="3" t="str">
        <f>IFERROR(__xludf.DUMMYFUNCTION("""COMPUTED_VALUE"""),"Vefi")</f>
        <v>Vefi</v>
      </c>
    </row>
    <row r="12217">
      <c r="A12217" s="3" t="str">
        <f>IFERROR(__xludf.DUMMYFUNCTION("""COMPUTED_VALUE"""),"vega-coin")</f>
        <v>vega-coin</v>
      </c>
      <c r="B12217" s="3" t="str">
        <f>IFERROR(__xludf.DUMMYFUNCTION("""COMPUTED_VALUE"""),"vega")</f>
        <v>vega</v>
      </c>
      <c r="C12217" s="3" t="str">
        <f>IFERROR(__xludf.DUMMYFUNCTION("""COMPUTED_VALUE"""),"Vega Coin")</f>
        <v>Vega Coin</v>
      </c>
    </row>
    <row r="12218">
      <c r="A12218" s="3" t="str">
        <f>IFERROR(__xludf.DUMMYFUNCTION("""COMPUTED_VALUE"""),"vegannation-greencoin")</f>
        <v>vegannation-greencoin</v>
      </c>
      <c r="B12218" s="3" t="str">
        <f>IFERROR(__xludf.DUMMYFUNCTION("""COMPUTED_VALUE"""),"grnc")</f>
        <v>grnc</v>
      </c>
      <c r="C12218" s="3" t="str">
        <f>IFERROR(__xludf.DUMMYFUNCTION("""COMPUTED_VALUE"""),"VeganNation GreenCoin")</f>
        <v>VeganNation GreenCoin</v>
      </c>
    </row>
    <row r="12219">
      <c r="A12219" s="3" t="str">
        <f>IFERROR(__xludf.DUMMYFUNCTION("""COMPUTED_VALUE"""),"vega-protocol")</f>
        <v>vega-protocol</v>
      </c>
      <c r="B12219" s="3" t="str">
        <f>IFERROR(__xludf.DUMMYFUNCTION("""COMPUTED_VALUE"""),"vega")</f>
        <v>vega</v>
      </c>
      <c r="C12219" s="3" t="str">
        <f>IFERROR(__xludf.DUMMYFUNCTION("""COMPUTED_VALUE"""),"Vega Protocol")</f>
        <v>Vega Protocol</v>
      </c>
    </row>
    <row r="12220">
      <c r="A12220" s="3" t="str">
        <f>IFERROR(__xludf.DUMMYFUNCTION("""COMPUTED_VALUE"""),"vegasino")</f>
        <v>vegasino</v>
      </c>
      <c r="B12220" s="3" t="str">
        <f>IFERROR(__xludf.DUMMYFUNCTION("""COMPUTED_VALUE"""),"vegas")</f>
        <v>vegas</v>
      </c>
      <c r="C12220" s="3" t="str">
        <f>IFERROR(__xludf.DUMMYFUNCTION("""COMPUTED_VALUE"""),"Vegasino")</f>
        <v>Vegasino</v>
      </c>
    </row>
    <row r="12221">
      <c r="A12221" s="3" t="str">
        <f>IFERROR(__xludf.DUMMYFUNCTION("""COMPUTED_VALUE"""),"veggiecoin")</f>
        <v>veggiecoin</v>
      </c>
      <c r="B12221" s="3" t="str">
        <f>IFERROR(__xludf.DUMMYFUNCTION("""COMPUTED_VALUE"""),"vegi")</f>
        <v>vegi</v>
      </c>
      <c r="C12221" s="3" t="str">
        <f>IFERROR(__xludf.DUMMYFUNCTION("""COMPUTED_VALUE"""),"VeggieCoin")</f>
        <v>VeggieCoin</v>
      </c>
    </row>
    <row r="12222">
      <c r="A12222" s="3" t="str">
        <f>IFERROR(__xludf.DUMMYFUNCTION("""COMPUTED_VALUE"""),"veil")</f>
        <v>veil</v>
      </c>
      <c r="B12222" s="3" t="str">
        <f>IFERROR(__xludf.DUMMYFUNCTION("""COMPUTED_VALUE"""),"veil")</f>
        <v>veil</v>
      </c>
      <c r="C12222" s="3" t="str">
        <f>IFERROR(__xludf.DUMMYFUNCTION("""COMPUTED_VALUE"""),"VEIL")</f>
        <v>VEIL</v>
      </c>
    </row>
    <row r="12223">
      <c r="A12223" s="3" t="str">
        <f>IFERROR(__xludf.DUMMYFUNCTION("""COMPUTED_VALUE"""),"velas")</f>
        <v>velas</v>
      </c>
      <c r="B12223" s="3" t="str">
        <f>IFERROR(__xludf.DUMMYFUNCTION("""COMPUTED_VALUE"""),"vlx")</f>
        <v>vlx</v>
      </c>
      <c r="C12223" s="3" t="str">
        <f>IFERROR(__xludf.DUMMYFUNCTION("""COMPUTED_VALUE"""),"Velas")</f>
        <v>Velas</v>
      </c>
    </row>
    <row r="12224">
      <c r="A12224" s="3" t="str">
        <f>IFERROR(__xludf.DUMMYFUNCTION("""COMPUTED_VALUE"""),"velaspad")</f>
        <v>velaspad</v>
      </c>
      <c r="B12224" s="3" t="str">
        <f>IFERROR(__xludf.DUMMYFUNCTION("""COMPUTED_VALUE"""),"vlxpad")</f>
        <v>vlxpad</v>
      </c>
      <c r="C12224" s="3" t="str">
        <f>IFERROR(__xludf.DUMMYFUNCTION("""COMPUTED_VALUE"""),"VelasPad")</f>
        <v>VelasPad</v>
      </c>
    </row>
    <row r="12225">
      <c r="A12225" s="3" t="str">
        <f>IFERROR(__xludf.DUMMYFUNCTION("""COMPUTED_VALUE"""),"veldorabsc")</f>
        <v>veldorabsc</v>
      </c>
      <c r="B12225" s="3" t="str">
        <f>IFERROR(__xludf.DUMMYFUNCTION("""COMPUTED_VALUE"""),"vdora")</f>
        <v>vdora</v>
      </c>
      <c r="C12225" s="3" t="str">
        <f>IFERROR(__xludf.DUMMYFUNCTION("""COMPUTED_VALUE"""),"VeldoraBSC")</f>
        <v>VeldoraBSC</v>
      </c>
    </row>
    <row r="12226">
      <c r="A12226" s="3" t="str">
        <f>IFERROR(__xludf.DUMMYFUNCTION("""COMPUTED_VALUE"""),"velerodao")</f>
        <v>velerodao</v>
      </c>
      <c r="B12226" s="3" t="str">
        <f>IFERROR(__xludf.DUMMYFUNCTION("""COMPUTED_VALUE"""),"vdgt")</f>
        <v>vdgt</v>
      </c>
      <c r="C12226" s="3" t="str">
        <f>IFERROR(__xludf.DUMMYFUNCTION("""COMPUTED_VALUE"""),"VeleroDAO")</f>
        <v>VeleroDAO</v>
      </c>
    </row>
    <row r="12227">
      <c r="A12227" s="3" t="str">
        <f>IFERROR(__xludf.DUMMYFUNCTION("""COMPUTED_VALUE"""),"veles")</f>
        <v>veles</v>
      </c>
      <c r="B12227" s="3" t="str">
        <f>IFERROR(__xludf.DUMMYFUNCTION("""COMPUTED_VALUE"""),"vls")</f>
        <v>vls</v>
      </c>
      <c r="C12227" s="3" t="str">
        <f>IFERROR(__xludf.DUMMYFUNCTION("""COMPUTED_VALUE"""),"Veles")</f>
        <v>Veles</v>
      </c>
    </row>
    <row r="12228">
      <c r="A12228" s="3" t="str">
        <f>IFERROR(__xludf.DUMMYFUNCTION("""COMPUTED_VALUE"""),"velhalla")</f>
        <v>velhalla</v>
      </c>
      <c r="B12228" s="3" t="str">
        <f>IFERROR(__xludf.DUMMYFUNCTION("""COMPUTED_VALUE"""),"scar")</f>
        <v>scar</v>
      </c>
      <c r="C12228" s="3" t="str">
        <f>IFERROR(__xludf.DUMMYFUNCTION("""COMPUTED_VALUE"""),"Velhalla")</f>
        <v>Velhalla</v>
      </c>
    </row>
    <row r="12229">
      <c r="A12229" s="3" t="str">
        <f>IFERROR(__xludf.DUMMYFUNCTION("""COMPUTED_VALUE"""),"velo")</f>
        <v>velo</v>
      </c>
      <c r="B12229" s="3" t="str">
        <f>IFERROR(__xludf.DUMMYFUNCTION("""COMPUTED_VALUE"""),"velo")</f>
        <v>velo</v>
      </c>
      <c r="C12229" s="3" t="str">
        <f>IFERROR(__xludf.DUMMYFUNCTION("""COMPUTED_VALUE"""),"Velo")</f>
        <v>Velo</v>
      </c>
    </row>
    <row r="12230">
      <c r="A12230" s="3" t="str">
        <f>IFERROR(__xludf.DUMMYFUNCTION("""COMPUTED_VALUE"""),"velodrome-finance")</f>
        <v>velodrome-finance</v>
      </c>
      <c r="B12230" s="3" t="str">
        <f>IFERROR(__xludf.DUMMYFUNCTION("""COMPUTED_VALUE"""),"velo")</f>
        <v>velo</v>
      </c>
      <c r="C12230" s="3" t="str">
        <f>IFERROR(__xludf.DUMMYFUNCTION("""COMPUTED_VALUE"""),"Velodrome Finance")</f>
        <v>Velodrome Finance</v>
      </c>
    </row>
    <row r="12231">
      <c r="A12231" s="3" t="str">
        <f>IFERROR(__xludf.DUMMYFUNCTION("""COMPUTED_VALUE"""),"velorex")</f>
        <v>velorex</v>
      </c>
      <c r="B12231" s="3" t="str">
        <f>IFERROR(__xludf.DUMMYFUNCTION("""COMPUTED_VALUE"""),"vex")</f>
        <v>vex</v>
      </c>
      <c r="C12231" s="3" t="str">
        <f>IFERROR(__xludf.DUMMYFUNCTION("""COMPUTED_VALUE"""),"Velorex")</f>
        <v>Velorex</v>
      </c>
    </row>
    <row r="12232">
      <c r="A12232" s="3" t="str">
        <f>IFERROR(__xludf.DUMMYFUNCTION("""COMPUTED_VALUE"""),"vemate")</f>
        <v>vemate</v>
      </c>
      <c r="B12232" s="3" t="str">
        <f>IFERROR(__xludf.DUMMYFUNCTION("""COMPUTED_VALUE"""),"vmt")</f>
        <v>vmt</v>
      </c>
      <c r="C12232" s="3" t="str">
        <f>IFERROR(__xludf.DUMMYFUNCTION("""COMPUTED_VALUE"""),"Vemate")</f>
        <v>Vemate</v>
      </c>
    </row>
    <row r="12233">
      <c r="A12233" s="3" t="str">
        <f>IFERROR(__xludf.DUMMYFUNCTION("""COMPUTED_VALUE"""),"vempire-ddao")</f>
        <v>vempire-ddao</v>
      </c>
      <c r="B12233" s="3" t="str">
        <f>IFERROR(__xludf.DUMMYFUNCTION("""COMPUTED_VALUE"""),"vemp")</f>
        <v>vemp</v>
      </c>
      <c r="C12233" s="3" t="str">
        <f>IFERROR(__xludf.DUMMYFUNCTION("""COMPUTED_VALUE"""),"vEmpire DDAO")</f>
        <v>vEmpire DDAO</v>
      </c>
    </row>
    <row r="12234">
      <c r="A12234" s="3" t="str">
        <f>IFERROR(__xludf.DUMMYFUNCTION("""COMPUTED_VALUE"""),"vendettadao")</f>
        <v>vendettadao</v>
      </c>
      <c r="B12234" s="3" t="str">
        <f>IFERROR(__xludf.DUMMYFUNCTION("""COMPUTED_VALUE"""),"$v")</f>
        <v>$v</v>
      </c>
      <c r="C12234" s="3" t="str">
        <f>IFERROR(__xludf.DUMMYFUNCTION("""COMPUTED_VALUE"""),"VendettaDAO")</f>
        <v>VendettaDAO</v>
      </c>
    </row>
    <row r="12235">
      <c r="A12235" s="3" t="str">
        <f>IFERROR(__xludf.DUMMYFUNCTION("""COMPUTED_VALUE"""),"vendetta-finance")</f>
        <v>vendetta-finance</v>
      </c>
      <c r="B12235" s="3" t="str">
        <f>IFERROR(__xludf.DUMMYFUNCTION("""COMPUTED_VALUE"""),"ven")</f>
        <v>ven</v>
      </c>
      <c r="C12235" s="3" t="str">
        <f>IFERROR(__xludf.DUMMYFUNCTION("""COMPUTED_VALUE"""),"Vendetta Finance")</f>
        <v>Vendetta Finance</v>
      </c>
    </row>
    <row r="12236">
      <c r="A12236" s="3" t="str">
        <f>IFERROR(__xludf.DUMMYFUNCTION("""COMPUTED_VALUE"""),"vendit")</f>
        <v>vendit</v>
      </c>
      <c r="B12236" s="3" t="str">
        <f>IFERROR(__xludf.DUMMYFUNCTION("""COMPUTED_VALUE"""),"vndt")</f>
        <v>vndt</v>
      </c>
      <c r="C12236" s="3" t="str">
        <f>IFERROR(__xludf.DUMMYFUNCTION("""COMPUTED_VALUE"""),"Vendit")</f>
        <v>Vendit</v>
      </c>
    </row>
    <row r="12237">
      <c r="A12237" s="3" t="str">
        <f>IFERROR(__xludf.DUMMYFUNCTION("""COMPUTED_VALUE"""),"venera")</f>
        <v>venera</v>
      </c>
      <c r="B12237" s="3" t="str">
        <f>IFERROR(__xludf.DUMMYFUNCTION("""COMPUTED_VALUE"""),"vsw")</f>
        <v>vsw</v>
      </c>
      <c r="C12237" s="3" t="str">
        <f>IFERROR(__xludf.DUMMYFUNCTION("""COMPUTED_VALUE"""),"Venera")</f>
        <v>Venera</v>
      </c>
    </row>
    <row r="12238">
      <c r="A12238" s="3" t="str">
        <f>IFERROR(__xludf.DUMMYFUNCTION("""COMPUTED_VALUE"""),"venjocoin")</f>
        <v>venjocoin</v>
      </c>
      <c r="B12238" s="3" t="str">
        <f>IFERROR(__xludf.DUMMYFUNCTION("""COMPUTED_VALUE"""),"vjc")</f>
        <v>vjc</v>
      </c>
      <c r="C12238" s="3" t="str">
        <f>IFERROR(__xludf.DUMMYFUNCTION("""COMPUTED_VALUE"""),"VENJOCOIN")</f>
        <v>VENJOCOIN</v>
      </c>
    </row>
    <row r="12239">
      <c r="A12239" s="3" t="str">
        <f>IFERROR(__xludf.DUMMYFUNCTION("""COMPUTED_VALUE"""),"veno")</f>
        <v>veno</v>
      </c>
      <c r="B12239" s="3" t="str">
        <f>IFERROR(__xludf.DUMMYFUNCTION("""COMPUTED_VALUE"""),"veno")</f>
        <v>veno</v>
      </c>
      <c r="C12239" s="3" t="str">
        <f>IFERROR(__xludf.DUMMYFUNCTION("""COMPUTED_VALUE"""),"Veno")</f>
        <v>Veno</v>
      </c>
    </row>
    <row r="12240">
      <c r="A12240" s="3" t="str">
        <f>IFERROR(__xludf.DUMMYFUNCTION("""COMPUTED_VALUE"""),"venox")</f>
        <v>venox</v>
      </c>
      <c r="B12240" s="3" t="str">
        <f>IFERROR(__xludf.DUMMYFUNCTION("""COMPUTED_VALUE"""),"vnx")</f>
        <v>vnx</v>
      </c>
      <c r="C12240" s="3" t="str">
        <f>IFERROR(__xludf.DUMMYFUNCTION("""COMPUTED_VALUE"""),"Venox")</f>
        <v>Venox</v>
      </c>
    </row>
    <row r="12241">
      <c r="A12241" s="3" t="str">
        <f>IFERROR(__xludf.DUMMYFUNCTION("""COMPUTED_VALUE"""),"vent-finance")</f>
        <v>vent-finance</v>
      </c>
      <c r="B12241" s="3" t="str">
        <f>IFERROR(__xludf.DUMMYFUNCTION("""COMPUTED_VALUE"""),"vent")</f>
        <v>vent</v>
      </c>
      <c r="C12241" s="3" t="str">
        <f>IFERROR(__xludf.DUMMYFUNCTION("""COMPUTED_VALUE"""),"Vent Finance")</f>
        <v>Vent Finance</v>
      </c>
    </row>
    <row r="12242">
      <c r="A12242" s="3" t="str">
        <f>IFERROR(__xludf.DUMMYFUNCTION("""COMPUTED_VALUE"""),"vention")</f>
        <v>vention</v>
      </c>
      <c r="B12242" s="3" t="str">
        <f>IFERROR(__xludf.DUMMYFUNCTION("""COMPUTED_VALUE"""),"vention")</f>
        <v>vention</v>
      </c>
      <c r="C12242" s="3" t="str">
        <f>IFERROR(__xludf.DUMMYFUNCTION("""COMPUTED_VALUE"""),"Vention")</f>
        <v>Vention</v>
      </c>
    </row>
    <row r="12243">
      <c r="A12243" s="3" t="str">
        <f>IFERROR(__xludf.DUMMYFUNCTION("""COMPUTED_VALUE"""),"ventiswap")</f>
        <v>ventiswap</v>
      </c>
      <c r="B12243" s="3" t="str">
        <f>IFERROR(__xludf.DUMMYFUNCTION("""COMPUTED_VALUE"""),"vst")</f>
        <v>vst</v>
      </c>
      <c r="C12243" s="3" t="str">
        <f>IFERROR(__xludf.DUMMYFUNCTION("""COMPUTED_VALUE"""),"VentiSwap")</f>
        <v>VentiSwap</v>
      </c>
    </row>
    <row r="12244">
      <c r="A12244" s="3" t="str">
        <f>IFERROR(__xludf.DUMMYFUNCTION("""COMPUTED_VALUE"""),"venus")</f>
        <v>venus</v>
      </c>
      <c r="B12244" s="3" t="str">
        <f>IFERROR(__xludf.DUMMYFUNCTION("""COMPUTED_VALUE"""),"xvs")</f>
        <v>xvs</v>
      </c>
      <c r="C12244" s="3" t="str">
        <f>IFERROR(__xludf.DUMMYFUNCTION("""COMPUTED_VALUE"""),"Venus")</f>
        <v>Venus</v>
      </c>
    </row>
    <row r="12245">
      <c r="A12245" s="3" t="str">
        <f>IFERROR(__xludf.DUMMYFUNCTION("""COMPUTED_VALUE"""),"venus-bch")</f>
        <v>venus-bch</v>
      </c>
      <c r="B12245" s="3" t="str">
        <f>IFERROR(__xludf.DUMMYFUNCTION("""COMPUTED_VALUE"""),"vbch")</f>
        <v>vbch</v>
      </c>
      <c r="C12245" s="3" t="str">
        <f>IFERROR(__xludf.DUMMYFUNCTION("""COMPUTED_VALUE"""),"Venus BCH")</f>
        <v>Venus BCH</v>
      </c>
    </row>
    <row r="12246">
      <c r="A12246" s="3" t="str">
        <f>IFERROR(__xludf.DUMMYFUNCTION("""COMPUTED_VALUE"""),"venus-beth")</f>
        <v>venus-beth</v>
      </c>
      <c r="B12246" s="3" t="str">
        <f>IFERROR(__xludf.DUMMYFUNCTION("""COMPUTED_VALUE"""),"vbeth")</f>
        <v>vbeth</v>
      </c>
      <c r="C12246" s="3" t="str">
        <f>IFERROR(__xludf.DUMMYFUNCTION("""COMPUTED_VALUE"""),"Venus BETH")</f>
        <v>Venus BETH</v>
      </c>
    </row>
    <row r="12247">
      <c r="A12247" s="3" t="str">
        <f>IFERROR(__xludf.DUMMYFUNCTION("""COMPUTED_VALUE"""),"venus-btc")</f>
        <v>venus-btc</v>
      </c>
      <c r="B12247" s="3" t="str">
        <f>IFERROR(__xludf.DUMMYFUNCTION("""COMPUTED_VALUE"""),"vbtc")</f>
        <v>vbtc</v>
      </c>
      <c r="C12247" s="3" t="str">
        <f>IFERROR(__xludf.DUMMYFUNCTION("""COMPUTED_VALUE"""),"Venus BTC")</f>
        <v>Venus BTC</v>
      </c>
    </row>
    <row r="12248">
      <c r="A12248" s="3" t="str">
        <f>IFERROR(__xludf.DUMMYFUNCTION("""COMPUTED_VALUE"""),"venus-busd")</f>
        <v>venus-busd</v>
      </c>
      <c r="B12248" s="3" t="str">
        <f>IFERROR(__xludf.DUMMYFUNCTION("""COMPUTED_VALUE"""),"vbusd")</f>
        <v>vbusd</v>
      </c>
      <c r="C12248" s="3" t="str">
        <f>IFERROR(__xludf.DUMMYFUNCTION("""COMPUTED_VALUE"""),"Venus BUSD")</f>
        <v>Venus BUSD</v>
      </c>
    </row>
    <row r="12249">
      <c r="A12249" s="3" t="str">
        <f>IFERROR(__xludf.DUMMYFUNCTION("""COMPUTED_VALUE"""),"venus-dai")</f>
        <v>venus-dai</v>
      </c>
      <c r="B12249" s="3" t="str">
        <f>IFERROR(__xludf.DUMMYFUNCTION("""COMPUTED_VALUE"""),"vdai")</f>
        <v>vdai</v>
      </c>
      <c r="C12249" s="3" t="str">
        <f>IFERROR(__xludf.DUMMYFUNCTION("""COMPUTED_VALUE"""),"Venus DAI")</f>
        <v>Venus DAI</v>
      </c>
    </row>
    <row r="12250">
      <c r="A12250" s="3" t="str">
        <f>IFERROR(__xludf.DUMMYFUNCTION("""COMPUTED_VALUE"""),"venus-doge")</f>
        <v>venus-doge</v>
      </c>
      <c r="B12250" s="3" t="str">
        <f>IFERROR(__xludf.DUMMYFUNCTION("""COMPUTED_VALUE"""),"vdoge")</f>
        <v>vdoge</v>
      </c>
      <c r="C12250" s="3" t="str">
        <f>IFERROR(__xludf.DUMMYFUNCTION("""COMPUTED_VALUE"""),"Venus DOGE")</f>
        <v>Venus DOGE</v>
      </c>
    </row>
    <row r="12251">
      <c r="A12251" s="3" t="str">
        <f>IFERROR(__xludf.DUMMYFUNCTION("""COMPUTED_VALUE"""),"venus-dot")</f>
        <v>venus-dot</v>
      </c>
      <c r="B12251" s="3" t="str">
        <f>IFERROR(__xludf.DUMMYFUNCTION("""COMPUTED_VALUE"""),"vdot")</f>
        <v>vdot</v>
      </c>
      <c r="C12251" s="3" t="str">
        <f>IFERROR(__xludf.DUMMYFUNCTION("""COMPUTED_VALUE"""),"Venus DOT")</f>
        <v>Venus DOT</v>
      </c>
    </row>
    <row r="12252">
      <c r="A12252" s="3" t="str">
        <f>IFERROR(__xludf.DUMMYFUNCTION("""COMPUTED_VALUE"""),"venus-eth")</f>
        <v>venus-eth</v>
      </c>
      <c r="B12252" s="3" t="str">
        <f>IFERROR(__xludf.DUMMYFUNCTION("""COMPUTED_VALUE"""),"veth")</f>
        <v>veth</v>
      </c>
      <c r="C12252" s="3" t="str">
        <f>IFERROR(__xludf.DUMMYFUNCTION("""COMPUTED_VALUE"""),"Venus ETH")</f>
        <v>Venus ETH</v>
      </c>
    </row>
    <row r="12253">
      <c r="A12253" s="3" t="str">
        <f>IFERROR(__xludf.DUMMYFUNCTION("""COMPUTED_VALUE"""),"venus-fil")</f>
        <v>venus-fil</v>
      </c>
      <c r="B12253" s="3" t="str">
        <f>IFERROR(__xludf.DUMMYFUNCTION("""COMPUTED_VALUE"""),"vfil")</f>
        <v>vfil</v>
      </c>
      <c r="C12253" s="3" t="str">
        <f>IFERROR(__xludf.DUMMYFUNCTION("""COMPUTED_VALUE"""),"Venus FIL")</f>
        <v>Venus FIL</v>
      </c>
    </row>
    <row r="12254">
      <c r="A12254" s="3" t="str">
        <f>IFERROR(__xludf.DUMMYFUNCTION("""COMPUTED_VALUE"""),"venus-link")</f>
        <v>venus-link</v>
      </c>
      <c r="B12254" s="3" t="str">
        <f>IFERROR(__xludf.DUMMYFUNCTION("""COMPUTED_VALUE"""),"vlink")</f>
        <v>vlink</v>
      </c>
      <c r="C12254" s="3" t="str">
        <f>IFERROR(__xludf.DUMMYFUNCTION("""COMPUTED_VALUE"""),"Venus LINK")</f>
        <v>Venus LINK</v>
      </c>
    </row>
    <row r="12255">
      <c r="A12255" s="3" t="str">
        <f>IFERROR(__xludf.DUMMYFUNCTION("""COMPUTED_VALUE"""),"venus-ltc")</f>
        <v>venus-ltc</v>
      </c>
      <c r="B12255" s="3" t="str">
        <f>IFERROR(__xludf.DUMMYFUNCTION("""COMPUTED_VALUE"""),"vltc")</f>
        <v>vltc</v>
      </c>
      <c r="C12255" s="3" t="str">
        <f>IFERROR(__xludf.DUMMYFUNCTION("""COMPUTED_VALUE"""),"Venus LTC")</f>
        <v>Venus LTC</v>
      </c>
    </row>
    <row r="12256">
      <c r="A12256" s="3" t="str">
        <f>IFERROR(__xludf.DUMMYFUNCTION("""COMPUTED_VALUE"""),"venus-reward-token")</f>
        <v>venus-reward-token</v>
      </c>
      <c r="B12256" s="3" t="str">
        <f>IFERROR(__xludf.DUMMYFUNCTION("""COMPUTED_VALUE"""),"vrt")</f>
        <v>vrt</v>
      </c>
      <c r="C12256" s="3" t="str">
        <f>IFERROR(__xludf.DUMMYFUNCTION("""COMPUTED_VALUE"""),"Venus Reward")</f>
        <v>Venus Reward</v>
      </c>
    </row>
    <row r="12257">
      <c r="A12257" s="3" t="str">
        <f>IFERROR(__xludf.DUMMYFUNCTION("""COMPUTED_VALUE"""),"venus-sxp")</f>
        <v>venus-sxp</v>
      </c>
      <c r="B12257" s="3" t="str">
        <f>IFERROR(__xludf.DUMMYFUNCTION("""COMPUTED_VALUE"""),"vsxp")</f>
        <v>vsxp</v>
      </c>
      <c r="C12257" s="3" t="str">
        <f>IFERROR(__xludf.DUMMYFUNCTION("""COMPUTED_VALUE"""),"Venus SXP")</f>
        <v>Venus SXP</v>
      </c>
    </row>
    <row r="12258">
      <c r="A12258" s="3" t="str">
        <f>IFERROR(__xludf.DUMMYFUNCTION("""COMPUTED_VALUE"""),"venus-usdc")</f>
        <v>venus-usdc</v>
      </c>
      <c r="B12258" s="3" t="str">
        <f>IFERROR(__xludf.DUMMYFUNCTION("""COMPUTED_VALUE"""),"vusdc")</f>
        <v>vusdc</v>
      </c>
      <c r="C12258" s="3" t="str">
        <f>IFERROR(__xludf.DUMMYFUNCTION("""COMPUTED_VALUE"""),"Venus USDC")</f>
        <v>Venus USDC</v>
      </c>
    </row>
    <row r="12259">
      <c r="A12259" s="3" t="str">
        <f>IFERROR(__xludf.DUMMYFUNCTION("""COMPUTED_VALUE"""),"venus-usdt")</f>
        <v>venus-usdt</v>
      </c>
      <c r="B12259" s="3" t="str">
        <f>IFERROR(__xludf.DUMMYFUNCTION("""COMPUTED_VALUE"""),"vusdt")</f>
        <v>vusdt</v>
      </c>
      <c r="C12259" s="3" t="str">
        <f>IFERROR(__xludf.DUMMYFUNCTION("""COMPUTED_VALUE"""),"Venus USDT")</f>
        <v>Venus USDT</v>
      </c>
    </row>
    <row r="12260">
      <c r="A12260" s="3" t="str">
        <f>IFERROR(__xludf.DUMMYFUNCTION("""COMPUTED_VALUE"""),"venus-xrp")</f>
        <v>venus-xrp</v>
      </c>
      <c r="B12260" s="3" t="str">
        <f>IFERROR(__xludf.DUMMYFUNCTION("""COMPUTED_VALUE"""),"vxrp")</f>
        <v>vxrp</v>
      </c>
      <c r="C12260" s="3" t="str">
        <f>IFERROR(__xludf.DUMMYFUNCTION("""COMPUTED_VALUE"""),"Venus XRP")</f>
        <v>Venus XRP</v>
      </c>
    </row>
    <row r="12261">
      <c r="A12261" s="3" t="str">
        <f>IFERROR(__xludf.DUMMYFUNCTION("""COMPUTED_VALUE"""),"venus-xvs")</f>
        <v>venus-xvs</v>
      </c>
      <c r="B12261" s="3" t="str">
        <f>IFERROR(__xludf.DUMMYFUNCTION("""COMPUTED_VALUE"""),"vxvs")</f>
        <v>vxvs</v>
      </c>
      <c r="C12261" s="3" t="str">
        <f>IFERROR(__xludf.DUMMYFUNCTION("""COMPUTED_VALUE"""),"Venus XVS")</f>
        <v>Venus XVS</v>
      </c>
    </row>
    <row r="12262">
      <c r="A12262" s="3" t="str">
        <f>IFERROR(__xludf.DUMMYFUNCTION("""COMPUTED_VALUE"""),"vera")</f>
        <v>vera</v>
      </c>
      <c r="B12262" s="3" t="str">
        <f>IFERROR(__xludf.DUMMYFUNCTION("""COMPUTED_VALUE"""),"vera")</f>
        <v>vera</v>
      </c>
      <c r="C12262" s="3" t="str">
        <f>IFERROR(__xludf.DUMMYFUNCTION("""COMPUTED_VALUE"""),"Vera")</f>
        <v>Vera</v>
      </c>
    </row>
    <row r="12263">
      <c r="A12263" s="3" t="str">
        <f>IFERROR(__xludf.DUMMYFUNCTION("""COMPUTED_VALUE"""),"vera-exchange")</f>
        <v>vera-exchange</v>
      </c>
      <c r="B12263" s="3" t="str">
        <f>IFERROR(__xludf.DUMMYFUNCTION("""COMPUTED_VALUE"""),"vera")</f>
        <v>vera</v>
      </c>
      <c r="C12263" s="3" t="str">
        <f>IFERROR(__xludf.DUMMYFUNCTION("""COMPUTED_VALUE"""),"VERA Exchange")</f>
        <v>VERA Exchange</v>
      </c>
    </row>
    <row r="12264">
      <c r="A12264" s="3" t="str">
        <f>IFERROR(__xludf.DUMMYFUNCTION("""COMPUTED_VALUE"""),"veraone")</f>
        <v>veraone</v>
      </c>
      <c r="B12264" s="3" t="str">
        <f>IFERROR(__xludf.DUMMYFUNCTION("""COMPUTED_VALUE"""),"vro")</f>
        <v>vro</v>
      </c>
      <c r="C12264" s="3" t="str">
        <f>IFERROR(__xludf.DUMMYFUNCTION("""COMPUTED_VALUE"""),"VeraOne")</f>
        <v>VeraOne</v>
      </c>
    </row>
    <row r="12265">
      <c r="A12265" s="3" t="str">
        <f>IFERROR(__xludf.DUMMYFUNCTION("""COMPUTED_VALUE"""),"verasaw-plant-token")</f>
        <v>verasaw-plant-token</v>
      </c>
      <c r="B12265" s="3" t="str">
        <f>IFERROR(__xludf.DUMMYFUNCTION("""COMPUTED_VALUE"""),"vrs")</f>
        <v>vrs</v>
      </c>
      <c r="C12265" s="3" t="str">
        <f>IFERROR(__xludf.DUMMYFUNCTION("""COMPUTED_VALUE"""),"Verasaw Plant")</f>
        <v>Verasaw Plant</v>
      </c>
    </row>
    <row r="12266">
      <c r="A12266" s="3" t="str">
        <f>IFERROR(__xludf.DUMMYFUNCTION("""COMPUTED_VALUE"""),"verasity")</f>
        <v>verasity</v>
      </c>
      <c r="B12266" s="3" t="str">
        <f>IFERROR(__xludf.DUMMYFUNCTION("""COMPUTED_VALUE"""),"vra")</f>
        <v>vra</v>
      </c>
      <c r="C12266" s="3" t="str">
        <f>IFERROR(__xludf.DUMMYFUNCTION("""COMPUTED_VALUE"""),"Verasity")</f>
        <v>Verasity</v>
      </c>
    </row>
    <row r="12267">
      <c r="A12267" s="3" t="str">
        <f>IFERROR(__xludf.DUMMYFUNCTION("""COMPUTED_VALUE"""),"veraswap")</f>
        <v>veraswap</v>
      </c>
      <c r="B12267" s="3" t="str">
        <f>IFERROR(__xludf.DUMMYFUNCTION("""COMPUTED_VALUE"""),"vrap")</f>
        <v>vrap</v>
      </c>
      <c r="C12267" s="3" t="str">
        <f>IFERROR(__xludf.DUMMYFUNCTION("""COMPUTED_VALUE"""),"VeraSwap")</f>
        <v>VeraSwap</v>
      </c>
    </row>
    <row r="12268">
      <c r="A12268" s="3" t="str">
        <f>IFERROR(__xludf.DUMMYFUNCTION("""COMPUTED_VALUE"""),"verge")</f>
        <v>verge</v>
      </c>
      <c r="B12268" s="3" t="str">
        <f>IFERROR(__xludf.DUMMYFUNCTION("""COMPUTED_VALUE"""),"xvg")</f>
        <v>xvg</v>
      </c>
      <c r="C12268" s="3" t="str">
        <f>IFERROR(__xludf.DUMMYFUNCTION("""COMPUTED_VALUE"""),"Verge")</f>
        <v>Verge</v>
      </c>
    </row>
    <row r="12269">
      <c r="A12269" s="3" t="str">
        <f>IFERROR(__xludf.DUMMYFUNCTION("""COMPUTED_VALUE"""),"veriblock")</f>
        <v>veriblock</v>
      </c>
      <c r="B12269" s="3" t="str">
        <f>IFERROR(__xludf.DUMMYFUNCTION("""COMPUTED_VALUE"""),"vbk")</f>
        <v>vbk</v>
      </c>
      <c r="C12269" s="3" t="str">
        <f>IFERROR(__xludf.DUMMYFUNCTION("""COMPUTED_VALUE"""),"VeriBlock")</f>
        <v>VeriBlock</v>
      </c>
    </row>
    <row r="12270">
      <c r="A12270" s="3" t="str">
        <f>IFERROR(__xludf.DUMMYFUNCTION("""COMPUTED_VALUE"""),"vericoin")</f>
        <v>vericoin</v>
      </c>
      <c r="B12270" s="3" t="str">
        <f>IFERROR(__xludf.DUMMYFUNCTION("""COMPUTED_VALUE"""),"vrc")</f>
        <v>vrc</v>
      </c>
      <c r="C12270" s="3" t="str">
        <f>IFERROR(__xludf.DUMMYFUNCTION("""COMPUTED_VALUE"""),"VeriCoin")</f>
        <v>VeriCoin</v>
      </c>
    </row>
    <row r="12271">
      <c r="A12271" s="3" t="str">
        <f>IFERROR(__xludf.DUMMYFUNCTION("""COMPUTED_VALUE"""),"veridocglobal")</f>
        <v>veridocglobal</v>
      </c>
      <c r="B12271" s="3" t="str">
        <f>IFERROR(__xludf.DUMMYFUNCTION("""COMPUTED_VALUE"""),"vdg")</f>
        <v>vdg</v>
      </c>
      <c r="C12271" s="3" t="str">
        <f>IFERROR(__xludf.DUMMYFUNCTION("""COMPUTED_VALUE"""),"VeriDocGlobal")</f>
        <v>VeriDocGlobal</v>
      </c>
    </row>
    <row r="12272">
      <c r="A12272" s="3" t="str">
        <f>IFERROR(__xludf.DUMMYFUNCTION("""COMPUTED_VALUE"""),"verify")</f>
        <v>verify</v>
      </c>
      <c r="B12272" s="3" t="str">
        <f>IFERROR(__xludf.DUMMYFUNCTION("""COMPUTED_VALUE"""),"cred")</f>
        <v>cred</v>
      </c>
      <c r="C12272" s="3" t="str">
        <f>IFERROR(__xludf.DUMMYFUNCTION("""COMPUTED_VALUE"""),"Verify")</f>
        <v>Verify</v>
      </c>
    </row>
    <row r="12273">
      <c r="A12273" s="3" t="str">
        <f>IFERROR(__xludf.DUMMYFUNCTION("""COMPUTED_VALUE"""),"verify-token")</f>
        <v>verify-token</v>
      </c>
      <c r="B12273" s="3" t="str">
        <f>IFERROR(__xludf.DUMMYFUNCTION("""COMPUTED_VALUE"""),"vrfy")</f>
        <v>vrfy</v>
      </c>
      <c r="C12273" s="3" t="str">
        <f>IFERROR(__xludf.DUMMYFUNCTION("""COMPUTED_VALUE"""),"Verify VRFY")</f>
        <v>Verify VRFY</v>
      </c>
    </row>
    <row r="12274">
      <c r="A12274" s="3" t="str">
        <f>IFERROR(__xludf.DUMMYFUNCTION("""COMPUTED_VALUE"""),"verisafe")</f>
        <v>verisafe</v>
      </c>
      <c r="B12274" s="3" t="str">
        <f>IFERROR(__xludf.DUMMYFUNCTION("""COMPUTED_VALUE"""),"vsf")</f>
        <v>vsf</v>
      </c>
      <c r="C12274" s="3" t="str">
        <f>IFERROR(__xludf.DUMMYFUNCTION("""COMPUTED_VALUE"""),"VeriSafe")</f>
        <v>VeriSafe</v>
      </c>
    </row>
    <row r="12275">
      <c r="A12275" s="3" t="str">
        <f>IFERROR(__xludf.DUMMYFUNCTION("""COMPUTED_VALUE"""),"veritaseum")</f>
        <v>veritaseum</v>
      </c>
      <c r="B12275" s="3" t="str">
        <f>IFERROR(__xludf.DUMMYFUNCTION("""COMPUTED_VALUE"""),"veri")</f>
        <v>veri</v>
      </c>
      <c r="C12275" s="3" t="str">
        <f>IFERROR(__xludf.DUMMYFUNCTION("""COMPUTED_VALUE"""),"Veritaseum")</f>
        <v>Veritaseum</v>
      </c>
    </row>
    <row r="12276">
      <c r="A12276" s="3" t="str">
        <f>IFERROR(__xludf.DUMMYFUNCTION("""COMPUTED_VALUE"""),"veritise")</f>
        <v>veritise</v>
      </c>
      <c r="B12276" s="3" t="str">
        <f>IFERROR(__xludf.DUMMYFUNCTION("""COMPUTED_VALUE"""),"vts")</f>
        <v>vts</v>
      </c>
      <c r="C12276" s="3" t="str">
        <f>IFERROR(__xludf.DUMMYFUNCTION("""COMPUTED_VALUE"""),"Veritise")</f>
        <v>Veritise</v>
      </c>
    </row>
    <row r="12277">
      <c r="A12277" s="3" t="str">
        <f>IFERROR(__xludf.DUMMYFUNCTION("""COMPUTED_VALUE"""),"verlux")</f>
        <v>verlux</v>
      </c>
      <c r="B12277" s="3" t="str">
        <f>IFERROR(__xludf.DUMMYFUNCTION("""COMPUTED_VALUE"""),"vlx")</f>
        <v>vlx</v>
      </c>
      <c r="C12277" s="3" t="str">
        <f>IFERROR(__xludf.DUMMYFUNCTION("""COMPUTED_VALUE"""),"Verlux")</f>
        <v>Verlux</v>
      </c>
    </row>
    <row r="12278">
      <c r="A12278" s="3" t="str">
        <f>IFERROR(__xludf.DUMMYFUNCTION("""COMPUTED_VALUE"""),"verox")</f>
        <v>verox</v>
      </c>
      <c r="B12278" s="3" t="str">
        <f>IFERROR(__xludf.DUMMYFUNCTION("""COMPUTED_VALUE"""),"vrx")</f>
        <v>vrx</v>
      </c>
      <c r="C12278" s="3" t="str">
        <f>IFERROR(__xludf.DUMMYFUNCTION("""COMPUTED_VALUE"""),"Verox")</f>
        <v>Verox</v>
      </c>
    </row>
    <row r="12279">
      <c r="A12279" s="3" t="str">
        <f>IFERROR(__xludf.DUMMYFUNCTION("""COMPUTED_VALUE"""),"versagames")</f>
        <v>versagames</v>
      </c>
      <c r="B12279" s="3" t="str">
        <f>IFERROR(__xludf.DUMMYFUNCTION("""COMPUTED_VALUE"""),"versa")</f>
        <v>versa</v>
      </c>
      <c r="C12279" s="3" t="str">
        <f>IFERROR(__xludf.DUMMYFUNCTION("""COMPUTED_VALUE"""),"VersaGames")</f>
        <v>VersaGames</v>
      </c>
    </row>
    <row r="12280">
      <c r="A12280" s="3" t="str">
        <f>IFERROR(__xludf.DUMMYFUNCTION("""COMPUTED_VALUE"""),"versailles-heroes")</f>
        <v>versailles-heroes</v>
      </c>
      <c r="B12280" s="3" t="str">
        <f>IFERROR(__xludf.DUMMYFUNCTION("""COMPUTED_VALUE"""),"vrh")</f>
        <v>vrh</v>
      </c>
      <c r="C12280" s="3" t="str">
        <f>IFERROR(__xludf.DUMMYFUNCTION("""COMPUTED_VALUE"""),"Versailles Heroes")</f>
        <v>Versailles Heroes</v>
      </c>
    </row>
    <row r="12281">
      <c r="A12281" s="3" t="str">
        <f>IFERROR(__xludf.DUMMYFUNCTION("""COMPUTED_VALUE"""),"versal-token")</f>
        <v>versal-token</v>
      </c>
      <c r="B12281" s="3" t="str">
        <f>IFERROR(__xludf.DUMMYFUNCTION("""COMPUTED_VALUE"""),"ver")</f>
        <v>ver</v>
      </c>
      <c r="C12281" s="3" t="str">
        <f>IFERROR(__xludf.DUMMYFUNCTION("""COMPUTED_VALUE"""),"VersalNFT")</f>
        <v>VersalNFT</v>
      </c>
    </row>
    <row r="12282">
      <c r="A12282" s="3" t="str">
        <f>IFERROR(__xludf.DUMMYFUNCTION("""COMPUTED_VALUE"""),"versatile-finance")</f>
        <v>versatile-finance</v>
      </c>
      <c r="B12282" s="3" t="str">
        <f>IFERROR(__xludf.DUMMYFUNCTION("""COMPUTED_VALUE"""),"$versa")</f>
        <v>$versa</v>
      </c>
      <c r="C12282" s="3" t="str">
        <f>IFERROR(__xludf.DUMMYFUNCTION("""COMPUTED_VALUE"""),"Versatile Finance")</f>
        <v>Versatile Finance</v>
      </c>
    </row>
    <row r="12283">
      <c r="A12283" s="3" t="str">
        <f>IFERROR(__xludf.DUMMYFUNCTION("""COMPUTED_VALUE"""),"verse")</f>
        <v>verse</v>
      </c>
      <c r="B12283" s="3" t="str">
        <f>IFERROR(__xludf.DUMMYFUNCTION("""COMPUTED_VALUE"""),"verse")</f>
        <v>verse</v>
      </c>
      <c r="C12283" s="3" t="str">
        <f>IFERROR(__xludf.DUMMYFUNCTION("""COMPUTED_VALUE"""),"Verse")</f>
        <v>Verse</v>
      </c>
    </row>
    <row r="12284">
      <c r="A12284" s="3" t="str">
        <f>IFERROR(__xludf.DUMMYFUNCTION("""COMPUTED_VALUE"""),"version")</f>
        <v>version</v>
      </c>
      <c r="B12284" s="3" t="str">
        <f>IFERROR(__xludf.DUMMYFUNCTION("""COMPUTED_VALUE"""),"v")</f>
        <v>v</v>
      </c>
      <c r="C12284" s="3" t="str">
        <f>IFERROR(__xludf.DUMMYFUNCTION("""COMPUTED_VALUE"""),"Version")</f>
        <v>Version</v>
      </c>
    </row>
    <row r="12285">
      <c r="A12285" s="3" t="str">
        <f>IFERROR(__xludf.DUMMYFUNCTION("""COMPUTED_VALUE"""),"verso")</f>
        <v>verso</v>
      </c>
      <c r="B12285" s="3" t="str">
        <f>IFERROR(__xludf.DUMMYFUNCTION("""COMPUTED_VALUE"""),"vso")</f>
        <v>vso</v>
      </c>
      <c r="C12285" s="3" t="str">
        <f>IFERROR(__xludf.DUMMYFUNCTION("""COMPUTED_VALUE"""),"Verso")</f>
        <v>Verso</v>
      </c>
    </row>
    <row r="12286">
      <c r="A12286" s="3" t="str">
        <f>IFERROR(__xludf.DUMMYFUNCTION("""COMPUTED_VALUE"""),"versoview")</f>
        <v>versoview</v>
      </c>
      <c r="B12286" s="3" t="str">
        <f>IFERROR(__xludf.DUMMYFUNCTION("""COMPUTED_VALUE"""),"vvt")</f>
        <v>vvt</v>
      </c>
      <c r="C12286" s="3" t="str">
        <f>IFERROR(__xludf.DUMMYFUNCTION("""COMPUTED_VALUE"""),"VersoView")</f>
        <v>VersoView</v>
      </c>
    </row>
    <row r="12287">
      <c r="A12287" s="3" t="str">
        <f>IFERROR(__xludf.DUMMYFUNCTION("""COMPUTED_VALUE"""),"versus-farm")</f>
        <v>versus-farm</v>
      </c>
      <c r="B12287" s="3" t="str">
        <f>IFERROR(__xludf.DUMMYFUNCTION("""COMPUTED_VALUE"""),"versus")</f>
        <v>versus</v>
      </c>
      <c r="C12287" s="3" t="str">
        <f>IFERROR(__xludf.DUMMYFUNCTION("""COMPUTED_VALUE"""),"Versus Farm")</f>
        <v>Versus Farm</v>
      </c>
    </row>
    <row r="12288">
      <c r="A12288" s="3" t="str">
        <f>IFERROR(__xludf.DUMMYFUNCTION("""COMPUTED_VALUE"""),"vertcoin")</f>
        <v>vertcoin</v>
      </c>
      <c r="B12288" s="3" t="str">
        <f>IFERROR(__xludf.DUMMYFUNCTION("""COMPUTED_VALUE"""),"vtc")</f>
        <v>vtc</v>
      </c>
      <c r="C12288" s="3" t="str">
        <f>IFERROR(__xludf.DUMMYFUNCTION("""COMPUTED_VALUE"""),"Vertcoin")</f>
        <v>Vertcoin</v>
      </c>
    </row>
    <row r="12289">
      <c r="A12289" s="3" t="str">
        <f>IFERROR(__xludf.DUMMYFUNCTION("""COMPUTED_VALUE"""),"vertex-protocol")</f>
        <v>vertex-protocol</v>
      </c>
      <c r="B12289" s="3" t="str">
        <f>IFERROR(__xludf.DUMMYFUNCTION("""COMPUTED_VALUE"""),"vrtx")</f>
        <v>vrtx</v>
      </c>
      <c r="C12289" s="3" t="str">
        <f>IFERROR(__xludf.DUMMYFUNCTION("""COMPUTED_VALUE"""),"Vertex Protocol")</f>
        <v>Vertex Protocol</v>
      </c>
    </row>
    <row r="12290">
      <c r="A12290" s="3" t="str">
        <f>IFERROR(__xludf.DUMMYFUNCTION("""COMPUTED_VALUE"""),"verus-coin")</f>
        <v>verus-coin</v>
      </c>
      <c r="B12290" s="3" t="str">
        <f>IFERROR(__xludf.DUMMYFUNCTION("""COMPUTED_VALUE"""),"vrsc")</f>
        <v>vrsc</v>
      </c>
      <c r="C12290" s="3" t="str">
        <f>IFERROR(__xludf.DUMMYFUNCTION("""COMPUTED_VALUE"""),"Verus Coin")</f>
        <v>Verus Coin</v>
      </c>
    </row>
    <row r="12291">
      <c r="A12291" s="3" t="str">
        <f>IFERROR(__xludf.DUMMYFUNCTION("""COMPUTED_VALUE"""),"verve")</f>
        <v>verve</v>
      </c>
      <c r="B12291" s="3" t="str">
        <f>IFERROR(__xludf.DUMMYFUNCTION("""COMPUTED_VALUE"""),"verve")</f>
        <v>verve</v>
      </c>
      <c r="C12291" s="3" t="str">
        <f>IFERROR(__xludf.DUMMYFUNCTION("""COMPUTED_VALUE"""),"Verve")</f>
        <v>Verve</v>
      </c>
    </row>
    <row r="12292">
      <c r="A12292" s="3" t="str">
        <f>IFERROR(__xludf.DUMMYFUNCTION("""COMPUTED_VALUE"""),"vesper-finance")</f>
        <v>vesper-finance</v>
      </c>
      <c r="B12292" s="3" t="str">
        <f>IFERROR(__xludf.DUMMYFUNCTION("""COMPUTED_VALUE"""),"vsp")</f>
        <v>vsp</v>
      </c>
      <c r="C12292" s="3" t="str">
        <f>IFERROR(__xludf.DUMMYFUNCTION("""COMPUTED_VALUE"""),"Vesper Finance")</f>
        <v>Vesper Finance</v>
      </c>
    </row>
    <row r="12293">
      <c r="A12293" s="3" t="str">
        <f>IFERROR(__xludf.DUMMYFUNCTION("""COMPUTED_VALUE"""),"vesper-vdollar")</f>
        <v>vesper-vdollar</v>
      </c>
      <c r="B12293" s="3" t="str">
        <f>IFERROR(__xludf.DUMMYFUNCTION("""COMPUTED_VALUE"""),"vusd")</f>
        <v>vusd</v>
      </c>
      <c r="C12293" s="3" t="str">
        <f>IFERROR(__xludf.DUMMYFUNCTION("""COMPUTED_VALUE"""),"Vesper V-Dollar")</f>
        <v>Vesper V-Dollar</v>
      </c>
    </row>
    <row r="12294">
      <c r="A12294" s="3" t="str">
        <f>IFERROR(__xludf.DUMMYFUNCTION("""COMPUTED_VALUE"""),"vesq")</f>
        <v>vesq</v>
      </c>
      <c r="B12294" s="3" t="str">
        <f>IFERROR(__xludf.DUMMYFUNCTION("""COMPUTED_VALUE"""),"vsq")</f>
        <v>vsq</v>
      </c>
      <c r="C12294" s="3" t="str">
        <f>IFERROR(__xludf.DUMMYFUNCTION("""COMPUTED_VALUE"""),"VESQ")</f>
        <v>VESQ</v>
      </c>
    </row>
    <row r="12295">
      <c r="A12295" s="3" t="str">
        <f>IFERROR(__xludf.DUMMYFUNCTION("""COMPUTED_VALUE"""),"vesta-finance")</f>
        <v>vesta-finance</v>
      </c>
      <c r="B12295" s="3" t="str">
        <f>IFERROR(__xludf.DUMMYFUNCTION("""COMPUTED_VALUE"""),"vsta")</f>
        <v>vsta</v>
      </c>
      <c r="C12295" s="3" t="str">
        <f>IFERROR(__xludf.DUMMYFUNCTION("""COMPUTED_VALUE"""),"Vesta Finance")</f>
        <v>Vesta Finance</v>
      </c>
    </row>
    <row r="12296">
      <c r="A12296" s="3" t="str">
        <f>IFERROR(__xludf.DUMMYFUNCTION("""COMPUTED_VALUE"""),"vestallytoken")</f>
        <v>vestallytoken</v>
      </c>
      <c r="B12296" s="3" t="str">
        <f>IFERROR(__xludf.DUMMYFUNCTION("""COMPUTED_VALUE"""),"vtt")</f>
        <v>vtt</v>
      </c>
      <c r="C12296" s="3" t="str">
        <f>IFERROR(__xludf.DUMMYFUNCTION("""COMPUTED_VALUE"""),"VesTally")</f>
        <v>VesTally</v>
      </c>
    </row>
    <row r="12297">
      <c r="A12297" s="3" t="str">
        <f>IFERROR(__xludf.DUMMYFUNCTION("""COMPUTED_VALUE"""),"vesta-stable")</f>
        <v>vesta-stable</v>
      </c>
      <c r="B12297" s="3" t="str">
        <f>IFERROR(__xludf.DUMMYFUNCTION("""COMPUTED_VALUE"""),"vst")</f>
        <v>vst</v>
      </c>
      <c r="C12297" s="3" t="str">
        <f>IFERROR(__xludf.DUMMYFUNCTION("""COMPUTED_VALUE"""),"Vesta Stable")</f>
        <v>Vesta Stable</v>
      </c>
    </row>
    <row r="12298">
      <c r="A12298" s="3" t="str">
        <f>IFERROR(__xludf.DUMMYFUNCTION("""COMPUTED_VALUE"""),"vestchain")</f>
        <v>vestchain</v>
      </c>
      <c r="B12298" s="3" t="str">
        <f>IFERROR(__xludf.DUMMYFUNCTION("""COMPUTED_VALUE"""),"vest")</f>
        <v>vest</v>
      </c>
      <c r="C12298" s="3" t="str">
        <f>IFERROR(__xludf.DUMMYFUNCTION("""COMPUTED_VALUE"""),"VestChain")</f>
        <v>VestChain</v>
      </c>
    </row>
    <row r="12299">
      <c r="A12299" s="3" t="str">
        <f>IFERROR(__xludf.DUMMYFUNCTION("""COMPUTED_VALUE"""),"vestige")</f>
        <v>vestige</v>
      </c>
      <c r="B12299" s="3" t="str">
        <f>IFERROR(__xludf.DUMMYFUNCTION("""COMPUTED_VALUE"""),"vest")</f>
        <v>vest</v>
      </c>
      <c r="C12299" s="3" t="str">
        <f>IFERROR(__xludf.DUMMYFUNCTION("""COMPUTED_VALUE"""),"Vestige")</f>
        <v>Vestige</v>
      </c>
    </row>
    <row r="12300">
      <c r="A12300" s="3" t="str">
        <f>IFERROR(__xludf.DUMMYFUNCTION("""COMPUTED_VALUE"""),"vether")</f>
        <v>vether</v>
      </c>
      <c r="B12300" s="3" t="str">
        <f>IFERROR(__xludf.DUMMYFUNCTION("""COMPUTED_VALUE"""),"veth")</f>
        <v>veth</v>
      </c>
      <c r="C12300" s="3" t="str">
        <f>IFERROR(__xludf.DUMMYFUNCTION("""COMPUTED_VALUE"""),"Vether")</f>
        <v>Vether</v>
      </c>
    </row>
    <row r="12301">
      <c r="A12301" s="3" t="str">
        <f>IFERROR(__xludf.DUMMYFUNCTION("""COMPUTED_VALUE"""),"vethor-token")</f>
        <v>vethor-token</v>
      </c>
      <c r="B12301" s="3" t="str">
        <f>IFERROR(__xludf.DUMMYFUNCTION("""COMPUTED_VALUE"""),"vtho")</f>
        <v>vtho</v>
      </c>
      <c r="C12301" s="3" t="str">
        <f>IFERROR(__xludf.DUMMYFUNCTION("""COMPUTED_VALUE"""),"VeThor")</f>
        <v>VeThor</v>
      </c>
    </row>
    <row r="12302">
      <c r="A12302" s="3" t="str">
        <f>IFERROR(__xludf.DUMMYFUNCTION("""COMPUTED_VALUE"""),"vetoken-finance")</f>
        <v>vetoken-finance</v>
      </c>
      <c r="B12302" s="3" t="str">
        <f>IFERROR(__xludf.DUMMYFUNCTION("""COMPUTED_VALUE"""),"ve3d")</f>
        <v>ve3d</v>
      </c>
      <c r="C12302" s="3" t="str">
        <f>IFERROR(__xludf.DUMMYFUNCTION("""COMPUTED_VALUE"""),"veToken Finance")</f>
        <v>veToken Finance</v>
      </c>
    </row>
    <row r="12303">
      <c r="A12303" s="3" t="str">
        <f>IFERROR(__xludf.DUMMYFUNCTION("""COMPUTED_VALUE"""),"vetter-skylabs")</f>
        <v>vetter-skylabs</v>
      </c>
      <c r="B12303" s="3" t="str">
        <f>IFERROR(__xludf.DUMMYFUNCTION("""COMPUTED_VALUE"""),"vsl")</f>
        <v>vsl</v>
      </c>
      <c r="C12303" s="3" t="str">
        <f>IFERROR(__xludf.DUMMYFUNCTION("""COMPUTED_VALUE"""),"Vetter Skylabs")</f>
        <v>Vetter Skylabs</v>
      </c>
    </row>
    <row r="12304">
      <c r="A12304" s="3" t="str">
        <f>IFERROR(__xludf.DUMMYFUNCTION("""COMPUTED_VALUE"""),"vetter-token")</f>
        <v>vetter-token</v>
      </c>
      <c r="B12304" s="3" t="str">
        <f>IFERROR(__xludf.DUMMYFUNCTION("""COMPUTED_VALUE"""),"vetter")</f>
        <v>vetter</v>
      </c>
      <c r="C12304" s="3" t="str">
        <f>IFERROR(__xludf.DUMMYFUNCTION("""COMPUTED_VALUE"""),"Vetter")</f>
        <v>Vetter</v>
      </c>
    </row>
    <row r="12305">
      <c r="A12305" s="3" t="str">
        <f>IFERROR(__xludf.DUMMYFUNCTION("""COMPUTED_VALUE"""),"veusd")</f>
        <v>veusd</v>
      </c>
      <c r="B12305" s="3" t="str">
        <f>IFERROR(__xludf.DUMMYFUNCTION("""COMPUTED_VALUE"""),"veusd")</f>
        <v>veusd</v>
      </c>
      <c r="C12305" s="3" t="str">
        <f>IFERROR(__xludf.DUMMYFUNCTION("""COMPUTED_VALUE"""),"VeUSD")</f>
        <v>VeUSD</v>
      </c>
    </row>
    <row r="12306">
      <c r="A12306" s="3" t="str">
        <f>IFERROR(__xludf.DUMMYFUNCTION("""COMPUTED_VALUE"""),"vexanium")</f>
        <v>vexanium</v>
      </c>
      <c r="B12306" s="3" t="str">
        <f>IFERROR(__xludf.DUMMYFUNCTION("""COMPUTED_VALUE"""),"vex")</f>
        <v>vex</v>
      </c>
      <c r="C12306" s="3" t="str">
        <f>IFERROR(__xludf.DUMMYFUNCTION("""COMPUTED_VALUE"""),"Vexanium")</f>
        <v>Vexanium</v>
      </c>
    </row>
    <row r="12307">
      <c r="A12307" s="3" t="str">
        <f>IFERROR(__xludf.DUMMYFUNCTION("""COMPUTED_VALUE"""),"vfox")</f>
        <v>vfox</v>
      </c>
      <c r="B12307" s="3" t="str">
        <f>IFERROR(__xludf.DUMMYFUNCTION("""COMPUTED_VALUE"""),"vfox")</f>
        <v>vfox</v>
      </c>
      <c r="C12307" s="3" t="str">
        <f>IFERROR(__xludf.DUMMYFUNCTION("""COMPUTED_VALUE"""),"VFOX")</f>
        <v>VFOX</v>
      </c>
    </row>
    <row r="12308">
      <c r="A12308" s="3" t="str">
        <f>IFERROR(__xludf.DUMMYFUNCTION("""COMPUTED_VALUE"""),"viacoin")</f>
        <v>viacoin</v>
      </c>
      <c r="B12308" s="3" t="str">
        <f>IFERROR(__xludf.DUMMYFUNCTION("""COMPUTED_VALUE"""),"via")</f>
        <v>via</v>
      </c>
      <c r="C12308" s="3" t="str">
        <f>IFERROR(__xludf.DUMMYFUNCTION("""COMPUTED_VALUE"""),"Viacoin")</f>
        <v>Viacoin</v>
      </c>
    </row>
    <row r="12309">
      <c r="A12309" s="3" t="str">
        <f>IFERROR(__xludf.DUMMYFUNCTION("""COMPUTED_VALUE"""),"viagra-token")</f>
        <v>viagra-token</v>
      </c>
      <c r="B12309" s="3" t="str">
        <f>IFERROR(__xludf.DUMMYFUNCTION("""COMPUTED_VALUE"""),"viagra")</f>
        <v>viagra</v>
      </c>
      <c r="C12309" s="3" t="str">
        <f>IFERROR(__xludf.DUMMYFUNCTION("""COMPUTED_VALUE"""),"Viagra")</f>
        <v>Viagra</v>
      </c>
    </row>
    <row r="12310">
      <c r="A12310" s="3" t="str">
        <f>IFERROR(__xludf.DUMMYFUNCTION("""COMPUTED_VALUE"""),"vibe")</f>
        <v>vibe</v>
      </c>
      <c r="B12310" s="3" t="str">
        <f>IFERROR(__xludf.DUMMYFUNCTION("""COMPUTED_VALUE"""),"vibe")</f>
        <v>vibe</v>
      </c>
      <c r="C12310" s="3" t="str">
        <f>IFERROR(__xludf.DUMMYFUNCTION("""COMPUTED_VALUE"""),"VIBE")</f>
        <v>VIBE</v>
      </c>
    </row>
    <row r="12311">
      <c r="A12311" s="3" t="str">
        <f>IFERROR(__xludf.DUMMYFUNCTION("""COMPUTED_VALUE"""),"vibe-bio")</f>
        <v>vibe-bio</v>
      </c>
      <c r="B12311" s="3" t="str">
        <f>IFERROR(__xludf.DUMMYFUNCTION("""COMPUTED_VALUE"""),"vibe")</f>
        <v>vibe</v>
      </c>
      <c r="C12311" s="3" t="str">
        <f>IFERROR(__xludf.DUMMYFUNCTION("""COMPUTED_VALUE"""),"Vibe Bio")</f>
        <v>Vibe Bio</v>
      </c>
    </row>
    <row r="12312">
      <c r="A12312" s="3" t="str">
        <f>IFERROR(__xludf.DUMMYFUNCTION("""COMPUTED_VALUE"""),"viberate")</f>
        <v>viberate</v>
      </c>
      <c r="B12312" s="3" t="str">
        <f>IFERROR(__xludf.DUMMYFUNCTION("""COMPUTED_VALUE"""),"vib")</f>
        <v>vib</v>
      </c>
      <c r="C12312" s="3" t="str">
        <f>IFERROR(__xludf.DUMMYFUNCTION("""COMPUTED_VALUE"""),"Viberate")</f>
        <v>Viberate</v>
      </c>
    </row>
    <row r="12313">
      <c r="A12313" s="3" t="str">
        <f>IFERROR(__xludf.DUMMYFUNCTION("""COMPUTED_VALUE"""),"vibing")</f>
        <v>vibing</v>
      </c>
      <c r="B12313" s="3" t="str">
        <f>IFERROR(__xludf.DUMMYFUNCTION("""COMPUTED_VALUE"""),"vbg")</f>
        <v>vbg</v>
      </c>
      <c r="C12313" s="3" t="str">
        <f>IFERROR(__xludf.DUMMYFUNCTION("""COMPUTED_VALUE"""),"Vibing")</f>
        <v>Vibing</v>
      </c>
    </row>
    <row r="12314">
      <c r="A12314" s="3" t="str">
        <f>IFERROR(__xludf.DUMMYFUNCTION("""COMPUTED_VALUE"""),"vicat")</f>
        <v>vicat</v>
      </c>
      <c r="B12314" s="3" t="str">
        <f>IFERROR(__xludf.DUMMYFUNCTION("""COMPUTED_VALUE"""),"vicat")</f>
        <v>vicat</v>
      </c>
      <c r="C12314" s="3" t="str">
        <f>IFERROR(__xludf.DUMMYFUNCTION("""COMPUTED_VALUE"""),"ViCat")</f>
        <v>ViCat</v>
      </c>
    </row>
    <row r="12315">
      <c r="A12315" s="3" t="str">
        <f>IFERROR(__xludf.DUMMYFUNCTION("""COMPUTED_VALUE"""),"vica-token")</f>
        <v>vica-token</v>
      </c>
      <c r="B12315" s="3" t="str">
        <f>IFERROR(__xludf.DUMMYFUNCTION("""COMPUTED_VALUE"""),"vica")</f>
        <v>vica</v>
      </c>
      <c r="C12315" s="3" t="str">
        <f>IFERROR(__xludf.DUMMYFUNCTION("""COMPUTED_VALUE"""),"ViCA")</f>
        <v>ViCA</v>
      </c>
    </row>
    <row r="12316">
      <c r="A12316" s="3" t="str">
        <f>IFERROR(__xludf.DUMMYFUNCTION("""COMPUTED_VALUE"""),"vicdao-nelum")</f>
        <v>vicdao-nelum</v>
      </c>
      <c r="B12316" s="3" t="str">
        <f>IFERROR(__xludf.DUMMYFUNCTION("""COMPUTED_VALUE"""),"nelum")</f>
        <v>nelum</v>
      </c>
      <c r="C12316" s="3" t="str">
        <f>IFERROR(__xludf.DUMMYFUNCTION("""COMPUTED_VALUE"""),"VICDAO NELUM")</f>
        <v>VICDAO NELUM</v>
      </c>
    </row>
    <row r="12317">
      <c r="A12317" s="3" t="str">
        <f>IFERROR(__xludf.DUMMYFUNCTION("""COMPUTED_VALUE"""),"vicewrld")</f>
        <v>vicewrld</v>
      </c>
      <c r="B12317" s="3" t="str">
        <f>IFERROR(__xludf.DUMMYFUNCTION("""COMPUTED_VALUE"""),"vicedao")</f>
        <v>vicedao</v>
      </c>
      <c r="C12317" s="3" t="str">
        <f>IFERROR(__xludf.DUMMYFUNCTION("""COMPUTED_VALUE"""),"ViceWRLD DAO")</f>
        <v>ViceWRLD DAO</v>
      </c>
    </row>
    <row r="12318">
      <c r="A12318" s="3" t="str">
        <f>IFERROR(__xludf.DUMMYFUNCTION("""COMPUTED_VALUE"""),"vicmove")</f>
        <v>vicmove</v>
      </c>
      <c r="B12318" s="3" t="str">
        <f>IFERROR(__xludf.DUMMYFUNCTION("""COMPUTED_VALUE"""),"vim")</f>
        <v>vim</v>
      </c>
      <c r="C12318" s="3" t="str">
        <f>IFERROR(__xludf.DUMMYFUNCTION("""COMPUTED_VALUE"""),"VicMove")</f>
        <v>VicMove</v>
      </c>
    </row>
    <row r="12319">
      <c r="A12319" s="3" t="str">
        <f>IFERROR(__xludf.DUMMYFUNCTION("""COMPUTED_VALUE"""),"vicstep")</f>
        <v>vicstep</v>
      </c>
      <c r="B12319" s="3" t="str">
        <f>IFERROR(__xludf.DUMMYFUNCTION("""COMPUTED_VALUE"""),"vic")</f>
        <v>vic</v>
      </c>
      <c r="C12319" s="3" t="str">
        <f>IFERROR(__xludf.DUMMYFUNCTION("""COMPUTED_VALUE"""),"VICSTEP")</f>
        <v>VICSTEP</v>
      </c>
    </row>
    <row r="12320">
      <c r="A12320" s="3" t="str">
        <f>IFERROR(__xludf.DUMMYFUNCTION("""COMPUTED_VALUE"""),"victoria-vr")</f>
        <v>victoria-vr</v>
      </c>
      <c r="B12320" s="3" t="str">
        <f>IFERROR(__xludf.DUMMYFUNCTION("""COMPUTED_VALUE"""),"vr")</f>
        <v>vr</v>
      </c>
      <c r="C12320" s="3" t="str">
        <f>IFERROR(__xludf.DUMMYFUNCTION("""COMPUTED_VALUE"""),"Victoria VR")</f>
        <v>Victoria VR</v>
      </c>
    </row>
    <row r="12321">
      <c r="A12321" s="3" t="str">
        <f>IFERROR(__xludf.DUMMYFUNCTION("""COMPUTED_VALUE"""),"victorum")</f>
        <v>victorum</v>
      </c>
      <c r="B12321" s="3" t="str">
        <f>IFERROR(__xludf.DUMMYFUNCTION("""COMPUTED_VALUE"""),"vcc")</f>
        <v>vcc</v>
      </c>
      <c r="C12321" s="3" t="str">
        <f>IFERROR(__xludf.DUMMYFUNCTION("""COMPUTED_VALUE"""),"Victorum")</f>
        <v>Victorum</v>
      </c>
    </row>
    <row r="12322">
      <c r="A12322" s="3" t="str">
        <f>IFERROR(__xludf.DUMMYFUNCTION("""COMPUTED_VALUE"""),"victory")</f>
        <v>victory</v>
      </c>
      <c r="B12322" s="3" t="str">
        <f>IFERROR(__xludf.DUMMYFUNCTION("""COMPUTED_VALUE"""),"avic")</f>
        <v>avic</v>
      </c>
      <c r="C12322" s="3" t="str">
        <f>IFERROR(__xludf.DUMMYFUNCTION("""COMPUTED_VALUE"""),"Victory")</f>
        <v>Victory</v>
      </c>
    </row>
    <row r="12323">
      <c r="A12323" s="3" t="str">
        <f>IFERROR(__xludf.DUMMYFUNCTION("""COMPUTED_VALUE"""),"victory-gem")</f>
        <v>victory-gem</v>
      </c>
      <c r="B12323" s="3" t="str">
        <f>IFERROR(__xludf.DUMMYFUNCTION("""COMPUTED_VALUE"""),"vtg")</f>
        <v>vtg</v>
      </c>
      <c r="C12323" s="3" t="str">
        <f>IFERROR(__xludf.DUMMYFUNCTION("""COMPUTED_VALUE"""),"Victory Gem")</f>
        <v>Victory Gem</v>
      </c>
    </row>
    <row r="12324">
      <c r="A12324" s="3" t="str">
        <f>IFERROR(__xludf.DUMMYFUNCTION("""COMPUTED_VALUE"""),"v-id-blockchain")</f>
        <v>v-id-blockchain</v>
      </c>
      <c r="B12324" s="3" t="str">
        <f>IFERROR(__xludf.DUMMYFUNCTION("""COMPUTED_VALUE"""),"vidt")</f>
        <v>vidt</v>
      </c>
      <c r="C12324" s="3" t="str">
        <f>IFERROR(__xludf.DUMMYFUNCTION("""COMPUTED_VALUE"""),"VIDT Datalink")</f>
        <v>VIDT Datalink</v>
      </c>
    </row>
    <row r="12325">
      <c r="A12325" s="3" t="str">
        <f>IFERROR(__xludf.DUMMYFUNCTION("""COMPUTED_VALUE"""),"videocoin")</f>
        <v>videocoin</v>
      </c>
      <c r="B12325" s="3" t="str">
        <f>IFERROR(__xludf.DUMMYFUNCTION("""COMPUTED_VALUE"""),"vid")</f>
        <v>vid</v>
      </c>
      <c r="C12325" s="3" t="str">
        <f>IFERROR(__xludf.DUMMYFUNCTION("""COMPUTED_VALUE"""),"Vivid Labs")</f>
        <v>Vivid Labs</v>
      </c>
    </row>
    <row r="12326">
      <c r="A12326" s="3" t="str">
        <f>IFERROR(__xludf.DUMMYFUNCTION("""COMPUTED_VALUE"""),"vidiachange")</f>
        <v>vidiachange</v>
      </c>
      <c r="B12326" s="3" t="str">
        <f>IFERROR(__xludf.DUMMYFUNCTION("""COMPUTED_VALUE"""),"vida")</f>
        <v>vida</v>
      </c>
      <c r="C12326" s="3" t="str">
        <f>IFERROR(__xludf.DUMMYFUNCTION("""COMPUTED_VALUE"""),"Vidiachange")</f>
        <v>Vidiachange</v>
      </c>
    </row>
    <row r="12327">
      <c r="A12327" s="3" t="str">
        <f>IFERROR(__xludf.DUMMYFUNCTION("""COMPUTED_VALUE"""),"vidt-dao")</f>
        <v>vidt-dao</v>
      </c>
      <c r="B12327" s="3" t="str">
        <f>IFERROR(__xludf.DUMMYFUNCTION("""COMPUTED_VALUE"""),"vidt")</f>
        <v>vidt</v>
      </c>
      <c r="C12327" s="3" t="str">
        <f>IFERROR(__xludf.DUMMYFUNCTION("""COMPUTED_VALUE"""),"VIDT DAO")</f>
        <v>VIDT DAO</v>
      </c>
    </row>
    <row r="12328">
      <c r="A12328" s="3" t="str">
        <f>IFERROR(__xludf.DUMMYFUNCTION("""COMPUTED_VALUE"""),"vidulum")</f>
        <v>vidulum</v>
      </c>
      <c r="B12328" s="3" t="str">
        <f>IFERROR(__xludf.DUMMYFUNCTION("""COMPUTED_VALUE"""),"vdl")</f>
        <v>vdl</v>
      </c>
      <c r="C12328" s="3" t="str">
        <f>IFERROR(__xludf.DUMMYFUNCTION("""COMPUTED_VALUE"""),"Vidulum")</f>
        <v>Vidulum</v>
      </c>
    </row>
    <row r="12329">
      <c r="A12329" s="3" t="str">
        <f>IFERROR(__xludf.DUMMYFUNCTION("""COMPUTED_VALUE"""),"vidy")</f>
        <v>vidy</v>
      </c>
      <c r="B12329" s="3" t="str">
        <f>IFERROR(__xludf.DUMMYFUNCTION("""COMPUTED_VALUE"""),"vidy")</f>
        <v>vidy</v>
      </c>
      <c r="C12329" s="3" t="str">
        <f>IFERROR(__xludf.DUMMYFUNCTION("""COMPUTED_VALUE"""),"VIDY")</f>
        <v>VIDY</v>
      </c>
    </row>
    <row r="12330">
      <c r="A12330" s="3" t="str">
        <f>IFERROR(__xludf.DUMMYFUNCTION("""COMPUTED_VALUE"""),"vidya")</f>
        <v>vidya</v>
      </c>
      <c r="B12330" s="3" t="str">
        <f>IFERROR(__xludf.DUMMYFUNCTION("""COMPUTED_VALUE"""),"vidya")</f>
        <v>vidya</v>
      </c>
      <c r="C12330" s="3" t="str">
        <f>IFERROR(__xludf.DUMMYFUNCTION("""COMPUTED_VALUE"""),"Vidya")</f>
        <v>Vidya</v>
      </c>
    </row>
    <row r="12331">
      <c r="A12331" s="3" t="str">
        <f>IFERROR(__xludf.DUMMYFUNCTION("""COMPUTED_VALUE"""),"vidyx")</f>
        <v>vidyx</v>
      </c>
      <c r="B12331" s="3" t="str">
        <f>IFERROR(__xludf.DUMMYFUNCTION("""COMPUTED_VALUE"""),"vidyx")</f>
        <v>vidyx</v>
      </c>
      <c r="C12331" s="3" t="str">
        <f>IFERROR(__xludf.DUMMYFUNCTION("""COMPUTED_VALUE"""),"VidyX")</f>
        <v>VidyX</v>
      </c>
    </row>
    <row r="12332">
      <c r="A12332" s="3" t="str">
        <f>IFERROR(__xludf.DUMMYFUNCTION("""COMPUTED_VALUE"""),"vig")</f>
        <v>vig</v>
      </c>
      <c r="B12332" s="3" t="str">
        <f>IFERROR(__xludf.DUMMYFUNCTION("""COMPUTED_VALUE"""),"vig")</f>
        <v>vig</v>
      </c>
      <c r="C12332" s="3" t="str">
        <f>IFERROR(__xludf.DUMMYFUNCTION("""COMPUTED_VALUE"""),"Vigor")</f>
        <v>Vigor</v>
      </c>
    </row>
    <row r="12333">
      <c r="A12333" s="3" t="str">
        <f>IFERROR(__xludf.DUMMYFUNCTION("""COMPUTED_VALUE"""),"vigorus")</f>
        <v>vigorus</v>
      </c>
      <c r="B12333" s="3" t="str">
        <f>IFERROR(__xludf.DUMMYFUNCTION("""COMPUTED_VALUE"""),"vis")</f>
        <v>vis</v>
      </c>
      <c r="C12333" s="3" t="str">
        <f>IFERROR(__xludf.DUMMYFUNCTION("""COMPUTED_VALUE"""),"Vigorus")</f>
        <v>Vigorus</v>
      </c>
    </row>
    <row r="12334">
      <c r="A12334" s="3" t="str">
        <f>IFERROR(__xludf.DUMMYFUNCTION("""COMPUTED_VALUE"""),"viiida-gold")</f>
        <v>viiida-gold</v>
      </c>
      <c r="B12334" s="3" t="str">
        <f>IFERROR(__xludf.DUMMYFUNCTION("""COMPUTED_VALUE"""),"auv")</f>
        <v>auv</v>
      </c>
      <c r="C12334" s="3" t="str">
        <f>IFERROR(__xludf.DUMMYFUNCTION("""COMPUTED_VALUE"""),"VIIIDA Gold")</f>
        <v>VIIIDA Gold</v>
      </c>
    </row>
    <row r="12335">
      <c r="A12335" s="3" t="str">
        <f>IFERROR(__xludf.DUMMYFUNCTION("""COMPUTED_VALUE"""),"viking-elon")</f>
        <v>viking-elon</v>
      </c>
      <c r="B12335" s="3" t="str">
        <f>IFERROR(__xludf.DUMMYFUNCTION("""COMPUTED_VALUE"""),"velon")</f>
        <v>velon</v>
      </c>
      <c r="C12335" s="3" t="str">
        <f>IFERROR(__xludf.DUMMYFUNCTION("""COMPUTED_VALUE"""),"Viking Elon")</f>
        <v>Viking Elon</v>
      </c>
    </row>
    <row r="12336">
      <c r="A12336" s="3" t="str">
        <f>IFERROR(__xludf.DUMMYFUNCTION("""COMPUTED_VALUE"""),"vikings-valhalla")</f>
        <v>vikings-valhalla</v>
      </c>
      <c r="B12336" s="3" t="str">
        <f>IFERROR(__xludf.DUMMYFUNCTION("""COMPUTED_VALUE"""),"vv")</f>
        <v>vv</v>
      </c>
      <c r="C12336" s="3" t="str">
        <f>IFERROR(__xludf.DUMMYFUNCTION("""COMPUTED_VALUE"""),"Vikings Valhalla")</f>
        <v>Vikings Valhalla</v>
      </c>
    </row>
    <row r="12337">
      <c r="A12337" s="3" t="str">
        <f>IFERROR(__xludf.DUMMYFUNCTION("""COMPUTED_VALUE"""),"viking-swap")</f>
        <v>viking-swap</v>
      </c>
      <c r="B12337" s="3" t="str">
        <f>IFERROR(__xludf.DUMMYFUNCTION("""COMPUTED_VALUE"""),"viking")</f>
        <v>viking</v>
      </c>
      <c r="C12337" s="3" t="str">
        <f>IFERROR(__xludf.DUMMYFUNCTION("""COMPUTED_VALUE"""),"Viking Swap")</f>
        <v>Viking Swap</v>
      </c>
    </row>
    <row r="12338">
      <c r="A12338" s="3" t="str">
        <f>IFERROR(__xludf.DUMMYFUNCTION("""COMPUTED_VALUE"""),"vikkytoken")</f>
        <v>vikkytoken</v>
      </c>
      <c r="B12338" s="3" t="str">
        <f>IFERROR(__xludf.DUMMYFUNCTION("""COMPUTED_VALUE"""),"vikky")</f>
        <v>vikky</v>
      </c>
      <c r="C12338" s="3" t="str">
        <f>IFERROR(__xludf.DUMMYFUNCTION("""COMPUTED_VALUE"""),"Vikky")</f>
        <v>Vikky</v>
      </c>
    </row>
    <row r="12339">
      <c r="A12339" s="3" t="str">
        <f>IFERROR(__xludf.DUMMYFUNCTION("""COMPUTED_VALUE"""),"vince-chain")</f>
        <v>vince-chain</v>
      </c>
      <c r="B12339" s="3" t="str">
        <f>IFERROR(__xludf.DUMMYFUNCTION("""COMPUTED_VALUE"""),"vce")</f>
        <v>vce</v>
      </c>
      <c r="C12339" s="3" t="str">
        <f>IFERROR(__xludf.DUMMYFUNCTION("""COMPUTED_VALUE"""),"Vince Chain")</f>
        <v>Vince Chain</v>
      </c>
    </row>
    <row r="12340">
      <c r="A12340" s="3" t="str">
        <f>IFERROR(__xludf.DUMMYFUNCTION("""COMPUTED_VALUE"""),"vinchain")</f>
        <v>vinchain</v>
      </c>
      <c r="B12340" s="3" t="str">
        <f>IFERROR(__xludf.DUMMYFUNCTION("""COMPUTED_VALUE"""),"vin")</f>
        <v>vin</v>
      </c>
      <c r="C12340" s="3" t="str">
        <f>IFERROR(__xludf.DUMMYFUNCTION("""COMPUTED_VALUE"""),"VINchain")</f>
        <v>VINchain</v>
      </c>
    </row>
    <row r="12341">
      <c r="A12341" s="3" t="str">
        <f>IFERROR(__xludf.DUMMYFUNCTION("""COMPUTED_VALUE"""),"vindax-coin")</f>
        <v>vindax-coin</v>
      </c>
      <c r="B12341" s="3" t="str">
        <f>IFERROR(__xludf.DUMMYFUNCTION("""COMPUTED_VALUE"""),"vd")</f>
        <v>vd</v>
      </c>
      <c r="C12341" s="3" t="str">
        <f>IFERROR(__xludf.DUMMYFUNCTION("""COMPUTED_VALUE"""),"VinDax Coin")</f>
        <v>VinDax Coin</v>
      </c>
    </row>
    <row r="12342">
      <c r="A12342" s="3" t="str">
        <f>IFERROR(__xludf.DUMMYFUNCTION("""COMPUTED_VALUE"""),"vip-coin")</f>
        <v>vip-coin</v>
      </c>
      <c r="B12342" s="3" t="str">
        <f>IFERROR(__xludf.DUMMYFUNCTION("""COMPUTED_VALUE"""),"vip")</f>
        <v>vip</v>
      </c>
      <c r="C12342" s="3" t="str">
        <f>IFERROR(__xludf.DUMMYFUNCTION("""COMPUTED_VALUE"""),"Vip Coin")</f>
        <v>Vip Coin</v>
      </c>
    </row>
    <row r="12343">
      <c r="A12343" s="3" t="str">
        <f>IFERROR(__xludf.DUMMYFUNCTION("""COMPUTED_VALUE"""),"viper")</f>
        <v>viper</v>
      </c>
      <c r="B12343" s="3" t="str">
        <f>IFERROR(__xludf.DUMMYFUNCTION("""COMPUTED_VALUE"""),"viper")</f>
        <v>viper</v>
      </c>
      <c r="C12343" s="3" t="str">
        <f>IFERROR(__xludf.DUMMYFUNCTION("""COMPUTED_VALUE"""),"Viper")</f>
        <v>Viper</v>
      </c>
    </row>
    <row r="12344">
      <c r="A12344" s="3" t="str">
        <f>IFERROR(__xludf.DUMMYFUNCTION("""COMPUTED_VALUE"""),"viperpit")</f>
        <v>viperpit</v>
      </c>
      <c r="B12344" s="3" t="str">
        <f>IFERROR(__xludf.DUMMYFUNCTION("""COMPUTED_VALUE"""),"xviper")</f>
        <v>xviper</v>
      </c>
      <c r="C12344" s="3" t="str">
        <f>IFERROR(__xludf.DUMMYFUNCTION("""COMPUTED_VALUE"""),"ViperPit")</f>
        <v>ViperPit</v>
      </c>
    </row>
    <row r="12345">
      <c r="A12345" s="3" t="str">
        <f>IFERROR(__xludf.DUMMYFUNCTION("""COMPUTED_VALUE"""),"viplus")</f>
        <v>viplus</v>
      </c>
      <c r="B12345" s="3" t="str">
        <f>IFERROR(__xludf.DUMMYFUNCTION("""COMPUTED_VALUE"""),"vpl")</f>
        <v>vpl</v>
      </c>
      <c r="C12345" s="3" t="str">
        <f>IFERROR(__xludf.DUMMYFUNCTION("""COMPUTED_VALUE"""),"Viplus")</f>
        <v>Viplus</v>
      </c>
    </row>
    <row r="12346">
      <c r="A12346" s="3" t="str">
        <f>IFERROR(__xludf.DUMMYFUNCTION("""COMPUTED_VALUE"""),"vipstarcoin")</f>
        <v>vipstarcoin</v>
      </c>
      <c r="B12346" s="3" t="str">
        <f>IFERROR(__xludf.DUMMYFUNCTION("""COMPUTED_VALUE"""),"vips")</f>
        <v>vips</v>
      </c>
      <c r="C12346" s="3" t="str">
        <f>IFERROR(__xludf.DUMMYFUNCTION("""COMPUTED_VALUE"""),"VIPSTARCOIN")</f>
        <v>VIPSTARCOIN</v>
      </c>
    </row>
    <row r="12347">
      <c r="A12347" s="3" t="str">
        <f>IFERROR(__xludf.DUMMYFUNCTION("""COMPUTED_VALUE"""),"vips-token")</f>
        <v>vips-token</v>
      </c>
      <c r="B12347" s="3" t="str">
        <f>IFERROR(__xludf.DUMMYFUNCTION("""COMPUTED_VALUE"""),"vips")</f>
        <v>vips</v>
      </c>
      <c r="C12347" s="3" t="str">
        <f>IFERROR(__xludf.DUMMYFUNCTION("""COMPUTED_VALUE"""),"VIPS Token")</f>
        <v>VIPS Token</v>
      </c>
    </row>
    <row r="12348">
      <c r="A12348" s="3" t="str">
        <f>IFERROR(__xludf.DUMMYFUNCTION("""COMPUTED_VALUE"""),"vip-token")</f>
        <v>vip-token</v>
      </c>
      <c r="B12348" s="3" t="str">
        <f>IFERROR(__xludf.DUMMYFUNCTION("""COMPUTED_VALUE"""),"vip")</f>
        <v>vip</v>
      </c>
      <c r="C12348" s="3" t="str">
        <f>IFERROR(__xludf.DUMMYFUNCTION("""COMPUTED_VALUE"""),"VIP")</f>
        <v>VIP</v>
      </c>
    </row>
    <row r="12349">
      <c r="A12349" s="3" t="str">
        <f>IFERROR(__xludf.DUMMYFUNCTION("""COMPUTED_VALUE"""),"viral")</f>
        <v>viral</v>
      </c>
      <c r="B12349" s="3" t="str">
        <f>IFERROR(__xludf.DUMMYFUNCTION("""COMPUTED_VALUE"""),"viral")</f>
        <v>viral</v>
      </c>
      <c r="C12349" s="3" t="str">
        <f>IFERROR(__xludf.DUMMYFUNCTION("""COMPUTED_VALUE"""),"Viral")</f>
        <v>Viral</v>
      </c>
    </row>
    <row r="12350">
      <c r="A12350" s="3" t="str">
        <f>IFERROR(__xludf.DUMMYFUNCTION("""COMPUTED_VALUE"""),"vira-lata-finance")</f>
        <v>vira-lata-finance</v>
      </c>
      <c r="B12350" s="3" t="str">
        <f>IFERROR(__xludf.DUMMYFUNCTION("""COMPUTED_VALUE"""),"reau")</f>
        <v>reau</v>
      </c>
      <c r="C12350" s="3" t="str">
        <f>IFERROR(__xludf.DUMMYFUNCTION("""COMPUTED_VALUE"""),"Vira-Lata Finance")</f>
        <v>Vira-Lata Finance</v>
      </c>
    </row>
    <row r="12351">
      <c r="A12351" s="3" t="str">
        <f>IFERROR(__xludf.DUMMYFUNCTION("""COMPUTED_VALUE"""),"viral-inu")</f>
        <v>viral-inu</v>
      </c>
      <c r="B12351" s="3" t="str">
        <f>IFERROR(__xludf.DUMMYFUNCTION("""COMPUTED_VALUE"""),"vinu")</f>
        <v>vinu</v>
      </c>
      <c r="C12351" s="3" t="str">
        <f>IFERROR(__xludf.DUMMYFUNCTION("""COMPUTED_VALUE"""),"Viral Inu")</f>
        <v>Viral Inu</v>
      </c>
    </row>
    <row r="12352">
      <c r="A12352" s="3" t="str">
        <f>IFERROR(__xludf.DUMMYFUNCTION("""COMPUTED_VALUE"""),"viralup")</f>
        <v>viralup</v>
      </c>
      <c r="B12352" s="3" t="str">
        <f>IFERROR(__xludf.DUMMYFUNCTION("""COMPUTED_VALUE"""),"viral")</f>
        <v>viral</v>
      </c>
      <c r="C12352" s="3" t="str">
        <f>IFERROR(__xludf.DUMMYFUNCTION("""COMPUTED_VALUE"""),"ViralUp")</f>
        <v>ViralUp</v>
      </c>
    </row>
    <row r="12353">
      <c r="A12353" s="3" t="str">
        <f>IFERROR(__xludf.DUMMYFUNCTION("""COMPUTED_VALUE"""),"vires-finance")</f>
        <v>vires-finance</v>
      </c>
      <c r="B12353" s="3" t="str">
        <f>IFERROR(__xludf.DUMMYFUNCTION("""COMPUTED_VALUE"""),"vires")</f>
        <v>vires</v>
      </c>
      <c r="C12353" s="3" t="str">
        <f>IFERROR(__xludf.DUMMYFUNCTION("""COMPUTED_VALUE"""),"Vires Finance")</f>
        <v>Vires Finance</v>
      </c>
    </row>
    <row r="12354">
      <c r="A12354" s="3" t="str">
        <f>IFERROR(__xludf.DUMMYFUNCTION("""COMPUTED_VALUE"""),"virgo")</f>
        <v>virgo</v>
      </c>
      <c r="B12354" s="3" t="str">
        <f>IFERROR(__xludf.DUMMYFUNCTION("""COMPUTED_VALUE"""),"vgo")</f>
        <v>vgo</v>
      </c>
      <c r="C12354" s="3" t="str">
        <f>IFERROR(__xludf.DUMMYFUNCTION("""COMPUTED_VALUE"""),"Virgo")</f>
        <v>Virgo</v>
      </c>
    </row>
    <row r="12355">
      <c r="A12355" s="3" t="str">
        <f>IFERROR(__xludf.DUMMYFUNCTION("""COMPUTED_VALUE"""),"virtual-goods-token")</f>
        <v>virtual-goods-token</v>
      </c>
      <c r="B12355" s="3" t="str">
        <f>IFERROR(__xludf.DUMMYFUNCTION("""COMPUTED_VALUE"""),"vgo")</f>
        <v>vgo</v>
      </c>
      <c r="C12355" s="3" t="str">
        <f>IFERROR(__xludf.DUMMYFUNCTION("""COMPUTED_VALUE"""),"Virtual Goods")</f>
        <v>Virtual Goods</v>
      </c>
    </row>
    <row r="12356">
      <c r="A12356" s="3" t="str">
        <f>IFERROR(__xludf.DUMMYFUNCTION("""COMPUTED_VALUE"""),"virtualmeta")</f>
        <v>virtualmeta</v>
      </c>
      <c r="B12356" s="3" t="str">
        <f>IFERROR(__xludf.DUMMYFUNCTION("""COMPUTED_VALUE"""),"vma")</f>
        <v>vma</v>
      </c>
      <c r="C12356" s="3" t="str">
        <f>IFERROR(__xludf.DUMMYFUNCTION("""COMPUTED_VALUE"""),"Virtual Meta")</f>
        <v>Virtual Meta</v>
      </c>
    </row>
    <row r="12357">
      <c r="A12357" s="3" t="str">
        <f>IFERROR(__xludf.DUMMYFUNCTION("""COMPUTED_VALUE"""),"virtual-reality-game-world")</f>
        <v>virtual-reality-game-world</v>
      </c>
      <c r="B12357" s="3" t="str">
        <f>IFERROR(__xludf.DUMMYFUNCTION("""COMPUTED_VALUE"""),"vrgw")</f>
        <v>vrgw</v>
      </c>
      <c r="C12357" s="3" t="str">
        <f>IFERROR(__xludf.DUMMYFUNCTION("""COMPUTED_VALUE"""),"Virtual Reality Game World")</f>
        <v>Virtual Reality Game World</v>
      </c>
    </row>
    <row r="12358">
      <c r="A12358" s="3" t="str">
        <f>IFERROR(__xludf.DUMMYFUNCTION("""COMPUTED_VALUE"""),"virtual-tourist")</f>
        <v>virtual-tourist</v>
      </c>
      <c r="B12358" s="3" t="str">
        <f>IFERROR(__xludf.DUMMYFUNCTION("""COMPUTED_VALUE"""),"vt")</f>
        <v>vt</v>
      </c>
      <c r="C12358" s="3" t="str">
        <f>IFERROR(__xludf.DUMMYFUNCTION("""COMPUTED_VALUE"""),"Virtual Tourist")</f>
        <v>Virtual Tourist</v>
      </c>
    </row>
    <row r="12359">
      <c r="A12359" s="3" t="str">
        <f>IFERROR(__xludf.DUMMYFUNCTION("""COMPUTED_VALUE"""),"virtue")</f>
        <v>virtue</v>
      </c>
      <c r="B12359" s="3" t="str">
        <f>IFERROR(__xludf.DUMMYFUNCTION("""COMPUTED_VALUE"""),"virtue")</f>
        <v>virtue</v>
      </c>
      <c r="C12359" s="3" t="str">
        <f>IFERROR(__xludf.DUMMYFUNCTION("""COMPUTED_VALUE"""),"Virtue")</f>
        <v>Virtue</v>
      </c>
    </row>
    <row r="12360">
      <c r="A12360" s="3" t="str">
        <f>IFERROR(__xludf.DUMMYFUNCTION("""COMPUTED_VALUE"""),"virtue-poker")</f>
        <v>virtue-poker</v>
      </c>
      <c r="B12360" s="3" t="str">
        <f>IFERROR(__xludf.DUMMYFUNCTION("""COMPUTED_VALUE"""),"vpp")</f>
        <v>vpp</v>
      </c>
      <c r="C12360" s="3" t="str">
        <f>IFERROR(__xludf.DUMMYFUNCTION("""COMPUTED_VALUE"""),"Virtue Poker Points")</f>
        <v>Virtue Poker Points</v>
      </c>
    </row>
    <row r="12361">
      <c r="A12361" s="3" t="str">
        <f>IFERROR(__xludf.DUMMYFUNCTION("""COMPUTED_VALUE"""),"virtus-finance")</f>
        <v>virtus-finance</v>
      </c>
      <c r="B12361" s="3" t="str">
        <f>IFERROR(__xludf.DUMMYFUNCTION("""COMPUTED_VALUE"""),"vap")</f>
        <v>vap</v>
      </c>
      <c r="C12361" s="3" t="str">
        <f>IFERROR(__xludf.DUMMYFUNCTION("""COMPUTED_VALUE"""),"Virtus Finance")</f>
        <v>Virtus Finance</v>
      </c>
    </row>
    <row r="12362">
      <c r="A12362" s="3" t="str">
        <f>IFERROR(__xludf.DUMMYFUNCTION("""COMPUTED_VALUE"""),"visio")</f>
        <v>visio</v>
      </c>
      <c r="B12362" s="3" t="str">
        <f>IFERROR(__xludf.DUMMYFUNCTION("""COMPUTED_VALUE"""),"visio")</f>
        <v>visio</v>
      </c>
      <c r="C12362" s="3" t="str">
        <f>IFERROR(__xludf.DUMMYFUNCTION("""COMPUTED_VALUE"""),"Visio")</f>
        <v>Visio</v>
      </c>
    </row>
    <row r="12363">
      <c r="A12363" s="3" t="str">
        <f>IFERROR(__xludf.DUMMYFUNCTION("""COMPUTED_VALUE"""),"visiongame")</f>
        <v>visiongame</v>
      </c>
      <c r="B12363" s="3" t="str">
        <f>IFERROR(__xludf.DUMMYFUNCTION("""COMPUTED_VALUE"""),"vision")</f>
        <v>vision</v>
      </c>
      <c r="C12363" s="3" t="str">
        <f>IFERROR(__xludf.DUMMYFUNCTION("""COMPUTED_VALUE"""),"VisionGame")</f>
        <v>VisionGame</v>
      </c>
    </row>
    <row r="12364">
      <c r="A12364" s="3" t="str">
        <f>IFERROR(__xludf.DUMMYFUNCTION("""COMPUTED_VALUE"""),"vision-metaverse")</f>
        <v>vision-metaverse</v>
      </c>
      <c r="B12364" s="3" t="str">
        <f>IFERROR(__xludf.DUMMYFUNCTION("""COMPUTED_VALUE"""),"vs")</f>
        <v>vs</v>
      </c>
      <c r="C12364" s="3" t="str">
        <f>IFERROR(__xludf.DUMMYFUNCTION("""COMPUTED_VALUE"""),"Vision Metaverse")</f>
        <v>Vision Metaverse</v>
      </c>
    </row>
    <row r="12365">
      <c r="A12365" s="3" t="str">
        <f>IFERROR(__xludf.DUMMYFUNCTION("""COMPUTED_VALUE"""),"vision-network")</f>
        <v>vision-network</v>
      </c>
      <c r="B12365" s="3" t="str">
        <f>IFERROR(__xludf.DUMMYFUNCTION("""COMPUTED_VALUE"""),"vsn")</f>
        <v>vsn</v>
      </c>
      <c r="C12365" s="3" t="str">
        <f>IFERROR(__xludf.DUMMYFUNCTION("""COMPUTED_VALUE"""),"Vision Network")</f>
        <v>Vision Network</v>
      </c>
    </row>
    <row r="12366">
      <c r="A12366" s="3" t="str">
        <f>IFERROR(__xludf.DUMMYFUNCTION("""COMPUTED_VALUE"""),"visor")</f>
        <v>visor</v>
      </c>
      <c r="B12366" s="3" t="str">
        <f>IFERROR(__xludf.DUMMYFUNCTION("""COMPUTED_VALUE"""),"visr")</f>
        <v>visr</v>
      </c>
      <c r="C12366" s="3" t="str">
        <f>IFERROR(__xludf.DUMMYFUNCTION("""COMPUTED_VALUE"""),"Visor")</f>
        <v>Visor</v>
      </c>
    </row>
    <row r="12367">
      <c r="A12367" s="3" t="str">
        <f>IFERROR(__xludf.DUMMYFUNCTION("""COMPUTED_VALUE"""),"vist")</f>
        <v>vist</v>
      </c>
      <c r="B12367" s="3" t="str">
        <f>IFERROR(__xludf.DUMMYFUNCTION("""COMPUTED_VALUE"""),"vist")</f>
        <v>vist</v>
      </c>
      <c r="C12367" s="3" t="str">
        <f>IFERROR(__xludf.DUMMYFUNCTION("""COMPUTED_VALUE"""),"VIST")</f>
        <v>VIST</v>
      </c>
    </row>
    <row r="12368">
      <c r="A12368" s="3" t="str">
        <f>IFERROR(__xludf.DUMMYFUNCTION("""COMPUTED_VALUE"""),"vitadao")</f>
        <v>vitadao</v>
      </c>
      <c r="B12368" s="3" t="str">
        <f>IFERROR(__xludf.DUMMYFUNCTION("""COMPUTED_VALUE"""),"vita")</f>
        <v>vita</v>
      </c>
      <c r="C12368" s="3" t="str">
        <f>IFERROR(__xludf.DUMMYFUNCTION("""COMPUTED_VALUE"""),"VitaDAO")</f>
        <v>VitaDAO</v>
      </c>
    </row>
    <row r="12369">
      <c r="A12369" s="3" t="str">
        <f>IFERROR(__xludf.DUMMYFUNCTION("""COMPUTED_VALUE"""),"vita-inu")</f>
        <v>vita-inu</v>
      </c>
      <c r="B12369" s="3" t="str">
        <f>IFERROR(__xludf.DUMMYFUNCTION("""COMPUTED_VALUE"""),"vinu")</f>
        <v>vinu</v>
      </c>
      <c r="C12369" s="3" t="str">
        <f>IFERROR(__xludf.DUMMYFUNCTION("""COMPUTED_VALUE"""),"Vita Inu")</f>
        <v>Vita Inu</v>
      </c>
    </row>
    <row r="12370">
      <c r="A12370" s="3" t="str">
        <f>IFERROR(__xludf.DUMMYFUNCTION("""COMPUTED_VALUE"""),"vitality")</f>
        <v>vitality</v>
      </c>
      <c r="B12370" s="3" t="str">
        <f>IFERROR(__xludf.DUMMYFUNCTION("""COMPUTED_VALUE"""),"vita")</f>
        <v>vita</v>
      </c>
      <c r="C12370" s="3" t="str">
        <f>IFERROR(__xludf.DUMMYFUNCTION("""COMPUTED_VALUE"""),"Vitality")</f>
        <v>Vitality</v>
      </c>
    </row>
    <row r="12371">
      <c r="A12371" s="3" t="str">
        <f>IFERROR(__xludf.DUMMYFUNCTION("""COMPUTED_VALUE"""),"vitall-markets")</f>
        <v>vitall-markets</v>
      </c>
      <c r="B12371" s="3" t="str">
        <f>IFERROR(__xludf.DUMMYFUNCTION("""COMPUTED_VALUE"""),"vital")</f>
        <v>vital</v>
      </c>
      <c r="C12371" s="3" t="str">
        <f>IFERROR(__xludf.DUMMYFUNCTION("""COMPUTED_VALUE"""),"Vitall Markets")</f>
        <v>Vitall Markets</v>
      </c>
    </row>
    <row r="12372">
      <c r="A12372" s="3" t="str">
        <f>IFERROR(__xludf.DUMMYFUNCTION("""COMPUTED_VALUE"""),"vital-network")</f>
        <v>vital-network</v>
      </c>
      <c r="B12372" s="3" t="str">
        <f>IFERROR(__xludf.DUMMYFUNCTION("""COMPUTED_VALUE"""),"vital")</f>
        <v>vital</v>
      </c>
      <c r="C12372" s="3" t="str">
        <f>IFERROR(__xludf.DUMMYFUNCTION("""COMPUTED_VALUE"""),"Vital Network")</f>
        <v>Vital Network</v>
      </c>
    </row>
    <row r="12373">
      <c r="A12373" s="3" t="str">
        <f>IFERROR(__xludf.DUMMYFUNCTION("""COMPUTED_VALUE"""),"vitamin-coin")</f>
        <v>vitamin-coin</v>
      </c>
      <c r="B12373" s="3" t="str">
        <f>IFERROR(__xludf.DUMMYFUNCTION("""COMPUTED_VALUE"""),"vitc")</f>
        <v>vitc</v>
      </c>
      <c r="C12373" s="3" t="str">
        <f>IFERROR(__xludf.DUMMYFUNCTION("""COMPUTED_VALUE"""),"Vitamin Coin")</f>
        <v>Vitamin Coin</v>
      </c>
    </row>
    <row r="12374">
      <c r="A12374" s="3" t="str">
        <f>IFERROR(__xludf.DUMMYFUNCTION("""COMPUTED_VALUE"""),"vite")</f>
        <v>vite</v>
      </c>
      <c r="B12374" s="3" t="str">
        <f>IFERROR(__xludf.DUMMYFUNCTION("""COMPUTED_VALUE"""),"vite")</f>
        <v>vite</v>
      </c>
      <c r="C12374" s="3" t="str">
        <f>IFERROR(__xludf.DUMMYFUNCTION("""COMPUTED_VALUE"""),"Vite")</f>
        <v>Vite</v>
      </c>
    </row>
    <row r="12375">
      <c r="A12375" s="3" t="str">
        <f>IFERROR(__xludf.DUMMYFUNCTION("""COMPUTED_VALUE"""),"vitex")</f>
        <v>vitex</v>
      </c>
      <c r="B12375" s="3" t="str">
        <f>IFERROR(__xludf.DUMMYFUNCTION("""COMPUTED_VALUE"""),"vx")</f>
        <v>vx</v>
      </c>
      <c r="C12375" s="3" t="str">
        <f>IFERROR(__xludf.DUMMYFUNCTION("""COMPUTED_VALUE"""),"ViteX Coin")</f>
        <v>ViteX Coin</v>
      </c>
    </row>
    <row r="12376">
      <c r="A12376" s="3" t="str">
        <f>IFERROR(__xludf.DUMMYFUNCTION("""COMPUTED_VALUE"""),"vitoge")</f>
        <v>vitoge</v>
      </c>
      <c r="B12376" s="3" t="str">
        <f>IFERROR(__xludf.DUMMYFUNCTION("""COMPUTED_VALUE"""),"vitoge")</f>
        <v>vitoge</v>
      </c>
      <c r="C12376" s="3" t="str">
        <f>IFERROR(__xludf.DUMMYFUNCTION("""COMPUTED_VALUE"""),"Vitoge")</f>
        <v>Vitoge</v>
      </c>
    </row>
    <row r="12377">
      <c r="A12377" s="3" t="str">
        <f>IFERROR(__xludf.DUMMYFUNCTION("""COMPUTED_VALUE"""),"vitteey")</f>
        <v>vitteey</v>
      </c>
      <c r="B12377" s="3" t="str">
        <f>IFERROR(__xludf.DUMMYFUNCTION("""COMPUTED_VALUE"""),"vity")</f>
        <v>vity</v>
      </c>
      <c r="C12377" s="3" t="str">
        <f>IFERROR(__xludf.DUMMYFUNCTION("""COMPUTED_VALUE"""),"Vitteey")</f>
        <v>Vitteey</v>
      </c>
    </row>
    <row r="12378">
      <c r="A12378" s="3" t="str">
        <f>IFERROR(__xludf.DUMMYFUNCTION("""COMPUTED_VALUE"""),"viva")</f>
        <v>viva</v>
      </c>
      <c r="B12378" s="3" t="str">
        <f>IFERROR(__xludf.DUMMYFUNCTION("""COMPUTED_VALUE"""),"viva")</f>
        <v>viva</v>
      </c>
      <c r="C12378" s="3" t="str">
        <f>IFERROR(__xludf.DUMMYFUNCTION("""COMPUTED_VALUE"""),"Viva")</f>
        <v>Viva</v>
      </c>
    </row>
    <row r="12379">
      <c r="A12379" s="3" t="str">
        <f>IFERROR(__xludf.DUMMYFUNCTION("""COMPUTED_VALUE"""),"viva-classic-2")</f>
        <v>viva-classic-2</v>
      </c>
      <c r="B12379" s="3" t="str">
        <f>IFERROR(__xludf.DUMMYFUNCTION("""COMPUTED_VALUE"""),"viva")</f>
        <v>viva</v>
      </c>
      <c r="C12379" s="3" t="str">
        <f>IFERROR(__xludf.DUMMYFUNCTION("""COMPUTED_VALUE"""),"Viva Classic")</f>
        <v>Viva Classic</v>
      </c>
    </row>
    <row r="12380">
      <c r="A12380" s="3" t="str">
        <f>IFERROR(__xludf.DUMMYFUNCTION("""COMPUTED_VALUE"""),"vivaion")</f>
        <v>vivaion</v>
      </c>
      <c r="B12380" s="3" t="str">
        <f>IFERROR(__xludf.DUMMYFUNCTION("""COMPUTED_VALUE"""),"vivaion")</f>
        <v>vivaion</v>
      </c>
      <c r="C12380" s="3" t="str">
        <f>IFERROR(__xludf.DUMMYFUNCTION("""COMPUTED_VALUE"""),"Vivaion")</f>
        <v>Vivaion</v>
      </c>
    </row>
    <row r="12381">
      <c r="A12381" s="3" t="str">
        <f>IFERROR(__xludf.DUMMYFUNCTION("""COMPUTED_VALUE"""),"vixco")</f>
        <v>vixco</v>
      </c>
      <c r="B12381" s="3" t="str">
        <f>IFERROR(__xludf.DUMMYFUNCTION("""COMPUTED_VALUE"""),"vix")</f>
        <v>vix</v>
      </c>
      <c r="C12381" s="3" t="str">
        <f>IFERROR(__xludf.DUMMYFUNCTION("""COMPUTED_VALUE"""),"Vixco")</f>
        <v>Vixco</v>
      </c>
    </row>
    <row r="12382">
      <c r="A12382" s="3" t="str">
        <f>IFERROR(__xludf.DUMMYFUNCTION("""COMPUTED_VALUE"""),"vizslaswap")</f>
        <v>vizslaswap</v>
      </c>
      <c r="B12382" s="3" t="str">
        <f>IFERROR(__xludf.DUMMYFUNCTION("""COMPUTED_VALUE"""),"vizslaswap")</f>
        <v>vizslaswap</v>
      </c>
      <c r="C12382" s="3" t="str">
        <f>IFERROR(__xludf.DUMMYFUNCTION("""COMPUTED_VALUE"""),"VizslaSwap")</f>
        <v>VizslaSwap</v>
      </c>
    </row>
    <row r="12383">
      <c r="A12383" s="3" t="str">
        <f>IFERROR(__xludf.DUMMYFUNCTION("""COMPUTED_VALUE"""),"vlaunch")</f>
        <v>vlaunch</v>
      </c>
      <c r="B12383" s="3" t="str">
        <f>IFERROR(__xludf.DUMMYFUNCTION("""COMPUTED_VALUE"""),"vpad")</f>
        <v>vpad</v>
      </c>
      <c r="C12383" s="3" t="str">
        <f>IFERROR(__xludf.DUMMYFUNCTION("""COMPUTED_VALUE"""),"VLaunch")</f>
        <v>VLaunch</v>
      </c>
    </row>
    <row r="12384">
      <c r="A12384" s="3" t="str">
        <f>IFERROR(__xludf.DUMMYFUNCTION("""COMPUTED_VALUE"""),"vmates")</f>
        <v>vmates</v>
      </c>
      <c r="B12384" s="3" t="str">
        <f>IFERROR(__xludf.DUMMYFUNCTION("""COMPUTED_VALUE"""),"mate")</f>
        <v>mate</v>
      </c>
      <c r="C12384" s="3" t="str">
        <f>IFERROR(__xludf.DUMMYFUNCTION("""COMPUTED_VALUE"""),"Vmates")</f>
        <v>Vmates</v>
      </c>
    </row>
    <row r="12385">
      <c r="A12385" s="3" t="str">
        <f>IFERROR(__xludf.DUMMYFUNCTION("""COMPUTED_VALUE"""),"vm-tycoons-businesses")</f>
        <v>vm-tycoons-businesses</v>
      </c>
      <c r="B12385" s="3" t="str">
        <f>IFERROR(__xludf.DUMMYFUNCTION("""COMPUTED_VALUE"""),"businesses")</f>
        <v>businesses</v>
      </c>
      <c r="C12385" s="3" t="str">
        <f>IFERROR(__xludf.DUMMYFUNCTION("""COMPUTED_VALUE"""),"VM Tycoons Businesses")</f>
        <v>VM Tycoons Businesses</v>
      </c>
    </row>
    <row r="12386">
      <c r="A12386" s="3" t="str">
        <f>IFERROR(__xludf.DUMMYFUNCTION("""COMPUTED_VALUE"""),"vndc")</f>
        <v>vndc</v>
      </c>
      <c r="B12386" s="3" t="str">
        <f>IFERROR(__xludf.DUMMYFUNCTION("""COMPUTED_VALUE"""),"vndc")</f>
        <v>vndc</v>
      </c>
      <c r="C12386" s="3" t="str">
        <f>IFERROR(__xludf.DUMMYFUNCTION("""COMPUTED_VALUE"""),"VNDC")</f>
        <v>VNDC</v>
      </c>
    </row>
    <row r="12387">
      <c r="A12387" s="3" t="str">
        <f>IFERROR(__xludf.DUMMYFUNCTION("""COMPUTED_VALUE"""),"vnx-exchange")</f>
        <v>vnx-exchange</v>
      </c>
      <c r="B12387" s="3" t="str">
        <f>IFERROR(__xludf.DUMMYFUNCTION("""COMPUTED_VALUE"""),"vnxlu")</f>
        <v>vnxlu</v>
      </c>
      <c r="C12387" s="3" t="str">
        <f>IFERROR(__xludf.DUMMYFUNCTION("""COMPUTED_VALUE"""),"VNX Exchange")</f>
        <v>VNX Exchange</v>
      </c>
    </row>
    <row r="12388">
      <c r="A12388" s="3" t="str">
        <f>IFERROR(__xludf.DUMMYFUNCTION("""COMPUTED_VALUE"""),"vnx-gold")</f>
        <v>vnx-gold</v>
      </c>
      <c r="B12388" s="3" t="str">
        <f>IFERROR(__xludf.DUMMYFUNCTION("""COMPUTED_VALUE"""),"vnxau")</f>
        <v>vnxau</v>
      </c>
      <c r="C12388" s="3" t="str">
        <f>IFERROR(__xludf.DUMMYFUNCTION("""COMPUTED_VALUE"""),"VNX Gold")</f>
        <v>VNX Gold</v>
      </c>
    </row>
    <row r="12389">
      <c r="A12389" s="3" t="str">
        <f>IFERROR(__xludf.DUMMYFUNCTION("""COMPUTED_VALUE"""),"vodka-token")</f>
        <v>vodka-token</v>
      </c>
      <c r="B12389" s="3" t="str">
        <f>IFERROR(__xludf.DUMMYFUNCTION("""COMPUTED_VALUE"""),"vodka")</f>
        <v>vodka</v>
      </c>
      <c r="C12389" s="3" t="str">
        <f>IFERROR(__xludf.DUMMYFUNCTION("""COMPUTED_VALUE"""),"Vodka")</f>
        <v>Vodka</v>
      </c>
    </row>
    <row r="12390">
      <c r="A12390" s="3" t="str">
        <f>IFERROR(__xludf.DUMMYFUNCTION("""COMPUTED_VALUE"""),"vodra")</f>
        <v>vodra</v>
      </c>
      <c r="B12390" s="3" t="str">
        <f>IFERROR(__xludf.DUMMYFUNCTION("""COMPUTED_VALUE"""),"vdr")</f>
        <v>vdr</v>
      </c>
      <c r="C12390" s="3" t="str">
        <f>IFERROR(__xludf.DUMMYFUNCTION("""COMPUTED_VALUE"""),"Vodra")</f>
        <v>Vodra</v>
      </c>
    </row>
    <row r="12391">
      <c r="A12391" s="3" t="str">
        <f>IFERROR(__xludf.DUMMYFUNCTION("""COMPUTED_VALUE"""),"voice-street")</f>
        <v>voice-street</v>
      </c>
      <c r="B12391" s="3" t="str">
        <f>IFERROR(__xludf.DUMMYFUNCTION("""COMPUTED_VALUE"""),"vst")</f>
        <v>vst</v>
      </c>
      <c r="C12391" s="3" t="str">
        <f>IFERROR(__xludf.DUMMYFUNCTION("""COMPUTED_VALUE"""),"Voice Street")</f>
        <v>Voice Street</v>
      </c>
    </row>
    <row r="12392">
      <c r="A12392" s="3" t="str">
        <f>IFERROR(__xludf.DUMMYFUNCTION("""COMPUTED_VALUE"""),"void-ad9a561a-8bca-4c17-9a3f-483f5cf20ac0")</f>
        <v>void-ad9a561a-8bca-4c17-9a3f-483f5cf20ac0</v>
      </c>
      <c r="B12392" s="3" t="str">
        <f>IFERROR(__xludf.DUMMYFUNCTION("""COMPUTED_VALUE"""),"void")</f>
        <v>void</v>
      </c>
      <c r="C12392" s="3" t="str">
        <f>IFERROR(__xludf.DUMMYFUNCTION("""COMPUTED_VALUE"""),"VOID")</f>
        <v>VOID</v>
      </c>
    </row>
    <row r="12393">
      <c r="A12393" s="3" t="str">
        <f>IFERROR(__xludf.DUMMYFUNCTION("""COMPUTED_VALUE"""),"void-cash")</f>
        <v>void-cash</v>
      </c>
      <c r="B12393" s="3" t="str">
        <f>IFERROR(__xludf.DUMMYFUNCTION("""COMPUTED_VALUE"""),"vcash")</f>
        <v>vcash</v>
      </c>
      <c r="C12393" s="3" t="str">
        <f>IFERROR(__xludf.DUMMYFUNCTION("""COMPUTED_VALUE"""),"void.cash")</f>
        <v>void.cash</v>
      </c>
    </row>
    <row r="12394">
      <c r="A12394" s="3" t="str">
        <f>IFERROR(__xludf.DUMMYFUNCTION("""COMPUTED_VALUE"""),"void-games")</f>
        <v>void-games</v>
      </c>
      <c r="B12394" s="3" t="str">
        <f>IFERROR(__xludf.DUMMYFUNCTION("""COMPUTED_VALUE"""),"void")</f>
        <v>void</v>
      </c>
      <c r="C12394" s="3" t="str">
        <f>IFERROR(__xludf.DUMMYFUNCTION("""COMPUTED_VALUE"""),"Void Games")</f>
        <v>Void Games</v>
      </c>
    </row>
    <row r="12395">
      <c r="A12395" s="3" t="str">
        <f>IFERROR(__xludf.DUMMYFUNCTION("""COMPUTED_VALUE"""),"volare-network")</f>
        <v>volare-network</v>
      </c>
      <c r="B12395" s="3" t="str">
        <f>IFERROR(__xludf.DUMMYFUNCTION("""COMPUTED_VALUE"""),"volr")</f>
        <v>volr</v>
      </c>
      <c r="C12395" s="3" t="str">
        <f>IFERROR(__xludf.DUMMYFUNCTION("""COMPUTED_VALUE"""),"Volare Network")</f>
        <v>Volare Network</v>
      </c>
    </row>
    <row r="12396">
      <c r="A12396" s="3" t="str">
        <f>IFERROR(__xludf.DUMMYFUNCTION("""COMPUTED_VALUE"""),"volatility-protocol-token")</f>
        <v>volatility-protocol-token</v>
      </c>
      <c r="B12396" s="3" t="str">
        <f>IFERROR(__xludf.DUMMYFUNCTION("""COMPUTED_VALUE"""),"vol")</f>
        <v>vol</v>
      </c>
      <c r="C12396" s="3" t="str">
        <f>IFERROR(__xludf.DUMMYFUNCTION("""COMPUTED_VALUE"""),"Volatility Protocol")</f>
        <v>Volatility Protocol</v>
      </c>
    </row>
    <row r="12397">
      <c r="A12397" s="3" t="str">
        <f>IFERROR(__xludf.DUMMYFUNCTION("""COMPUTED_VALUE"""),"volentix-vtx")</f>
        <v>volentix-vtx</v>
      </c>
      <c r="B12397" s="3" t="str">
        <f>IFERROR(__xludf.DUMMYFUNCTION("""COMPUTED_VALUE"""),"vtx")</f>
        <v>vtx</v>
      </c>
      <c r="C12397" s="3" t="str">
        <f>IFERROR(__xludf.DUMMYFUNCTION("""COMPUTED_VALUE"""),"Volentix")</f>
        <v>Volentix</v>
      </c>
    </row>
    <row r="12398">
      <c r="A12398" s="3" t="str">
        <f>IFERROR(__xludf.DUMMYFUNCTION("""COMPUTED_VALUE"""),"vollar")</f>
        <v>vollar</v>
      </c>
      <c r="B12398" s="3" t="str">
        <f>IFERROR(__xludf.DUMMYFUNCTION("""COMPUTED_VALUE"""),"vollar")</f>
        <v>vollar</v>
      </c>
      <c r="C12398" s="3" t="str">
        <f>IFERROR(__xludf.DUMMYFUNCTION("""COMPUTED_VALUE"""),"V-Dimension")</f>
        <v>V-Dimension</v>
      </c>
    </row>
    <row r="12399">
      <c r="A12399" s="3" t="str">
        <f>IFERROR(__xludf.DUMMYFUNCTION("""COMPUTED_VALUE"""),"volt")</f>
        <v>volt</v>
      </c>
      <c r="B12399" s="3" t="str">
        <f>IFERROR(__xludf.DUMMYFUNCTION("""COMPUTED_VALUE"""),"acdc")</f>
        <v>acdc</v>
      </c>
      <c r="C12399" s="3" t="str">
        <f>IFERROR(__xludf.DUMMYFUNCTION("""COMPUTED_VALUE"""),"Volt")</f>
        <v>Volt</v>
      </c>
    </row>
    <row r="12400">
      <c r="A12400" s="3" t="str">
        <f>IFERROR(__xludf.DUMMYFUNCTION("""COMPUTED_VALUE"""),"voltage")</f>
        <v>voltage</v>
      </c>
      <c r="B12400" s="3" t="str">
        <f>IFERROR(__xludf.DUMMYFUNCTION("""COMPUTED_VALUE"""),"volt")</f>
        <v>volt</v>
      </c>
      <c r="C12400" s="3" t="str">
        <f>IFERROR(__xludf.DUMMYFUNCTION("""COMPUTED_VALUE"""),"Voltage")</f>
        <v>Voltage</v>
      </c>
    </row>
    <row r="12401">
      <c r="A12401" s="3" t="str">
        <f>IFERROR(__xludf.DUMMYFUNCTION("""COMPUTED_VALUE"""),"volta-vlt")</f>
        <v>volta-vlt</v>
      </c>
      <c r="B12401" s="3" t="str">
        <f>IFERROR(__xludf.DUMMYFUNCTION("""COMPUTED_VALUE"""),"vlt")</f>
        <v>vlt</v>
      </c>
      <c r="C12401" s="3" t="str">
        <f>IFERROR(__xludf.DUMMYFUNCTION("""COMPUTED_VALUE"""),"Volta VLT")</f>
        <v>Volta VLT</v>
      </c>
    </row>
    <row r="12402">
      <c r="A12402" s="3" t="str">
        <f>IFERROR(__xludf.DUMMYFUNCTION("""COMPUTED_VALUE"""),"volt-inu")</f>
        <v>volt-inu</v>
      </c>
      <c r="B12402" s="3" t="str">
        <f>IFERROR(__xludf.DUMMYFUNCTION("""COMPUTED_VALUE"""),"volt")</f>
        <v>volt</v>
      </c>
      <c r="C12402" s="3" t="str">
        <f>IFERROR(__xludf.DUMMYFUNCTION("""COMPUTED_VALUE"""),"Volt Inu [OLD]")</f>
        <v>Volt Inu [OLD]</v>
      </c>
    </row>
    <row r="12403">
      <c r="A12403" s="3" t="str">
        <f>IFERROR(__xludf.DUMMYFUNCTION("""COMPUTED_VALUE"""),"volt-inu-2")</f>
        <v>volt-inu-2</v>
      </c>
      <c r="B12403" s="3" t="str">
        <f>IFERROR(__xludf.DUMMYFUNCTION("""COMPUTED_VALUE"""),"volt")</f>
        <v>volt</v>
      </c>
      <c r="C12403" s="3" t="str">
        <f>IFERROR(__xludf.DUMMYFUNCTION("""COMPUTED_VALUE"""),"Volt Inu")</f>
        <v>Volt Inu</v>
      </c>
    </row>
    <row r="12404">
      <c r="A12404" s="3" t="str">
        <f>IFERROR(__xludf.DUMMYFUNCTION("""COMPUTED_VALUE"""),"volt-protocol")</f>
        <v>volt-protocol</v>
      </c>
      <c r="B12404" s="3" t="str">
        <f>IFERROR(__xludf.DUMMYFUNCTION("""COMPUTED_VALUE"""),"volt")</f>
        <v>volt</v>
      </c>
      <c r="C12404" s="3" t="str">
        <f>IFERROR(__xludf.DUMMYFUNCTION("""COMPUTED_VALUE"""),"Volt Protocol")</f>
        <v>Volt Protocol</v>
      </c>
    </row>
    <row r="12405">
      <c r="A12405" s="3" t="str">
        <f>IFERROR(__xludf.DUMMYFUNCTION("""COMPUTED_VALUE"""),"voltswap")</f>
        <v>voltswap</v>
      </c>
      <c r="B12405" s="3" t="str">
        <f>IFERROR(__xludf.DUMMYFUNCTION("""COMPUTED_VALUE"""),"volt")</f>
        <v>volt</v>
      </c>
      <c r="C12405" s="3" t="str">
        <f>IFERROR(__xludf.DUMMYFUNCTION("""COMPUTED_VALUE"""),"VoltSwap")</f>
        <v>VoltSwap</v>
      </c>
    </row>
    <row r="12406">
      <c r="A12406" s="3" t="str">
        <f>IFERROR(__xludf.DUMMYFUNCTION("""COMPUTED_VALUE"""),"voovoo")</f>
        <v>voovoo</v>
      </c>
      <c r="B12406" s="3" t="str">
        <f>IFERROR(__xludf.DUMMYFUNCTION("""COMPUTED_VALUE"""),"voo")</f>
        <v>voo</v>
      </c>
      <c r="C12406" s="3" t="str">
        <f>IFERROR(__xludf.DUMMYFUNCTION("""COMPUTED_VALUE"""),"VooVoo")</f>
        <v>VooVoo</v>
      </c>
    </row>
    <row r="12407">
      <c r="A12407" s="3" t="str">
        <f>IFERROR(__xludf.DUMMYFUNCTION("""COMPUTED_VALUE"""),"vortex-defi")</f>
        <v>vortex-defi</v>
      </c>
      <c r="B12407" s="3" t="str">
        <f>IFERROR(__xludf.DUMMYFUNCTION("""COMPUTED_VALUE"""),"vtx")</f>
        <v>vtx</v>
      </c>
      <c r="C12407" s="3" t="str">
        <f>IFERROR(__xludf.DUMMYFUNCTION("""COMPUTED_VALUE"""),"Vortex DeFi")</f>
        <v>Vortex DeFi</v>
      </c>
    </row>
    <row r="12408">
      <c r="A12408" s="3" t="str">
        <f>IFERROR(__xludf.DUMMYFUNCTION("""COMPUTED_VALUE"""),"vortex-protocol")</f>
        <v>vortex-protocol</v>
      </c>
      <c r="B12408" s="3" t="str">
        <f>IFERROR(__xludf.DUMMYFUNCTION("""COMPUTED_VALUE"""),"vp")</f>
        <v>vp</v>
      </c>
      <c r="C12408" s="3" t="str">
        <f>IFERROR(__xludf.DUMMYFUNCTION("""COMPUTED_VALUE"""),"Vortex Protocol")</f>
        <v>Vortex Protocol</v>
      </c>
    </row>
    <row r="12409">
      <c r="A12409" s="3" t="str">
        <f>IFERROR(__xludf.DUMMYFUNCTION("""COMPUTED_VALUE"""),"voucher-eth")</f>
        <v>voucher-eth</v>
      </c>
      <c r="B12409" s="3" t="str">
        <f>IFERROR(__xludf.DUMMYFUNCTION("""COMPUTED_VALUE"""),"veth")</f>
        <v>veth</v>
      </c>
      <c r="C12409" s="3" t="str">
        <f>IFERROR(__xludf.DUMMYFUNCTION("""COMPUTED_VALUE"""),"Voucher ETH")</f>
        <v>Voucher ETH</v>
      </c>
    </row>
    <row r="12410">
      <c r="A12410" s="3" t="str">
        <f>IFERROR(__xludf.DUMMYFUNCTION("""COMPUTED_VALUE"""),"vow")</f>
        <v>vow</v>
      </c>
      <c r="B12410" s="3" t="str">
        <f>IFERROR(__xludf.DUMMYFUNCTION("""COMPUTED_VALUE"""),"vow")</f>
        <v>vow</v>
      </c>
      <c r="C12410" s="3" t="str">
        <f>IFERROR(__xludf.DUMMYFUNCTION("""COMPUTED_VALUE"""),"Vow")</f>
        <v>Vow</v>
      </c>
    </row>
    <row r="12411">
      <c r="A12411" s="3" t="str">
        <f>IFERROR(__xludf.DUMMYFUNCTION("""COMPUTED_VALUE"""),"voxel-x-network")</f>
        <v>voxel-x-network</v>
      </c>
      <c r="B12411" s="3" t="str">
        <f>IFERROR(__xludf.DUMMYFUNCTION("""COMPUTED_VALUE"""),"vxl")</f>
        <v>vxl</v>
      </c>
      <c r="C12411" s="3" t="str">
        <f>IFERROR(__xludf.DUMMYFUNCTION("""COMPUTED_VALUE"""),"Voxel X Network")</f>
        <v>Voxel X Network</v>
      </c>
    </row>
    <row r="12412">
      <c r="A12412" s="3" t="str">
        <f>IFERROR(__xludf.DUMMYFUNCTION("""COMPUTED_VALUE"""),"vox-finance")</f>
        <v>vox-finance</v>
      </c>
      <c r="B12412" s="3" t="str">
        <f>IFERROR(__xludf.DUMMYFUNCTION("""COMPUTED_VALUE"""),"vox")</f>
        <v>vox</v>
      </c>
      <c r="C12412" s="3" t="str">
        <f>IFERROR(__xludf.DUMMYFUNCTION("""COMPUTED_VALUE"""),"Vox.Finance")</f>
        <v>Vox.Finance</v>
      </c>
    </row>
    <row r="12413">
      <c r="A12413" s="3" t="str">
        <f>IFERROR(__xludf.DUMMYFUNCTION("""COMPUTED_VALUE"""),"voxies")</f>
        <v>voxies</v>
      </c>
      <c r="B12413" s="3" t="str">
        <f>IFERROR(__xludf.DUMMYFUNCTION("""COMPUTED_VALUE"""),"voxel")</f>
        <v>voxel</v>
      </c>
      <c r="C12413" s="3" t="str">
        <f>IFERROR(__xludf.DUMMYFUNCTION("""COMPUTED_VALUE"""),"Voxies")</f>
        <v>Voxies</v>
      </c>
    </row>
    <row r="12414">
      <c r="A12414" s="3" t="str">
        <f>IFERROR(__xludf.DUMMYFUNCTION("""COMPUTED_VALUE"""),"voyager")</f>
        <v>voyager</v>
      </c>
      <c r="B12414" s="3" t="str">
        <f>IFERROR(__xludf.DUMMYFUNCTION("""COMPUTED_VALUE"""),"vgr")</f>
        <v>vgr</v>
      </c>
      <c r="C12414" s="3" t="str">
        <f>IFERROR(__xludf.DUMMYFUNCTION("""COMPUTED_VALUE"""),"Voyager")</f>
        <v>Voyager</v>
      </c>
    </row>
    <row r="12415">
      <c r="A12415" s="3" t="str">
        <f>IFERROR(__xludf.DUMMYFUNCTION("""COMPUTED_VALUE"""),"voyce")</f>
        <v>voyce</v>
      </c>
      <c r="B12415" s="3" t="str">
        <f>IFERROR(__xludf.DUMMYFUNCTION("""COMPUTED_VALUE"""),"voyce")</f>
        <v>voyce</v>
      </c>
      <c r="C12415" s="3" t="str">
        <f>IFERROR(__xludf.DUMMYFUNCTION("""COMPUTED_VALUE"""),"Voyce")</f>
        <v>Voyce</v>
      </c>
    </row>
    <row r="12416">
      <c r="A12416" s="3" t="str">
        <f>IFERROR(__xludf.DUMMYFUNCTION("""COMPUTED_VALUE"""),"voyr")</f>
        <v>voyr</v>
      </c>
      <c r="B12416" s="3" t="str">
        <f>IFERROR(__xludf.DUMMYFUNCTION("""COMPUTED_VALUE"""),"voyrme")</f>
        <v>voyrme</v>
      </c>
      <c r="C12416" s="3" t="str">
        <f>IFERROR(__xludf.DUMMYFUNCTION("""COMPUTED_VALUE"""),"VOYR")</f>
        <v>VOYR</v>
      </c>
    </row>
    <row r="12417">
      <c r="A12417" s="3" t="str">
        <f>IFERROR(__xludf.DUMMYFUNCTION("""COMPUTED_VALUE"""),"voytek-bear-coin")</f>
        <v>voytek-bear-coin</v>
      </c>
      <c r="B12417" s="3" t="str">
        <f>IFERROR(__xludf.DUMMYFUNCTION("""COMPUTED_VALUE"""),"bear")</f>
        <v>bear</v>
      </c>
      <c r="C12417" s="3" t="str">
        <f>IFERROR(__xludf.DUMMYFUNCTION("""COMPUTED_VALUE"""),"BEAR Coin")</f>
        <v>BEAR Coin</v>
      </c>
    </row>
    <row r="12418">
      <c r="A12418" s="3" t="str">
        <f>IFERROR(__xludf.DUMMYFUNCTION("""COMPUTED_VALUE"""),"vpncoin")</f>
        <v>vpncoin</v>
      </c>
      <c r="B12418" s="3" t="str">
        <f>IFERROR(__xludf.DUMMYFUNCTION("""COMPUTED_VALUE"""),"vash")</f>
        <v>vash</v>
      </c>
      <c r="C12418" s="3" t="str">
        <f>IFERROR(__xludf.DUMMYFUNCTION("""COMPUTED_VALUE"""),"VPNCoin")</f>
        <v>VPNCoin</v>
      </c>
    </row>
    <row r="12419">
      <c r="A12419" s="3" t="str">
        <f>IFERROR(__xludf.DUMMYFUNCTION("""COMPUTED_VALUE"""),"vr-blocks")</f>
        <v>vr-blocks</v>
      </c>
      <c r="B12419" s="3" t="str">
        <f>IFERROR(__xludf.DUMMYFUNCTION("""COMPUTED_VALUE"""),"vrblocks")</f>
        <v>vrblocks</v>
      </c>
      <c r="C12419" s="3" t="str">
        <f>IFERROR(__xludf.DUMMYFUNCTION("""COMPUTED_VALUE"""),"VR Blocks")</f>
        <v>VR Blocks</v>
      </c>
    </row>
    <row r="12420">
      <c r="A12420" s="3" t="str">
        <f>IFERROR(__xludf.DUMMYFUNCTION("""COMPUTED_VALUE"""),"vres")</f>
        <v>vres</v>
      </c>
      <c r="B12420" s="3" t="str">
        <f>IFERROR(__xludf.DUMMYFUNCTION("""COMPUTED_VALUE"""),"vrs")</f>
        <v>vrs</v>
      </c>
      <c r="C12420" s="3" t="str">
        <f>IFERROR(__xludf.DUMMYFUNCTION("""COMPUTED_VALUE"""),"VRES")</f>
        <v>VRES</v>
      </c>
    </row>
    <row r="12421">
      <c r="A12421" s="3" t="str">
        <f>IFERROR(__xludf.DUMMYFUNCTION("""COMPUTED_VALUE"""),"vrjam")</f>
        <v>vrjam</v>
      </c>
      <c r="B12421" s="3" t="str">
        <f>IFERROR(__xludf.DUMMYFUNCTION("""COMPUTED_VALUE"""),"vrj")</f>
        <v>vrj</v>
      </c>
      <c r="C12421" s="3" t="str">
        <f>IFERROR(__xludf.DUMMYFUNCTION("""COMPUTED_VALUE"""),"VRJAM")</f>
        <v>VRJAM</v>
      </c>
    </row>
    <row r="12422">
      <c r="A12422" s="3" t="str">
        <f>IFERROR(__xludf.DUMMYFUNCTION("""COMPUTED_VALUE"""),"vrynt")</f>
        <v>vrynt</v>
      </c>
      <c r="B12422" s="3" t="str">
        <f>IFERROR(__xludf.DUMMYFUNCTION("""COMPUTED_VALUE"""),"vrynt")</f>
        <v>vrynt</v>
      </c>
      <c r="C12422" s="3" t="str">
        <f>IFERROR(__xludf.DUMMYFUNCTION("""COMPUTED_VALUE"""),"VRYNT")</f>
        <v>VRYNT</v>
      </c>
    </row>
    <row r="12423">
      <c r="A12423" s="3" t="str">
        <f>IFERROR(__xludf.DUMMYFUNCTION("""COMPUTED_VALUE"""),"vsolidus")</f>
        <v>vsolidus</v>
      </c>
      <c r="B12423" s="3" t="str">
        <f>IFERROR(__xludf.DUMMYFUNCTION("""COMPUTED_VALUE"""),"vsol")</f>
        <v>vsol</v>
      </c>
      <c r="C12423" s="3" t="str">
        <f>IFERROR(__xludf.DUMMYFUNCTION("""COMPUTED_VALUE"""),"VSolidus")</f>
        <v>VSolidus</v>
      </c>
    </row>
    <row r="12424">
      <c r="A12424" s="3" t="str">
        <f>IFERROR(__xludf.DUMMYFUNCTION("""COMPUTED_VALUE"""),"v-systems")</f>
        <v>v-systems</v>
      </c>
      <c r="B12424" s="3" t="str">
        <f>IFERROR(__xludf.DUMMYFUNCTION("""COMPUTED_VALUE"""),"vsys")</f>
        <v>vsys</v>
      </c>
      <c r="C12424" s="3" t="str">
        <f>IFERROR(__xludf.DUMMYFUNCTION("""COMPUTED_VALUE"""),"V.SYSTEMS")</f>
        <v>V.SYSTEMS</v>
      </c>
    </row>
    <row r="12425">
      <c r="A12425" s="3" t="str">
        <f>IFERROR(__xludf.DUMMYFUNCTION("""COMPUTED_VALUE"""),"vulcan-forged")</f>
        <v>vulcan-forged</v>
      </c>
      <c r="B12425" s="3" t="str">
        <f>IFERROR(__xludf.DUMMYFUNCTION("""COMPUTED_VALUE"""),"pyr")</f>
        <v>pyr</v>
      </c>
      <c r="C12425" s="3" t="str">
        <f>IFERROR(__xludf.DUMMYFUNCTION("""COMPUTED_VALUE"""),"Vulcan Forged")</f>
        <v>Vulcan Forged</v>
      </c>
    </row>
    <row r="12426">
      <c r="A12426" s="3" t="str">
        <f>IFERROR(__xludf.DUMMYFUNCTION("""COMPUTED_VALUE"""),"vulcan-forged-lava")</f>
        <v>vulcan-forged-lava</v>
      </c>
      <c r="B12426" s="3" t="str">
        <f>IFERROR(__xludf.DUMMYFUNCTION("""COMPUTED_VALUE"""),"lava")</f>
        <v>lava</v>
      </c>
      <c r="C12426" s="3" t="str">
        <f>IFERROR(__xludf.DUMMYFUNCTION("""COMPUTED_VALUE"""),"Vulcan Forged LAVA")</f>
        <v>Vulcan Forged LAVA</v>
      </c>
    </row>
    <row r="12427">
      <c r="A12427" s="3" t="str">
        <f>IFERROR(__xludf.DUMMYFUNCTION("""COMPUTED_VALUE"""),"vulcano-2")</f>
        <v>vulcano-2</v>
      </c>
      <c r="B12427" s="3" t="str">
        <f>IFERROR(__xludf.DUMMYFUNCTION("""COMPUTED_VALUE"""),"vulc")</f>
        <v>vulc</v>
      </c>
      <c r="C12427" s="3" t="str">
        <f>IFERROR(__xludf.DUMMYFUNCTION("""COMPUTED_VALUE"""),"Vulcano")</f>
        <v>Vulcano</v>
      </c>
    </row>
    <row r="12428">
      <c r="A12428" s="3" t="str">
        <f>IFERROR(__xludf.DUMMYFUNCTION("""COMPUTED_VALUE"""),"vulkania-2")</f>
        <v>vulkania-2</v>
      </c>
      <c r="B12428" s="3" t="str">
        <f>IFERROR(__xludf.DUMMYFUNCTION("""COMPUTED_VALUE"""),"vlk")</f>
        <v>vlk</v>
      </c>
      <c r="C12428" s="3" t="str">
        <f>IFERROR(__xludf.DUMMYFUNCTION("""COMPUTED_VALUE"""),"Vulkania")</f>
        <v>Vulkania</v>
      </c>
    </row>
    <row r="12429">
      <c r="A12429" s="3" t="str">
        <f>IFERROR(__xludf.DUMMYFUNCTION("""COMPUTED_VALUE"""),"vulture-peak")</f>
        <v>vulture-peak</v>
      </c>
      <c r="B12429" s="3" t="str">
        <f>IFERROR(__xludf.DUMMYFUNCTION("""COMPUTED_VALUE"""),"vpk")</f>
        <v>vpk</v>
      </c>
      <c r="C12429" s="3" t="str">
        <f>IFERROR(__xludf.DUMMYFUNCTION("""COMPUTED_VALUE"""),"Vulture Peak")</f>
        <v>Vulture Peak</v>
      </c>
    </row>
    <row r="12430">
      <c r="A12430" s="3" t="str">
        <f>IFERROR(__xludf.DUMMYFUNCTION("""COMPUTED_VALUE"""),"vvs-finance")</f>
        <v>vvs-finance</v>
      </c>
      <c r="B12430" s="3" t="str">
        <f>IFERROR(__xludf.DUMMYFUNCTION("""COMPUTED_VALUE"""),"vvs")</f>
        <v>vvs</v>
      </c>
      <c r="C12430" s="3" t="str">
        <f>IFERROR(__xludf.DUMMYFUNCTION("""COMPUTED_VALUE"""),"VVS Finance")</f>
        <v>VVS Finance</v>
      </c>
    </row>
    <row r="12431">
      <c r="A12431" s="3" t="str">
        <f>IFERROR(__xludf.DUMMYFUNCTION("""COMPUTED_VALUE"""),"vxxl")</f>
        <v>vxxl</v>
      </c>
      <c r="B12431" s="3" t="str">
        <f>IFERROR(__xludf.DUMMYFUNCTION("""COMPUTED_VALUE"""),"vxxl")</f>
        <v>vxxl</v>
      </c>
      <c r="C12431" s="3" t="str">
        <f>IFERROR(__xludf.DUMMYFUNCTION("""COMPUTED_VALUE"""),"VXXL")</f>
        <v>VXXL</v>
      </c>
    </row>
    <row r="12432">
      <c r="A12432" s="3" t="str">
        <f>IFERROR(__xludf.DUMMYFUNCTION("""COMPUTED_VALUE"""),"vybit")</f>
        <v>vybit</v>
      </c>
      <c r="B12432" s="3" t="str">
        <f>IFERROR(__xludf.DUMMYFUNCTION("""COMPUTED_VALUE"""),"vi")</f>
        <v>vi</v>
      </c>
      <c r="C12432" s="3" t="str">
        <f>IFERROR(__xludf.DUMMYFUNCTION("""COMPUTED_VALUE"""),"Vybit")</f>
        <v>Vybit</v>
      </c>
    </row>
    <row r="12433">
      <c r="A12433" s="3" t="str">
        <f>IFERROR(__xludf.DUMMYFUNCTION("""COMPUTED_VALUE"""),"vyfinance")</f>
        <v>vyfinance</v>
      </c>
      <c r="B12433" s="3" t="str">
        <f>IFERROR(__xludf.DUMMYFUNCTION("""COMPUTED_VALUE"""),"vyfi")</f>
        <v>vyfi</v>
      </c>
      <c r="C12433" s="3" t="str">
        <f>IFERROR(__xludf.DUMMYFUNCTION("""COMPUTED_VALUE"""),"VyFinance")</f>
        <v>VyFinance</v>
      </c>
    </row>
    <row r="12434">
      <c r="A12434" s="3" t="str">
        <f>IFERROR(__xludf.DUMMYFUNCTION("""COMPUTED_VALUE"""),"vynk-chain")</f>
        <v>vynk-chain</v>
      </c>
      <c r="B12434" s="3" t="str">
        <f>IFERROR(__xludf.DUMMYFUNCTION("""COMPUTED_VALUE"""),"vync")</f>
        <v>vync</v>
      </c>
      <c r="C12434" s="3" t="str">
        <f>IFERROR(__xludf.DUMMYFUNCTION("""COMPUTED_VALUE"""),"VYNK Chain")</f>
        <v>VYNK Chain</v>
      </c>
    </row>
    <row r="12435">
      <c r="A12435" s="3" t="str">
        <f>IFERROR(__xludf.DUMMYFUNCTION("""COMPUTED_VALUE"""),"wabi")</f>
        <v>wabi</v>
      </c>
      <c r="B12435" s="3" t="str">
        <f>IFERROR(__xludf.DUMMYFUNCTION("""COMPUTED_VALUE"""),"wabi")</f>
        <v>wabi</v>
      </c>
      <c r="C12435" s="3" t="str">
        <f>IFERROR(__xludf.DUMMYFUNCTION("""COMPUTED_VALUE"""),"Wabi")</f>
        <v>Wabi</v>
      </c>
    </row>
    <row r="12436">
      <c r="A12436" s="3" t="str">
        <f>IFERROR(__xludf.DUMMYFUNCTION("""COMPUTED_VALUE"""),"wadzpay-token")</f>
        <v>wadzpay-token</v>
      </c>
      <c r="B12436" s="3" t="str">
        <f>IFERROR(__xludf.DUMMYFUNCTION("""COMPUTED_VALUE"""),"wtk")</f>
        <v>wtk</v>
      </c>
      <c r="C12436" s="3" t="str">
        <f>IFERROR(__xludf.DUMMYFUNCTION("""COMPUTED_VALUE"""),"WadzPay")</f>
        <v>WadzPay</v>
      </c>
    </row>
    <row r="12437">
      <c r="A12437" s="3" t="str">
        <f>IFERROR(__xludf.DUMMYFUNCTION("""COMPUTED_VALUE"""),"wagerr")</f>
        <v>wagerr</v>
      </c>
      <c r="B12437" s="3" t="str">
        <f>IFERROR(__xludf.DUMMYFUNCTION("""COMPUTED_VALUE"""),"wgr")</f>
        <v>wgr</v>
      </c>
      <c r="C12437" s="3" t="str">
        <f>IFERROR(__xludf.DUMMYFUNCTION("""COMPUTED_VALUE"""),"Wagerr")</f>
        <v>Wagerr</v>
      </c>
    </row>
    <row r="12438">
      <c r="A12438" s="3" t="str">
        <f>IFERROR(__xludf.DUMMYFUNCTION("""COMPUTED_VALUE"""),"waggle-network")</f>
        <v>waggle-network</v>
      </c>
      <c r="B12438" s="3" t="str">
        <f>IFERROR(__xludf.DUMMYFUNCTION("""COMPUTED_VALUE"""),"wag")</f>
        <v>wag</v>
      </c>
      <c r="C12438" s="3" t="str">
        <f>IFERROR(__xludf.DUMMYFUNCTION("""COMPUTED_VALUE"""),"Waggle Network")</f>
        <v>Waggle Network</v>
      </c>
    </row>
    <row r="12439">
      <c r="A12439" s="3" t="str">
        <f>IFERROR(__xludf.DUMMYFUNCTION("""COMPUTED_VALUE"""),"wagmi")</f>
        <v>wagmi</v>
      </c>
      <c r="B12439" s="3" t="str">
        <f>IFERROR(__xludf.DUMMYFUNCTION("""COMPUTED_VALUE"""),"wagmi")</f>
        <v>wagmi</v>
      </c>
      <c r="C12439" s="3" t="str">
        <f>IFERROR(__xludf.DUMMYFUNCTION("""COMPUTED_VALUE"""),"WAGMI")</f>
        <v>WAGMI</v>
      </c>
    </row>
    <row r="12440">
      <c r="A12440" s="3" t="str">
        <f>IFERROR(__xludf.DUMMYFUNCTION("""COMPUTED_VALUE"""),"wagmi-game-2")</f>
        <v>wagmi-game-2</v>
      </c>
      <c r="B12440" s="3" t="str">
        <f>IFERROR(__xludf.DUMMYFUNCTION("""COMPUTED_VALUE"""),"wagmigames")</f>
        <v>wagmigames</v>
      </c>
      <c r="C12440" s="3" t="str">
        <f>IFERROR(__xludf.DUMMYFUNCTION("""COMPUTED_VALUE"""),"WAGMI Game")</f>
        <v>WAGMI Game</v>
      </c>
    </row>
    <row r="12441">
      <c r="A12441" s="3" t="str">
        <f>IFERROR(__xludf.DUMMYFUNCTION("""COMPUTED_VALUE"""),"wagmi-on-solana")</f>
        <v>wagmi-on-solana</v>
      </c>
      <c r="B12441" s="3" t="str">
        <f>IFERROR(__xludf.DUMMYFUNCTION("""COMPUTED_VALUE"""),"wagmi")</f>
        <v>wagmi</v>
      </c>
      <c r="C12441" s="3" t="str">
        <f>IFERROR(__xludf.DUMMYFUNCTION("""COMPUTED_VALUE"""),"WAGMI On Solana")</f>
        <v>WAGMI On Solana</v>
      </c>
    </row>
    <row r="12442">
      <c r="A12442" s="3" t="str">
        <f>IFERROR(__xludf.DUMMYFUNCTION("""COMPUTED_VALUE"""),"wagyuswap")</f>
        <v>wagyuswap</v>
      </c>
      <c r="B12442" s="3" t="str">
        <f>IFERROR(__xludf.DUMMYFUNCTION("""COMPUTED_VALUE"""),"wag")</f>
        <v>wag</v>
      </c>
      <c r="C12442" s="3" t="str">
        <f>IFERROR(__xludf.DUMMYFUNCTION("""COMPUTED_VALUE"""),"WagyuSwap")</f>
        <v>WagyuSwap</v>
      </c>
    </row>
    <row r="12443">
      <c r="A12443" s="3" t="str">
        <f>IFERROR(__xludf.DUMMYFUNCTION("""COMPUTED_VALUE"""),"waifer")</f>
        <v>waifer</v>
      </c>
      <c r="B12443" s="3" t="str">
        <f>IFERROR(__xludf.DUMMYFUNCTION("""COMPUTED_VALUE"""),"waif")</f>
        <v>waif</v>
      </c>
      <c r="C12443" s="3" t="str">
        <f>IFERROR(__xludf.DUMMYFUNCTION("""COMPUTED_VALUE"""),"Waifer")</f>
        <v>Waifer</v>
      </c>
    </row>
    <row r="12444">
      <c r="A12444" s="3" t="str">
        <f>IFERROR(__xludf.DUMMYFUNCTION("""COMPUTED_VALUE"""),"waifu")</f>
        <v>waifu</v>
      </c>
      <c r="B12444" s="3" t="str">
        <f>IFERROR(__xludf.DUMMYFUNCTION("""COMPUTED_VALUE"""),"waifu")</f>
        <v>waifu</v>
      </c>
      <c r="C12444" s="3" t="str">
        <f>IFERROR(__xludf.DUMMYFUNCTION("""COMPUTED_VALUE"""),"Waifu")</f>
        <v>Waifu</v>
      </c>
    </row>
    <row r="12445">
      <c r="A12445" s="3" t="str">
        <f>IFERROR(__xludf.DUMMYFUNCTION("""COMPUTED_VALUE"""),"waifu-token")</f>
        <v>waifu-token</v>
      </c>
      <c r="B12445" s="3" t="str">
        <f>IFERROR(__xludf.DUMMYFUNCTION("""COMPUTED_VALUE"""),"waif")</f>
        <v>waif</v>
      </c>
      <c r="C12445" s="3" t="str">
        <f>IFERROR(__xludf.DUMMYFUNCTION("""COMPUTED_VALUE"""),"Waifu Genesis Card Collection")</f>
        <v>Waifu Genesis Card Collection</v>
      </c>
    </row>
    <row r="12446">
      <c r="A12446" s="3" t="str">
        <f>IFERROR(__xludf.DUMMYFUNCTION("""COMPUTED_VALUE"""),"waifu-vault-nftx")</f>
        <v>waifu-vault-nftx</v>
      </c>
      <c r="B12446" s="3" t="str">
        <f>IFERROR(__xludf.DUMMYFUNCTION("""COMPUTED_VALUE"""),"waifu")</f>
        <v>waifu</v>
      </c>
      <c r="C12446" s="3" t="str">
        <f>IFERROR(__xludf.DUMMYFUNCTION("""COMPUTED_VALUE"""),"WAIFU Vault (NFTX)")</f>
        <v>WAIFU Vault (NFTX)</v>
      </c>
    </row>
    <row r="12447">
      <c r="A12447" s="3" t="str">
        <f>IFERROR(__xludf.DUMMYFUNCTION("""COMPUTED_VALUE"""),"wait")</f>
        <v>wait</v>
      </c>
      <c r="B12447" s="3" t="str">
        <f>IFERROR(__xludf.DUMMYFUNCTION("""COMPUTED_VALUE"""),"wait")</f>
        <v>wait</v>
      </c>
      <c r="C12447" s="3" t="str">
        <f>IFERROR(__xludf.DUMMYFUNCTION("""COMPUTED_VALUE"""),"WAIT")</f>
        <v>WAIT</v>
      </c>
    </row>
    <row r="12448">
      <c r="A12448" s="3" t="str">
        <f>IFERROR(__xludf.DUMMYFUNCTION("""COMPUTED_VALUE"""),"wakanda-inu")</f>
        <v>wakanda-inu</v>
      </c>
      <c r="B12448" s="3" t="str">
        <f>IFERROR(__xludf.DUMMYFUNCTION("""COMPUTED_VALUE"""),"wkd")</f>
        <v>wkd</v>
      </c>
      <c r="C12448" s="3" t="str">
        <f>IFERROR(__xludf.DUMMYFUNCTION("""COMPUTED_VALUE"""),"Wakanda Inu")</f>
        <v>Wakanda Inu</v>
      </c>
    </row>
    <row r="12449">
      <c r="A12449" s="3" t="str">
        <f>IFERROR(__xludf.DUMMYFUNCTION("""COMPUTED_VALUE"""),"waletoken")</f>
        <v>waletoken</v>
      </c>
      <c r="B12449" s="3" t="str">
        <f>IFERROR(__xludf.DUMMYFUNCTION("""COMPUTED_VALUE"""),"wtn")</f>
        <v>wtn</v>
      </c>
      <c r="C12449" s="3" t="str">
        <f>IFERROR(__xludf.DUMMYFUNCTION("""COMPUTED_VALUE"""),"Wale")</f>
        <v>Wale</v>
      </c>
    </row>
    <row r="12450">
      <c r="A12450" s="3" t="str">
        <f>IFERROR(__xludf.DUMMYFUNCTION("""COMPUTED_VALUE"""),"walken")</f>
        <v>walken</v>
      </c>
      <c r="B12450" s="3" t="str">
        <f>IFERROR(__xludf.DUMMYFUNCTION("""COMPUTED_VALUE"""),"wlkn")</f>
        <v>wlkn</v>
      </c>
      <c r="C12450" s="3" t="str">
        <f>IFERROR(__xludf.DUMMYFUNCTION("""COMPUTED_VALUE"""),"Walken")</f>
        <v>Walken</v>
      </c>
    </row>
    <row r="12451">
      <c r="A12451" s="3" t="str">
        <f>IFERROR(__xludf.DUMMYFUNCTION("""COMPUTED_VALUE"""),"walkn")</f>
        <v>walkn</v>
      </c>
      <c r="B12451" s="3" t="str">
        <f>IFERROR(__xludf.DUMMYFUNCTION("""COMPUTED_VALUE"""),"walkn")</f>
        <v>walkn</v>
      </c>
      <c r="C12451" s="3" t="str">
        <f>IFERROR(__xludf.DUMMYFUNCTION("""COMPUTED_VALUE"""),"WalkN")</f>
        <v>WalkN</v>
      </c>
    </row>
    <row r="12452">
      <c r="A12452" s="3" t="str">
        <f>IFERROR(__xludf.DUMMYFUNCTION("""COMPUTED_VALUE"""),"walletnow")</f>
        <v>walletnow</v>
      </c>
      <c r="B12452" s="3" t="str">
        <f>IFERROR(__xludf.DUMMYFUNCTION("""COMPUTED_VALUE"""),"wnow")</f>
        <v>wnow</v>
      </c>
      <c r="C12452" s="3" t="str">
        <f>IFERROR(__xludf.DUMMYFUNCTION("""COMPUTED_VALUE"""),"WalletNow")</f>
        <v>WalletNow</v>
      </c>
    </row>
    <row r="12453">
      <c r="A12453" s="3" t="str">
        <f>IFERROR(__xludf.DUMMYFUNCTION("""COMPUTED_VALUE"""),"wallet-pay")</f>
        <v>wallet-pay</v>
      </c>
      <c r="B12453" s="3" t="str">
        <f>IFERROR(__xludf.DUMMYFUNCTION("""COMPUTED_VALUE"""),"xpay")</f>
        <v>xpay</v>
      </c>
      <c r="C12453" s="3" t="str">
        <f>IFERROR(__xludf.DUMMYFUNCTION("""COMPUTED_VALUE"""),"Wallet Pay")</f>
        <v>Wallet Pay</v>
      </c>
    </row>
    <row r="12454">
      <c r="A12454" s="3" t="str">
        <f>IFERROR(__xludf.DUMMYFUNCTION("""COMPUTED_VALUE"""),"wallet-plus-x")</f>
        <v>wallet-plus-x</v>
      </c>
      <c r="B12454" s="3" t="str">
        <f>IFERROR(__xludf.DUMMYFUNCTION("""COMPUTED_VALUE"""),"wpx")</f>
        <v>wpx</v>
      </c>
      <c r="C12454" s="3" t="str">
        <f>IFERROR(__xludf.DUMMYFUNCTION("""COMPUTED_VALUE"""),"Wallet Plus X")</f>
        <v>Wallet Plus X</v>
      </c>
    </row>
    <row r="12455">
      <c r="A12455" s="3" t="str">
        <f>IFERROR(__xludf.DUMMYFUNCTION("""COMPUTED_VALUE"""),"wallet-swap")</f>
        <v>wallet-swap</v>
      </c>
      <c r="B12455" s="3" t="str">
        <f>IFERROR(__xludf.DUMMYFUNCTION("""COMPUTED_VALUE"""),"wswap")</f>
        <v>wswap</v>
      </c>
      <c r="C12455" s="3" t="str">
        <f>IFERROR(__xludf.DUMMYFUNCTION("""COMPUTED_VALUE"""),"Wallet Swap")</f>
        <v>Wallet Swap</v>
      </c>
    </row>
    <row r="12456">
      <c r="A12456" s="3" t="str">
        <f>IFERROR(__xludf.DUMMYFUNCTION("""COMPUTED_VALUE"""),"wallfair")</f>
        <v>wallfair</v>
      </c>
      <c r="B12456" s="3" t="str">
        <f>IFERROR(__xludf.DUMMYFUNCTION("""COMPUTED_VALUE"""),"wfair")</f>
        <v>wfair</v>
      </c>
      <c r="C12456" s="3" t="str">
        <f>IFERROR(__xludf.DUMMYFUNCTION("""COMPUTED_VALUE"""),"Wallfair")</f>
        <v>Wallfair</v>
      </c>
    </row>
    <row r="12457">
      <c r="A12457" s="3" t="str">
        <f>IFERROR(__xludf.DUMMYFUNCTION("""COMPUTED_VALUE"""),"wallphy")</f>
        <v>wallphy</v>
      </c>
      <c r="B12457" s="3" t="str">
        <f>IFERROR(__xludf.DUMMYFUNCTION("""COMPUTED_VALUE"""),"wallphy")</f>
        <v>wallphy</v>
      </c>
      <c r="C12457" s="3" t="str">
        <f>IFERROR(__xludf.DUMMYFUNCTION("""COMPUTED_VALUE"""),"Wallphy")</f>
        <v>Wallphy</v>
      </c>
    </row>
    <row r="12458">
      <c r="A12458" s="3" t="str">
        <f>IFERROR(__xludf.DUMMYFUNCTION("""COMPUTED_VALUE"""),"wallstreetbets-com")</f>
        <v>wallstreetbets-com</v>
      </c>
      <c r="B12458" s="3" t="str">
        <f>IFERROR(__xludf.DUMMYFUNCTION("""COMPUTED_VALUE"""),"wsb")</f>
        <v>wsb</v>
      </c>
      <c r="C12458" s="4" t="str">
        <f>IFERROR(__xludf.DUMMYFUNCTION("""COMPUTED_VALUE"""),"Wallstreetbets.com")</f>
        <v>Wallstreetbets.com</v>
      </c>
    </row>
    <row r="12459">
      <c r="A12459" s="3" t="str">
        <f>IFERROR(__xludf.DUMMYFUNCTION("""COMPUTED_VALUE"""),"wall-street-bets-dapp")</f>
        <v>wall-street-bets-dapp</v>
      </c>
      <c r="B12459" s="3" t="str">
        <f>IFERROR(__xludf.DUMMYFUNCTION("""COMPUTED_VALUE"""),"wsb")</f>
        <v>wsb</v>
      </c>
      <c r="C12459" s="3" t="str">
        <f>IFERROR(__xludf.DUMMYFUNCTION("""COMPUTED_VALUE"""),"WallStreetBets DApp")</f>
        <v>WallStreetBets DApp</v>
      </c>
    </row>
    <row r="12460">
      <c r="A12460" s="3" t="str">
        <f>IFERROR(__xludf.DUMMYFUNCTION("""COMPUTED_VALUE"""),"wall-street-games")</f>
        <v>wall-street-games</v>
      </c>
      <c r="B12460" s="3" t="str">
        <f>IFERROR(__xludf.DUMMYFUNCTION("""COMPUTED_VALUE"""),"wsg")</f>
        <v>wsg</v>
      </c>
      <c r="C12460" s="3" t="str">
        <f>IFERROR(__xludf.DUMMYFUNCTION("""COMPUTED_VALUE"""),"Wall Street Games")</f>
        <v>Wall Street Games</v>
      </c>
    </row>
    <row r="12461">
      <c r="A12461" s="3" t="str">
        <f>IFERROR(__xludf.DUMMYFUNCTION("""COMPUTED_VALUE"""),"wall-street-inu")</f>
        <v>wall-street-inu</v>
      </c>
      <c r="B12461" s="3" t="str">
        <f>IFERROR(__xludf.DUMMYFUNCTION("""COMPUTED_VALUE"""),"wallstreetinu")</f>
        <v>wallstreetinu</v>
      </c>
      <c r="C12461" s="3" t="str">
        <f>IFERROR(__xludf.DUMMYFUNCTION("""COMPUTED_VALUE"""),"Wall Street Inu")</f>
        <v>Wall Street Inu</v>
      </c>
    </row>
    <row r="12462">
      <c r="A12462" s="3" t="str">
        <f>IFERROR(__xludf.DUMMYFUNCTION("""COMPUTED_VALUE"""),"wallstreetninja")</f>
        <v>wallstreetninja</v>
      </c>
      <c r="B12462" s="3" t="str">
        <f>IFERROR(__xludf.DUMMYFUNCTION("""COMPUTED_VALUE"""),"wsn")</f>
        <v>wsn</v>
      </c>
      <c r="C12462" s="3" t="str">
        <f>IFERROR(__xludf.DUMMYFUNCTION("""COMPUTED_VALUE"""),"WallStreetNinja")</f>
        <v>WallStreetNinja</v>
      </c>
    </row>
    <row r="12463">
      <c r="A12463" s="3" t="str">
        <f>IFERROR(__xludf.DUMMYFUNCTION("""COMPUTED_VALUE"""),"walrus")</f>
        <v>walrus</v>
      </c>
      <c r="B12463" s="3" t="str">
        <f>IFERROR(__xludf.DUMMYFUNCTION("""COMPUTED_VALUE"""),"wlrs")</f>
        <v>wlrs</v>
      </c>
      <c r="C12463" s="3" t="str">
        <f>IFERROR(__xludf.DUMMYFUNCTION("""COMPUTED_VALUE"""),"Walrus")</f>
        <v>Walrus</v>
      </c>
    </row>
    <row r="12464">
      <c r="A12464" s="3" t="str">
        <f>IFERROR(__xludf.DUMMYFUNCTION("""COMPUTED_VALUE"""),"walter-inu")</f>
        <v>walter-inu</v>
      </c>
      <c r="B12464" s="3" t="str">
        <f>IFERROR(__xludf.DUMMYFUNCTION("""COMPUTED_VALUE"""),"$winu")</f>
        <v>$winu</v>
      </c>
      <c r="C12464" s="3" t="str">
        <f>IFERROR(__xludf.DUMMYFUNCTION("""COMPUTED_VALUE"""),"Walter Inu")</f>
        <v>Walter Inu</v>
      </c>
    </row>
    <row r="12465">
      <c r="A12465" s="3" t="str">
        <f>IFERROR(__xludf.DUMMYFUNCTION("""COMPUTED_VALUE"""),"waltonchain")</f>
        <v>waltonchain</v>
      </c>
      <c r="B12465" s="3" t="str">
        <f>IFERROR(__xludf.DUMMYFUNCTION("""COMPUTED_VALUE"""),"wtc")</f>
        <v>wtc</v>
      </c>
      <c r="C12465" s="3" t="str">
        <f>IFERROR(__xludf.DUMMYFUNCTION("""COMPUTED_VALUE"""),"Waltonchain")</f>
        <v>Waltonchain</v>
      </c>
    </row>
    <row r="12466">
      <c r="A12466" s="3" t="str">
        <f>IFERROR(__xludf.DUMMYFUNCTION("""COMPUTED_VALUE"""),"wam")</f>
        <v>wam</v>
      </c>
      <c r="B12466" s="3" t="str">
        <f>IFERROR(__xludf.DUMMYFUNCTION("""COMPUTED_VALUE"""),"wam")</f>
        <v>wam</v>
      </c>
      <c r="C12466" s="3" t="str">
        <f>IFERROR(__xludf.DUMMYFUNCTION("""COMPUTED_VALUE"""),"Wam")</f>
        <v>Wam</v>
      </c>
    </row>
    <row r="12467">
      <c r="A12467" s="3" t="str">
        <f>IFERROR(__xludf.DUMMYFUNCTION("""COMPUTED_VALUE"""),"wanaka-farm")</f>
        <v>wanaka-farm</v>
      </c>
      <c r="B12467" s="3" t="str">
        <f>IFERROR(__xludf.DUMMYFUNCTION("""COMPUTED_VALUE"""),"wana")</f>
        <v>wana</v>
      </c>
      <c r="C12467" s="3" t="str">
        <f>IFERROR(__xludf.DUMMYFUNCTION("""COMPUTED_VALUE"""),"Wanaka Farm")</f>
        <v>Wanaka Farm</v>
      </c>
    </row>
    <row r="12468">
      <c r="A12468" s="3" t="str">
        <f>IFERROR(__xludf.DUMMYFUNCTION("""COMPUTED_VALUE"""),"wanaka-farm-wairere-token")</f>
        <v>wanaka-farm-wairere-token</v>
      </c>
      <c r="B12468" s="3" t="str">
        <f>IFERROR(__xludf.DUMMYFUNCTION("""COMPUTED_VALUE"""),"wai")</f>
        <v>wai</v>
      </c>
      <c r="C12468" s="3" t="str">
        <f>IFERROR(__xludf.DUMMYFUNCTION("""COMPUTED_VALUE"""),"Wanaka Farm WAIRERE")</f>
        <v>Wanaka Farm WAIRERE</v>
      </c>
    </row>
    <row r="12469">
      <c r="A12469" s="3" t="str">
        <f>IFERROR(__xludf.DUMMYFUNCTION("""COMPUTED_VALUE"""),"wanavax")</f>
        <v>wanavax</v>
      </c>
      <c r="B12469" s="3" t="str">
        <f>IFERROR(__xludf.DUMMYFUNCTION("""COMPUTED_VALUE"""),"wanavax")</f>
        <v>wanavax</v>
      </c>
      <c r="C12469" s="3" t="str">
        <f>IFERROR(__xludf.DUMMYFUNCTION("""COMPUTED_VALUE"""),"wanAVAX")</f>
        <v>wanAVAX</v>
      </c>
    </row>
    <row r="12470">
      <c r="A12470" s="3" t="str">
        <f>IFERROR(__xludf.DUMMYFUNCTION("""COMPUTED_VALUE"""),"wanbtc")</f>
        <v>wanbtc</v>
      </c>
      <c r="B12470" s="3" t="str">
        <f>IFERROR(__xludf.DUMMYFUNCTION("""COMPUTED_VALUE"""),"wanbtc")</f>
        <v>wanbtc</v>
      </c>
      <c r="C12470" s="3" t="str">
        <f>IFERROR(__xludf.DUMMYFUNCTION("""COMPUTED_VALUE"""),"wanBTC")</f>
        <v>wanBTC</v>
      </c>
    </row>
    <row r="12471">
      <c r="A12471" s="3" t="str">
        <f>IFERROR(__xludf.DUMMYFUNCTION("""COMPUTED_VALUE"""),"wanchain")</f>
        <v>wanchain</v>
      </c>
      <c r="B12471" s="3" t="str">
        <f>IFERROR(__xludf.DUMMYFUNCTION("""COMPUTED_VALUE"""),"wan")</f>
        <v>wan</v>
      </c>
      <c r="C12471" s="3" t="str">
        <f>IFERROR(__xludf.DUMMYFUNCTION("""COMPUTED_VALUE"""),"Wanchain")</f>
        <v>Wanchain</v>
      </c>
    </row>
    <row r="12472">
      <c r="A12472" s="3" t="str">
        <f>IFERROR(__xludf.DUMMYFUNCTION("""COMPUTED_VALUE"""),"wanda-exchange")</f>
        <v>wanda-exchange</v>
      </c>
      <c r="B12472" s="3" t="str">
        <f>IFERROR(__xludf.DUMMYFUNCTION("""COMPUTED_VALUE"""),"we")</f>
        <v>we</v>
      </c>
      <c r="C12472" s="3" t="str">
        <f>IFERROR(__xludf.DUMMYFUNCTION("""COMPUTED_VALUE"""),"Wanda Exchange")</f>
        <v>Wanda Exchange</v>
      </c>
    </row>
    <row r="12473">
      <c r="A12473" s="3" t="str">
        <f>IFERROR(__xludf.DUMMYFUNCTION("""COMPUTED_VALUE"""),"waneth")</f>
        <v>waneth</v>
      </c>
      <c r="B12473" s="3" t="str">
        <f>IFERROR(__xludf.DUMMYFUNCTION("""COMPUTED_VALUE"""),"waneth")</f>
        <v>waneth</v>
      </c>
      <c r="C12473" s="3" t="str">
        <f>IFERROR(__xludf.DUMMYFUNCTION("""COMPUTED_VALUE"""),"wanETH")</f>
        <v>wanETH</v>
      </c>
    </row>
    <row r="12474">
      <c r="A12474" s="3" t="str">
        <f>IFERROR(__xludf.DUMMYFUNCTION("""COMPUTED_VALUE"""),"wannaswap")</f>
        <v>wannaswap</v>
      </c>
      <c r="B12474" s="3" t="str">
        <f>IFERROR(__xludf.DUMMYFUNCTION("""COMPUTED_VALUE"""),"wanna")</f>
        <v>wanna</v>
      </c>
      <c r="C12474" s="3" t="str">
        <f>IFERROR(__xludf.DUMMYFUNCTION("""COMPUTED_VALUE"""),"WannaSwap")</f>
        <v>WannaSwap</v>
      </c>
    </row>
    <row r="12475">
      <c r="A12475" s="3" t="str">
        <f>IFERROR(__xludf.DUMMYFUNCTION("""COMPUTED_VALUE"""),"wanswap")</f>
        <v>wanswap</v>
      </c>
      <c r="B12475" s="3" t="str">
        <f>IFERROR(__xludf.DUMMYFUNCTION("""COMPUTED_VALUE"""),"wasp")</f>
        <v>wasp</v>
      </c>
      <c r="C12475" s="3" t="str">
        <f>IFERROR(__xludf.DUMMYFUNCTION("""COMPUTED_VALUE"""),"WanSwap")</f>
        <v>WanSwap</v>
      </c>
    </row>
    <row r="12476">
      <c r="A12476" s="3" t="str">
        <f>IFERROR(__xludf.DUMMYFUNCTION("""COMPUTED_VALUE"""),"wanusdc")</f>
        <v>wanusdc</v>
      </c>
      <c r="B12476" s="3" t="str">
        <f>IFERROR(__xludf.DUMMYFUNCTION("""COMPUTED_VALUE"""),"wanusdc")</f>
        <v>wanusdc</v>
      </c>
      <c r="C12476" s="3" t="str">
        <f>IFERROR(__xludf.DUMMYFUNCTION("""COMPUTED_VALUE"""),"wanUSDC")</f>
        <v>wanUSDC</v>
      </c>
    </row>
    <row r="12477">
      <c r="A12477" s="3" t="str">
        <f>IFERROR(__xludf.DUMMYFUNCTION("""COMPUTED_VALUE"""),"wanusdt")</f>
        <v>wanusdt</v>
      </c>
      <c r="B12477" s="3" t="str">
        <f>IFERROR(__xludf.DUMMYFUNCTION("""COMPUTED_VALUE"""),"wanusdt")</f>
        <v>wanusdt</v>
      </c>
      <c r="C12477" s="3" t="str">
        <f>IFERROR(__xludf.DUMMYFUNCTION("""COMPUTED_VALUE"""),"wanUSDT")</f>
        <v>wanUSDT</v>
      </c>
    </row>
    <row r="12478">
      <c r="A12478" s="3" t="str">
        <f>IFERROR(__xludf.DUMMYFUNCTION("""COMPUTED_VALUE"""),"wanxrp")</f>
        <v>wanxrp</v>
      </c>
      <c r="B12478" s="3" t="str">
        <f>IFERROR(__xludf.DUMMYFUNCTION("""COMPUTED_VALUE"""),"wanxrp")</f>
        <v>wanxrp</v>
      </c>
      <c r="C12478" s="3" t="str">
        <f>IFERROR(__xludf.DUMMYFUNCTION("""COMPUTED_VALUE"""),"wanXRP")</f>
        <v>wanXRP</v>
      </c>
    </row>
    <row r="12479">
      <c r="A12479" s="3" t="str">
        <f>IFERROR(__xludf.DUMMYFUNCTION("""COMPUTED_VALUE"""),"war-bond")</f>
        <v>war-bond</v>
      </c>
      <c r="B12479" s="3" t="str">
        <f>IFERROR(__xludf.DUMMYFUNCTION("""COMPUTED_VALUE"""),"wbond")</f>
        <v>wbond</v>
      </c>
      <c r="C12479" s="3" t="str">
        <f>IFERROR(__xludf.DUMMYFUNCTION("""COMPUTED_VALUE"""),"War Bond")</f>
        <v>War Bond</v>
      </c>
    </row>
    <row r="12480">
      <c r="A12480" s="3" t="str">
        <f>IFERROR(__xludf.DUMMYFUNCTION("""COMPUTED_VALUE"""),"warena")</f>
        <v>warena</v>
      </c>
      <c r="B12480" s="3" t="str">
        <f>IFERROR(__xludf.DUMMYFUNCTION("""COMPUTED_VALUE"""),"rena")</f>
        <v>rena</v>
      </c>
      <c r="C12480" s="3" t="str">
        <f>IFERROR(__xludf.DUMMYFUNCTION("""COMPUTED_VALUE"""),"Warena")</f>
        <v>Warena</v>
      </c>
    </row>
    <row r="12481">
      <c r="A12481" s="3" t="str">
        <f>IFERROR(__xludf.DUMMYFUNCTION("""COMPUTED_VALUE"""),"war-of-tribes")</f>
        <v>war-of-tribes</v>
      </c>
      <c r="B12481" s="3" t="str">
        <f>IFERROR(__xludf.DUMMYFUNCTION("""COMPUTED_VALUE"""),"wotg")</f>
        <v>wotg</v>
      </c>
      <c r="C12481" s="3" t="str">
        <f>IFERROR(__xludf.DUMMYFUNCTION("""COMPUTED_VALUE"""),"War of Tribes")</f>
        <v>War of Tribes</v>
      </c>
    </row>
    <row r="12482">
      <c r="A12482" s="3" t="str">
        <f>IFERROR(__xludf.DUMMYFUNCTION("""COMPUTED_VALUE"""),"warp-finance")</f>
        <v>warp-finance</v>
      </c>
      <c r="B12482" s="3" t="str">
        <f>IFERROR(__xludf.DUMMYFUNCTION("""COMPUTED_VALUE"""),"warp")</f>
        <v>warp</v>
      </c>
      <c r="C12482" s="3" t="str">
        <f>IFERROR(__xludf.DUMMYFUNCTION("""COMPUTED_VALUE"""),"Warp Finance")</f>
        <v>Warp Finance</v>
      </c>
    </row>
    <row r="12483">
      <c r="A12483" s="3" t="str">
        <f>IFERROR(__xludf.DUMMYFUNCTION("""COMPUTED_VALUE"""),"warrior-rare-essentials")</f>
        <v>warrior-rare-essentials</v>
      </c>
      <c r="B12483" s="3" t="str">
        <f>IFERROR(__xludf.DUMMYFUNCTION("""COMPUTED_VALUE"""),"ware")</f>
        <v>ware</v>
      </c>
      <c r="C12483" s="3" t="str">
        <f>IFERROR(__xludf.DUMMYFUNCTION("""COMPUTED_VALUE"""),"Warrior Rare Essentials")</f>
        <v>Warrior Rare Essentials</v>
      </c>
    </row>
    <row r="12484">
      <c r="A12484" s="3" t="str">
        <f>IFERROR(__xludf.DUMMYFUNCTION("""COMPUTED_VALUE"""),"warrior-token")</f>
        <v>warrior-token</v>
      </c>
      <c r="B12484" s="3" t="str">
        <f>IFERROR(__xludf.DUMMYFUNCTION("""COMPUTED_VALUE"""),"war")</f>
        <v>war</v>
      </c>
      <c r="C12484" s="3" t="str">
        <f>IFERROR(__xludf.DUMMYFUNCTION("""COMPUTED_VALUE"""),"Warrior")</f>
        <v>Warrior</v>
      </c>
    </row>
    <row r="12485">
      <c r="A12485" s="3" t="str">
        <f>IFERROR(__xludf.DUMMYFUNCTION("""COMPUTED_VALUE"""),"waru")</f>
        <v>waru</v>
      </c>
      <c r="B12485" s="3" t="str">
        <f>IFERROR(__xludf.DUMMYFUNCTION("""COMPUTED_VALUE"""),"waru")</f>
        <v>waru</v>
      </c>
      <c r="C12485" s="3" t="str">
        <f>IFERROR(__xludf.DUMMYFUNCTION("""COMPUTED_VALUE"""),"Waru")</f>
        <v>Waru</v>
      </c>
    </row>
    <row r="12486">
      <c r="A12486" s="3" t="str">
        <f>IFERROR(__xludf.DUMMYFUNCTION("""COMPUTED_VALUE"""),"wasabix")</f>
        <v>wasabix</v>
      </c>
      <c r="B12486" s="3" t="str">
        <f>IFERROR(__xludf.DUMMYFUNCTION("""COMPUTED_VALUE"""),"wasabi")</f>
        <v>wasabi</v>
      </c>
      <c r="C12486" s="3" t="str">
        <f>IFERROR(__xludf.DUMMYFUNCTION("""COMPUTED_VALUE"""),"WasabiX")</f>
        <v>WasabiX</v>
      </c>
    </row>
    <row r="12487">
      <c r="A12487" s="3" t="str">
        <f>IFERROR(__xludf.DUMMYFUNCTION("""COMPUTED_VALUE"""),"wasdaq-finance")</f>
        <v>wasdaq-finance</v>
      </c>
      <c r="B12487" s="3" t="str">
        <f>IFERROR(__xludf.DUMMYFUNCTION("""COMPUTED_VALUE"""),"wsdq")</f>
        <v>wsdq</v>
      </c>
      <c r="C12487" s="3" t="str">
        <f>IFERROR(__xludf.DUMMYFUNCTION("""COMPUTED_VALUE"""),"Wasdaq Finance")</f>
        <v>Wasdaq Finance</v>
      </c>
    </row>
    <row r="12488">
      <c r="A12488" s="3" t="str">
        <f>IFERROR(__xludf.DUMMYFUNCTION("""COMPUTED_VALUE"""),"wasder")</f>
        <v>wasder</v>
      </c>
      <c r="B12488" s="3" t="str">
        <f>IFERROR(__xludf.DUMMYFUNCTION("""COMPUTED_VALUE"""),"was")</f>
        <v>was</v>
      </c>
      <c r="C12488" s="3" t="str">
        <f>IFERROR(__xludf.DUMMYFUNCTION("""COMPUTED_VALUE"""),"Wasder")</f>
        <v>Wasder</v>
      </c>
    </row>
    <row r="12489">
      <c r="A12489" s="3" t="str">
        <f>IFERROR(__xludf.DUMMYFUNCTION("""COMPUTED_VALUE"""),"waste-coin")</f>
        <v>waste-coin</v>
      </c>
      <c r="B12489" s="3" t="str">
        <f>IFERROR(__xludf.DUMMYFUNCTION("""COMPUTED_VALUE"""),"waco")</f>
        <v>waco</v>
      </c>
      <c r="C12489" s="3" t="str">
        <f>IFERROR(__xludf.DUMMYFUNCTION("""COMPUTED_VALUE"""),"Waste Digital Coin")</f>
        <v>Waste Digital Coin</v>
      </c>
    </row>
    <row r="12490">
      <c r="A12490" s="3" t="str">
        <f>IFERROR(__xludf.DUMMYFUNCTION("""COMPUTED_VALUE"""),"watchdo")</f>
        <v>watchdo</v>
      </c>
      <c r="B12490" s="3" t="str">
        <f>IFERROR(__xludf.DUMMYFUNCTION("""COMPUTED_VALUE"""),"wdo")</f>
        <v>wdo</v>
      </c>
      <c r="C12490" s="3" t="str">
        <f>IFERROR(__xludf.DUMMYFUNCTION("""COMPUTED_VALUE"""),"WatchDO")</f>
        <v>WatchDO</v>
      </c>
    </row>
    <row r="12491">
      <c r="A12491" s="3" t="str">
        <f>IFERROR(__xludf.DUMMYFUNCTION("""COMPUTED_VALUE"""),"wateenswap")</f>
        <v>wateenswap</v>
      </c>
      <c r="B12491" s="3" t="str">
        <f>IFERROR(__xludf.DUMMYFUNCTION("""COMPUTED_VALUE"""),"wtn")</f>
        <v>wtn</v>
      </c>
      <c r="C12491" s="3" t="str">
        <f>IFERROR(__xludf.DUMMYFUNCTION("""COMPUTED_VALUE"""),"Wateenswap")</f>
        <v>Wateenswap</v>
      </c>
    </row>
    <row r="12492">
      <c r="A12492" s="3" t="str">
        <f>IFERROR(__xludf.DUMMYFUNCTION("""COMPUTED_VALUE"""),"waterfall-finance")</f>
        <v>waterfall-finance</v>
      </c>
      <c r="B12492" s="3" t="str">
        <f>IFERROR(__xludf.DUMMYFUNCTION("""COMPUTED_VALUE"""),"waterfall")</f>
        <v>waterfall</v>
      </c>
      <c r="C12492" s="3" t="str">
        <f>IFERROR(__xludf.DUMMYFUNCTION("""COMPUTED_VALUE"""),"Waterfall Finance")</f>
        <v>Waterfall Finance</v>
      </c>
    </row>
    <row r="12493">
      <c r="A12493" s="3" t="str">
        <f>IFERROR(__xludf.DUMMYFUNCTION("""COMPUTED_VALUE"""),"waterfall-governance-token")</f>
        <v>waterfall-governance-token</v>
      </c>
      <c r="B12493" s="3" t="str">
        <f>IFERROR(__xludf.DUMMYFUNCTION("""COMPUTED_VALUE"""),"wtf")</f>
        <v>wtf</v>
      </c>
      <c r="C12493" s="3" t="str">
        <f>IFERROR(__xludf.DUMMYFUNCTION("""COMPUTED_VALUE"""),"Waterfall Governance")</f>
        <v>Waterfall Governance</v>
      </c>
    </row>
    <row r="12494">
      <c r="A12494" s="3" t="str">
        <f>IFERROR(__xludf.DUMMYFUNCTION("""COMPUTED_VALUE"""),"water-reminder")</f>
        <v>water-reminder</v>
      </c>
      <c r="B12494" s="3" t="str">
        <f>IFERROR(__xludf.DUMMYFUNCTION("""COMPUTED_VALUE"""),"water")</f>
        <v>water</v>
      </c>
      <c r="C12494" s="3" t="str">
        <f>IFERROR(__xludf.DUMMYFUNCTION("""COMPUTED_VALUE"""),"Water Reminder")</f>
        <v>Water Reminder</v>
      </c>
    </row>
    <row r="12495">
      <c r="A12495" s="3" t="str">
        <f>IFERROR(__xludf.DUMMYFUNCTION("""COMPUTED_VALUE"""),"watr")</f>
        <v>watr</v>
      </c>
      <c r="B12495" s="3" t="str">
        <f>IFERROR(__xludf.DUMMYFUNCTION("""COMPUTED_VALUE"""),"watr")</f>
        <v>watr</v>
      </c>
      <c r="C12495" s="3" t="str">
        <f>IFERROR(__xludf.DUMMYFUNCTION("""COMPUTED_VALUE"""),"Watr")</f>
        <v>Watr</v>
      </c>
    </row>
    <row r="12496">
      <c r="A12496" s="3" t="str">
        <f>IFERROR(__xludf.DUMMYFUNCTION("""COMPUTED_VALUE"""),"wattton")</f>
        <v>wattton</v>
      </c>
      <c r="B12496" s="3" t="str">
        <f>IFERROR(__xludf.DUMMYFUNCTION("""COMPUTED_VALUE"""),"watt")</f>
        <v>watt</v>
      </c>
      <c r="C12496" s="3" t="str">
        <f>IFERROR(__xludf.DUMMYFUNCTION("""COMPUTED_VALUE"""),"WATTTON")</f>
        <v>WATTTON</v>
      </c>
    </row>
    <row r="12497">
      <c r="A12497" s="3" t="str">
        <f>IFERROR(__xludf.DUMMYFUNCTION("""COMPUTED_VALUE"""),"waultswap")</f>
        <v>waultswap</v>
      </c>
      <c r="B12497" s="3" t="str">
        <f>IFERROR(__xludf.DUMMYFUNCTION("""COMPUTED_VALUE"""),"wex")</f>
        <v>wex</v>
      </c>
      <c r="C12497" s="3" t="str">
        <f>IFERROR(__xludf.DUMMYFUNCTION("""COMPUTED_VALUE"""),"WaultSwap")</f>
        <v>WaultSwap</v>
      </c>
    </row>
    <row r="12498">
      <c r="A12498" s="3" t="str">
        <f>IFERROR(__xludf.DUMMYFUNCTION("""COMPUTED_VALUE"""),"waultswap-polygon")</f>
        <v>waultswap-polygon</v>
      </c>
      <c r="B12498" s="3" t="str">
        <f>IFERROR(__xludf.DUMMYFUNCTION("""COMPUTED_VALUE"""),"wexpoly")</f>
        <v>wexpoly</v>
      </c>
      <c r="C12498" s="3" t="str">
        <f>IFERROR(__xludf.DUMMYFUNCTION("""COMPUTED_VALUE"""),"WaultSwap Polygon")</f>
        <v>WaultSwap Polygon</v>
      </c>
    </row>
    <row r="12499">
      <c r="A12499" s="3" t="str">
        <f>IFERROR(__xludf.DUMMYFUNCTION("""COMPUTED_VALUE"""),"wavelength")</f>
        <v>wavelength</v>
      </c>
      <c r="B12499" s="3" t="str">
        <f>IFERROR(__xludf.DUMMYFUNCTION("""COMPUTED_VALUE"""),"wave")</f>
        <v>wave</v>
      </c>
      <c r="C12499" s="3" t="str">
        <f>IFERROR(__xludf.DUMMYFUNCTION("""COMPUTED_VALUE"""),"Wavelength")</f>
        <v>Wavelength</v>
      </c>
    </row>
    <row r="12500">
      <c r="A12500" s="3" t="str">
        <f>IFERROR(__xludf.DUMMYFUNCTION("""COMPUTED_VALUE"""),"waves")</f>
        <v>waves</v>
      </c>
      <c r="B12500" s="3" t="str">
        <f>IFERROR(__xludf.DUMMYFUNCTION("""COMPUTED_VALUE"""),"waves")</f>
        <v>waves</v>
      </c>
      <c r="C12500" s="3" t="str">
        <f>IFERROR(__xludf.DUMMYFUNCTION("""COMPUTED_VALUE"""),"Waves")</f>
        <v>Waves</v>
      </c>
    </row>
    <row r="12501">
      <c r="A12501" s="3" t="str">
        <f>IFERROR(__xludf.DUMMYFUNCTION("""COMPUTED_VALUE"""),"waves-community-token")</f>
        <v>waves-community-token</v>
      </c>
      <c r="B12501" s="3" t="str">
        <f>IFERROR(__xludf.DUMMYFUNCTION("""COMPUTED_VALUE"""),"wct")</f>
        <v>wct</v>
      </c>
      <c r="C12501" s="3" t="str">
        <f>IFERROR(__xludf.DUMMYFUNCTION("""COMPUTED_VALUE"""),"Waves Community")</f>
        <v>Waves Community</v>
      </c>
    </row>
    <row r="12502">
      <c r="A12502" s="3" t="str">
        <f>IFERROR(__xludf.DUMMYFUNCTION("""COMPUTED_VALUE"""),"waves-ducks")</f>
        <v>waves-ducks</v>
      </c>
      <c r="B12502" s="3" t="str">
        <f>IFERROR(__xludf.DUMMYFUNCTION("""COMPUTED_VALUE"""),"egg")</f>
        <v>egg</v>
      </c>
      <c r="C12502" s="3" t="str">
        <f>IFERROR(__xludf.DUMMYFUNCTION("""COMPUTED_VALUE"""),"Waves Ducks")</f>
        <v>Waves Ducks</v>
      </c>
    </row>
    <row r="12503">
      <c r="A12503" s="3" t="str">
        <f>IFERROR(__xludf.DUMMYFUNCTION("""COMPUTED_VALUE"""),"waves-enterprise")</f>
        <v>waves-enterprise</v>
      </c>
      <c r="B12503" s="3" t="str">
        <f>IFERROR(__xludf.DUMMYFUNCTION("""COMPUTED_VALUE"""),"west")</f>
        <v>west</v>
      </c>
      <c r="C12503" s="3" t="str">
        <f>IFERROR(__xludf.DUMMYFUNCTION("""COMPUTED_VALUE"""),"Waves Enterprise")</f>
        <v>Waves Enterprise</v>
      </c>
    </row>
    <row r="12504">
      <c r="A12504" s="3" t="str">
        <f>IFERROR(__xludf.DUMMYFUNCTION("""COMPUTED_VALUE"""),"waves-exchange")</f>
        <v>waves-exchange</v>
      </c>
      <c r="B12504" s="3" t="str">
        <f>IFERROR(__xludf.DUMMYFUNCTION("""COMPUTED_VALUE"""),"wx")</f>
        <v>wx</v>
      </c>
      <c r="C12504" s="3" t="str">
        <f>IFERROR(__xludf.DUMMYFUNCTION("""COMPUTED_VALUE"""),"WX.Network Token")</f>
        <v>WX.Network Token</v>
      </c>
    </row>
    <row r="12505">
      <c r="A12505" s="3" t="str">
        <f>IFERROR(__xludf.DUMMYFUNCTION("""COMPUTED_VALUE"""),"wavesgo")</f>
        <v>wavesgo</v>
      </c>
      <c r="B12505" s="3" t="str">
        <f>IFERROR(__xludf.DUMMYFUNCTION("""COMPUTED_VALUE"""),"wgo")</f>
        <v>wgo</v>
      </c>
      <c r="C12505" s="3" t="str">
        <f>IFERROR(__xludf.DUMMYFUNCTION("""COMPUTED_VALUE"""),"WavesGo")</f>
        <v>WavesGo</v>
      </c>
    </row>
    <row r="12506">
      <c r="A12506" s="3" t="str">
        <f>IFERROR(__xludf.DUMMYFUNCTION("""COMPUTED_VALUE"""),"wax")</f>
        <v>wax</v>
      </c>
      <c r="B12506" s="3" t="str">
        <f>IFERROR(__xludf.DUMMYFUNCTION("""COMPUTED_VALUE"""),"waxp")</f>
        <v>waxp</v>
      </c>
      <c r="C12506" s="3" t="str">
        <f>IFERROR(__xludf.DUMMYFUNCTION("""COMPUTED_VALUE"""),"WAX")</f>
        <v>WAX</v>
      </c>
    </row>
    <row r="12507">
      <c r="A12507" s="3" t="str">
        <f>IFERROR(__xludf.DUMMYFUNCTION("""COMPUTED_VALUE"""),"waxe")</f>
        <v>waxe</v>
      </c>
      <c r="B12507" s="3" t="str">
        <f>IFERROR(__xludf.DUMMYFUNCTION("""COMPUTED_VALUE"""),"waxe")</f>
        <v>waxe</v>
      </c>
      <c r="C12507" s="3" t="str">
        <f>IFERROR(__xludf.DUMMYFUNCTION("""COMPUTED_VALUE"""),"WAXE")</f>
        <v>WAXE</v>
      </c>
    </row>
    <row r="12508">
      <c r="A12508" s="3" t="str">
        <f>IFERROR(__xludf.DUMMYFUNCTION("""COMPUTED_VALUE"""),"wayawolfcoin")</f>
        <v>wayawolfcoin</v>
      </c>
      <c r="B12508" s="3" t="str">
        <f>IFERROR(__xludf.DUMMYFUNCTION("""COMPUTED_VALUE"""),"ww")</f>
        <v>ww</v>
      </c>
      <c r="C12508" s="3" t="str">
        <f>IFERROR(__xludf.DUMMYFUNCTION("""COMPUTED_VALUE"""),"WayaWolfCoin")</f>
        <v>WayaWolfCoin</v>
      </c>
    </row>
    <row r="12509">
      <c r="A12509" s="3" t="str">
        <f>IFERROR(__xludf.DUMMYFUNCTION("""COMPUTED_VALUE"""),"waykichain")</f>
        <v>waykichain</v>
      </c>
      <c r="B12509" s="3" t="str">
        <f>IFERROR(__xludf.DUMMYFUNCTION("""COMPUTED_VALUE"""),"wicc")</f>
        <v>wicc</v>
      </c>
      <c r="C12509" s="3" t="str">
        <f>IFERROR(__xludf.DUMMYFUNCTION("""COMPUTED_VALUE"""),"WaykiChain")</f>
        <v>WaykiChain</v>
      </c>
    </row>
    <row r="12510">
      <c r="A12510" s="3" t="str">
        <f>IFERROR(__xludf.DUMMYFUNCTION("""COMPUTED_VALUE"""),"waykichain-governance-coin")</f>
        <v>waykichain-governance-coin</v>
      </c>
      <c r="B12510" s="3" t="str">
        <f>IFERROR(__xludf.DUMMYFUNCTION("""COMPUTED_VALUE"""),"wgrt")</f>
        <v>wgrt</v>
      </c>
      <c r="C12510" s="3" t="str">
        <f>IFERROR(__xludf.DUMMYFUNCTION("""COMPUTED_VALUE"""),"WaykiChain Governance Coin")</f>
        <v>WaykiChain Governance Coin</v>
      </c>
    </row>
    <row r="12511">
      <c r="A12511" s="3" t="str">
        <f>IFERROR(__xludf.DUMMYFUNCTION("""COMPUTED_VALUE"""),"wazirx")</f>
        <v>wazirx</v>
      </c>
      <c r="B12511" s="3" t="str">
        <f>IFERROR(__xludf.DUMMYFUNCTION("""COMPUTED_VALUE"""),"wrx")</f>
        <v>wrx</v>
      </c>
      <c r="C12511" s="3" t="str">
        <f>IFERROR(__xludf.DUMMYFUNCTION("""COMPUTED_VALUE"""),"WazirX")</f>
        <v>WazirX</v>
      </c>
    </row>
    <row r="12512">
      <c r="A12512" s="3" t="str">
        <f>IFERROR(__xludf.DUMMYFUNCTION("""COMPUTED_VALUE"""),"wbnb")</f>
        <v>wbnb</v>
      </c>
      <c r="B12512" s="3" t="str">
        <f>IFERROR(__xludf.DUMMYFUNCTION("""COMPUTED_VALUE"""),"wbnb")</f>
        <v>wbnb</v>
      </c>
      <c r="C12512" s="3" t="str">
        <f>IFERROR(__xludf.DUMMYFUNCTION("""COMPUTED_VALUE"""),"Wrapped BNB")</f>
        <v>Wrapped BNB</v>
      </c>
    </row>
    <row r="12513">
      <c r="A12513" s="3" t="str">
        <f>IFERROR(__xludf.DUMMYFUNCTION("""COMPUTED_VALUE"""),"wdot")</f>
        <v>wdot</v>
      </c>
      <c r="B12513" s="3" t="str">
        <f>IFERROR(__xludf.DUMMYFUNCTION("""COMPUTED_VALUE"""),"wdot")</f>
        <v>wdot</v>
      </c>
      <c r="C12513" s="3" t="str">
        <f>IFERROR(__xludf.DUMMYFUNCTION("""COMPUTED_VALUE"""),"WDOT")</f>
        <v>WDOT</v>
      </c>
    </row>
    <row r="12514">
      <c r="A12514" s="3" t="str">
        <f>IFERROR(__xludf.DUMMYFUNCTION("""COMPUTED_VALUE"""),"wealthsecrets")</f>
        <v>wealthsecrets</v>
      </c>
      <c r="B12514" s="3" t="str">
        <f>IFERROR(__xludf.DUMMYFUNCTION("""COMPUTED_VALUE"""),"wsc")</f>
        <v>wsc</v>
      </c>
      <c r="C12514" s="3" t="str">
        <f>IFERROR(__xludf.DUMMYFUNCTION("""COMPUTED_VALUE"""),"WealthSecrets")</f>
        <v>WealthSecrets</v>
      </c>
    </row>
    <row r="12515">
      <c r="A12515" s="3" t="str">
        <f>IFERROR(__xludf.DUMMYFUNCTION("""COMPUTED_VALUE"""),"wearesatoshi")</f>
        <v>wearesatoshi</v>
      </c>
      <c r="B12515" s="3" t="str">
        <f>IFERROR(__xludf.DUMMYFUNCTION("""COMPUTED_VALUE"""),"n8v")</f>
        <v>n8v</v>
      </c>
      <c r="C12515" s="3" t="str">
        <f>IFERROR(__xludf.DUMMYFUNCTION("""COMPUTED_VALUE"""),"NativeCoin")</f>
        <v>NativeCoin</v>
      </c>
    </row>
    <row r="12516">
      <c r="A12516" s="3" t="str">
        <f>IFERROR(__xludf.DUMMYFUNCTION("""COMPUTED_VALUE"""),"weatherxm")</f>
        <v>weatherxm</v>
      </c>
      <c r="B12516" s="3" t="str">
        <f>IFERROR(__xludf.DUMMYFUNCTION("""COMPUTED_VALUE"""),"wxm")</f>
        <v>wxm</v>
      </c>
      <c r="C12516" s="3" t="str">
        <f>IFERROR(__xludf.DUMMYFUNCTION("""COMPUTED_VALUE"""),"WeatherXM")</f>
        <v>WeatherXM</v>
      </c>
    </row>
    <row r="12517">
      <c r="A12517" s="3" t="str">
        <f>IFERROR(__xludf.DUMMYFUNCTION("""COMPUTED_VALUE"""),"weave")</f>
        <v>weave</v>
      </c>
      <c r="B12517" s="3" t="str">
        <f>IFERROR(__xludf.DUMMYFUNCTION("""COMPUTED_VALUE"""),"weave")</f>
        <v>weave</v>
      </c>
      <c r="C12517" s="3" t="str">
        <f>IFERROR(__xludf.DUMMYFUNCTION("""COMPUTED_VALUE"""),"Weave")</f>
        <v>Weave</v>
      </c>
    </row>
    <row r="12518">
      <c r="A12518" s="3" t="str">
        <f>IFERROR(__xludf.DUMMYFUNCTION("""COMPUTED_VALUE"""),"web3")</f>
        <v>web3</v>
      </c>
      <c r="B12518" s="3" t="str">
        <f>IFERROR(__xludf.DUMMYFUNCTION("""COMPUTED_VALUE"""),"web3.0")</f>
        <v>web3.0</v>
      </c>
      <c r="C12518" s="3" t="str">
        <f>IFERROR(__xludf.DUMMYFUNCTION("""COMPUTED_VALUE"""),"Web3")</f>
        <v>Web3</v>
      </c>
    </row>
    <row r="12519">
      <c r="A12519" s="3" t="str">
        <f>IFERROR(__xludf.DUMMYFUNCTION("""COMPUTED_VALUE"""),"web3-betting")</f>
        <v>web3-betting</v>
      </c>
      <c r="B12519" s="3" t="str">
        <f>IFERROR(__xludf.DUMMYFUNCTION("""COMPUTED_VALUE"""),"w3b")</f>
        <v>w3b</v>
      </c>
      <c r="C12519" s="3" t="str">
        <f>IFERROR(__xludf.DUMMYFUNCTION("""COMPUTED_VALUE"""),"Web3 Betting")</f>
        <v>Web3 Betting</v>
      </c>
    </row>
    <row r="12520">
      <c r="A12520" s="3" t="str">
        <f>IFERROR(__xludf.DUMMYFUNCTION("""COMPUTED_VALUE"""),"web3-doge")</f>
        <v>web3-doge</v>
      </c>
      <c r="B12520" s="3" t="str">
        <f>IFERROR(__xludf.DUMMYFUNCTION("""COMPUTED_VALUE"""),"web3")</f>
        <v>web3</v>
      </c>
      <c r="C12520" s="3" t="str">
        <f>IFERROR(__xludf.DUMMYFUNCTION("""COMPUTED_VALUE"""),"Web3 Doge")</f>
        <v>Web3 Doge</v>
      </c>
    </row>
    <row r="12521">
      <c r="A12521" s="3" t="str">
        <f>IFERROR(__xludf.DUMMYFUNCTION("""COMPUTED_VALUE"""),"web3gold")</f>
        <v>web3gold</v>
      </c>
      <c r="B12521" s="3" t="str">
        <f>IFERROR(__xludf.DUMMYFUNCTION("""COMPUTED_VALUE"""),"wrb3g")</f>
        <v>wrb3g</v>
      </c>
      <c r="C12521" s="3" t="str">
        <f>IFERROR(__xludf.DUMMYFUNCTION("""COMPUTED_VALUE"""),"Web3Gold")</f>
        <v>Web3Gold</v>
      </c>
    </row>
    <row r="12522">
      <c r="A12522" s="3" t="str">
        <f>IFERROR(__xludf.DUMMYFUNCTION("""COMPUTED_VALUE"""),"web3-inu")</f>
        <v>web3-inu</v>
      </c>
      <c r="B12522" s="3" t="str">
        <f>IFERROR(__xludf.DUMMYFUNCTION("""COMPUTED_VALUE"""),"web3")</f>
        <v>web3</v>
      </c>
      <c r="C12522" s="3" t="str">
        <f>IFERROR(__xludf.DUMMYFUNCTION("""COMPUTED_VALUE"""),"WEB3 Inu")</f>
        <v>WEB3 Inu</v>
      </c>
    </row>
    <row r="12523">
      <c r="A12523" s="3" t="str">
        <f>IFERROR(__xludf.DUMMYFUNCTION("""COMPUTED_VALUE"""),"web5-inu")</f>
        <v>web5-inu</v>
      </c>
      <c r="B12523" s="3" t="str">
        <f>IFERROR(__xludf.DUMMYFUNCTION("""COMPUTED_VALUE"""),"web5")</f>
        <v>web5</v>
      </c>
      <c r="C12523" s="3" t="str">
        <f>IFERROR(__xludf.DUMMYFUNCTION("""COMPUTED_VALUE"""),"WEB5 Inu")</f>
        <v>WEB5 Inu</v>
      </c>
    </row>
    <row r="12524">
      <c r="A12524" s="3" t="str">
        <f>IFERROR(__xludf.DUMMYFUNCTION("""COMPUTED_VALUE"""),"web69")</f>
        <v>web69</v>
      </c>
      <c r="B12524" s="3" t="str">
        <f>IFERROR(__xludf.DUMMYFUNCTION("""COMPUTED_VALUE"""),"web69")</f>
        <v>web69</v>
      </c>
      <c r="C12524" s="3" t="str">
        <f>IFERROR(__xludf.DUMMYFUNCTION("""COMPUTED_VALUE"""),"Web69")</f>
        <v>Web69</v>
      </c>
    </row>
    <row r="12525">
      <c r="A12525" s="3" t="str">
        <f>IFERROR(__xludf.DUMMYFUNCTION("""COMPUTED_VALUE"""),"webchain")</f>
        <v>webchain</v>
      </c>
      <c r="B12525" s="3" t="str">
        <f>IFERROR(__xludf.DUMMYFUNCTION("""COMPUTED_VALUE"""),"mintme")</f>
        <v>mintme</v>
      </c>
      <c r="C12525" s="3" t="str">
        <f>IFERROR(__xludf.DUMMYFUNCTION("""COMPUTED_VALUE"""),"MintMe.com Coin")</f>
        <v>MintMe.com Coin</v>
      </c>
    </row>
    <row r="12526">
      <c r="A12526" s="3" t="str">
        <f>IFERROR(__xludf.DUMMYFUNCTION("""COMPUTED_VALUE"""),"webcoin")</f>
        <v>webcoin</v>
      </c>
      <c r="B12526" s="3" t="str">
        <f>IFERROR(__xludf.DUMMYFUNCTION("""COMPUTED_VALUE"""),"web")</f>
        <v>web</v>
      </c>
      <c r="C12526" s="3" t="str">
        <f>IFERROR(__xludf.DUMMYFUNCTION("""COMPUTED_VALUE"""),"Webcoin")</f>
        <v>Webcoin</v>
      </c>
    </row>
    <row r="12527">
      <c r="A12527" s="3" t="str">
        <f>IFERROR(__xludf.DUMMYFUNCTION("""COMPUTED_VALUE"""),"webdollar")</f>
        <v>webdollar</v>
      </c>
      <c r="B12527" s="3" t="str">
        <f>IFERROR(__xludf.DUMMYFUNCTION("""COMPUTED_VALUE"""),"webd")</f>
        <v>webd</v>
      </c>
      <c r="C12527" s="3" t="str">
        <f>IFERROR(__xludf.DUMMYFUNCTION("""COMPUTED_VALUE"""),"webdollar")</f>
        <v>webdollar</v>
      </c>
    </row>
    <row r="12528">
      <c r="A12528" s="3" t="str">
        <f>IFERROR(__xludf.DUMMYFUNCTION("""COMPUTED_VALUE"""),"webflix")</f>
        <v>webflix</v>
      </c>
      <c r="B12528" s="3" t="str">
        <f>IFERROR(__xludf.DUMMYFUNCTION("""COMPUTED_VALUE"""),"wfx")</f>
        <v>wfx</v>
      </c>
      <c r="C12528" s="3" t="str">
        <f>IFERROR(__xludf.DUMMYFUNCTION("""COMPUTED_VALUE"""),"WebFlix")</f>
        <v>WebFlix</v>
      </c>
    </row>
    <row r="12529">
      <c r="A12529" s="3" t="str">
        <f>IFERROR(__xludf.DUMMYFUNCTION("""COMPUTED_VALUE"""),"web-four")</f>
        <v>web-four</v>
      </c>
      <c r="B12529" s="3" t="str">
        <f>IFERROR(__xludf.DUMMYFUNCTION("""COMPUTED_VALUE"""),"webfour")</f>
        <v>webfour</v>
      </c>
      <c r="C12529" s="3" t="str">
        <f>IFERROR(__xludf.DUMMYFUNCTION("""COMPUTED_VALUE"""),"WEBFOUR")</f>
        <v>WEBFOUR</v>
      </c>
    </row>
    <row r="12530">
      <c r="A12530" s="3" t="str">
        <f>IFERROR(__xludf.DUMMYFUNCTION("""COMPUTED_VALUE"""),"weble-ecosystem-token")</f>
        <v>weble-ecosystem-token</v>
      </c>
      <c r="B12530" s="3" t="str">
        <f>IFERROR(__xludf.DUMMYFUNCTION("""COMPUTED_VALUE"""),"wet")</f>
        <v>wet</v>
      </c>
      <c r="C12530" s="3" t="str">
        <f>IFERROR(__xludf.DUMMYFUNCTION("""COMPUTED_VALUE"""),"Weble Ecosystem")</f>
        <v>Weble Ecosystem</v>
      </c>
    </row>
    <row r="12531">
      <c r="A12531" s="3" t="str">
        <f>IFERROR(__xludf.DUMMYFUNCTION("""COMPUTED_VALUE"""),"webooswap")</f>
        <v>webooswap</v>
      </c>
      <c r="B12531" s="3" t="str">
        <f>IFERROR(__xludf.DUMMYFUNCTION("""COMPUTED_VALUE"""),"weboo")</f>
        <v>weboo</v>
      </c>
      <c r="C12531" s="3" t="str">
        <f>IFERROR(__xludf.DUMMYFUNCTION("""COMPUTED_VALUE"""),"WebooSwap")</f>
        <v>WebooSwap</v>
      </c>
    </row>
    <row r="12532">
      <c r="A12532" s="3" t="str">
        <f>IFERROR(__xludf.DUMMYFUNCTION("""COMPUTED_VALUE"""),"webpay")</f>
        <v>webpay</v>
      </c>
      <c r="B12532" s="3" t="str">
        <f>IFERROR(__xludf.DUMMYFUNCTION("""COMPUTED_VALUE"""),"pay")</f>
        <v>pay</v>
      </c>
      <c r="C12532" s="3" t="str">
        <f>IFERROR(__xludf.DUMMYFUNCTION("""COMPUTED_VALUE"""),"Webpay")</f>
        <v>Webpay</v>
      </c>
    </row>
    <row r="12533">
      <c r="A12533" s="3" t="str">
        <f>IFERROR(__xludf.DUMMYFUNCTION("""COMPUTED_VALUE"""),"webuy")</f>
        <v>webuy</v>
      </c>
      <c r="B12533" s="3" t="str">
        <f>IFERROR(__xludf.DUMMYFUNCTION("""COMPUTED_VALUE"""),"we")</f>
        <v>we</v>
      </c>
      <c r="C12533" s="3" t="str">
        <f>IFERROR(__xludf.DUMMYFUNCTION("""COMPUTED_VALUE"""),"WeBuy")</f>
        <v>WeBuy</v>
      </c>
    </row>
    <row r="12534">
      <c r="A12534" s="3" t="str">
        <f>IFERROR(__xludf.DUMMYFUNCTION("""COMPUTED_VALUE"""),"wechain-coin")</f>
        <v>wechain-coin</v>
      </c>
      <c r="B12534" s="3" t="str">
        <f>IFERROR(__xludf.DUMMYFUNCTION("""COMPUTED_VALUE"""),"wxtc")</f>
        <v>wxtc</v>
      </c>
      <c r="C12534" s="3" t="str">
        <f>IFERROR(__xludf.DUMMYFUNCTION("""COMPUTED_VALUE"""),"WeChain Coin")</f>
        <v>WeChain Coin</v>
      </c>
    </row>
    <row r="12535">
      <c r="A12535" s="3" t="str">
        <f>IFERROR(__xludf.DUMMYFUNCTION("""COMPUTED_VALUE"""),"wecoown")</f>
        <v>wecoown</v>
      </c>
      <c r="B12535" s="3" t="str">
        <f>IFERROR(__xludf.DUMMYFUNCTION("""COMPUTED_VALUE"""),"wcx")</f>
        <v>wcx</v>
      </c>
      <c r="C12535" s="3" t="str">
        <f>IFERROR(__xludf.DUMMYFUNCTION("""COMPUTED_VALUE"""),"WeCoOwn")</f>
        <v>WeCoOwn</v>
      </c>
    </row>
    <row r="12536">
      <c r="A12536" s="3" t="str">
        <f>IFERROR(__xludf.DUMMYFUNCTION("""COMPUTED_VALUE"""),"weentar")</f>
        <v>weentar</v>
      </c>
      <c r="B12536" s="3" t="str">
        <f>IFERROR(__xludf.DUMMYFUNCTION("""COMPUTED_VALUE"""),"wntr")</f>
        <v>wntr</v>
      </c>
      <c r="C12536" s="3" t="str">
        <f>IFERROR(__xludf.DUMMYFUNCTION("""COMPUTED_VALUE"""),"Weentar")</f>
        <v>Weentar</v>
      </c>
    </row>
    <row r="12537">
      <c r="A12537" s="3" t="str">
        <f>IFERROR(__xludf.DUMMYFUNCTION("""COMPUTED_VALUE"""),"ween-token")</f>
        <v>ween-token</v>
      </c>
      <c r="B12537" s="3" t="str">
        <f>IFERROR(__xludf.DUMMYFUNCTION("""COMPUTED_VALUE"""),"weens")</f>
        <v>weens</v>
      </c>
      <c r="C12537" s="3" t="str">
        <f>IFERROR(__xludf.DUMMYFUNCTION("""COMPUTED_VALUE"""),"Ween")</f>
        <v>Ween</v>
      </c>
    </row>
    <row r="12538">
      <c r="A12538" s="3" t="str">
        <f>IFERROR(__xludf.DUMMYFUNCTION("""COMPUTED_VALUE"""),"wegro")</f>
        <v>wegro</v>
      </c>
      <c r="B12538" s="3" t="str">
        <f>IFERROR(__xludf.DUMMYFUNCTION("""COMPUTED_VALUE"""),"wegro")</f>
        <v>wegro</v>
      </c>
      <c r="C12538" s="3" t="str">
        <f>IFERROR(__xludf.DUMMYFUNCTION("""COMPUTED_VALUE"""),"WeGro")</f>
        <v>WeGro</v>
      </c>
    </row>
    <row r="12539">
      <c r="A12539" s="3" t="str">
        <f>IFERROR(__xludf.DUMMYFUNCTION("""COMPUTED_VALUE"""),"wei")</f>
        <v>wei</v>
      </c>
      <c r="B12539" s="3" t="str">
        <f>IFERROR(__xludf.DUMMYFUNCTION("""COMPUTED_VALUE"""),"wei")</f>
        <v>wei</v>
      </c>
      <c r="C12539" s="3" t="str">
        <f>IFERROR(__xludf.DUMMYFUNCTION("""COMPUTED_VALUE"""),"WEI")</f>
        <v>WEI</v>
      </c>
    </row>
    <row r="12540">
      <c r="A12540" s="3" t="str">
        <f>IFERROR(__xludf.DUMMYFUNCTION("""COMPUTED_VALUE"""),"weld")</f>
        <v>weld</v>
      </c>
      <c r="B12540" s="3" t="str">
        <f>IFERROR(__xludf.DUMMYFUNCTION("""COMPUTED_VALUE"""),"weld")</f>
        <v>weld</v>
      </c>
      <c r="C12540" s="3" t="str">
        <f>IFERROR(__xludf.DUMMYFUNCTION("""COMPUTED_VALUE"""),"WELD")</f>
        <v>WELD</v>
      </c>
    </row>
    <row r="12541">
      <c r="A12541" s="3" t="str">
        <f>IFERROR(__xludf.DUMMYFUNCTION("""COMPUTED_VALUE"""),"wellness-convertible")</f>
        <v>wellness-convertible</v>
      </c>
      <c r="B12541" s="3" t="str">
        <f>IFERROR(__xludf.DUMMYFUNCTION("""COMPUTED_VALUE"""),"wcv")</f>
        <v>wcv</v>
      </c>
      <c r="C12541" s="3" t="str">
        <f>IFERROR(__xludf.DUMMYFUNCTION("""COMPUTED_VALUE"""),"Wellness Convertible")</f>
        <v>Wellness Convertible</v>
      </c>
    </row>
    <row r="12542">
      <c r="A12542" s="3" t="str">
        <f>IFERROR(__xludf.DUMMYFUNCTION("""COMPUTED_VALUE"""),"welltrado")</f>
        <v>welltrado</v>
      </c>
      <c r="B12542" s="3" t="str">
        <f>IFERROR(__xludf.DUMMYFUNCTION("""COMPUTED_VALUE"""),"wtl")</f>
        <v>wtl</v>
      </c>
      <c r="C12542" s="3" t="str">
        <f>IFERROR(__xludf.DUMMYFUNCTION("""COMPUTED_VALUE"""),"Welltrado")</f>
        <v>Welltrado</v>
      </c>
    </row>
    <row r="12543">
      <c r="A12543" s="3" t="str">
        <f>IFERROR(__xludf.DUMMYFUNCTION("""COMPUTED_VALUE"""),"we-love-gm")</f>
        <v>we-love-gm</v>
      </c>
      <c r="B12543" s="3" t="str">
        <f>IFERROR(__xludf.DUMMYFUNCTION("""COMPUTED_VALUE"""),"gm")</f>
        <v>gm</v>
      </c>
      <c r="C12543" s="3" t="str">
        <f>IFERROR(__xludf.DUMMYFUNCTION("""COMPUTED_VALUE"""),"we love gm")</f>
        <v>we love gm</v>
      </c>
    </row>
    <row r="12544">
      <c r="A12544" s="3" t="str">
        <f>IFERROR(__xludf.DUMMYFUNCTION("""COMPUTED_VALUE"""),"welups-blockchain")</f>
        <v>welups-blockchain</v>
      </c>
      <c r="B12544" s="3" t="str">
        <f>IFERROR(__xludf.DUMMYFUNCTION("""COMPUTED_VALUE"""),"welups")</f>
        <v>welups</v>
      </c>
      <c r="C12544" s="3" t="str">
        <f>IFERROR(__xludf.DUMMYFUNCTION("""COMPUTED_VALUE"""),"Welups Blockchain")</f>
        <v>Welups Blockchain</v>
      </c>
    </row>
    <row r="12545">
      <c r="A12545" s="3" t="str">
        <f>IFERROR(__xludf.DUMMYFUNCTION("""COMPUTED_VALUE"""),"wemergetoken")</f>
        <v>wemergetoken</v>
      </c>
      <c r="B12545" s="3" t="str">
        <f>IFERROR(__xludf.DUMMYFUNCTION("""COMPUTED_VALUE"""),"mrg")</f>
        <v>mrg</v>
      </c>
      <c r="C12545" s="3" t="str">
        <f>IFERROR(__xludf.DUMMYFUNCTION("""COMPUTED_VALUE"""),"WemergeToken")</f>
        <v>WemergeToken</v>
      </c>
    </row>
    <row r="12546">
      <c r="A12546" s="3" t="str">
        <f>IFERROR(__xludf.DUMMYFUNCTION("""COMPUTED_VALUE"""),"wemix-token")</f>
        <v>wemix-token</v>
      </c>
      <c r="B12546" s="3" t="str">
        <f>IFERROR(__xludf.DUMMYFUNCTION("""COMPUTED_VALUE"""),"wemix")</f>
        <v>wemix</v>
      </c>
      <c r="C12546" s="3" t="str">
        <f>IFERROR(__xludf.DUMMYFUNCTION("""COMPUTED_VALUE"""),"WEMIX")</f>
        <v>WEMIX</v>
      </c>
    </row>
    <row r="12547">
      <c r="A12547" s="3" t="str">
        <f>IFERROR(__xludf.DUMMYFUNCTION("""COMPUTED_VALUE"""),"wenlambo-2")</f>
        <v>wenlambo-2</v>
      </c>
      <c r="B12547" s="3" t="str">
        <f>IFERROR(__xludf.DUMMYFUNCTION("""COMPUTED_VALUE"""),"wlbo")</f>
        <v>wlbo</v>
      </c>
      <c r="C12547" s="3" t="str">
        <f>IFERROR(__xludf.DUMMYFUNCTION("""COMPUTED_VALUE"""),"Wenlambo")</f>
        <v>Wenlambo</v>
      </c>
    </row>
    <row r="12548">
      <c r="A12548" s="3" t="str">
        <f>IFERROR(__xludf.DUMMYFUNCTION("""COMPUTED_VALUE"""),"wenmoon")</f>
        <v>wenmoon</v>
      </c>
      <c r="B12548" s="3" t="str">
        <f>IFERROR(__xludf.DUMMYFUNCTION("""COMPUTED_VALUE"""),"wm")</f>
        <v>wm</v>
      </c>
      <c r="C12548" s="3" t="str">
        <f>IFERROR(__xludf.DUMMYFUNCTION("""COMPUTED_VALUE"""),"WenMoon")</f>
        <v>WenMoon</v>
      </c>
    </row>
    <row r="12549">
      <c r="A12549" s="3" t="str">
        <f>IFERROR(__xludf.DUMMYFUNCTION("""COMPUTED_VALUE"""),"wepiggy-coin")</f>
        <v>wepiggy-coin</v>
      </c>
      <c r="B12549" s="3" t="str">
        <f>IFERROR(__xludf.DUMMYFUNCTION("""COMPUTED_VALUE"""),"wpc")</f>
        <v>wpc</v>
      </c>
      <c r="C12549" s="3" t="str">
        <f>IFERROR(__xludf.DUMMYFUNCTION("""COMPUTED_VALUE"""),"WePiggy Coin")</f>
        <v>WePiggy Coin</v>
      </c>
    </row>
    <row r="12550">
      <c r="A12550" s="3" t="str">
        <f>IFERROR(__xludf.DUMMYFUNCTION("""COMPUTED_VALUE"""),"wepower")</f>
        <v>wepower</v>
      </c>
      <c r="B12550" s="3" t="str">
        <f>IFERROR(__xludf.DUMMYFUNCTION("""COMPUTED_VALUE"""),"wpr")</f>
        <v>wpr</v>
      </c>
      <c r="C12550" s="3" t="str">
        <f>IFERROR(__xludf.DUMMYFUNCTION("""COMPUTED_VALUE"""),"WePower")</f>
        <v>WePower</v>
      </c>
    </row>
    <row r="12551">
      <c r="A12551" s="3" t="str">
        <f>IFERROR(__xludf.DUMMYFUNCTION("""COMPUTED_VALUE"""),"werewolves-game")</f>
        <v>werewolves-game</v>
      </c>
      <c r="B12551" s="3" t="str">
        <f>IFERROR(__xludf.DUMMYFUNCTION("""COMPUTED_VALUE"""),"wolf")</f>
        <v>wolf</v>
      </c>
      <c r="C12551" s="3" t="str">
        <f>IFERROR(__xludf.DUMMYFUNCTION("""COMPUTED_VALUE"""),"Werewolves Game")</f>
        <v>Werewolves Game</v>
      </c>
    </row>
    <row r="12552">
      <c r="A12552" s="3" t="str">
        <f>IFERROR(__xludf.DUMMYFUNCTION("""COMPUTED_VALUE"""),"westarter")</f>
        <v>westarter</v>
      </c>
      <c r="B12552" s="3" t="str">
        <f>IFERROR(__xludf.DUMMYFUNCTION("""COMPUTED_VALUE"""),"war")</f>
        <v>war</v>
      </c>
      <c r="C12552" s="3" t="str">
        <f>IFERROR(__xludf.DUMMYFUNCTION("""COMPUTED_VALUE"""),"WeStarter")</f>
        <v>WeStarter</v>
      </c>
    </row>
    <row r="12553">
      <c r="A12553" s="3" t="str">
        <f>IFERROR(__xludf.DUMMYFUNCTION("""COMPUTED_VALUE"""),"weta-vr")</f>
        <v>weta-vr</v>
      </c>
      <c r="B12553" s="3" t="str">
        <f>IFERROR(__xludf.DUMMYFUNCTION("""COMPUTED_VALUE"""),"weta")</f>
        <v>weta</v>
      </c>
      <c r="C12553" s="3" t="str">
        <f>IFERROR(__xludf.DUMMYFUNCTION("""COMPUTED_VALUE"""),"WETA VR")</f>
        <v>WETA VR</v>
      </c>
    </row>
    <row r="12554">
      <c r="A12554" s="3" t="str">
        <f>IFERROR(__xludf.DUMMYFUNCTION("""COMPUTED_VALUE"""),"wetc-hebeswap")</f>
        <v>wetc-hebeswap</v>
      </c>
      <c r="B12554" s="3" t="str">
        <f>IFERROR(__xludf.DUMMYFUNCTION("""COMPUTED_VALUE"""),"wetc")</f>
        <v>wetc</v>
      </c>
      <c r="C12554" s="3" t="str">
        <f>IFERROR(__xludf.DUMMYFUNCTION("""COMPUTED_VALUE"""),"WETC (HebeSwap)")</f>
        <v>WETC (HebeSwap)</v>
      </c>
    </row>
    <row r="12555">
      <c r="A12555" s="3" t="str">
        <f>IFERROR(__xludf.DUMMYFUNCTION("""COMPUTED_VALUE"""),"weth")</f>
        <v>weth</v>
      </c>
      <c r="B12555" s="3" t="str">
        <f>IFERROR(__xludf.DUMMYFUNCTION("""COMPUTED_VALUE"""),"weth")</f>
        <v>weth</v>
      </c>
      <c r="C12555" s="3" t="str">
        <f>IFERROR(__xludf.DUMMYFUNCTION("""COMPUTED_VALUE"""),"WETH")</f>
        <v>WETH</v>
      </c>
    </row>
    <row r="12556">
      <c r="A12556" s="3" t="str">
        <f>IFERROR(__xludf.DUMMYFUNCTION("""COMPUTED_VALUE"""),"wetrust")</f>
        <v>wetrust</v>
      </c>
      <c r="B12556" s="3" t="str">
        <f>IFERROR(__xludf.DUMMYFUNCTION("""COMPUTED_VALUE"""),"trst")</f>
        <v>trst</v>
      </c>
      <c r="C12556" s="3" t="str">
        <f>IFERROR(__xludf.DUMMYFUNCTION("""COMPUTED_VALUE"""),"WeTrust")</f>
        <v>WeTrust</v>
      </c>
    </row>
    <row r="12557">
      <c r="A12557" s="3" t="str">
        <f>IFERROR(__xludf.DUMMYFUNCTION("""COMPUTED_VALUE"""),"wettok-market")</f>
        <v>wettok-market</v>
      </c>
      <c r="B12557" s="3" t="str">
        <f>IFERROR(__xludf.DUMMYFUNCTION("""COMPUTED_VALUE"""),"wto")</f>
        <v>wto</v>
      </c>
      <c r="C12557" s="3" t="str">
        <f>IFERROR(__xludf.DUMMYFUNCTION("""COMPUTED_VALUE"""),"Wettok Market")</f>
        <v>Wettok Market</v>
      </c>
    </row>
    <row r="12558">
      <c r="A12558" s="3" t="str">
        <f>IFERROR(__xludf.DUMMYFUNCTION("""COMPUTED_VALUE"""),"wetux")</f>
        <v>wetux</v>
      </c>
      <c r="B12558" s="3" t="str">
        <f>IFERROR(__xludf.DUMMYFUNCTION("""COMPUTED_VALUE"""),"wetux")</f>
        <v>wetux</v>
      </c>
      <c r="C12558" s="3" t="str">
        <f>IFERROR(__xludf.DUMMYFUNCTION("""COMPUTED_VALUE"""),"WETUX")</f>
        <v>WETUX</v>
      </c>
    </row>
    <row r="12559">
      <c r="A12559" s="3" t="str">
        <f>IFERROR(__xludf.DUMMYFUNCTION("""COMPUTED_VALUE"""),"weway")</f>
        <v>weway</v>
      </c>
      <c r="B12559" s="3" t="str">
        <f>IFERROR(__xludf.DUMMYFUNCTION("""COMPUTED_VALUE"""),"wwy")</f>
        <v>wwy</v>
      </c>
      <c r="C12559" s="3" t="str">
        <f>IFERROR(__xludf.DUMMYFUNCTION("""COMPUTED_VALUE"""),"WeWay")</f>
        <v>WeWay</v>
      </c>
    </row>
    <row r="12560">
      <c r="A12560" s="3" t="str">
        <f>IFERROR(__xludf.DUMMYFUNCTION("""COMPUTED_VALUE"""),"weyu")</f>
        <v>weyu</v>
      </c>
      <c r="B12560" s="3" t="str">
        <f>IFERROR(__xludf.DUMMYFUNCTION("""COMPUTED_VALUE"""),"weyu")</f>
        <v>weyu</v>
      </c>
      <c r="C12560" s="3" t="str">
        <f>IFERROR(__xludf.DUMMYFUNCTION("""COMPUTED_VALUE"""),"WEYU")</f>
        <v>WEYU</v>
      </c>
    </row>
    <row r="12561">
      <c r="A12561" s="3" t="str">
        <f>IFERROR(__xludf.DUMMYFUNCTION("""COMPUTED_VALUE"""),"wgmi")</f>
        <v>wgmi</v>
      </c>
      <c r="B12561" s="3" t="str">
        <f>IFERROR(__xludf.DUMMYFUNCTION("""COMPUTED_VALUE"""),"wgmi")</f>
        <v>wgmi</v>
      </c>
      <c r="C12561" s="3" t="str">
        <f>IFERROR(__xludf.DUMMYFUNCTION("""COMPUTED_VALUE"""),"WGMI")</f>
        <v>WGMI</v>
      </c>
    </row>
    <row r="12562">
      <c r="A12562" s="3" t="str">
        <f>IFERROR(__xludf.DUMMYFUNCTION("""COMPUTED_VALUE"""),"whale")</f>
        <v>whale</v>
      </c>
      <c r="B12562" s="3" t="str">
        <f>IFERROR(__xludf.DUMMYFUNCTION("""COMPUTED_VALUE"""),"whale")</f>
        <v>whale</v>
      </c>
      <c r="C12562" s="3" t="str">
        <f>IFERROR(__xludf.DUMMYFUNCTION("""COMPUTED_VALUE"""),"WHALE")</f>
        <v>WHALE</v>
      </c>
    </row>
    <row r="12563">
      <c r="A12563" s="3" t="str">
        <f>IFERROR(__xludf.DUMMYFUNCTION("""COMPUTED_VALUE"""),"whale-coin")</f>
        <v>whale-coin</v>
      </c>
      <c r="B12563" s="3" t="str">
        <f>IFERROR(__xludf.DUMMYFUNCTION("""COMPUTED_VALUE"""),"whale")</f>
        <v>whale</v>
      </c>
      <c r="C12563" s="3" t="str">
        <f>IFERROR(__xludf.DUMMYFUNCTION("""COMPUTED_VALUE"""),"Whale Coin")</f>
        <v>Whale Coin</v>
      </c>
    </row>
    <row r="12564">
      <c r="A12564" s="3" t="str">
        <f>IFERROR(__xludf.DUMMYFUNCTION("""COMPUTED_VALUE"""),"whale-fall")</f>
        <v>whale-fall</v>
      </c>
      <c r="B12564" s="3" t="str">
        <f>IFERROR(__xludf.DUMMYFUNCTION("""COMPUTED_VALUE"""),"whale")</f>
        <v>whale</v>
      </c>
      <c r="C12564" s="3" t="str">
        <f>IFERROR(__xludf.DUMMYFUNCTION("""COMPUTED_VALUE"""),"Whale Fall")</f>
        <v>Whale Fall</v>
      </c>
    </row>
    <row r="12565">
      <c r="A12565" s="3" t="str">
        <f>IFERROR(__xludf.DUMMYFUNCTION("""COMPUTED_VALUE"""),"whale-maker-fund")</f>
        <v>whale-maker-fund</v>
      </c>
      <c r="B12565" s="3" t="str">
        <f>IFERROR(__xludf.DUMMYFUNCTION("""COMPUTED_VALUE"""),"wmf")</f>
        <v>wmf</v>
      </c>
      <c r="C12565" s="3" t="str">
        <f>IFERROR(__xludf.DUMMYFUNCTION("""COMPUTED_VALUE"""),"Whale Maker Fund")</f>
        <v>Whale Maker Fund</v>
      </c>
    </row>
    <row r="12566">
      <c r="A12566" s="3" t="str">
        <f>IFERROR(__xludf.DUMMYFUNCTION("""COMPUTED_VALUE"""),"whalemap")</f>
        <v>whalemap</v>
      </c>
      <c r="B12566" s="3" t="str">
        <f>IFERROR(__xludf.DUMMYFUNCTION("""COMPUTED_VALUE"""),"wmp")</f>
        <v>wmp</v>
      </c>
      <c r="C12566" s="3" t="str">
        <f>IFERROR(__xludf.DUMMYFUNCTION("""COMPUTED_VALUE"""),"Whalemap")</f>
        <v>Whalemap</v>
      </c>
    </row>
    <row r="12567">
      <c r="A12567" s="3" t="str">
        <f>IFERROR(__xludf.DUMMYFUNCTION("""COMPUTED_VALUE"""),"whaleroom")</f>
        <v>whaleroom</v>
      </c>
      <c r="B12567" s="3" t="str">
        <f>IFERROR(__xludf.DUMMYFUNCTION("""COMPUTED_VALUE"""),"whl")</f>
        <v>whl</v>
      </c>
      <c r="C12567" s="3" t="str">
        <f>IFERROR(__xludf.DUMMYFUNCTION("""COMPUTED_VALUE"""),"WhaleRoom")</f>
        <v>WhaleRoom</v>
      </c>
    </row>
    <row r="12568">
      <c r="A12568" s="3" t="str">
        <f>IFERROR(__xludf.DUMMYFUNCTION("""COMPUTED_VALUE"""),"whalestreet-shrimp-token")</f>
        <v>whalestreet-shrimp-token</v>
      </c>
      <c r="B12568" s="3" t="str">
        <f>IFERROR(__xludf.DUMMYFUNCTION("""COMPUTED_VALUE"""),"$hrimp")</f>
        <v>$hrimp</v>
      </c>
      <c r="C12568" s="3" t="str">
        <f>IFERROR(__xludf.DUMMYFUNCTION("""COMPUTED_VALUE"""),"WhaleStreet $hrimp")</f>
        <v>WhaleStreet $hrimp</v>
      </c>
    </row>
    <row r="12569">
      <c r="A12569" s="3" t="str">
        <f>IFERROR(__xludf.DUMMYFUNCTION("""COMPUTED_VALUE"""),"whaleswap")</f>
        <v>whaleswap</v>
      </c>
      <c r="B12569" s="3" t="str">
        <f>IFERROR(__xludf.DUMMYFUNCTION("""COMPUTED_VALUE"""),"pod")</f>
        <v>pod</v>
      </c>
      <c r="C12569" s="3" t="str">
        <f>IFERROR(__xludf.DUMMYFUNCTION("""COMPUTED_VALUE"""),"WhaleSwap")</f>
        <v>WhaleSwap</v>
      </c>
    </row>
    <row r="12570">
      <c r="A12570" s="3" t="str">
        <f>IFERROR(__xludf.DUMMYFUNCTION("""COMPUTED_VALUE"""),"whale-vault-nftx")</f>
        <v>whale-vault-nftx</v>
      </c>
      <c r="B12570" s="3" t="str">
        <f>IFERROR(__xludf.DUMMYFUNCTION("""COMPUTED_VALUE"""),"whale")</f>
        <v>whale</v>
      </c>
      <c r="C12570" s="3" t="str">
        <f>IFERROR(__xludf.DUMMYFUNCTION("""COMPUTED_VALUE"""),"WHALE Vault (NFTX)")</f>
        <v>WHALE Vault (NFTX)</v>
      </c>
    </row>
    <row r="12571">
      <c r="A12571" s="3" t="str">
        <f>IFERROR(__xludf.DUMMYFUNCTION("""COMPUTED_VALUE"""),"wheat-token")</f>
        <v>wheat-token</v>
      </c>
      <c r="B12571" s="3" t="str">
        <f>IFERROR(__xludf.DUMMYFUNCTION("""COMPUTED_VALUE"""),"wheat")</f>
        <v>wheat</v>
      </c>
      <c r="C12571" s="3" t="str">
        <f>IFERROR(__xludf.DUMMYFUNCTION("""COMPUTED_VALUE"""),"Wheat (BSC)")</f>
        <v>Wheat (BSC)</v>
      </c>
    </row>
    <row r="12572">
      <c r="A12572" s="3" t="str">
        <f>IFERROR(__xludf.DUMMYFUNCTION("""COMPUTED_VALUE"""),"wheelers")</f>
        <v>wheelers</v>
      </c>
      <c r="B12572" s="3" t="str">
        <f>IFERROR(__xludf.DUMMYFUNCTION("""COMPUTED_VALUE"""),"wheel")</f>
        <v>wheel</v>
      </c>
      <c r="C12572" s="3" t="str">
        <f>IFERROR(__xludf.DUMMYFUNCTION("""COMPUTED_VALUE"""),"Wheelers")</f>
        <v>Wheelers</v>
      </c>
    </row>
    <row r="12573">
      <c r="A12573" s="3" t="str">
        <f>IFERROR(__xludf.DUMMYFUNCTION("""COMPUTED_VALUE"""),"when-token")</f>
        <v>when-token</v>
      </c>
      <c r="B12573" s="3" t="str">
        <f>IFERROR(__xludf.DUMMYFUNCTION("""COMPUTED_VALUE"""),"when")</f>
        <v>when</v>
      </c>
      <c r="C12573" s="3" t="str">
        <f>IFERROR(__xludf.DUMMYFUNCTION("""COMPUTED_VALUE"""),"WhenHub")</f>
        <v>WhenHub</v>
      </c>
    </row>
    <row r="12574">
      <c r="A12574" s="3" t="str">
        <f>IFERROR(__xludf.DUMMYFUNCTION("""COMPUTED_VALUE"""),"whey")</f>
        <v>whey</v>
      </c>
      <c r="B12574" s="3" t="str">
        <f>IFERROR(__xludf.DUMMYFUNCTION("""COMPUTED_VALUE"""),"whey")</f>
        <v>whey</v>
      </c>
      <c r="C12574" s="3" t="str">
        <f>IFERROR(__xludf.DUMMYFUNCTION("""COMPUTED_VALUE"""),"WHEY")</f>
        <v>WHEY</v>
      </c>
    </row>
    <row r="12575">
      <c r="A12575" s="3" t="str">
        <f>IFERROR(__xludf.DUMMYFUNCTION("""COMPUTED_VALUE"""),"whey-token")</f>
        <v>whey-token</v>
      </c>
      <c r="B12575" s="3" t="str">
        <f>IFERROR(__xludf.DUMMYFUNCTION("""COMPUTED_VALUE"""),"whey")</f>
        <v>whey</v>
      </c>
      <c r="C12575" s="3" t="str">
        <f>IFERROR(__xludf.DUMMYFUNCTION("""COMPUTED_VALUE"""),"Shredded Apes Whey")</f>
        <v>Shredded Apes Whey</v>
      </c>
    </row>
    <row r="12576">
      <c r="A12576" s="3" t="str">
        <f>IFERROR(__xludf.DUMMYFUNCTION("""COMPUTED_VALUE"""),"whirl-finance")</f>
        <v>whirl-finance</v>
      </c>
      <c r="B12576" s="3" t="str">
        <f>IFERROR(__xludf.DUMMYFUNCTION("""COMPUTED_VALUE"""),"whirl")</f>
        <v>whirl</v>
      </c>
      <c r="C12576" s="3" t="str">
        <f>IFERROR(__xludf.DUMMYFUNCTION("""COMPUTED_VALUE"""),"Whirl Finance")</f>
        <v>Whirl Finance</v>
      </c>
    </row>
    <row r="12577">
      <c r="A12577" s="3" t="str">
        <f>IFERROR(__xludf.DUMMYFUNCTION("""COMPUTED_VALUE"""),"whitebit")</f>
        <v>whitebit</v>
      </c>
      <c r="B12577" s="3" t="str">
        <f>IFERROR(__xludf.DUMMYFUNCTION("""COMPUTED_VALUE"""),"wbt")</f>
        <v>wbt</v>
      </c>
      <c r="C12577" s="3" t="str">
        <f>IFERROR(__xludf.DUMMYFUNCTION("""COMPUTED_VALUE"""),"WhiteBIT Token")</f>
        <v>WhiteBIT Token</v>
      </c>
    </row>
    <row r="12578">
      <c r="A12578" s="3" t="str">
        <f>IFERROR(__xludf.DUMMYFUNCTION("""COMPUTED_VALUE"""),"whitecoin")</f>
        <v>whitecoin</v>
      </c>
      <c r="B12578" s="3" t="str">
        <f>IFERROR(__xludf.DUMMYFUNCTION("""COMPUTED_VALUE"""),"xwc")</f>
        <v>xwc</v>
      </c>
      <c r="C12578" s="3" t="str">
        <f>IFERROR(__xludf.DUMMYFUNCTION("""COMPUTED_VALUE"""),"Whitecoin")</f>
        <v>Whitecoin</v>
      </c>
    </row>
    <row r="12579">
      <c r="A12579" s="3" t="str">
        <f>IFERROR(__xludf.DUMMYFUNCTION("""COMPUTED_VALUE"""),"white-ethereum")</f>
        <v>white-ethereum</v>
      </c>
      <c r="B12579" s="3" t="str">
        <f>IFERROR(__xludf.DUMMYFUNCTION("""COMPUTED_VALUE"""),"white")</f>
        <v>white</v>
      </c>
      <c r="C12579" s="3" t="str">
        <f>IFERROR(__xludf.DUMMYFUNCTION("""COMPUTED_VALUE"""),"White Ethereum")</f>
        <v>White Ethereum</v>
      </c>
    </row>
    <row r="12580">
      <c r="A12580" s="3" t="str">
        <f>IFERROR(__xludf.DUMMYFUNCTION("""COMPUTED_VALUE"""),"whiteheart")</f>
        <v>whiteheart</v>
      </c>
      <c r="B12580" s="3" t="str">
        <f>IFERROR(__xludf.DUMMYFUNCTION("""COMPUTED_VALUE"""),"white")</f>
        <v>white</v>
      </c>
      <c r="C12580" s="3" t="str">
        <f>IFERROR(__xludf.DUMMYFUNCTION("""COMPUTED_VALUE"""),"Whiteheart")</f>
        <v>Whiteheart</v>
      </c>
    </row>
    <row r="12581">
      <c r="A12581" s="3" t="str">
        <f>IFERROR(__xludf.DUMMYFUNCTION("""COMPUTED_VALUE"""),"whiteswap")</f>
        <v>whiteswap</v>
      </c>
      <c r="B12581" s="3" t="str">
        <f>IFERROR(__xludf.DUMMYFUNCTION("""COMPUTED_VALUE"""),"wsd")</f>
        <v>wsd</v>
      </c>
      <c r="C12581" s="3" t="str">
        <f>IFERROR(__xludf.DUMMYFUNCTION("""COMPUTED_VALUE"""),"WhiteSwap")</f>
        <v>WhiteSwap</v>
      </c>
    </row>
    <row r="12582">
      <c r="A12582" s="3" t="str">
        <f>IFERROR(__xludf.DUMMYFUNCTION("""COMPUTED_VALUE"""),"whitex")</f>
        <v>whitex</v>
      </c>
      <c r="B12582" s="3" t="str">
        <f>IFERROR(__xludf.DUMMYFUNCTION("""COMPUTED_VALUE"""),"whx")</f>
        <v>whx</v>
      </c>
      <c r="C12582" s="3" t="str">
        <f>IFERROR(__xludf.DUMMYFUNCTION("""COMPUTED_VALUE"""),"WhiteX")</f>
        <v>WhiteX</v>
      </c>
    </row>
    <row r="12583">
      <c r="A12583" s="3" t="str">
        <f>IFERROR(__xludf.DUMMYFUNCTION("""COMPUTED_VALUE"""),"whive")</f>
        <v>whive</v>
      </c>
      <c r="B12583" s="3" t="str">
        <f>IFERROR(__xludf.DUMMYFUNCTION("""COMPUTED_VALUE"""),"whive")</f>
        <v>whive</v>
      </c>
      <c r="C12583" s="3" t="str">
        <f>IFERROR(__xludf.DUMMYFUNCTION("""COMPUTED_VALUE"""),"Whive")</f>
        <v>Whive</v>
      </c>
    </row>
    <row r="12584">
      <c r="A12584" s="3" t="str">
        <f>IFERROR(__xludf.DUMMYFUNCTION("""COMPUTED_VALUE"""),"whole-earth-coin")</f>
        <v>whole-earth-coin</v>
      </c>
      <c r="B12584" s="3" t="str">
        <f>IFERROR(__xludf.DUMMYFUNCTION("""COMPUTED_VALUE"""),"wec")</f>
        <v>wec</v>
      </c>
      <c r="C12584" s="3" t="str">
        <f>IFERROR(__xludf.DUMMYFUNCTION("""COMPUTED_VALUE"""),"Whole Earth Coin")</f>
        <v>Whole Earth Coin</v>
      </c>
    </row>
    <row r="12585">
      <c r="A12585" s="3" t="str">
        <f>IFERROR(__xludf.DUMMYFUNCTION("""COMPUTED_VALUE"""),"whole-network")</f>
        <v>whole-network</v>
      </c>
      <c r="B12585" s="3" t="str">
        <f>IFERROR(__xludf.DUMMYFUNCTION("""COMPUTED_VALUE"""),"node")</f>
        <v>node</v>
      </c>
      <c r="C12585" s="3" t="str">
        <f>IFERROR(__xludf.DUMMYFUNCTION("""COMPUTED_VALUE"""),"Whole Network")</f>
        <v>Whole Network</v>
      </c>
    </row>
    <row r="12586">
      <c r="A12586" s="3" t="str">
        <f>IFERROR(__xludf.DUMMYFUNCTION("""COMPUTED_VALUE"""),"wibx")</f>
        <v>wibx</v>
      </c>
      <c r="B12586" s="3" t="str">
        <f>IFERROR(__xludf.DUMMYFUNCTION("""COMPUTED_VALUE"""),"wbx")</f>
        <v>wbx</v>
      </c>
      <c r="C12586" s="3" t="str">
        <f>IFERROR(__xludf.DUMMYFUNCTION("""COMPUTED_VALUE"""),"WiBX")</f>
        <v>WiBX</v>
      </c>
    </row>
    <row r="12587">
      <c r="A12587" s="3" t="str">
        <f>IFERROR(__xludf.DUMMYFUNCTION("""COMPUTED_VALUE"""),"wicrypt")</f>
        <v>wicrypt</v>
      </c>
      <c r="B12587" s="3" t="str">
        <f>IFERROR(__xludf.DUMMYFUNCTION("""COMPUTED_VALUE"""),"wnt")</f>
        <v>wnt</v>
      </c>
      <c r="C12587" s="3" t="str">
        <f>IFERROR(__xludf.DUMMYFUNCTION("""COMPUTED_VALUE"""),"Wicrypt")</f>
        <v>Wicrypt</v>
      </c>
    </row>
    <row r="12588">
      <c r="A12588" s="3" t="str">
        <f>IFERROR(__xludf.DUMMYFUNCTION("""COMPUTED_VALUE"""),"widiland")</f>
        <v>widiland</v>
      </c>
      <c r="B12588" s="3" t="str">
        <f>IFERROR(__xludf.DUMMYFUNCTION("""COMPUTED_VALUE"""),"widi")</f>
        <v>widi</v>
      </c>
      <c r="C12588" s="3" t="str">
        <f>IFERROR(__xludf.DUMMYFUNCTION("""COMPUTED_VALUE"""),"WidiLand")</f>
        <v>WidiLand</v>
      </c>
    </row>
    <row r="12589">
      <c r="A12589" s="3" t="str">
        <f>IFERROR(__xludf.DUMMYFUNCTION("""COMPUTED_VALUE"""),"widi-soul")</f>
        <v>widi-soul</v>
      </c>
      <c r="B12589" s="3" t="str">
        <f>IFERROR(__xludf.DUMMYFUNCTION("""COMPUTED_VALUE"""),"wso")</f>
        <v>wso</v>
      </c>
      <c r="C12589" s="3" t="str">
        <f>IFERROR(__xludf.DUMMYFUNCTION("""COMPUTED_VALUE"""),"Widi Soul")</f>
        <v>Widi Soul</v>
      </c>
    </row>
    <row r="12590">
      <c r="A12590" s="3" t="str">
        <f>IFERROR(__xludf.DUMMYFUNCTION("""COMPUTED_VALUE"""),"wifedoge")</f>
        <v>wifedoge</v>
      </c>
      <c r="B12590" s="3" t="str">
        <f>IFERROR(__xludf.DUMMYFUNCTION("""COMPUTED_VALUE"""),"wifedoge")</f>
        <v>wifedoge</v>
      </c>
      <c r="C12590" s="3" t="str">
        <f>IFERROR(__xludf.DUMMYFUNCTION("""COMPUTED_VALUE"""),"Wifedoge")</f>
        <v>Wifedoge</v>
      </c>
    </row>
    <row r="12591">
      <c r="A12591" s="3" t="str">
        <f>IFERROR(__xludf.DUMMYFUNCTION("""COMPUTED_VALUE"""),"wiggly-finance")</f>
        <v>wiggly-finance</v>
      </c>
      <c r="B12591" s="3" t="str">
        <f>IFERROR(__xludf.DUMMYFUNCTION("""COMPUTED_VALUE"""),"wgl")</f>
        <v>wgl</v>
      </c>
      <c r="C12591" s="3" t="str">
        <f>IFERROR(__xludf.DUMMYFUNCTION("""COMPUTED_VALUE"""),"Wiggly Finance")</f>
        <v>Wiggly Finance</v>
      </c>
    </row>
    <row r="12592">
      <c r="A12592" s="3" t="str">
        <f>IFERROR(__xludf.DUMMYFUNCTION("""COMPUTED_VALUE"""),"wigoswap")</f>
        <v>wigoswap</v>
      </c>
      <c r="B12592" s="3" t="str">
        <f>IFERROR(__xludf.DUMMYFUNCTION("""COMPUTED_VALUE"""),"wigo")</f>
        <v>wigo</v>
      </c>
      <c r="C12592" s="3" t="str">
        <f>IFERROR(__xludf.DUMMYFUNCTION("""COMPUTED_VALUE"""),"WigoSwap")</f>
        <v>WigoSwap</v>
      </c>
    </row>
    <row r="12593">
      <c r="A12593" s="3" t="str">
        <f>IFERROR(__xludf.DUMMYFUNCTION("""COMPUTED_VALUE"""),"wiix-coin")</f>
        <v>wiix-coin</v>
      </c>
      <c r="B12593" s="3" t="str">
        <f>IFERROR(__xludf.DUMMYFUNCTION("""COMPUTED_VALUE"""),"wxc")</f>
        <v>wxc</v>
      </c>
      <c r="C12593" s="3" t="str">
        <f>IFERROR(__xludf.DUMMYFUNCTION("""COMPUTED_VALUE"""),"WIIX Coin")</f>
        <v>WIIX Coin</v>
      </c>
    </row>
    <row r="12594">
      <c r="A12594" s="3" t="str">
        <f>IFERROR(__xludf.DUMMYFUNCTION("""COMPUTED_VALUE"""),"wiki-cat")</f>
        <v>wiki-cat</v>
      </c>
      <c r="B12594" s="3" t="str">
        <f>IFERROR(__xludf.DUMMYFUNCTION("""COMPUTED_VALUE"""),"wkc")</f>
        <v>wkc</v>
      </c>
      <c r="C12594" s="3" t="str">
        <f>IFERROR(__xludf.DUMMYFUNCTION("""COMPUTED_VALUE"""),"Wiki Cat")</f>
        <v>Wiki Cat</v>
      </c>
    </row>
    <row r="12595">
      <c r="A12595" s="3" t="str">
        <f>IFERROR(__xludf.DUMMYFUNCTION("""COMPUTED_VALUE"""),"wild-beast-block")</f>
        <v>wild-beast-block</v>
      </c>
      <c r="B12595" s="3" t="str">
        <f>IFERROR(__xludf.DUMMYFUNCTION("""COMPUTED_VALUE"""),"wbb")</f>
        <v>wbb</v>
      </c>
      <c r="C12595" s="3" t="str">
        <f>IFERROR(__xludf.DUMMYFUNCTION("""COMPUTED_VALUE"""),"Wild Beast Block")</f>
        <v>Wild Beast Block</v>
      </c>
    </row>
    <row r="12596">
      <c r="A12596" s="3" t="str">
        <f>IFERROR(__xludf.DUMMYFUNCTION("""COMPUTED_VALUE"""),"wilder-world")</f>
        <v>wilder-world</v>
      </c>
      <c r="B12596" s="3" t="str">
        <f>IFERROR(__xludf.DUMMYFUNCTION("""COMPUTED_VALUE"""),"wild")</f>
        <v>wild</v>
      </c>
      <c r="C12596" s="3" t="str">
        <f>IFERROR(__xludf.DUMMYFUNCTION("""COMPUTED_VALUE"""),"Wilder World")</f>
        <v>Wilder World</v>
      </c>
    </row>
    <row r="12597">
      <c r="A12597" s="3" t="str">
        <f>IFERROR(__xludf.DUMMYFUNCTION("""COMPUTED_VALUE"""),"wild-island-game")</f>
        <v>wild-island-game</v>
      </c>
      <c r="B12597" s="3" t="str">
        <f>IFERROR(__xludf.DUMMYFUNCTION("""COMPUTED_VALUE"""),"wild")</f>
        <v>wild</v>
      </c>
      <c r="C12597" s="3" t="str">
        <f>IFERROR(__xludf.DUMMYFUNCTION("""COMPUTED_VALUE"""),"Wild Island Game")</f>
        <v>Wild Island Game</v>
      </c>
    </row>
    <row r="12598">
      <c r="A12598" s="3" t="str">
        <f>IFERROR(__xludf.DUMMYFUNCTION("""COMPUTED_VALUE"""),"winbinary")</f>
        <v>winbinary</v>
      </c>
      <c r="B12598" s="3" t="str">
        <f>IFERROR(__xludf.DUMMYFUNCTION("""COMPUTED_VALUE"""),"winb")</f>
        <v>winb</v>
      </c>
      <c r="C12598" s="3" t="str">
        <f>IFERROR(__xludf.DUMMYFUNCTION("""COMPUTED_VALUE"""),"WinBinary")</f>
        <v>WinBinary</v>
      </c>
    </row>
    <row r="12599">
      <c r="A12599" s="3" t="str">
        <f>IFERROR(__xludf.DUMMYFUNCTION("""COMPUTED_VALUE"""),"winco")</f>
        <v>winco</v>
      </c>
      <c r="B12599" s="3" t="str">
        <f>IFERROR(__xludf.DUMMYFUNCTION("""COMPUTED_VALUE"""),"wco")</f>
        <v>wco</v>
      </c>
      <c r="C12599" s="3" t="str">
        <f>IFERROR(__xludf.DUMMYFUNCTION("""COMPUTED_VALUE"""),"Winco")</f>
        <v>Winco</v>
      </c>
    </row>
    <row r="12600">
      <c r="A12600" s="3" t="str">
        <f>IFERROR(__xludf.DUMMYFUNCTION("""COMPUTED_VALUE"""),"windex")</f>
        <v>windex</v>
      </c>
      <c r="B12600" s="3" t="str">
        <f>IFERROR(__xludf.DUMMYFUNCTION("""COMPUTED_VALUE"""),"wdex")</f>
        <v>wdex</v>
      </c>
      <c r="C12600" s="3" t="str">
        <f>IFERROR(__xludf.DUMMYFUNCTION("""COMPUTED_VALUE"""),"Windex")</f>
        <v>Windex</v>
      </c>
    </row>
    <row r="12601">
      <c r="A12601" s="3" t="str">
        <f>IFERROR(__xludf.DUMMYFUNCTION("""COMPUTED_VALUE"""),"windfall-token")</f>
        <v>windfall-token</v>
      </c>
      <c r="B12601" s="3" t="str">
        <f>IFERROR(__xludf.DUMMYFUNCTION("""COMPUTED_VALUE"""),"wft")</f>
        <v>wft</v>
      </c>
      <c r="C12601" s="3" t="str">
        <f>IFERROR(__xludf.DUMMYFUNCTION("""COMPUTED_VALUE"""),"Windfall")</f>
        <v>Windfall</v>
      </c>
    </row>
    <row r="12602">
      <c r="A12602" s="3" t="str">
        <f>IFERROR(__xludf.DUMMYFUNCTION("""COMPUTED_VALUE"""),"winding-tree")</f>
        <v>winding-tree</v>
      </c>
      <c r="B12602" s="3" t="str">
        <f>IFERROR(__xludf.DUMMYFUNCTION("""COMPUTED_VALUE"""),"lif")</f>
        <v>lif</v>
      </c>
      <c r="C12602" s="3" t="str">
        <f>IFERROR(__xludf.DUMMYFUNCTION("""COMPUTED_VALUE"""),"Lif")</f>
        <v>Lif</v>
      </c>
    </row>
    <row r="12603">
      <c r="A12603" s="3" t="str">
        <f>IFERROR(__xludf.DUMMYFUNCTION("""COMPUTED_VALUE"""),"windoge95")</f>
        <v>windoge95</v>
      </c>
      <c r="B12603" s="3" t="str">
        <f>IFERROR(__xludf.DUMMYFUNCTION("""COMPUTED_VALUE"""),"wndg95")</f>
        <v>wndg95</v>
      </c>
      <c r="C12603" s="3" t="str">
        <f>IFERROR(__xludf.DUMMYFUNCTION("""COMPUTED_VALUE"""),"Windoge95")</f>
        <v>Windoge95</v>
      </c>
    </row>
    <row r="12604">
      <c r="A12604" s="3" t="str">
        <f>IFERROR(__xludf.DUMMYFUNCTION("""COMPUTED_VALUE"""),"wine-protocol")</f>
        <v>wine-protocol</v>
      </c>
      <c r="B12604" s="3" t="str">
        <f>IFERROR(__xludf.DUMMYFUNCTION("""COMPUTED_VALUE"""),"wine")</f>
        <v>wine</v>
      </c>
      <c r="C12604" s="3" t="str">
        <f>IFERROR(__xludf.DUMMYFUNCTION("""COMPUTED_VALUE"""),"Wine Protocol")</f>
        <v>Wine Protocol</v>
      </c>
    </row>
    <row r="12605">
      <c r="A12605" s="3" t="str">
        <f>IFERROR(__xludf.DUMMYFUNCTION("""COMPUTED_VALUE"""),"winerz")</f>
        <v>winerz</v>
      </c>
      <c r="B12605" s="3" t="str">
        <f>IFERROR(__xludf.DUMMYFUNCTION("""COMPUTED_VALUE"""),"$wnz")</f>
        <v>$wnz</v>
      </c>
      <c r="C12605" s="3" t="str">
        <f>IFERROR(__xludf.DUMMYFUNCTION("""COMPUTED_VALUE"""),"Winerz")</f>
        <v>Winerz</v>
      </c>
    </row>
    <row r="12606">
      <c r="A12606" s="3" t="str">
        <f>IFERROR(__xludf.DUMMYFUNCTION("""COMPUTED_VALUE"""),"wine-shares")</f>
        <v>wine-shares</v>
      </c>
      <c r="B12606" s="3" t="str">
        <f>IFERROR(__xludf.DUMMYFUNCTION("""COMPUTED_VALUE"""),"wine")</f>
        <v>wine</v>
      </c>
      <c r="C12606" s="3" t="str">
        <f>IFERROR(__xludf.DUMMYFUNCTION("""COMPUTED_VALUE"""),"Wine Shares")</f>
        <v>Wine Shares</v>
      </c>
    </row>
    <row r="12607">
      <c r="A12607" s="3" t="str">
        <f>IFERROR(__xludf.DUMMYFUNCTION("""COMPUTED_VALUE"""),"wing-finance")</f>
        <v>wing-finance</v>
      </c>
      <c r="B12607" s="3" t="str">
        <f>IFERROR(__xludf.DUMMYFUNCTION("""COMPUTED_VALUE"""),"wing")</f>
        <v>wing</v>
      </c>
      <c r="C12607" s="3" t="str">
        <f>IFERROR(__xludf.DUMMYFUNCTION("""COMPUTED_VALUE"""),"Wing Finance")</f>
        <v>Wing Finance</v>
      </c>
    </row>
    <row r="12608">
      <c r="A12608" s="3" t="str">
        <f>IFERROR(__xludf.DUMMYFUNCTION("""COMPUTED_VALUE"""),"wingriders")</f>
        <v>wingriders</v>
      </c>
      <c r="B12608" s="3" t="str">
        <f>IFERROR(__xludf.DUMMYFUNCTION("""COMPUTED_VALUE"""),"wrt")</f>
        <v>wrt</v>
      </c>
      <c r="C12608" s="3" t="str">
        <f>IFERROR(__xludf.DUMMYFUNCTION("""COMPUTED_VALUE"""),"WingRiders")</f>
        <v>WingRiders</v>
      </c>
    </row>
    <row r="12609">
      <c r="A12609" s="3" t="str">
        <f>IFERROR(__xludf.DUMMYFUNCTION("""COMPUTED_VALUE"""),"wings")</f>
        <v>wings</v>
      </c>
      <c r="B12609" s="3" t="str">
        <f>IFERROR(__xludf.DUMMYFUNCTION("""COMPUTED_VALUE"""),"wings")</f>
        <v>wings</v>
      </c>
      <c r="C12609" s="3" t="str">
        <f>IFERROR(__xludf.DUMMYFUNCTION("""COMPUTED_VALUE"""),"Wings")</f>
        <v>Wings</v>
      </c>
    </row>
    <row r="12610">
      <c r="A12610" s="3" t="str">
        <f>IFERROR(__xludf.DUMMYFUNCTION("""COMPUTED_VALUE"""),"wingswap")</f>
        <v>wingswap</v>
      </c>
      <c r="B12610" s="3" t="str">
        <f>IFERROR(__xludf.DUMMYFUNCTION("""COMPUTED_VALUE"""),"wis")</f>
        <v>wis</v>
      </c>
      <c r="C12610" s="3" t="str">
        <f>IFERROR(__xludf.DUMMYFUNCTION("""COMPUTED_VALUE"""),"WingSwap")</f>
        <v>WingSwap</v>
      </c>
    </row>
    <row r="12611">
      <c r="A12611" s="3" t="str">
        <f>IFERROR(__xludf.DUMMYFUNCTION("""COMPUTED_VALUE"""),"wink")</f>
        <v>wink</v>
      </c>
      <c r="B12611" s="3" t="str">
        <f>IFERROR(__xludf.DUMMYFUNCTION("""COMPUTED_VALUE"""),"win")</f>
        <v>win</v>
      </c>
      <c r="C12611" s="3" t="str">
        <f>IFERROR(__xludf.DUMMYFUNCTION("""COMPUTED_VALUE"""),"WINkLink")</f>
        <v>WINkLink</v>
      </c>
    </row>
    <row r="12612">
      <c r="A12612" s="3" t="str">
        <f>IFERROR(__xludf.DUMMYFUNCTION("""COMPUTED_VALUE"""),"winklink-bsc")</f>
        <v>winklink-bsc</v>
      </c>
      <c r="B12612" s="3" t="str">
        <f>IFERROR(__xludf.DUMMYFUNCTION("""COMPUTED_VALUE"""),"win")</f>
        <v>win</v>
      </c>
      <c r="C12612" s="3" t="str">
        <f>IFERROR(__xludf.DUMMYFUNCTION("""COMPUTED_VALUE"""),"WINkLink BSC")</f>
        <v>WINkLink BSC</v>
      </c>
    </row>
    <row r="12613">
      <c r="A12613" s="3" t="str">
        <f>IFERROR(__xludf.DUMMYFUNCTION("""COMPUTED_VALUE"""),"winnow")</f>
        <v>winnow</v>
      </c>
      <c r="B12613" s="3" t="str">
        <f>IFERROR(__xludf.DUMMYFUNCTION("""COMPUTED_VALUE"""),"wnnw")</f>
        <v>wnnw</v>
      </c>
      <c r="C12613" s="3" t="str">
        <f>IFERROR(__xludf.DUMMYFUNCTION("""COMPUTED_VALUE"""),"WinNow")</f>
        <v>WinNow</v>
      </c>
    </row>
    <row r="12614">
      <c r="A12614" s="3" t="str">
        <f>IFERROR(__xludf.DUMMYFUNCTION("""COMPUTED_VALUE"""),"winry-inu")</f>
        <v>winry-inu</v>
      </c>
      <c r="B12614" s="3" t="str">
        <f>IFERROR(__xludf.DUMMYFUNCTION("""COMPUTED_VALUE"""),"winry")</f>
        <v>winry</v>
      </c>
      <c r="C12614" s="3" t="str">
        <f>IFERROR(__xludf.DUMMYFUNCTION("""COMPUTED_VALUE"""),"Winry Inu")</f>
        <v>Winry Inu</v>
      </c>
    </row>
    <row r="12615">
      <c r="A12615" s="3" t="str">
        <f>IFERROR(__xludf.DUMMYFUNCTION("""COMPUTED_VALUE"""),"winstars")</f>
        <v>winstars</v>
      </c>
      <c r="B12615" s="3" t="str">
        <f>IFERROR(__xludf.DUMMYFUNCTION("""COMPUTED_VALUE"""),"wnl")</f>
        <v>wnl</v>
      </c>
      <c r="C12615" s="3" t="str">
        <f>IFERROR(__xludf.DUMMYFUNCTION("""COMPUTED_VALUE"""),"WinStars Live")</f>
        <v>WinStars Live</v>
      </c>
    </row>
    <row r="12616">
      <c r="A12616" s="3" t="str">
        <f>IFERROR(__xludf.DUMMYFUNCTION("""COMPUTED_VALUE"""),"winter")</f>
        <v>winter</v>
      </c>
      <c r="B12616" s="3" t="str">
        <f>IFERROR(__xludf.DUMMYFUNCTION("""COMPUTED_VALUE"""),"winter")</f>
        <v>winter</v>
      </c>
      <c r="C12616" s="3" t="str">
        <f>IFERROR(__xludf.DUMMYFUNCTION("""COMPUTED_VALUE"""),"Winter")</f>
        <v>Winter</v>
      </c>
    </row>
    <row r="12617">
      <c r="A12617" s="3" t="str">
        <f>IFERROR(__xludf.DUMMYFUNCTION("""COMPUTED_VALUE"""),"winterdog")</f>
        <v>winterdog</v>
      </c>
      <c r="B12617" s="3" t="str">
        <f>IFERROR(__xludf.DUMMYFUNCTION("""COMPUTED_VALUE"""),"wdog")</f>
        <v>wdog</v>
      </c>
      <c r="C12617" s="3" t="str">
        <f>IFERROR(__xludf.DUMMYFUNCTION("""COMPUTED_VALUE"""),"Winterdog")</f>
        <v>Winterdog</v>
      </c>
    </row>
    <row r="12618">
      <c r="A12618" s="3" t="str">
        <f>IFERROR(__xludf.DUMMYFUNCTION("""COMPUTED_VALUE"""),"wipemyass")</f>
        <v>wipemyass</v>
      </c>
      <c r="B12618" s="3" t="str">
        <f>IFERROR(__xludf.DUMMYFUNCTION("""COMPUTED_VALUE"""),"wipe")</f>
        <v>wipe</v>
      </c>
      <c r="C12618" s="3" t="str">
        <f>IFERROR(__xludf.DUMMYFUNCTION("""COMPUTED_VALUE"""),"WipeMyAss")</f>
        <v>WipeMyAss</v>
      </c>
    </row>
    <row r="12619">
      <c r="A12619" s="3" t="str">
        <f>IFERROR(__xludf.DUMMYFUNCTION("""COMPUTED_VALUE"""),"wirex")</f>
        <v>wirex</v>
      </c>
      <c r="B12619" s="3" t="str">
        <f>IFERROR(__xludf.DUMMYFUNCTION("""COMPUTED_VALUE"""),"wxt")</f>
        <v>wxt</v>
      </c>
      <c r="C12619" s="3" t="str">
        <f>IFERROR(__xludf.DUMMYFUNCTION("""COMPUTED_VALUE"""),"WXT Token")</f>
        <v>WXT Token</v>
      </c>
    </row>
    <row r="12620">
      <c r="A12620" s="3" t="str">
        <f>IFERROR(__xludf.DUMMYFUNCTION("""COMPUTED_VALUE"""),"wirtual")</f>
        <v>wirtual</v>
      </c>
      <c r="B12620" s="3" t="str">
        <f>IFERROR(__xludf.DUMMYFUNCTION("""COMPUTED_VALUE"""),"wirtual")</f>
        <v>wirtual</v>
      </c>
      <c r="C12620" s="3" t="str">
        <f>IFERROR(__xludf.DUMMYFUNCTION("""COMPUTED_VALUE"""),"Wirtual")</f>
        <v>Wirtual</v>
      </c>
    </row>
    <row r="12621">
      <c r="A12621" s="3" t="str">
        <f>IFERROR(__xludf.DUMMYFUNCTION("""COMPUTED_VALUE"""),"wise-token11")</f>
        <v>wise-token11</v>
      </c>
      <c r="B12621" s="3" t="str">
        <f>IFERROR(__xludf.DUMMYFUNCTION("""COMPUTED_VALUE"""),"wise")</f>
        <v>wise</v>
      </c>
      <c r="C12621" s="3" t="str">
        <f>IFERROR(__xludf.DUMMYFUNCTION("""COMPUTED_VALUE"""),"Wise")</f>
        <v>Wise</v>
      </c>
    </row>
    <row r="12622">
      <c r="A12622" s="3" t="str">
        <f>IFERROR(__xludf.DUMMYFUNCTION("""COMPUTED_VALUE"""),"wish-finance-2")</f>
        <v>wish-finance-2</v>
      </c>
      <c r="B12622" s="3" t="str">
        <f>IFERROR(__xludf.DUMMYFUNCTION("""COMPUTED_VALUE"""),"wish")</f>
        <v>wish</v>
      </c>
      <c r="C12622" s="3" t="str">
        <f>IFERROR(__xludf.DUMMYFUNCTION("""COMPUTED_VALUE"""),"Wish Finance")</f>
        <v>Wish Finance</v>
      </c>
    </row>
    <row r="12623">
      <c r="A12623" s="3" t="str">
        <f>IFERROR(__xludf.DUMMYFUNCTION("""COMPUTED_VALUE"""),"wisteria-swap")</f>
        <v>wisteria-swap</v>
      </c>
      <c r="B12623" s="3" t="str">
        <f>IFERROR(__xludf.DUMMYFUNCTION("""COMPUTED_VALUE"""),"wst")</f>
        <v>wst</v>
      </c>
      <c r="C12623" s="3" t="str">
        <f>IFERROR(__xludf.DUMMYFUNCTION("""COMPUTED_VALUE"""),"Wisteria Swap")</f>
        <v>Wisteria Swap</v>
      </c>
    </row>
    <row r="12624">
      <c r="A12624" s="3" t="str">
        <f>IFERROR(__xludf.DUMMYFUNCTION("""COMPUTED_VALUE"""),"witchain")</f>
        <v>witchain</v>
      </c>
      <c r="B12624" s="3" t="str">
        <f>IFERROR(__xludf.DUMMYFUNCTION("""COMPUTED_VALUE"""),"wit")</f>
        <v>wit</v>
      </c>
      <c r="C12624" s="3" t="str">
        <f>IFERROR(__xludf.DUMMYFUNCTION("""COMPUTED_VALUE"""),"WITChain")</f>
        <v>WITChain</v>
      </c>
    </row>
    <row r="12625">
      <c r="A12625" s="3" t="str">
        <f>IFERROR(__xludf.DUMMYFUNCTION("""COMPUTED_VALUE"""),"witch-token")</f>
        <v>witch-token</v>
      </c>
      <c r="B12625" s="3" t="str">
        <f>IFERROR(__xludf.DUMMYFUNCTION("""COMPUTED_VALUE"""),"witch")</f>
        <v>witch</v>
      </c>
      <c r="C12625" s="3" t="str">
        <f>IFERROR(__xludf.DUMMYFUNCTION("""COMPUTED_VALUE"""),"Witch")</f>
        <v>Witch</v>
      </c>
    </row>
    <row r="12626">
      <c r="A12626" s="3" t="str">
        <f>IFERROR(__xludf.DUMMYFUNCTION("""COMPUTED_VALUE"""),"witnet")</f>
        <v>witnet</v>
      </c>
      <c r="B12626" s="3" t="str">
        <f>IFERROR(__xludf.DUMMYFUNCTION("""COMPUTED_VALUE"""),"wit")</f>
        <v>wit</v>
      </c>
      <c r="C12626" s="3" t="str">
        <f>IFERROR(__xludf.DUMMYFUNCTION("""COMPUTED_VALUE"""),"Witnet")</f>
        <v>Witnet</v>
      </c>
    </row>
    <row r="12627">
      <c r="A12627" s="3" t="str">
        <f>IFERROR(__xludf.DUMMYFUNCTION("""COMPUTED_VALUE"""),"wiva")</f>
        <v>wiva</v>
      </c>
      <c r="B12627" s="3" t="str">
        <f>IFERROR(__xludf.DUMMYFUNCTION("""COMPUTED_VALUE"""),"wiva")</f>
        <v>wiva</v>
      </c>
      <c r="C12627" s="3" t="str">
        <f>IFERROR(__xludf.DUMMYFUNCTION("""COMPUTED_VALUE"""),"WIVA")</f>
        <v>WIVA</v>
      </c>
    </row>
    <row r="12628">
      <c r="A12628" s="3" t="str">
        <f>IFERROR(__xludf.DUMMYFUNCTION("""COMPUTED_VALUE"""),"wixlar")</f>
        <v>wixlar</v>
      </c>
      <c r="B12628" s="3" t="str">
        <f>IFERROR(__xludf.DUMMYFUNCTION("""COMPUTED_VALUE"""),"wix")</f>
        <v>wix</v>
      </c>
      <c r="C12628" s="3" t="str">
        <f>IFERROR(__xludf.DUMMYFUNCTION("""COMPUTED_VALUE"""),"Wixlar")</f>
        <v>Wixlar</v>
      </c>
    </row>
    <row r="12629">
      <c r="A12629" s="3" t="str">
        <f>IFERROR(__xludf.DUMMYFUNCTION("""COMPUTED_VALUE"""),"wizardia")</f>
        <v>wizardia</v>
      </c>
      <c r="B12629" s="3" t="str">
        <f>IFERROR(__xludf.DUMMYFUNCTION("""COMPUTED_VALUE"""),"wzrd")</f>
        <v>wzrd</v>
      </c>
      <c r="C12629" s="3" t="str">
        <f>IFERROR(__xludf.DUMMYFUNCTION("""COMPUTED_VALUE"""),"Wizardia")</f>
        <v>Wizardia</v>
      </c>
    </row>
    <row r="12630">
      <c r="A12630" s="3" t="str">
        <f>IFERROR(__xludf.DUMMYFUNCTION("""COMPUTED_VALUE"""),"wizards-and-dragons")</f>
        <v>wizards-and-dragons</v>
      </c>
      <c r="B12630" s="3" t="str">
        <f>IFERROR(__xludf.DUMMYFUNCTION("""COMPUTED_VALUE"""),"gp")</f>
        <v>gp</v>
      </c>
      <c r="C12630" s="3" t="str">
        <f>IFERROR(__xludf.DUMMYFUNCTION("""COMPUTED_VALUE"""),"Wizards And Dragons")</f>
        <v>Wizards And Dragons</v>
      </c>
    </row>
    <row r="12631">
      <c r="A12631" s="3" t="str">
        <f>IFERROR(__xludf.DUMMYFUNCTION("""COMPUTED_VALUE"""),"wizard-token")</f>
        <v>wizard-token</v>
      </c>
      <c r="B12631" s="3" t="str">
        <f>IFERROR(__xludf.DUMMYFUNCTION("""COMPUTED_VALUE"""),"wizard")</f>
        <v>wizard</v>
      </c>
      <c r="C12631" s="3" t="str">
        <f>IFERROR(__xludf.DUMMYFUNCTION("""COMPUTED_VALUE"""),"Wizard BSC")</f>
        <v>Wizard BSC</v>
      </c>
    </row>
    <row r="12632">
      <c r="A12632" s="3" t="str">
        <f>IFERROR(__xludf.DUMMYFUNCTION("""COMPUTED_VALUE"""),"wizard-vault-nftx")</f>
        <v>wizard-vault-nftx</v>
      </c>
      <c r="B12632" s="3" t="str">
        <f>IFERROR(__xludf.DUMMYFUNCTION("""COMPUTED_VALUE"""),"wizard")</f>
        <v>wizard</v>
      </c>
      <c r="C12632" s="3" t="str">
        <f>IFERROR(__xludf.DUMMYFUNCTION("""COMPUTED_VALUE"""),"WIZARD Vault (NFTX)")</f>
        <v>WIZARD Vault (NFTX)</v>
      </c>
    </row>
    <row r="12633">
      <c r="A12633" s="3" t="str">
        <f>IFERROR(__xludf.DUMMYFUNCTION("""COMPUTED_VALUE"""),"wizarre-scroll")</f>
        <v>wizarre-scroll</v>
      </c>
      <c r="B12633" s="3" t="str">
        <f>IFERROR(__xludf.DUMMYFUNCTION("""COMPUTED_VALUE"""),"scrl")</f>
        <v>scrl</v>
      </c>
      <c r="C12633" s="3" t="str">
        <f>IFERROR(__xludf.DUMMYFUNCTION("""COMPUTED_VALUE"""),"Wizarre Scroll")</f>
        <v>Wizarre Scroll</v>
      </c>
    </row>
    <row r="12634">
      <c r="A12634" s="3" t="str">
        <f>IFERROR(__xludf.DUMMYFUNCTION("""COMPUTED_VALUE"""),"wjewel")</f>
        <v>wjewel</v>
      </c>
      <c r="B12634" s="3" t="str">
        <f>IFERROR(__xludf.DUMMYFUNCTION("""COMPUTED_VALUE"""),"wjewel")</f>
        <v>wjewel</v>
      </c>
      <c r="C12634" s="3" t="str">
        <f>IFERROR(__xludf.DUMMYFUNCTION("""COMPUTED_VALUE"""),"WJEWEL")</f>
        <v>WJEWEL</v>
      </c>
    </row>
    <row r="12635">
      <c r="A12635" s="3" t="str">
        <f>IFERROR(__xludf.DUMMYFUNCTION("""COMPUTED_VALUE"""),"wliti")</f>
        <v>wliti</v>
      </c>
      <c r="B12635" s="3" t="str">
        <f>IFERROR(__xludf.DUMMYFUNCTION("""COMPUTED_VALUE"""),"wliti")</f>
        <v>wliti</v>
      </c>
      <c r="C12635" s="3" t="str">
        <f>IFERROR(__xludf.DUMMYFUNCTION("""COMPUTED_VALUE"""),"wLITI")</f>
        <v>wLITI</v>
      </c>
    </row>
    <row r="12636">
      <c r="A12636" s="3" t="str">
        <f>IFERROR(__xludf.DUMMYFUNCTION("""COMPUTED_VALUE"""),"wlitidao")</f>
        <v>wlitidao</v>
      </c>
      <c r="B12636" s="3" t="str">
        <f>IFERROR(__xludf.DUMMYFUNCTION("""COMPUTED_VALUE"""),"wld")</f>
        <v>wld</v>
      </c>
      <c r="C12636" s="3" t="str">
        <f>IFERROR(__xludf.DUMMYFUNCTION("""COMPUTED_VALUE"""),"wLitiDAO")</f>
        <v>wLitiDAO</v>
      </c>
    </row>
    <row r="12637">
      <c r="A12637" s="3" t="str">
        <f>IFERROR(__xludf.DUMMYFUNCTION("""COMPUTED_VALUE"""),"wmatic")</f>
        <v>wmatic</v>
      </c>
      <c r="B12637" s="3" t="str">
        <f>IFERROR(__xludf.DUMMYFUNCTION("""COMPUTED_VALUE"""),"wmatic")</f>
        <v>wmatic</v>
      </c>
      <c r="C12637" s="3" t="str">
        <f>IFERROR(__xludf.DUMMYFUNCTION("""COMPUTED_VALUE"""),"Wrapped Matic")</f>
        <v>Wrapped Matic</v>
      </c>
    </row>
    <row r="12638">
      <c r="A12638" s="3" t="str">
        <f>IFERROR(__xludf.DUMMYFUNCTION("""COMPUTED_VALUE"""),"wodex")</f>
        <v>wodex</v>
      </c>
      <c r="B12638" s="3" t="str">
        <f>IFERROR(__xludf.DUMMYFUNCTION("""COMPUTED_VALUE"""),"wmt")</f>
        <v>wmt</v>
      </c>
      <c r="C12638" s="3" t="str">
        <f>IFERROR(__xludf.DUMMYFUNCTION("""COMPUTED_VALUE"""),"Wodex")</f>
        <v>Wodex</v>
      </c>
    </row>
    <row r="12639">
      <c r="A12639" s="3" t="str">
        <f>IFERROR(__xludf.DUMMYFUNCTION("""COMPUTED_VALUE"""),"wohlstand-token")</f>
        <v>wohlstand-token</v>
      </c>
      <c r="B12639" s="3" t="str">
        <f>IFERROR(__xludf.DUMMYFUNCTION("""COMPUTED_VALUE"""),"wt")</f>
        <v>wt</v>
      </c>
      <c r="C12639" s="3" t="str">
        <f>IFERROR(__xludf.DUMMYFUNCTION("""COMPUTED_VALUE"""),"Wohlstand")</f>
        <v>Wohlstand</v>
      </c>
    </row>
    <row r="12640">
      <c r="A12640" s="3" t="str">
        <f>IFERROR(__xludf.DUMMYFUNCTION("""COMPUTED_VALUE"""),"wojak-finance")</f>
        <v>wojak-finance</v>
      </c>
      <c r="B12640" s="3" t="str">
        <f>IFERROR(__xludf.DUMMYFUNCTION("""COMPUTED_VALUE"""),"woj")</f>
        <v>woj</v>
      </c>
      <c r="C12640" s="3" t="str">
        <f>IFERROR(__xludf.DUMMYFUNCTION("""COMPUTED_VALUE"""),"Wojak Finance")</f>
        <v>Wojak Finance</v>
      </c>
    </row>
    <row r="12641">
      <c r="A12641" s="3" t="str">
        <f>IFERROR(__xludf.DUMMYFUNCTION("""COMPUTED_VALUE"""),"wolfcoin")</f>
        <v>wolfcoin</v>
      </c>
      <c r="B12641" s="3" t="str">
        <f>IFERROR(__xludf.DUMMYFUNCTION("""COMPUTED_VALUE"""),"wolf")</f>
        <v>wolf</v>
      </c>
      <c r="C12641" s="3" t="str">
        <f>IFERROR(__xludf.DUMMYFUNCTION("""COMPUTED_VALUE"""),"WOLFCOIN")</f>
        <v>WOLFCOIN</v>
      </c>
    </row>
    <row r="12642">
      <c r="A12642" s="3" t="str">
        <f>IFERROR(__xludf.DUMMYFUNCTION("""COMPUTED_VALUE"""),"wolfecoin")</f>
        <v>wolfecoin</v>
      </c>
      <c r="B12642" s="3" t="str">
        <f>IFERROR(__xludf.DUMMYFUNCTION("""COMPUTED_VALUE"""),"wolfe")</f>
        <v>wolfe</v>
      </c>
      <c r="C12642" s="3" t="str">
        <f>IFERROR(__xludf.DUMMYFUNCTION("""COMPUTED_VALUE"""),"Wolfecoin")</f>
        <v>Wolfecoin</v>
      </c>
    </row>
    <row r="12643">
      <c r="A12643" s="3" t="str">
        <f>IFERROR(__xludf.DUMMYFUNCTION("""COMPUTED_VALUE"""),"wolf-game-wool")</f>
        <v>wolf-game-wool</v>
      </c>
      <c r="B12643" s="3" t="str">
        <f>IFERROR(__xludf.DUMMYFUNCTION("""COMPUTED_VALUE"""),"wool")</f>
        <v>wool</v>
      </c>
      <c r="C12643" s="3" t="str">
        <f>IFERROR(__xludf.DUMMYFUNCTION("""COMPUTED_VALUE"""),"Wolf Game Wool")</f>
        <v>Wolf Game Wool</v>
      </c>
    </row>
    <row r="12644">
      <c r="A12644" s="3" t="str">
        <f>IFERROR(__xludf.DUMMYFUNCTION("""COMPUTED_VALUE"""),"wolfgirl")</f>
        <v>wolfgirl</v>
      </c>
      <c r="B12644" s="3" t="str">
        <f>IFERROR(__xludf.DUMMYFUNCTION("""COMPUTED_VALUE"""),"wlfgrl")</f>
        <v>wlfgrl</v>
      </c>
      <c r="C12644" s="3" t="str">
        <f>IFERROR(__xludf.DUMMYFUNCTION("""COMPUTED_VALUE"""),"Wolfgirl")</f>
        <v>Wolfgirl</v>
      </c>
    </row>
    <row r="12645">
      <c r="A12645" s="3" t="str">
        <f>IFERROR(__xludf.DUMMYFUNCTION("""COMPUTED_VALUE"""),"wolf-girl")</f>
        <v>wolf-girl</v>
      </c>
      <c r="B12645" s="3" t="str">
        <f>IFERROR(__xludf.DUMMYFUNCTION("""COMPUTED_VALUE"""),"wolfgirl")</f>
        <v>wolfgirl</v>
      </c>
      <c r="C12645" s="3" t="str">
        <f>IFERROR(__xludf.DUMMYFUNCTION("""COMPUTED_VALUE"""),"Wolf Girl")</f>
        <v>Wolf Girl</v>
      </c>
    </row>
    <row r="12646">
      <c r="A12646" s="3" t="str">
        <f>IFERROR(__xludf.DUMMYFUNCTION("""COMPUTED_VALUE"""),"wolf-pups-2")</f>
        <v>wolf-pups-2</v>
      </c>
      <c r="B12646" s="3" t="str">
        <f>IFERROR(__xludf.DUMMYFUNCTION("""COMPUTED_VALUE"""),"wolfies")</f>
        <v>wolfies</v>
      </c>
      <c r="C12646" s="3" t="str">
        <f>IFERROR(__xludf.DUMMYFUNCTION("""COMPUTED_VALUE"""),"WOLF PUPS")</f>
        <v>WOLF PUPS</v>
      </c>
    </row>
    <row r="12647">
      <c r="A12647" s="3" t="str">
        <f>IFERROR(__xludf.DUMMYFUNCTION("""COMPUTED_VALUE"""),"wolfsafepoorpeople")</f>
        <v>wolfsafepoorpeople</v>
      </c>
      <c r="B12647" s="3" t="str">
        <f>IFERROR(__xludf.DUMMYFUNCTION("""COMPUTED_VALUE"""),"wspp")</f>
        <v>wspp</v>
      </c>
      <c r="C12647" s="3" t="str">
        <f>IFERROR(__xludf.DUMMYFUNCTION("""COMPUTED_VALUE"""),"WolfSafePoorPeople")</f>
        <v>WolfSafePoorPeople</v>
      </c>
    </row>
    <row r="12648">
      <c r="A12648" s="3" t="str">
        <f>IFERROR(__xludf.DUMMYFUNCTION("""COMPUTED_VALUE"""),"wolfsafepoorpeople-polygon")</f>
        <v>wolfsafepoorpeople-polygon</v>
      </c>
      <c r="B12648" s="3" t="str">
        <f>IFERROR(__xludf.DUMMYFUNCTION("""COMPUTED_VALUE"""),"wspp")</f>
        <v>wspp</v>
      </c>
      <c r="C12648" s="3" t="str">
        <f>IFERROR(__xludf.DUMMYFUNCTION("""COMPUTED_VALUE"""),"WolfSafePoorPeople Polygon")</f>
        <v>WolfSafePoorPeople Polygon</v>
      </c>
    </row>
    <row r="12649">
      <c r="A12649" s="3" t="str">
        <f>IFERROR(__xludf.DUMMYFUNCTION("""COMPUTED_VALUE"""),"wolf-town-wool")</f>
        <v>wolf-town-wool</v>
      </c>
      <c r="B12649" s="3" t="str">
        <f>IFERROR(__xludf.DUMMYFUNCTION("""COMPUTED_VALUE"""),"wtwool")</f>
        <v>wtwool</v>
      </c>
      <c r="C12649" s="3" t="str">
        <f>IFERROR(__xludf.DUMMYFUNCTION("""COMPUTED_VALUE"""),"Wolf Town Wool")</f>
        <v>Wolf Town Wool</v>
      </c>
    </row>
    <row r="12650">
      <c r="A12650" s="3" t="str">
        <f>IFERROR(__xludf.DUMMYFUNCTION("""COMPUTED_VALUE"""),"wolf-ventures")</f>
        <v>wolf-ventures</v>
      </c>
      <c r="B12650" s="3" t="str">
        <f>IFERROR(__xludf.DUMMYFUNCTION("""COMPUTED_VALUE"""),"$wv")</f>
        <v>$wv</v>
      </c>
      <c r="C12650" s="3" t="str">
        <f>IFERROR(__xludf.DUMMYFUNCTION("""COMPUTED_VALUE"""),"Wolf Ventures")</f>
        <v>Wolf Ventures</v>
      </c>
    </row>
    <row r="12651">
      <c r="A12651" s="3" t="str">
        <f>IFERROR(__xludf.DUMMYFUNCTION("""COMPUTED_VALUE"""),"wolfy")</f>
        <v>wolfy</v>
      </c>
      <c r="B12651" s="3" t="str">
        <f>IFERROR(__xludf.DUMMYFUNCTION("""COMPUTED_VALUE"""),"wolfy")</f>
        <v>wolfy</v>
      </c>
      <c r="C12651" s="3" t="str">
        <f>IFERROR(__xludf.DUMMYFUNCTION("""COMPUTED_VALUE"""),"WOLFY")</f>
        <v>WOLFY</v>
      </c>
    </row>
    <row r="12652">
      <c r="A12652" s="3" t="str">
        <f>IFERROR(__xludf.DUMMYFUNCTION("""COMPUTED_VALUE"""),"wolverinu")</f>
        <v>wolverinu</v>
      </c>
      <c r="B12652" s="3" t="str">
        <f>IFERROR(__xludf.DUMMYFUNCTION("""COMPUTED_VALUE"""),"wolverinu")</f>
        <v>wolverinu</v>
      </c>
      <c r="C12652" s="3" t="str">
        <f>IFERROR(__xludf.DUMMYFUNCTION("""COMPUTED_VALUE"""),"WOLVERINU [OLD]")</f>
        <v>WOLVERINU [OLD]</v>
      </c>
    </row>
    <row r="12653">
      <c r="A12653" s="3" t="str">
        <f>IFERROR(__xludf.DUMMYFUNCTION("""COMPUTED_VALUE"""),"wolverinu-2")</f>
        <v>wolverinu-2</v>
      </c>
      <c r="B12653" s="3" t="str">
        <f>IFERROR(__xludf.DUMMYFUNCTION("""COMPUTED_VALUE"""),"wolverinu")</f>
        <v>wolverinu</v>
      </c>
      <c r="C12653" s="3" t="str">
        <f>IFERROR(__xludf.DUMMYFUNCTION("""COMPUTED_VALUE"""),"Wolverinu")</f>
        <v>Wolverinu</v>
      </c>
    </row>
    <row r="12654">
      <c r="A12654" s="3" t="str">
        <f>IFERROR(__xludf.DUMMYFUNCTION("""COMPUTED_VALUE"""),"wolves-of-wall-street")</f>
        <v>wolves-of-wall-street</v>
      </c>
      <c r="B12654" s="3" t="str">
        <f>IFERROR(__xludf.DUMMYFUNCTION("""COMPUTED_VALUE"""),"wows")</f>
        <v>wows</v>
      </c>
      <c r="C12654" s="3" t="str">
        <f>IFERROR(__xludf.DUMMYFUNCTION("""COMPUTED_VALUE"""),"Wolves of Wall Street")</f>
        <v>Wolves of Wall Street</v>
      </c>
    </row>
    <row r="12655">
      <c r="A12655" s="3" t="str">
        <f>IFERROR(__xludf.DUMMYFUNCTION("""COMPUTED_VALUE"""),"wombat")</f>
        <v>wombat</v>
      </c>
      <c r="B12655" s="3" t="str">
        <f>IFERROR(__xludf.DUMMYFUNCTION("""COMPUTED_VALUE"""),"wombat")</f>
        <v>wombat</v>
      </c>
      <c r="C12655" s="3" t="str">
        <f>IFERROR(__xludf.DUMMYFUNCTION("""COMPUTED_VALUE"""),"Wombat")</f>
        <v>Wombat</v>
      </c>
    </row>
    <row r="12656">
      <c r="A12656" s="3" t="str">
        <f>IFERROR(__xludf.DUMMYFUNCTION("""COMPUTED_VALUE"""),"wombat-exchange")</f>
        <v>wombat-exchange</v>
      </c>
      <c r="B12656" s="3" t="str">
        <f>IFERROR(__xludf.DUMMYFUNCTION("""COMPUTED_VALUE"""),"wom")</f>
        <v>wom</v>
      </c>
      <c r="C12656" s="3" t="str">
        <f>IFERROR(__xludf.DUMMYFUNCTION("""COMPUTED_VALUE"""),"Wombat Exchange")</f>
        <v>Wombat Exchange</v>
      </c>
    </row>
    <row r="12657">
      <c r="A12657" s="3" t="str">
        <f>IFERROR(__xludf.DUMMYFUNCTION("""COMPUTED_VALUE"""),"wombex")</f>
        <v>wombex</v>
      </c>
      <c r="B12657" s="3" t="str">
        <f>IFERROR(__xludf.DUMMYFUNCTION("""COMPUTED_VALUE"""),"wmx")</f>
        <v>wmx</v>
      </c>
      <c r="C12657" s="3" t="str">
        <f>IFERROR(__xludf.DUMMYFUNCTION("""COMPUTED_VALUE"""),"Wombex")</f>
        <v>Wombex</v>
      </c>
    </row>
    <row r="12658">
      <c r="A12658" s="3" t="str">
        <f>IFERROR(__xludf.DUMMYFUNCTION("""COMPUTED_VALUE"""),"women-empowerment-token")</f>
        <v>women-empowerment-token</v>
      </c>
      <c r="B12658" s="3" t="str">
        <f>IFERROR(__xludf.DUMMYFUNCTION("""COMPUTED_VALUE"""),"wemp")</f>
        <v>wemp</v>
      </c>
      <c r="C12658" s="3" t="str">
        <f>IFERROR(__xludf.DUMMYFUNCTION("""COMPUTED_VALUE"""),"Women Empowerment")</f>
        <v>Women Empowerment</v>
      </c>
    </row>
    <row r="12659">
      <c r="A12659" s="3" t="str">
        <f>IFERROR(__xludf.DUMMYFUNCTION("""COMPUTED_VALUE"""),"wom-token")</f>
        <v>wom-token</v>
      </c>
      <c r="B12659" s="3" t="str">
        <f>IFERROR(__xludf.DUMMYFUNCTION("""COMPUTED_VALUE"""),"wom")</f>
        <v>wom</v>
      </c>
      <c r="C12659" s="3" t="str">
        <f>IFERROR(__xludf.DUMMYFUNCTION("""COMPUTED_VALUE"""),"WOM Protocol")</f>
        <v>WOM Protocol</v>
      </c>
    </row>
    <row r="12660">
      <c r="A12660" s="3" t="str">
        <f>IFERROR(__xludf.DUMMYFUNCTION("""COMPUTED_VALUE"""),"wonderfi-tokenized-stock")</f>
        <v>wonderfi-tokenized-stock</v>
      </c>
      <c r="B12660" s="3" t="str">
        <f>IFERROR(__xludf.DUMMYFUNCTION("""COMPUTED_VALUE"""),"wndr")</f>
        <v>wndr</v>
      </c>
      <c r="C12660" s="3" t="str">
        <f>IFERROR(__xludf.DUMMYFUNCTION("""COMPUTED_VALUE"""),"WonderFi Tokenized Stock")</f>
        <v>WonderFi Tokenized Stock</v>
      </c>
    </row>
    <row r="12661">
      <c r="A12661" s="3" t="str">
        <f>IFERROR(__xludf.DUMMYFUNCTION("""COMPUTED_VALUE"""),"wonderhero")</f>
        <v>wonderhero</v>
      </c>
      <c r="B12661" s="3" t="str">
        <f>IFERROR(__xludf.DUMMYFUNCTION("""COMPUTED_VALUE"""),"wnd")</f>
        <v>wnd</v>
      </c>
      <c r="C12661" s="3" t="str">
        <f>IFERROR(__xludf.DUMMYFUNCTION("""COMPUTED_VALUE"""),"WonderHero [OLD]")</f>
        <v>WonderHero [OLD]</v>
      </c>
    </row>
    <row r="12662">
      <c r="A12662" s="3" t="str">
        <f>IFERROR(__xludf.DUMMYFUNCTION("""COMPUTED_VALUE"""),"wonderhero-2")</f>
        <v>wonderhero-2</v>
      </c>
      <c r="B12662" s="3" t="str">
        <f>IFERROR(__xludf.DUMMYFUNCTION("""COMPUTED_VALUE"""),"wnd")</f>
        <v>wnd</v>
      </c>
      <c r="C12662" s="3" t="str">
        <f>IFERROR(__xludf.DUMMYFUNCTION("""COMPUTED_VALUE"""),"WonderHero")</f>
        <v>WonderHero</v>
      </c>
    </row>
    <row r="12663">
      <c r="A12663" s="3" t="str">
        <f>IFERROR(__xludf.DUMMYFUNCTION("""COMPUTED_VALUE"""),"wonderhero-hon")</f>
        <v>wonderhero-hon</v>
      </c>
      <c r="B12663" s="3" t="str">
        <f>IFERROR(__xludf.DUMMYFUNCTION("""COMPUTED_VALUE"""),"hon")</f>
        <v>hon</v>
      </c>
      <c r="C12663" s="3" t="str">
        <f>IFERROR(__xludf.DUMMYFUNCTION("""COMPUTED_VALUE"""),"WonderHero HON")</f>
        <v>WonderHero HON</v>
      </c>
    </row>
    <row r="12664">
      <c r="A12664" s="3" t="str">
        <f>IFERROR(__xludf.DUMMYFUNCTION("""COMPUTED_VALUE"""),"wonderland")</f>
        <v>wonderland</v>
      </c>
      <c r="B12664" s="3" t="str">
        <f>IFERROR(__xludf.DUMMYFUNCTION("""COMPUTED_VALUE"""),"time")</f>
        <v>time</v>
      </c>
      <c r="C12664" s="3" t="str">
        <f>IFERROR(__xludf.DUMMYFUNCTION("""COMPUTED_VALUE"""),"Wonderland TIME")</f>
        <v>Wonderland TIME</v>
      </c>
    </row>
    <row r="12665">
      <c r="A12665" s="3" t="str">
        <f>IFERROR(__xludf.DUMMYFUNCTION("""COMPUTED_VALUE"""),"wonderman-nation")</f>
        <v>wonderman-nation</v>
      </c>
      <c r="B12665" s="3" t="str">
        <f>IFERROR(__xludf.DUMMYFUNCTION("""COMPUTED_VALUE"""),"wndr")</f>
        <v>wndr</v>
      </c>
      <c r="C12665" s="3" t="str">
        <f>IFERROR(__xludf.DUMMYFUNCTION("""COMPUTED_VALUE"""),"Wonderman Nation")</f>
        <v>Wonderman Nation</v>
      </c>
    </row>
    <row r="12666">
      <c r="A12666" s="3" t="str">
        <f>IFERROR(__xludf.DUMMYFUNCTION("""COMPUTED_VALUE"""),"woodcoin")</f>
        <v>woodcoin</v>
      </c>
      <c r="B12666" s="3" t="str">
        <f>IFERROR(__xludf.DUMMYFUNCTION("""COMPUTED_VALUE"""),"log")</f>
        <v>log</v>
      </c>
      <c r="C12666" s="3" t="str">
        <f>IFERROR(__xludf.DUMMYFUNCTION("""COMPUTED_VALUE"""),"Woodcoin")</f>
        <v>Woodcoin</v>
      </c>
    </row>
    <row r="12667">
      <c r="A12667" s="3" t="str">
        <f>IFERROR(__xludf.DUMMYFUNCTION("""COMPUTED_VALUE"""),"woof-token")</f>
        <v>woof-token</v>
      </c>
      <c r="B12667" s="3" t="str">
        <f>IFERROR(__xludf.DUMMYFUNCTION("""COMPUTED_VALUE"""),"woof")</f>
        <v>woof</v>
      </c>
      <c r="C12667" s="3" t="str">
        <f>IFERROR(__xludf.DUMMYFUNCTION("""COMPUTED_VALUE"""),"WOOF")</f>
        <v>WOOF</v>
      </c>
    </row>
    <row r="12668">
      <c r="A12668" s="3" t="str">
        <f>IFERROR(__xludf.DUMMYFUNCTION("""COMPUTED_VALUE"""),"woof-token-2")</f>
        <v>woof-token-2</v>
      </c>
      <c r="B12668" s="3" t="str">
        <f>IFERROR(__xludf.DUMMYFUNCTION("""COMPUTED_VALUE"""),"woof")</f>
        <v>woof</v>
      </c>
      <c r="C12668" s="3" t="str">
        <f>IFERROR(__xludf.DUMMYFUNCTION("""COMPUTED_VALUE"""),"Woof Token")</f>
        <v>Woof Token</v>
      </c>
    </row>
    <row r="12669">
      <c r="A12669" s="3" t="str">
        <f>IFERROR(__xludf.DUMMYFUNCTION("""COMPUTED_VALUE"""),"woofy")</f>
        <v>woofy</v>
      </c>
      <c r="B12669" s="3" t="str">
        <f>IFERROR(__xludf.DUMMYFUNCTION("""COMPUTED_VALUE"""),"woofy")</f>
        <v>woofy</v>
      </c>
      <c r="C12669" s="3" t="str">
        <f>IFERROR(__xludf.DUMMYFUNCTION("""COMPUTED_VALUE"""),"Woofy")</f>
        <v>Woofy</v>
      </c>
    </row>
    <row r="12670">
      <c r="A12670" s="3" t="str">
        <f>IFERROR(__xludf.DUMMYFUNCTION("""COMPUTED_VALUE"""),"wool-token")</f>
        <v>wool-token</v>
      </c>
      <c r="B12670" s="3" t="str">
        <f>IFERROR(__xludf.DUMMYFUNCTION("""COMPUTED_VALUE"""),"wool")</f>
        <v>wool</v>
      </c>
      <c r="C12670" s="3" t="str">
        <f>IFERROR(__xludf.DUMMYFUNCTION("""COMPUTED_VALUE"""),"Wool")</f>
        <v>Wool</v>
      </c>
    </row>
    <row r="12671">
      <c r="A12671" s="3" t="str">
        <f>IFERROR(__xludf.DUMMYFUNCTION("""COMPUTED_VALUE"""),"woo-network")</f>
        <v>woo-network</v>
      </c>
      <c r="B12671" s="3" t="str">
        <f>IFERROR(__xludf.DUMMYFUNCTION("""COMPUTED_VALUE"""),"woo")</f>
        <v>woo</v>
      </c>
      <c r="C12671" s="3" t="str">
        <f>IFERROR(__xludf.DUMMYFUNCTION("""COMPUTED_VALUE"""),"WOO Network")</f>
        <v>WOO Network</v>
      </c>
    </row>
    <row r="12672">
      <c r="A12672" s="3" t="str">
        <f>IFERROR(__xludf.DUMMYFUNCTION("""COMPUTED_VALUE"""),"woonkly-power")</f>
        <v>woonkly-power</v>
      </c>
      <c r="B12672" s="3" t="str">
        <f>IFERROR(__xludf.DUMMYFUNCTION("""COMPUTED_VALUE"""),"woop")</f>
        <v>woop</v>
      </c>
      <c r="C12672" s="3" t="str">
        <f>IFERROR(__xludf.DUMMYFUNCTION("""COMPUTED_VALUE"""),"Woonkly Power")</f>
        <v>Woonkly Power</v>
      </c>
    </row>
    <row r="12673">
      <c r="A12673" s="3" t="str">
        <f>IFERROR(__xludf.DUMMYFUNCTION("""COMPUTED_VALUE"""),"woop")</f>
        <v>woop</v>
      </c>
      <c r="B12673" s="3" t="str">
        <f>IFERROR(__xludf.DUMMYFUNCTION("""COMPUTED_VALUE"""),"woop")</f>
        <v>woop</v>
      </c>
      <c r="C12673" s="3" t="str">
        <f>IFERROR(__xludf.DUMMYFUNCTION("""COMPUTED_VALUE"""),"WOOP")</f>
        <v>WOOP</v>
      </c>
    </row>
    <row r="12674">
      <c r="A12674" s="3" t="str">
        <f>IFERROR(__xludf.DUMMYFUNCTION("""COMPUTED_VALUE"""),"woozoo-music")</f>
        <v>woozoo-music</v>
      </c>
      <c r="B12674" s="3" t="str">
        <f>IFERROR(__xludf.DUMMYFUNCTION("""COMPUTED_VALUE"""),"wzm")</f>
        <v>wzm</v>
      </c>
      <c r="C12674" s="3" t="str">
        <f>IFERROR(__xludf.DUMMYFUNCTION("""COMPUTED_VALUE"""),"Woozoo Music")</f>
        <v>Woozoo Music</v>
      </c>
    </row>
    <row r="12675">
      <c r="A12675" s="3" t="str">
        <f>IFERROR(__xludf.DUMMYFUNCTION("""COMPUTED_VALUE"""),"wordlex")</f>
        <v>wordlex</v>
      </c>
      <c r="B12675" s="3" t="str">
        <f>IFERROR(__xludf.DUMMYFUNCTION("""COMPUTED_VALUE"""),"wdx")</f>
        <v>wdx</v>
      </c>
      <c r="C12675" s="3" t="str">
        <f>IFERROR(__xludf.DUMMYFUNCTION("""COMPUTED_VALUE"""),"Wordlex")</f>
        <v>Wordlex</v>
      </c>
    </row>
    <row r="12676">
      <c r="A12676" s="3" t="str">
        <f>IFERROR(__xludf.DUMMYFUNCTION("""COMPUTED_VALUE"""),"workertown")</f>
        <v>workertown</v>
      </c>
      <c r="B12676" s="3" t="str">
        <f>IFERROR(__xludf.DUMMYFUNCTION("""COMPUTED_VALUE"""),"wtn")</f>
        <v>wtn</v>
      </c>
      <c r="C12676" s="3" t="str">
        <f>IFERROR(__xludf.DUMMYFUNCTION("""COMPUTED_VALUE"""),"WorkerTown")</f>
        <v>WorkerTown</v>
      </c>
    </row>
    <row r="12677">
      <c r="A12677" s="3" t="str">
        <f>IFERROR(__xludf.DUMMYFUNCTION("""COMPUTED_VALUE"""),"workit")</f>
        <v>workit</v>
      </c>
      <c r="B12677" s="3" t="str">
        <f>IFERROR(__xludf.DUMMYFUNCTION("""COMPUTED_VALUE"""),"wkit")</f>
        <v>wkit</v>
      </c>
      <c r="C12677" s="3" t="str">
        <f>IFERROR(__xludf.DUMMYFUNCTION("""COMPUTED_VALUE"""),"WORKIT")</f>
        <v>WORKIT</v>
      </c>
    </row>
    <row r="12678">
      <c r="A12678" s="3" t="str">
        <f>IFERROR(__xludf.DUMMYFUNCTION("""COMPUTED_VALUE"""),"work-quest")</f>
        <v>work-quest</v>
      </c>
      <c r="B12678" s="3" t="str">
        <f>IFERROR(__xludf.DUMMYFUNCTION("""COMPUTED_VALUE"""),"wqt")</f>
        <v>wqt</v>
      </c>
      <c r="C12678" s="3" t="str">
        <f>IFERROR(__xludf.DUMMYFUNCTION("""COMPUTED_VALUE"""),"Work Quest")</f>
        <v>Work Quest</v>
      </c>
    </row>
    <row r="12679">
      <c r="A12679" s="3" t="str">
        <f>IFERROR(__xludf.DUMMYFUNCTION("""COMPUTED_VALUE"""),"worktips")</f>
        <v>worktips</v>
      </c>
      <c r="B12679" s="3" t="str">
        <f>IFERROR(__xludf.DUMMYFUNCTION("""COMPUTED_VALUE"""),"wtip")</f>
        <v>wtip</v>
      </c>
      <c r="C12679" s="3" t="str">
        <f>IFERROR(__xludf.DUMMYFUNCTION("""COMPUTED_VALUE"""),"Worktips")</f>
        <v>Worktips</v>
      </c>
    </row>
    <row r="12680">
      <c r="A12680" s="3" t="str">
        <f>IFERROR(__xludf.DUMMYFUNCTION("""COMPUTED_VALUE"""),"world-bet-token")</f>
        <v>world-bet-token</v>
      </c>
      <c r="B12680" s="3" t="str">
        <f>IFERROR(__xludf.DUMMYFUNCTION("""COMPUTED_VALUE"""),"wbt")</f>
        <v>wbt</v>
      </c>
      <c r="C12680" s="3" t="str">
        <f>IFERROR(__xludf.DUMMYFUNCTION("""COMPUTED_VALUE"""),"World Bet Token")</f>
        <v>World Bet Token</v>
      </c>
    </row>
    <row r="12681">
      <c r="A12681" s="3" t="str">
        <f>IFERROR(__xludf.DUMMYFUNCTION("""COMPUTED_VALUE"""),"worldcoin")</f>
        <v>worldcoin</v>
      </c>
      <c r="B12681" s="3" t="str">
        <f>IFERROR(__xludf.DUMMYFUNCTION("""COMPUTED_VALUE"""),"wdc")</f>
        <v>wdc</v>
      </c>
      <c r="C12681" s="3" t="str">
        <f>IFERROR(__xludf.DUMMYFUNCTION("""COMPUTED_VALUE"""),"WorldCoin")</f>
        <v>WorldCoin</v>
      </c>
    </row>
    <row r="12682">
      <c r="A12682" s="3" t="str">
        <f>IFERROR(__xludf.DUMMYFUNCTION("""COMPUTED_VALUE"""),"worldcore")</f>
        <v>worldcore</v>
      </c>
      <c r="B12682" s="3" t="str">
        <f>IFERROR(__xludf.DUMMYFUNCTION("""COMPUTED_VALUE"""),"wrc")</f>
        <v>wrc</v>
      </c>
      <c r="C12682" s="3" t="str">
        <f>IFERROR(__xludf.DUMMYFUNCTION("""COMPUTED_VALUE"""),"Worldcore")</f>
        <v>Worldcore</v>
      </c>
    </row>
    <row r="12683">
      <c r="A12683" s="3" t="str">
        <f>IFERROR(__xludf.DUMMYFUNCTION("""COMPUTED_VALUE"""),"worldcup-fan-token-pow")</f>
        <v>worldcup-fan-token-pow</v>
      </c>
      <c r="B12683" s="3" t="str">
        <f>IFERROR(__xludf.DUMMYFUNCTION("""COMPUTED_VALUE"""),"wtf")</f>
        <v>wtf</v>
      </c>
      <c r="C12683" s="3" t="str">
        <f>IFERROR(__xludf.DUMMYFUNCTION("""COMPUTED_VALUE"""),"WorldCup Fan Token PoW")</f>
        <v>WorldCup Fan Token PoW</v>
      </c>
    </row>
    <row r="12684">
      <c r="A12684" s="3" t="str">
        <f>IFERROR(__xludf.DUMMYFUNCTION("""COMPUTED_VALUE"""),"world-cup-inu")</f>
        <v>world-cup-inu</v>
      </c>
      <c r="B12684" s="3" t="str">
        <f>IFERROR(__xludf.DUMMYFUNCTION("""COMPUTED_VALUE"""),"wci")</f>
        <v>wci</v>
      </c>
      <c r="C12684" s="3" t="str">
        <f>IFERROR(__xludf.DUMMYFUNCTION("""COMPUTED_VALUE"""),"WORLD CUP INU")</f>
        <v>WORLD CUP INU</v>
      </c>
    </row>
    <row r="12685">
      <c r="A12685" s="3" t="str">
        <f>IFERROR(__xludf.DUMMYFUNCTION("""COMPUTED_VALUE"""),"world-cup-willie")</f>
        <v>world-cup-willie</v>
      </c>
      <c r="B12685" s="3" t="str">
        <f>IFERROR(__xludf.DUMMYFUNCTION("""COMPUTED_VALUE"""),"willie")</f>
        <v>willie</v>
      </c>
      <c r="C12685" s="3" t="str">
        <f>IFERROR(__xludf.DUMMYFUNCTION("""COMPUTED_VALUE"""),"World Cup Willie")</f>
        <v>World Cup Willie</v>
      </c>
    </row>
    <row r="12686">
      <c r="A12686" s="3" t="str">
        <f>IFERROR(__xludf.DUMMYFUNCTION("""COMPUTED_VALUE"""),"world-football")</f>
        <v>world-football</v>
      </c>
      <c r="B12686" s="3" t="str">
        <f>IFERROR(__xludf.DUMMYFUNCTION("""COMPUTED_VALUE"""),"wofo")</f>
        <v>wofo</v>
      </c>
      <c r="C12686" s="3" t="str">
        <f>IFERROR(__xludf.DUMMYFUNCTION("""COMPUTED_VALUE"""),"World Football")</f>
        <v>World Football</v>
      </c>
    </row>
    <row r="12687">
      <c r="A12687" s="3" t="str">
        <f>IFERROR(__xludf.DUMMYFUNCTION("""COMPUTED_VALUE"""),"world-mobile-token")</f>
        <v>world-mobile-token</v>
      </c>
      <c r="B12687" s="3" t="str">
        <f>IFERROR(__xludf.DUMMYFUNCTION("""COMPUTED_VALUE"""),"wmt")</f>
        <v>wmt</v>
      </c>
      <c r="C12687" s="3" t="str">
        <f>IFERROR(__xludf.DUMMYFUNCTION("""COMPUTED_VALUE"""),"World Mobile Token")</f>
        <v>World Mobile Token</v>
      </c>
    </row>
    <row r="12688">
      <c r="A12688" s="3" t="str">
        <f>IFERROR(__xludf.DUMMYFUNCTION("""COMPUTED_VALUE"""),"world-of-defish")</f>
        <v>world-of-defish</v>
      </c>
      <c r="B12688" s="3" t="str">
        <f>IFERROR(__xludf.DUMMYFUNCTION("""COMPUTED_VALUE"""),"wod")</f>
        <v>wod</v>
      </c>
      <c r="C12688" s="3" t="str">
        <f>IFERROR(__xludf.DUMMYFUNCTION("""COMPUTED_VALUE"""),"World of Defish")</f>
        <v>World of Defish</v>
      </c>
    </row>
    <row r="12689">
      <c r="A12689" s="3" t="str">
        <f>IFERROR(__xludf.DUMMYFUNCTION("""COMPUTED_VALUE"""),"world-of-farms")</f>
        <v>world-of-farms</v>
      </c>
      <c r="B12689" s="3" t="str">
        <f>IFERROR(__xludf.DUMMYFUNCTION("""COMPUTED_VALUE"""),"wof")</f>
        <v>wof</v>
      </c>
      <c r="C12689" s="3" t="str">
        <f>IFERROR(__xludf.DUMMYFUNCTION("""COMPUTED_VALUE"""),"World of Farms")</f>
        <v>World of Farms</v>
      </c>
    </row>
    <row r="12690">
      <c r="A12690" s="3" t="str">
        <f>IFERROR(__xludf.DUMMYFUNCTION("""COMPUTED_VALUE"""),"world-of-waves")</f>
        <v>world-of-waves</v>
      </c>
      <c r="B12690" s="3" t="str">
        <f>IFERROR(__xludf.DUMMYFUNCTION("""COMPUTED_VALUE"""),"wow")</f>
        <v>wow</v>
      </c>
      <c r="C12690" s="3" t="str">
        <f>IFERROR(__xludf.DUMMYFUNCTION("""COMPUTED_VALUE"""),"World of Waves")</f>
        <v>World of Waves</v>
      </c>
    </row>
    <row r="12691">
      <c r="A12691" s="3" t="str">
        <f>IFERROR(__xludf.DUMMYFUNCTION("""COMPUTED_VALUE"""),"world-pay-coin")</f>
        <v>world-pay-coin</v>
      </c>
      <c r="B12691" s="3" t="str">
        <f>IFERROR(__xludf.DUMMYFUNCTION("""COMPUTED_VALUE"""),"wpc")</f>
        <v>wpc</v>
      </c>
      <c r="C12691" s="3" t="str">
        <f>IFERROR(__xludf.DUMMYFUNCTION("""COMPUTED_VALUE"""),"World Pay Coin")</f>
        <v>World Pay Coin</v>
      </c>
    </row>
    <row r="12692">
      <c r="A12692" s="3" t="str">
        <f>IFERROR(__xludf.DUMMYFUNCTION("""COMPUTED_VALUE"""),"worldpet")</f>
        <v>worldpet</v>
      </c>
      <c r="B12692" s="3" t="str">
        <f>IFERROR(__xludf.DUMMYFUNCTION("""COMPUTED_VALUE"""),"wpt")</f>
        <v>wpt</v>
      </c>
      <c r="C12692" s="3" t="str">
        <f>IFERROR(__xludf.DUMMYFUNCTION("""COMPUTED_VALUE"""),"WORLDPET")</f>
        <v>WORLDPET</v>
      </c>
    </row>
    <row r="12693">
      <c r="A12693" s="3" t="str">
        <f>IFERROR(__xludf.DUMMYFUNCTION("""COMPUTED_VALUE"""),"world-token")</f>
        <v>world-token</v>
      </c>
      <c r="B12693" s="3" t="str">
        <f>IFERROR(__xludf.DUMMYFUNCTION("""COMPUTED_VALUE"""),"world")</f>
        <v>world</v>
      </c>
      <c r="C12693" s="3" t="str">
        <f>IFERROR(__xludf.DUMMYFUNCTION("""COMPUTED_VALUE"""),"World")</f>
        <v>World</v>
      </c>
    </row>
    <row r="12694">
      <c r="A12694" s="3" t="str">
        <f>IFERROR(__xludf.DUMMYFUNCTION("""COMPUTED_VALUE"""),"wormfi")</f>
        <v>wormfi</v>
      </c>
      <c r="B12694" s="3" t="str">
        <f>IFERROR(__xludf.DUMMYFUNCTION("""COMPUTED_VALUE"""),"worm")</f>
        <v>worm</v>
      </c>
      <c r="C12694" s="3" t="str">
        <f>IFERROR(__xludf.DUMMYFUNCTION("""COMPUTED_VALUE"""),"WormFi")</f>
        <v>WormFi</v>
      </c>
    </row>
    <row r="12695">
      <c r="A12695" s="3" t="str">
        <f>IFERROR(__xludf.DUMMYFUNCTION("""COMPUTED_VALUE"""),"worthpad")</f>
        <v>worthpad</v>
      </c>
      <c r="B12695" s="3" t="str">
        <f>IFERROR(__xludf.DUMMYFUNCTION("""COMPUTED_VALUE"""),"worth")</f>
        <v>worth</v>
      </c>
      <c r="C12695" s="3" t="str">
        <f>IFERROR(__xludf.DUMMYFUNCTION("""COMPUTED_VALUE"""),"Worthpad")</f>
        <v>Worthpad</v>
      </c>
    </row>
    <row r="12696">
      <c r="A12696" s="3" t="str">
        <f>IFERROR(__xludf.DUMMYFUNCTION("""COMPUTED_VALUE"""),"worthwhile")</f>
        <v>worthwhile</v>
      </c>
      <c r="B12696" s="3" t="str">
        <f>IFERROR(__xludf.DUMMYFUNCTION("""COMPUTED_VALUE"""),"whe")</f>
        <v>whe</v>
      </c>
      <c r="C12696" s="3" t="str">
        <f>IFERROR(__xludf.DUMMYFUNCTION("""COMPUTED_VALUE"""),"Worthwhile")</f>
        <v>Worthwhile</v>
      </c>
    </row>
    <row r="12697">
      <c r="A12697" s="3" t="str">
        <f>IFERROR(__xludf.DUMMYFUNCTION("""COMPUTED_VALUE"""),"wow100k")</f>
        <v>wow100k</v>
      </c>
      <c r="B12697" s="3" t="str">
        <f>IFERROR(__xludf.DUMMYFUNCTION("""COMPUTED_VALUE"""),"100k")</f>
        <v>100k</v>
      </c>
      <c r="C12697" s="3" t="str">
        <f>IFERROR(__xludf.DUMMYFUNCTION("""COMPUTED_VALUE"""),"Wow100K")</f>
        <v>Wow100K</v>
      </c>
    </row>
    <row r="12698">
      <c r="A12698" s="3" t="str">
        <f>IFERROR(__xludf.DUMMYFUNCTION("""COMPUTED_VALUE"""),"wownero")</f>
        <v>wownero</v>
      </c>
      <c r="B12698" s="3" t="str">
        <f>IFERROR(__xludf.DUMMYFUNCTION("""COMPUTED_VALUE"""),"wow")</f>
        <v>wow</v>
      </c>
      <c r="C12698" s="3" t="str">
        <f>IFERROR(__xludf.DUMMYFUNCTION("""COMPUTED_VALUE"""),"Wownero")</f>
        <v>Wownero</v>
      </c>
    </row>
    <row r="12699">
      <c r="A12699" s="3" t="str">
        <f>IFERROR(__xludf.DUMMYFUNCTION("""COMPUTED_VALUE"""),"wowswap")</f>
        <v>wowswap</v>
      </c>
      <c r="B12699" s="3" t="str">
        <f>IFERROR(__xludf.DUMMYFUNCTION("""COMPUTED_VALUE"""),"wow")</f>
        <v>wow</v>
      </c>
      <c r="C12699" s="3" t="str">
        <f>IFERROR(__xludf.DUMMYFUNCTION("""COMPUTED_VALUE"""),"WOWswap")</f>
        <v>WOWswap</v>
      </c>
    </row>
    <row r="12700">
      <c r="A12700" s="3" t="str">
        <f>IFERROR(__xludf.DUMMYFUNCTION("""COMPUTED_VALUE"""),"wow-token")</f>
        <v>wow-token</v>
      </c>
      <c r="B12700" s="3" t="str">
        <f>IFERROR(__xludf.DUMMYFUNCTION("""COMPUTED_VALUE"""),"wow")</f>
        <v>wow</v>
      </c>
      <c r="C12700" s="3" t="str">
        <f>IFERROR(__xludf.DUMMYFUNCTION("""COMPUTED_VALUE"""),"WOWNFT")</f>
        <v>WOWNFT</v>
      </c>
    </row>
    <row r="12701">
      <c r="A12701" s="3" t="str">
        <f>IFERROR(__xludf.DUMMYFUNCTION("""COMPUTED_VALUE"""),"wozx")</f>
        <v>wozx</v>
      </c>
      <c r="B12701" s="3" t="str">
        <f>IFERROR(__xludf.DUMMYFUNCTION("""COMPUTED_VALUE"""),"wozx")</f>
        <v>wozx</v>
      </c>
      <c r="C12701" s="3" t="str">
        <f>IFERROR(__xludf.DUMMYFUNCTION("""COMPUTED_VALUE"""),"Efforce")</f>
        <v>Efforce</v>
      </c>
    </row>
    <row r="12702">
      <c r="A12702" s="3" t="str">
        <f>IFERROR(__xludf.DUMMYFUNCTION("""COMPUTED_VALUE"""),"wpp-token")</f>
        <v>wpp-token</v>
      </c>
      <c r="B12702" s="3" t="str">
        <f>IFERROR(__xludf.DUMMYFUNCTION("""COMPUTED_VALUE"""),"wpp")</f>
        <v>wpp</v>
      </c>
      <c r="C12702" s="3" t="str">
        <f>IFERROR(__xludf.DUMMYFUNCTION("""COMPUTED_VALUE"""),"WPP Token")</f>
        <v>WPP Token</v>
      </c>
    </row>
    <row r="12703">
      <c r="A12703" s="3" t="str">
        <f>IFERROR(__xludf.DUMMYFUNCTION("""COMPUTED_VALUE"""),"wpt-investing-corp")</f>
        <v>wpt-investing-corp</v>
      </c>
      <c r="B12703" s="3" t="str">
        <f>IFERROR(__xludf.DUMMYFUNCTION("""COMPUTED_VALUE"""),"wpt")</f>
        <v>wpt</v>
      </c>
      <c r="C12703" s="3" t="str">
        <f>IFERROR(__xludf.DUMMYFUNCTION("""COMPUTED_VALUE"""),"WPT Investing Corp")</f>
        <v>WPT Investing Corp</v>
      </c>
    </row>
    <row r="12704">
      <c r="A12704" s="3" t="str">
        <f>IFERROR(__xludf.DUMMYFUNCTION("""COMPUTED_VALUE"""),"wraith")</f>
        <v>wraith</v>
      </c>
      <c r="B12704" s="3" t="str">
        <f>IFERROR(__xludf.DUMMYFUNCTION("""COMPUTED_VALUE"""),"wraith")</f>
        <v>wraith</v>
      </c>
      <c r="C12704" s="3" t="str">
        <f>IFERROR(__xludf.DUMMYFUNCTION("""COMPUTED_VALUE"""),"Wraith")</f>
        <v>Wraith</v>
      </c>
    </row>
    <row r="12705">
      <c r="A12705" s="3" t="str">
        <f>IFERROR(__xludf.DUMMYFUNCTION("""COMPUTED_VALUE"""),"wrap-governance-token")</f>
        <v>wrap-governance-token</v>
      </c>
      <c r="B12705" s="3" t="str">
        <f>IFERROR(__xludf.DUMMYFUNCTION("""COMPUTED_VALUE"""),"wrap")</f>
        <v>wrap</v>
      </c>
      <c r="C12705" s="3" t="str">
        <f>IFERROR(__xludf.DUMMYFUNCTION("""COMPUTED_VALUE"""),"WRAP Governance")</f>
        <v>WRAP Governance</v>
      </c>
    </row>
    <row r="12706">
      <c r="A12706" s="3" t="str">
        <f>IFERROR(__xludf.DUMMYFUNCTION("""COMPUTED_VALUE"""),"wrapped-accumulate")</f>
        <v>wrapped-accumulate</v>
      </c>
      <c r="B12706" s="3" t="str">
        <f>IFERROR(__xludf.DUMMYFUNCTION("""COMPUTED_VALUE"""),"wacme")</f>
        <v>wacme</v>
      </c>
      <c r="C12706" s="3" t="str">
        <f>IFERROR(__xludf.DUMMYFUNCTION("""COMPUTED_VALUE"""),"Wrapped Accumulate")</f>
        <v>Wrapped Accumulate</v>
      </c>
    </row>
    <row r="12707">
      <c r="A12707" s="3" t="str">
        <f>IFERROR(__xludf.DUMMYFUNCTION("""COMPUTED_VALUE"""),"wrapped-ada")</f>
        <v>wrapped-ada</v>
      </c>
      <c r="B12707" s="3" t="str">
        <f>IFERROR(__xludf.DUMMYFUNCTION("""COMPUTED_VALUE"""),"wada")</f>
        <v>wada</v>
      </c>
      <c r="C12707" s="3" t="str">
        <f>IFERROR(__xludf.DUMMYFUNCTION("""COMPUTED_VALUE"""),"Wrapped ADA")</f>
        <v>Wrapped ADA</v>
      </c>
    </row>
    <row r="12708">
      <c r="A12708" s="3" t="str">
        <f>IFERROR(__xludf.DUMMYFUNCTION("""COMPUTED_VALUE"""),"wrapped-algo")</f>
        <v>wrapped-algo</v>
      </c>
      <c r="B12708" s="3" t="str">
        <f>IFERROR(__xludf.DUMMYFUNCTION("""COMPUTED_VALUE"""),"xalgo")</f>
        <v>xalgo</v>
      </c>
      <c r="C12708" s="3" t="str">
        <f>IFERROR(__xludf.DUMMYFUNCTION("""COMPUTED_VALUE"""),"Wrapped ALGO")</f>
        <v>Wrapped ALGO</v>
      </c>
    </row>
    <row r="12709">
      <c r="A12709" s="3" t="str">
        <f>IFERROR(__xludf.DUMMYFUNCTION("""COMPUTED_VALUE"""),"wrapped-ampleforth")</f>
        <v>wrapped-ampleforth</v>
      </c>
      <c r="B12709" s="3" t="str">
        <f>IFERROR(__xludf.DUMMYFUNCTION("""COMPUTED_VALUE"""),"wampl")</f>
        <v>wampl</v>
      </c>
      <c r="C12709" s="3" t="str">
        <f>IFERROR(__xludf.DUMMYFUNCTION("""COMPUTED_VALUE"""),"Wrapped Ampleforth")</f>
        <v>Wrapped Ampleforth</v>
      </c>
    </row>
    <row r="12710">
      <c r="A12710" s="3" t="str">
        <f>IFERROR(__xludf.DUMMYFUNCTION("""COMPUTED_VALUE"""),"wrapped-anatha")</f>
        <v>wrapped-anatha</v>
      </c>
      <c r="B12710" s="3" t="str">
        <f>IFERROR(__xludf.DUMMYFUNCTION("""COMPUTED_VALUE"""),"wanatha")</f>
        <v>wanatha</v>
      </c>
      <c r="C12710" s="3" t="str">
        <f>IFERROR(__xludf.DUMMYFUNCTION("""COMPUTED_VALUE"""),"Wrapped ANATHA")</f>
        <v>Wrapped ANATHA</v>
      </c>
    </row>
    <row r="12711">
      <c r="A12711" s="3" t="str">
        <f>IFERROR(__xludf.DUMMYFUNCTION("""COMPUTED_VALUE"""),"wrapped-ar")</f>
        <v>wrapped-ar</v>
      </c>
      <c r="B12711" s="3" t="str">
        <f>IFERROR(__xludf.DUMMYFUNCTION("""COMPUTED_VALUE"""),"war")</f>
        <v>war</v>
      </c>
      <c r="C12711" s="3" t="str">
        <f>IFERROR(__xludf.DUMMYFUNCTION("""COMPUTED_VALUE"""),"Wrapped AR")</f>
        <v>Wrapped AR</v>
      </c>
    </row>
    <row r="12712">
      <c r="A12712" s="3" t="str">
        <f>IFERROR(__xludf.DUMMYFUNCTION("""COMPUTED_VALUE"""),"wrapped-aria")</f>
        <v>wrapped-aria</v>
      </c>
      <c r="B12712" s="3" t="str">
        <f>IFERROR(__xludf.DUMMYFUNCTION("""COMPUTED_VALUE"""),"wria")</f>
        <v>wria</v>
      </c>
      <c r="C12712" s="3" t="str">
        <f>IFERROR(__xludf.DUMMYFUNCTION("""COMPUTED_VALUE"""),"Wrapped aRIA Currency")</f>
        <v>Wrapped aRIA Currency</v>
      </c>
    </row>
    <row r="12713">
      <c r="A12713" s="3" t="str">
        <f>IFERROR(__xludf.DUMMYFUNCTION("""COMPUTED_VALUE"""),"wrapped-astar")</f>
        <v>wrapped-astar</v>
      </c>
      <c r="B12713" s="3" t="str">
        <f>IFERROR(__xludf.DUMMYFUNCTION("""COMPUTED_VALUE"""),"wastr")</f>
        <v>wastr</v>
      </c>
      <c r="C12713" s="3" t="str">
        <f>IFERROR(__xludf.DUMMYFUNCTION("""COMPUTED_VALUE"""),"Wrapped Astar")</f>
        <v>Wrapped Astar</v>
      </c>
    </row>
    <row r="12714">
      <c r="A12714" s="3" t="str">
        <f>IFERROR(__xludf.DUMMYFUNCTION("""COMPUTED_VALUE"""),"wrapped-atromg8")</f>
        <v>wrapped-atromg8</v>
      </c>
      <c r="B12714" s="3" t="str">
        <f>IFERROR(__xludf.DUMMYFUNCTION("""COMPUTED_VALUE"""),"wag8")</f>
        <v>wag8</v>
      </c>
      <c r="C12714" s="3" t="str">
        <f>IFERROR(__xludf.DUMMYFUNCTION("""COMPUTED_VALUE"""),"Wrapped ATROMG8")</f>
        <v>Wrapped ATROMG8</v>
      </c>
    </row>
    <row r="12715">
      <c r="A12715" s="3" t="str">
        <f>IFERROR(__xludf.DUMMYFUNCTION("""COMPUTED_VALUE"""),"wrapped-avax")</f>
        <v>wrapped-avax</v>
      </c>
      <c r="B12715" s="3" t="str">
        <f>IFERROR(__xludf.DUMMYFUNCTION("""COMPUTED_VALUE"""),"wavax")</f>
        <v>wavax</v>
      </c>
      <c r="C12715" s="3" t="str">
        <f>IFERROR(__xludf.DUMMYFUNCTION("""COMPUTED_VALUE"""),"Wrapped AVAX")</f>
        <v>Wrapped AVAX</v>
      </c>
    </row>
    <row r="12716">
      <c r="A12716" s="3" t="str">
        <f>IFERROR(__xludf.DUMMYFUNCTION("""COMPUTED_VALUE"""),"wrapped-avian")</f>
        <v>wrapped-avian</v>
      </c>
      <c r="B12716" s="3" t="str">
        <f>IFERROR(__xludf.DUMMYFUNCTION("""COMPUTED_VALUE"""),"wavn")</f>
        <v>wavn</v>
      </c>
      <c r="C12716" s="3" t="str">
        <f>IFERROR(__xludf.DUMMYFUNCTION("""COMPUTED_VALUE"""),"Wrapped Avian")</f>
        <v>Wrapped Avian</v>
      </c>
    </row>
    <row r="12717">
      <c r="A12717" s="3" t="str">
        <f>IFERROR(__xludf.DUMMYFUNCTION("""COMPUTED_VALUE"""),"wrapped-bch")</f>
        <v>wrapped-bch</v>
      </c>
      <c r="B12717" s="3" t="str">
        <f>IFERROR(__xludf.DUMMYFUNCTION("""COMPUTED_VALUE"""),"wbch")</f>
        <v>wbch</v>
      </c>
      <c r="C12717" s="3" t="str">
        <f>IFERROR(__xludf.DUMMYFUNCTION("""COMPUTED_VALUE"""),"Wrapped BCH")</f>
        <v>Wrapped BCH</v>
      </c>
    </row>
    <row r="12718">
      <c r="A12718" s="3" t="str">
        <f>IFERROR(__xludf.DUMMYFUNCTION("""COMPUTED_VALUE"""),"wrapped-bind")</f>
        <v>wrapped-bind</v>
      </c>
      <c r="B12718" s="3" t="str">
        <f>IFERROR(__xludf.DUMMYFUNCTION("""COMPUTED_VALUE"""),"wbind")</f>
        <v>wbind</v>
      </c>
      <c r="C12718" s="3" t="str">
        <f>IFERROR(__xludf.DUMMYFUNCTION("""COMPUTED_VALUE"""),"Wrapped BIND")</f>
        <v>Wrapped BIND</v>
      </c>
    </row>
    <row r="12719">
      <c r="A12719" s="3" t="str">
        <f>IFERROR(__xludf.DUMMYFUNCTION("""COMPUTED_VALUE"""),"wrapped-bitcoin")</f>
        <v>wrapped-bitcoin</v>
      </c>
      <c r="B12719" s="3" t="str">
        <f>IFERROR(__xludf.DUMMYFUNCTION("""COMPUTED_VALUE"""),"wbtc")</f>
        <v>wbtc</v>
      </c>
      <c r="C12719" s="3" t="str">
        <f>IFERROR(__xludf.DUMMYFUNCTION("""COMPUTED_VALUE"""),"Wrapped Bitcoin")</f>
        <v>Wrapped Bitcoin</v>
      </c>
    </row>
    <row r="12720">
      <c r="A12720" s="3" t="str">
        <f>IFERROR(__xludf.DUMMYFUNCTION("""COMPUTED_VALUE"""),"wrapped-bitcoin-celer")</f>
        <v>wrapped-bitcoin-celer</v>
      </c>
      <c r="B12720" s="3" t="str">
        <f>IFERROR(__xludf.DUMMYFUNCTION("""COMPUTED_VALUE"""),"cewbtc")</f>
        <v>cewbtc</v>
      </c>
      <c r="C12720" s="3" t="str">
        <f>IFERROR(__xludf.DUMMYFUNCTION("""COMPUTED_VALUE"""),"Wrapped Bitcoin - Celer")</f>
        <v>Wrapped Bitcoin - Celer</v>
      </c>
    </row>
    <row r="12721">
      <c r="A12721" s="3" t="str">
        <f>IFERROR(__xludf.DUMMYFUNCTION("""COMPUTED_VALUE"""),"wrapped-bitcoin-sollet")</f>
        <v>wrapped-bitcoin-sollet</v>
      </c>
      <c r="B12721" s="3" t="str">
        <f>IFERROR(__xludf.DUMMYFUNCTION("""COMPUTED_VALUE"""),"sobtc")</f>
        <v>sobtc</v>
      </c>
      <c r="C12721" s="3" t="str">
        <f>IFERROR(__xludf.DUMMYFUNCTION("""COMPUTED_VALUE"""),"Wrapped Bitcoin (Sollet)")</f>
        <v>Wrapped Bitcoin (Sollet)</v>
      </c>
    </row>
    <row r="12722">
      <c r="A12722" s="3" t="str">
        <f>IFERROR(__xludf.DUMMYFUNCTION("""COMPUTED_VALUE"""),"wrapped-bitcoin-stacks")</f>
        <v>wrapped-bitcoin-stacks</v>
      </c>
      <c r="B12722" s="3" t="str">
        <f>IFERROR(__xludf.DUMMYFUNCTION("""COMPUTED_VALUE"""),"xbtc")</f>
        <v>xbtc</v>
      </c>
      <c r="C12722" s="3" t="str">
        <f>IFERROR(__xludf.DUMMYFUNCTION("""COMPUTED_VALUE"""),"Wrapped Bitcoin-Stacks")</f>
        <v>Wrapped Bitcoin-Stacks</v>
      </c>
    </row>
    <row r="12723">
      <c r="A12723" s="3" t="str">
        <f>IFERROR(__xludf.DUMMYFUNCTION("""COMPUTED_VALUE"""),"wrapped-bnb-celer")</f>
        <v>wrapped-bnb-celer</v>
      </c>
      <c r="B12723" s="3" t="str">
        <f>IFERROR(__xludf.DUMMYFUNCTION("""COMPUTED_VALUE"""),"cewbnb")</f>
        <v>cewbnb</v>
      </c>
      <c r="C12723" s="3" t="str">
        <f>IFERROR(__xludf.DUMMYFUNCTION("""COMPUTED_VALUE"""),"Wrapped BNB - Celer")</f>
        <v>Wrapped BNB - Celer</v>
      </c>
    </row>
    <row r="12724">
      <c r="A12724" s="3" t="str">
        <f>IFERROR(__xludf.DUMMYFUNCTION("""COMPUTED_VALUE"""),"wrapped-brise")</f>
        <v>wrapped-brise</v>
      </c>
      <c r="B12724" s="3" t="str">
        <f>IFERROR(__xludf.DUMMYFUNCTION("""COMPUTED_VALUE"""),"wbrise")</f>
        <v>wbrise</v>
      </c>
      <c r="C12724" s="3" t="str">
        <f>IFERROR(__xludf.DUMMYFUNCTION("""COMPUTED_VALUE"""),"Wrapped Brise")</f>
        <v>Wrapped Brise</v>
      </c>
    </row>
    <row r="12725">
      <c r="A12725" s="3" t="str">
        <f>IFERROR(__xludf.DUMMYFUNCTION("""COMPUTED_VALUE"""),"wrapped-btt")</f>
        <v>wrapped-btt</v>
      </c>
      <c r="B12725" s="3" t="str">
        <f>IFERROR(__xludf.DUMMYFUNCTION("""COMPUTED_VALUE"""),"wbtt")</f>
        <v>wbtt</v>
      </c>
      <c r="C12725" s="3" t="str">
        <f>IFERROR(__xludf.DUMMYFUNCTION("""COMPUTED_VALUE"""),"Wrapped BTT")</f>
        <v>Wrapped BTT</v>
      </c>
    </row>
    <row r="12726">
      <c r="A12726" s="3" t="str">
        <f>IFERROR(__xludf.DUMMYFUNCTION("""COMPUTED_VALUE"""),"wrapped-busd")</f>
        <v>wrapped-busd</v>
      </c>
      <c r="B12726" s="3" t="str">
        <f>IFERROR(__xludf.DUMMYFUNCTION("""COMPUTED_VALUE"""),"wbusd")</f>
        <v>wbusd</v>
      </c>
      <c r="C12726" s="3" t="str">
        <f>IFERROR(__xludf.DUMMYFUNCTION("""COMPUTED_VALUE"""),"Wrapped BUSD")</f>
        <v>Wrapped BUSD</v>
      </c>
    </row>
    <row r="12727">
      <c r="A12727" s="3" t="str">
        <f>IFERROR(__xludf.DUMMYFUNCTION("""COMPUTED_VALUE"""),"wrapped-busd-allbridge-from-bsc")</f>
        <v>wrapped-busd-allbridge-from-bsc</v>
      </c>
      <c r="B12727" s="3" t="str">
        <f>IFERROR(__xludf.DUMMYFUNCTION("""COMPUTED_VALUE"""),"abbusd")</f>
        <v>abbusd</v>
      </c>
      <c r="C12727" s="3" t="str">
        <f>IFERROR(__xludf.DUMMYFUNCTION("""COMPUTED_VALUE"""),"Wrapped BUSD (Allbridge from BSC)")</f>
        <v>Wrapped BUSD (Allbridge from BSC)</v>
      </c>
    </row>
    <row r="12728">
      <c r="A12728" s="3" t="str">
        <f>IFERROR(__xludf.DUMMYFUNCTION("""COMPUTED_VALUE"""),"wrapped-centrifuge")</f>
        <v>wrapped-centrifuge</v>
      </c>
      <c r="B12728" s="3" t="str">
        <f>IFERROR(__xludf.DUMMYFUNCTION("""COMPUTED_VALUE"""),"wcfg")</f>
        <v>wcfg</v>
      </c>
      <c r="C12728" s="3" t="str">
        <f>IFERROR(__xludf.DUMMYFUNCTION("""COMPUTED_VALUE"""),"Wrapped Centrifuge")</f>
        <v>Wrapped Centrifuge</v>
      </c>
    </row>
    <row r="12729">
      <c r="A12729" s="3" t="str">
        <f>IFERROR(__xludf.DUMMYFUNCTION("""COMPUTED_VALUE"""),"wrapped-chainlink-sollet")</f>
        <v>wrapped-chainlink-sollet</v>
      </c>
      <c r="B12729" s="3" t="str">
        <f>IFERROR(__xludf.DUMMYFUNCTION("""COMPUTED_VALUE"""),"solink")</f>
        <v>solink</v>
      </c>
      <c r="C12729" s="3" t="str">
        <f>IFERROR(__xludf.DUMMYFUNCTION("""COMPUTED_VALUE"""),"Wrapped Chainlink (Sollet)")</f>
        <v>Wrapped Chainlink (Sollet)</v>
      </c>
    </row>
    <row r="12730">
      <c r="A12730" s="3" t="str">
        <f>IFERROR(__xludf.DUMMYFUNCTION("""COMPUTED_VALUE"""),"wrapped-ckb")</f>
        <v>wrapped-ckb</v>
      </c>
      <c r="B12730" s="3" t="str">
        <f>IFERROR(__xludf.DUMMYFUNCTION("""COMPUTED_VALUE"""),"wckb")</f>
        <v>wckb</v>
      </c>
      <c r="C12730" s="3" t="str">
        <f>IFERROR(__xludf.DUMMYFUNCTION("""COMPUTED_VALUE"""),"Wrapped CKB")</f>
        <v>Wrapped CKB</v>
      </c>
    </row>
    <row r="12731">
      <c r="A12731" s="3" t="str">
        <f>IFERROR(__xludf.DUMMYFUNCTION("""COMPUTED_VALUE"""),"wrapped-conflux")</f>
        <v>wrapped-conflux</v>
      </c>
      <c r="B12731" s="3" t="str">
        <f>IFERROR(__xludf.DUMMYFUNCTION("""COMPUTED_VALUE"""),"wcfx")</f>
        <v>wcfx</v>
      </c>
      <c r="C12731" s="3" t="str">
        <f>IFERROR(__xludf.DUMMYFUNCTION("""COMPUTED_VALUE"""),"Wrapped Conflux")</f>
        <v>Wrapped Conflux</v>
      </c>
    </row>
    <row r="12732">
      <c r="A12732" s="3" t="str">
        <f>IFERROR(__xludf.DUMMYFUNCTION("""COMPUTED_VALUE"""),"wrapped-cro")</f>
        <v>wrapped-cro</v>
      </c>
      <c r="B12732" s="3" t="str">
        <f>IFERROR(__xludf.DUMMYFUNCTION("""COMPUTED_VALUE"""),"wcro")</f>
        <v>wcro</v>
      </c>
      <c r="C12732" s="3" t="str">
        <f>IFERROR(__xludf.DUMMYFUNCTION("""COMPUTED_VALUE"""),"Wrapped CRO")</f>
        <v>Wrapped CRO</v>
      </c>
    </row>
    <row r="12733">
      <c r="A12733" s="3" t="str">
        <f>IFERROR(__xludf.DUMMYFUNCTION("""COMPUTED_VALUE"""),"wrapped-cryptokitties")</f>
        <v>wrapped-cryptokitties</v>
      </c>
      <c r="B12733" s="3" t="str">
        <f>IFERROR(__xludf.DUMMYFUNCTION("""COMPUTED_VALUE"""),"wck")</f>
        <v>wck</v>
      </c>
      <c r="C12733" s="3" t="str">
        <f>IFERROR(__xludf.DUMMYFUNCTION("""COMPUTED_VALUE"""),"Wrapped CryptoKitties")</f>
        <v>Wrapped CryptoKitties</v>
      </c>
    </row>
    <row r="12734">
      <c r="A12734" s="3" t="str">
        <f>IFERROR(__xludf.DUMMYFUNCTION("""COMPUTED_VALUE"""),"wrapped-cube")</f>
        <v>wrapped-cube</v>
      </c>
      <c r="B12734" s="3" t="str">
        <f>IFERROR(__xludf.DUMMYFUNCTION("""COMPUTED_VALUE"""),"wcube")</f>
        <v>wcube</v>
      </c>
      <c r="C12734" s="3" t="str">
        <f>IFERROR(__xludf.DUMMYFUNCTION("""COMPUTED_VALUE"""),"Wrapped Cube")</f>
        <v>Wrapped Cube</v>
      </c>
    </row>
    <row r="12735">
      <c r="A12735" s="3" t="str">
        <f>IFERROR(__xludf.DUMMYFUNCTION("""COMPUTED_VALUE"""),"wrapped-cusd-allbridge-from-celo")</f>
        <v>wrapped-cusd-allbridge-from-celo</v>
      </c>
      <c r="B12735" s="3" t="str">
        <f>IFERROR(__xludf.DUMMYFUNCTION("""COMPUTED_VALUE"""),"acusd")</f>
        <v>acusd</v>
      </c>
      <c r="C12735" s="3" t="str">
        <f>IFERROR(__xludf.DUMMYFUNCTION("""COMPUTED_VALUE"""),"Wrapped CUSD (Allbridge from Celo)")</f>
        <v>Wrapped CUSD (Allbridge from Celo)</v>
      </c>
    </row>
    <row r="12736">
      <c r="A12736" s="3" t="str">
        <f>IFERROR(__xludf.DUMMYFUNCTION("""COMPUTED_VALUE"""),"wrapped-ecomi")</f>
        <v>wrapped-ecomi</v>
      </c>
      <c r="B12736" s="3" t="str">
        <f>IFERROR(__xludf.DUMMYFUNCTION("""COMPUTED_VALUE"""),"womi")</f>
        <v>womi</v>
      </c>
      <c r="C12736" s="3" t="str">
        <f>IFERROR(__xludf.DUMMYFUNCTION("""COMPUTED_VALUE"""),"Wrapped ECOMI")</f>
        <v>Wrapped ECOMI</v>
      </c>
    </row>
    <row r="12737">
      <c r="A12737" s="3" t="str">
        <f>IFERROR(__xludf.DUMMYFUNCTION("""COMPUTED_VALUE"""),"wrapped-elastos")</f>
        <v>wrapped-elastos</v>
      </c>
      <c r="B12737" s="3" t="str">
        <f>IFERROR(__xludf.DUMMYFUNCTION("""COMPUTED_VALUE"""),"wela")</f>
        <v>wela</v>
      </c>
      <c r="C12737" s="3" t="str">
        <f>IFERROR(__xludf.DUMMYFUNCTION("""COMPUTED_VALUE"""),"Wrapped Elastos")</f>
        <v>Wrapped Elastos</v>
      </c>
    </row>
    <row r="12738">
      <c r="A12738" s="3" t="str">
        <f>IFERROR(__xludf.DUMMYFUNCTION("""COMPUTED_VALUE"""),"wrapped-elrond")</f>
        <v>wrapped-elrond</v>
      </c>
      <c r="B12738" s="3" t="str">
        <f>IFERROR(__xludf.DUMMYFUNCTION("""COMPUTED_VALUE"""),"wegld")</f>
        <v>wegld</v>
      </c>
      <c r="C12738" s="3" t="str">
        <f>IFERROR(__xludf.DUMMYFUNCTION("""COMPUTED_VALUE"""),"Wrapped Elrond")</f>
        <v>Wrapped Elrond</v>
      </c>
    </row>
    <row r="12739">
      <c r="A12739" s="3" t="str">
        <f>IFERROR(__xludf.DUMMYFUNCTION("""COMPUTED_VALUE"""),"wrapped-energi")</f>
        <v>wrapped-energi</v>
      </c>
      <c r="B12739" s="3" t="str">
        <f>IFERROR(__xludf.DUMMYFUNCTION("""COMPUTED_VALUE"""),"wnrg")</f>
        <v>wnrg</v>
      </c>
      <c r="C12739" s="3" t="str">
        <f>IFERROR(__xludf.DUMMYFUNCTION("""COMPUTED_VALUE"""),"Wrapped Energi")</f>
        <v>Wrapped Energi</v>
      </c>
    </row>
    <row r="12740">
      <c r="A12740" s="3" t="str">
        <f>IFERROR(__xludf.DUMMYFUNCTION("""COMPUTED_VALUE"""),"wrapped-ether")</f>
        <v>wrapped-ether</v>
      </c>
      <c r="B12740" s="3" t="str">
        <f>IFERROR(__xludf.DUMMYFUNCTION("""COMPUTED_VALUE"""),"wetc")</f>
        <v>wetc</v>
      </c>
      <c r="C12740" s="3" t="str">
        <f>IFERROR(__xludf.DUMMYFUNCTION("""COMPUTED_VALUE"""),"WETC")</f>
        <v>WETC</v>
      </c>
    </row>
    <row r="12741">
      <c r="A12741" s="3" t="str">
        <f>IFERROR(__xludf.DUMMYFUNCTION("""COMPUTED_VALUE"""),"wrapped-ether-celer")</f>
        <v>wrapped-ether-celer</v>
      </c>
      <c r="B12741" s="3" t="str">
        <f>IFERROR(__xludf.DUMMYFUNCTION("""COMPUTED_VALUE"""),"ceweth")</f>
        <v>ceweth</v>
      </c>
      <c r="C12741" s="3" t="str">
        <f>IFERROR(__xludf.DUMMYFUNCTION("""COMPUTED_VALUE"""),"Wrapped Ether - Celer")</f>
        <v>Wrapped Ether - Celer</v>
      </c>
    </row>
    <row r="12742">
      <c r="A12742" s="3" t="str">
        <f>IFERROR(__xludf.DUMMYFUNCTION("""COMPUTED_VALUE"""),"wrapped-ethereum-sollet")</f>
        <v>wrapped-ethereum-sollet</v>
      </c>
      <c r="B12742" s="3" t="str">
        <f>IFERROR(__xludf.DUMMYFUNCTION("""COMPUTED_VALUE"""),"soeth")</f>
        <v>soeth</v>
      </c>
      <c r="C12742" s="3" t="str">
        <f>IFERROR(__xludf.DUMMYFUNCTION("""COMPUTED_VALUE"""),"Wrapped Ethereum (Sollet)")</f>
        <v>Wrapped Ethereum (Sollet)</v>
      </c>
    </row>
    <row r="12743">
      <c r="A12743" s="3" t="str">
        <f>IFERROR(__xludf.DUMMYFUNCTION("""COMPUTED_VALUE"""),"wrapped-ethw")</f>
        <v>wrapped-ethw</v>
      </c>
      <c r="B12743" s="3" t="str">
        <f>IFERROR(__xludf.DUMMYFUNCTION("""COMPUTED_VALUE"""),"wethw")</f>
        <v>wethw</v>
      </c>
      <c r="C12743" s="3" t="str">
        <f>IFERROR(__xludf.DUMMYFUNCTION("""COMPUTED_VALUE"""),"Wrapped ETHW")</f>
        <v>Wrapped ETHW</v>
      </c>
    </row>
    <row r="12744">
      <c r="A12744" s="3" t="str">
        <f>IFERROR(__xludf.DUMMYFUNCTION("""COMPUTED_VALUE"""),"wrapped-ever")</f>
        <v>wrapped-ever</v>
      </c>
      <c r="B12744" s="3" t="str">
        <f>IFERROR(__xludf.DUMMYFUNCTION("""COMPUTED_VALUE"""),"wever")</f>
        <v>wever</v>
      </c>
      <c r="C12744" s="3" t="str">
        <f>IFERROR(__xludf.DUMMYFUNCTION("""COMPUTED_VALUE"""),"Wrapped Ever")</f>
        <v>Wrapped Ever</v>
      </c>
    </row>
    <row r="12745">
      <c r="A12745" s="3" t="str">
        <f>IFERROR(__xludf.DUMMYFUNCTION("""COMPUTED_VALUE"""),"wrapped-fantom")</f>
        <v>wrapped-fantom</v>
      </c>
      <c r="B12745" s="3" t="str">
        <f>IFERROR(__xludf.DUMMYFUNCTION("""COMPUTED_VALUE"""),"wftm")</f>
        <v>wftm</v>
      </c>
      <c r="C12745" s="3" t="str">
        <f>IFERROR(__xludf.DUMMYFUNCTION("""COMPUTED_VALUE"""),"Wrapped Fantom")</f>
        <v>Wrapped Fantom</v>
      </c>
    </row>
    <row r="12746">
      <c r="A12746" s="3" t="str">
        <f>IFERROR(__xludf.DUMMYFUNCTION("""COMPUTED_VALUE"""),"wrapped-fantom-celer")</f>
        <v>wrapped-fantom-celer</v>
      </c>
      <c r="B12746" s="3" t="str">
        <f>IFERROR(__xludf.DUMMYFUNCTION("""COMPUTED_VALUE"""),"cewftm")</f>
        <v>cewftm</v>
      </c>
      <c r="C12746" s="3" t="str">
        <f>IFERROR(__xludf.DUMMYFUNCTION("""COMPUTED_VALUE"""),"Wrapped Fantom - Celer")</f>
        <v>Wrapped Fantom - Celer</v>
      </c>
    </row>
    <row r="12747">
      <c r="A12747" s="3" t="str">
        <f>IFERROR(__xludf.DUMMYFUNCTION("""COMPUTED_VALUE"""),"wrapped-filecoin")</f>
        <v>wrapped-filecoin</v>
      </c>
      <c r="B12747" s="3" t="str">
        <f>IFERROR(__xludf.DUMMYFUNCTION("""COMPUTED_VALUE"""),"wfil")</f>
        <v>wfil</v>
      </c>
      <c r="C12747" s="3" t="str">
        <f>IFERROR(__xludf.DUMMYFUNCTION("""COMPUTED_VALUE"""),"Wrapped Filecoin")</f>
        <v>Wrapped Filecoin</v>
      </c>
    </row>
    <row r="12748">
      <c r="A12748" s="3" t="str">
        <f>IFERROR(__xludf.DUMMYFUNCTION("""COMPUTED_VALUE"""),"wrapped-fire")</f>
        <v>wrapped-fire</v>
      </c>
      <c r="B12748" s="3" t="str">
        <f>IFERROR(__xludf.DUMMYFUNCTION("""COMPUTED_VALUE"""),"wxfr")</f>
        <v>wxfr</v>
      </c>
      <c r="C12748" s="3" t="str">
        <f>IFERROR(__xludf.DUMMYFUNCTION("""COMPUTED_VALUE"""),"Wrapped Fire")</f>
        <v>Wrapped Fire</v>
      </c>
    </row>
    <row r="12749">
      <c r="A12749" s="3" t="str">
        <f>IFERROR(__xludf.DUMMYFUNCTION("""COMPUTED_VALUE"""),"wrapped-flow")</f>
        <v>wrapped-flow</v>
      </c>
      <c r="B12749" s="3" t="str">
        <f>IFERROR(__xludf.DUMMYFUNCTION("""COMPUTED_VALUE"""),"wflow")</f>
        <v>wflow</v>
      </c>
      <c r="C12749" s="3" t="str">
        <f>IFERROR(__xludf.DUMMYFUNCTION("""COMPUTED_VALUE"""),"Wrapped Flow")</f>
        <v>Wrapped Flow</v>
      </c>
    </row>
    <row r="12750">
      <c r="A12750" s="3" t="str">
        <f>IFERROR(__xludf.DUMMYFUNCTION("""COMPUTED_VALUE"""),"wrapped-gen-0-cryptokitties")</f>
        <v>wrapped-gen-0-cryptokitties</v>
      </c>
      <c r="B12750" s="3" t="str">
        <f>IFERROR(__xludf.DUMMYFUNCTION("""COMPUTED_VALUE"""),"wg0")</f>
        <v>wg0</v>
      </c>
      <c r="C12750" s="3" t="str">
        <f>IFERROR(__xludf.DUMMYFUNCTION("""COMPUTED_VALUE"""),"Wrapped Gen-0 CryptoKitties")</f>
        <v>Wrapped Gen-0 CryptoKitties</v>
      </c>
    </row>
    <row r="12751">
      <c r="A12751" s="3" t="str">
        <f>IFERROR(__xludf.DUMMYFUNCTION("""COMPUTED_VALUE"""),"wrapped-hec")</f>
        <v>wrapped-hec</v>
      </c>
      <c r="B12751" s="3" t="str">
        <f>IFERROR(__xludf.DUMMYFUNCTION("""COMPUTED_VALUE"""),"wshec")</f>
        <v>wshec</v>
      </c>
      <c r="C12751" s="3" t="str">
        <f>IFERROR(__xludf.DUMMYFUNCTION("""COMPUTED_VALUE"""),"Wrapped HEC")</f>
        <v>Wrapped HEC</v>
      </c>
    </row>
    <row r="12752">
      <c r="A12752" s="3" t="str">
        <f>IFERROR(__xludf.DUMMYFUNCTION("""COMPUTED_VALUE"""),"wrapped-hoo")</f>
        <v>wrapped-hoo</v>
      </c>
      <c r="B12752" s="3" t="str">
        <f>IFERROR(__xludf.DUMMYFUNCTION("""COMPUTED_VALUE"""),"whoo")</f>
        <v>whoo</v>
      </c>
      <c r="C12752" s="3" t="str">
        <f>IFERROR(__xludf.DUMMYFUNCTION("""COMPUTED_VALUE"""),"Wrapped HOO")</f>
        <v>Wrapped HOO</v>
      </c>
    </row>
    <row r="12753">
      <c r="A12753" s="3" t="str">
        <f>IFERROR(__xludf.DUMMYFUNCTION("""COMPUTED_VALUE"""),"wrapped-huobi-token")</f>
        <v>wrapped-huobi-token</v>
      </c>
      <c r="B12753" s="3" t="str">
        <f>IFERROR(__xludf.DUMMYFUNCTION("""COMPUTED_VALUE"""),"wht")</f>
        <v>wht</v>
      </c>
      <c r="C12753" s="3" t="str">
        <f>IFERROR(__xludf.DUMMYFUNCTION("""COMPUTED_VALUE"""),"Wrapped Huobi")</f>
        <v>Wrapped Huobi</v>
      </c>
    </row>
    <row r="12754">
      <c r="A12754" s="3" t="str">
        <f>IFERROR(__xludf.DUMMYFUNCTION("""COMPUTED_VALUE"""),"wrapped-iotex")</f>
        <v>wrapped-iotex</v>
      </c>
      <c r="B12754" s="3" t="str">
        <f>IFERROR(__xludf.DUMMYFUNCTION("""COMPUTED_VALUE"""),"wiotx")</f>
        <v>wiotx</v>
      </c>
      <c r="C12754" s="3" t="str">
        <f>IFERROR(__xludf.DUMMYFUNCTION("""COMPUTED_VALUE"""),"Wrapped IoTex")</f>
        <v>Wrapped IoTex</v>
      </c>
    </row>
    <row r="12755">
      <c r="A12755" s="3" t="str">
        <f>IFERROR(__xludf.DUMMYFUNCTION("""COMPUTED_VALUE"""),"wrapped-kava")</f>
        <v>wrapped-kava</v>
      </c>
      <c r="B12755" s="3" t="str">
        <f>IFERROR(__xludf.DUMMYFUNCTION("""COMPUTED_VALUE"""),"wkava")</f>
        <v>wkava</v>
      </c>
      <c r="C12755" s="3" t="str">
        <f>IFERROR(__xludf.DUMMYFUNCTION("""COMPUTED_VALUE"""),"Wrapped Kava")</f>
        <v>Wrapped Kava</v>
      </c>
    </row>
    <row r="12756">
      <c r="A12756" s="3" t="str">
        <f>IFERROR(__xludf.DUMMYFUNCTION("""COMPUTED_VALUE"""),"wrapped-kcs")</f>
        <v>wrapped-kcs</v>
      </c>
      <c r="B12756" s="3" t="str">
        <f>IFERROR(__xludf.DUMMYFUNCTION("""COMPUTED_VALUE"""),"wkcs")</f>
        <v>wkcs</v>
      </c>
      <c r="C12756" s="3" t="str">
        <f>IFERROR(__xludf.DUMMYFUNCTION("""COMPUTED_VALUE"""),"Wrapped KCS")</f>
        <v>Wrapped KCS</v>
      </c>
    </row>
    <row r="12757">
      <c r="A12757" s="3" t="str">
        <f>IFERROR(__xludf.DUMMYFUNCTION("""COMPUTED_VALUE"""),"wrapped-klay")</f>
        <v>wrapped-klay</v>
      </c>
      <c r="B12757" s="3" t="str">
        <f>IFERROR(__xludf.DUMMYFUNCTION("""COMPUTED_VALUE"""),"wklay")</f>
        <v>wklay</v>
      </c>
      <c r="C12757" s="3" t="str">
        <f>IFERROR(__xludf.DUMMYFUNCTION("""COMPUTED_VALUE"""),"Wrapped KLAY")</f>
        <v>Wrapped KLAY</v>
      </c>
    </row>
    <row r="12758">
      <c r="A12758" s="3" t="str">
        <f>IFERROR(__xludf.DUMMYFUNCTION("""COMPUTED_VALUE"""),"wrapped-knoxfs")</f>
        <v>wrapped-knoxfs</v>
      </c>
      <c r="B12758" s="3" t="str">
        <f>IFERROR(__xludf.DUMMYFUNCTION("""COMPUTED_VALUE"""),"wkfx")</f>
        <v>wkfx</v>
      </c>
      <c r="C12758" s="3" t="str">
        <f>IFERROR(__xludf.DUMMYFUNCTION("""COMPUTED_VALUE"""),"Wrapped KnoxFS")</f>
        <v>Wrapped KnoxFS</v>
      </c>
    </row>
    <row r="12759">
      <c r="A12759" s="3" t="str">
        <f>IFERROR(__xludf.DUMMYFUNCTION("""COMPUTED_VALUE"""),"wrapped-leo")</f>
        <v>wrapped-leo</v>
      </c>
      <c r="B12759" s="3" t="str">
        <f>IFERROR(__xludf.DUMMYFUNCTION("""COMPUTED_VALUE"""),"wleo")</f>
        <v>wleo</v>
      </c>
      <c r="C12759" s="3" t="str">
        <f>IFERROR(__xludf.DUMMYFUNCTION("""COMPUTED_VALUE"""),"Wrapped LEO")</f>
        <v>Wrapped LEO</v>
      </c>
    </row>
    <row r="12760">
      <c r="A12760" s="3" t="str">
        <f>IFERROR(__xludf.DUMMYFUNCTION("""COMPUTED_VALUE"""),"wrapped-memory")</f>
        <v>wrapped-memory</v>
      </c>
      <c r="B12760" s="3" t="str">
        <f>IFERROR(__xludf.DUMMYFUNCTION("""COMPUTED_VALUE"""),"wmemo")</f>
        <v>wmemo</v>
      </c>
      <c r="C12760" s="3" t="str">
        <f>IFERROR(__xludf.DUMMYFUNCTION("""COMPUTED_VALUE"""),"Wonderful Memories")</f>
        <v>Wonderful Memories</v>
      </c>
    </row>
    <row r="12761">
      <c r="A12761" s="3" t="str">
        <f>IFERROR(__xludf.DUMMYFUNCTION("""COMPUTED_VALUE"""),"wrapped-metrix")</f>
        <v>wrapped-metrix</v>
      </c>
      <c r="B12761" s="3" t="str">
        <f>IFERROR(__xludf.DUMMYFUNCTION("""COMPUTED_VALUE"""),"mrxb")</f>
        <v>mrxb</v>
      </c>
      <c r="C12761" s="3" t="str">
        <f>IFERROR(__xludf.DUMMYFUNCTION("""COMPUTED_VALUE"""),"Wrapped Metrix")</f>
        <v>Wrapped Metrix</v>
      </c>
    </row>
    <row r="12762">
      <c r="A12762" s="3" t="str">
        <f>IFERROR(__xludf.DUMMYFUNCTION("""COMPUTED_VALUE"""),"wrapped-moonbeam")</f>
        <v>wrapped-moonbeam</v>
      </c>
      <c r="B12762" s="3" t="str">
        <f>IFERROR(__xludf.DUMMYFUNCTION("""COMPUTED_VALUE"""),"wglmr")</f>
        <v>wglmr</v>
      </c>
      <c r="C12762" s="3" t="str">
        <f>IFERROR(__xludf.DUMMYFUNCTION("""COMPUTED_VALUE"""),"Wrapped Moonbeam")</f>
        <v>Wrapped Moonbeam</v>
      </c>
    </row>
    <row r="12763">
      <c r="A12763" s="3" t="str">
        <f>IFERROR(__xludf.DUMMYFUNCTION("""COMPUTED_VALUE"""),"wrapped-moon-cats")</f>
        <v>wrapped-moon-cats</v>
      </c>
      <c r="B12763" s="3" t="str">
        <f>IFERROR(__xludf.DUMMYFUNCTION("""COMPUTED_VALUE"""),"mcat20")</f>
        <v>mcat20</v>
      </c>
      <c r="C12763" s="3" t="str">
        <f>IFERROR(__xludf.DUMMYFUNCTION("""COMPUTED_VALUE"""),"Wrapped Moon Cats")</f>
        <v>Wrapped Moon Cats</v>
      </c>
    </row>
    <row r="12764">
      <c r="A12764" s="3" t="str">
        <f>IFERROR(__xludf.DUMMYFUNCTION("""COMPUTED_VALUE"""),"wrapped-ncg")</f>
        <v>wrapped-ncg</v>
      </c>
      <c r="B12764" s="3" t="str">
        <f>IFERROR(__xludf.DUMMYFUNCTION("""COMPUTED_VALUE"""),"wncg")</f>
        <v>wncg</v>
      </c>
      <c r="C12764" s="3" t="str">
        <f>IFERROR(__xludf.DUMMYFUNCTION("""COMPUTED_VALUE"""),"Wrapped NCG")</f>
        <v>Wrapped NCG</v>
      </c>
    </row>
    <row r="12765">
      <c r="A12765" s="3" t="str">
        <f>IFERROR(__xludf.DUMMYFUNCTION("""COMPUTED_VALUE"""),"wrapped-near")</f>
        <v>wrapped-near</v>
      </c>
      <c r="B12765" s="3" t="str">
        <f>IFERROR(__xludf.DUMMYFUNCTION("""COMPUTED_VALUE"""),"wnear")</f>
        <v>wnear</v>
      </c>
      <c r="C12765" s="3" t="str">
        <f>IFERROR(__xludf.DUMMYFUNCTION("""COMPUTED_VALUE"""),"Wrapped Near")</f>
        <v>Wrapped Near</v>
      </c>
    </row>
    <row r="12766">
      <c r="A12766" s="3" t="str">
        <f>IFERROR(__xludf.DUMMYFUNCTION("""COMPUTED_VALUE"""),"wrapped-newyorkcoin")</f>
        <v>wrapped-newyorkcoin</v>
      </c>
      <c r="B12766" s="3" t="str">
        <f>IFERROR(__xludf.DUMMYFUNCTION("""COMPUTED_VALUE"""),"wnyc")</f>
        <v>wnyc</v>
      </c>
      <c r="C12766" s="3" t="str">
        <f>IFERROR(__xludf.DUMMYFUNCTION("""COMPUTED_VALUE"""),"Wrapped NewYorkCoin")</f>
        <v>Wrapped NewYorkCoin</v>
      </c>
    </row>
    <row r="12767">
      <c r="A12767" s="3" t="str">
        <f>IFERROR(__xludf.DUMMYFUNCTION("""COMPUTED_VALUE"""),"wrapped-nxm")</f>
        <v>wrapped-nxm</v>
      </c>
      <c r="B12767" s="3" t="str">
        <f>IFERROR(__xludf.DUMMYFUNCTION("""COMPUTED_VALUE"""),"wnxm")</f>
        <v>wnxm</v>
      </c>
      <c r="C12767" s="3" t="str">
        <f>IFERROR(__xludf.DUMMYFUNCTION("""COMPUTED_VALUE"""),"Wrapped NXM")</f>
        <v>Wrapped NXM</v>
      </c>
    </row>
    <row r="12768">
      <c r="A12768" s="3" t="str">
        <f>IFERROR(__xludf.DUMMYFUNCTION("""COMPUTED_VALUE"""),"wrapped-okt")</f>
        <v>wrapped-okt</v>
      </c>
      <c r="B12768" s="3" t="str">
        <f>IFERROR(__xludf.DUMMYFUNCTION("""COMPUTED_VALUE"""),"wokt")</f>
        <v>wokt</v>
      </c>
      <c r="C12768" s="3" t="str">
        <f>IFERROR(__xludf.DUMMYFUNCTION("""COMPUTED_VALUE"""),"Wrapped OKT")</f>
        <v>Wrapped OKT</v>
      </c>
    </row>
    <row r="12769">
      <c r="A12769" s="3" t="str">
        <f>IFERROR(__xludf.DUMMYFUNCTION("""COMPUTED_VALUE"""),"wrapped-one")</f>
        <v>wrapped-one</v>
      </c>
      <c r="B12769" s="3" t="str">
        <f>IFERROR(__xludf.DUMMYFUNCTION("""COMPUTED_VALUE"""),"wone")</f>
        <v>wone</v>
      </c>
      <c r="C12769" s="3" t="str">
        <f>IFERROR(__xludf.DUMMYFUNCTION("""COMPUTED_VALUE"""),"Wrapped One")</f>
        <v>Wrapped One</v>
      </c>
    </row>
    <row r="12770">
      <c r="A12770" s="3" t="str">
        <f>IFERROR(__xludf.DUMMYFUNCTION("""COMPUTED_VALUE"""),"wrapped-paycoin")</f>
        <v>wrapped-paycoin</v>
      </c>
      <c r="B12770" s="3" t="str">
        <f>IFERROR(__xludf.DUMMYFUNCTION("""COMPUTED_VALUE"""),"wpci")</f>
        <v>wpci</v>
      </c>
      <c r="C12770" s="3" t="str">
        <f>IFERROR(__xludf.DUMMYFUNCTION("""COMPUTED_VALUE"""),"Wrapped Paycoin")</f>
        <v>Wrapped Paycoin</v>
      </c>
    </row>
    <row r="12771">
      <c r="A12771" s="3" t="str">
        <f>IFERROR(__xludf.DUMMYFUNCTION("""COMPUTED_VALUE"""),"wrapped-pkt")</f>
        <v>wrapped-pkt</v>
      </c>
      <c r="B12771" s="3" t="str">
        <f>IFERROR(__xludf.DUMMYFUNCTION("""COMPUTED_VALUE"""),"wpkt")</f>
        <v>wpkt</v>
      </c>
      <c r="C12771" s="3" t="str">
        <f>IFERROR(__xludf.DUMMYFUNCTION("""COMPUTED_VALUE"""),"Wrapped PKT")</f>
        <v>Wrapped PKT</v>
      </c>
    </row>
    <row r="12772">
      <c r="A12772" s="3" t="str">
        <f>IFERROR(__xludf.DUMMYFUNCTION("""COMPUTED_VALUE"""),"wrapped-sexod")</f>
        <v>wrapped-sexod</v>
      </c>
      <c r="B12772" s="3" t="str">
        <f>IFERROR(__xludf.DUMMYFUNCTION("""COMPUTED_VALUE"""),"wsexod")</f>
        <v>wsexod</v>
      </c>
      <c r="C12772" s="3" t="str">
        <f>IFERROR(__xludf.DUMMYFUNCTION("""COMPUTED_VALUE"""),"Wrapped sEXOD")</f>
        <v>Wrapped sEXOD</v>
      </c>
    </row>
    <row r="12773">
      <c r="A12773" s="3" t="str">
        <f>IFERROR(__xludf.DUMMYFUNCTION("""COMPUTED_VALUE"""),"wrapped-shiden-network")</f>
        <v>wrapped-shiden-network</v>
      </c>
      <c r="B12773" s="3" t="str">
        <f>IFERROR(__xludf.DUMMYFUNCTION("""COMPUTED_VALUE"""),"sdn")</f>
        <v>sdn</v>
      </c>
      <c r="C12773" s="3" t="str">
        <f>IFERROR(__xludf.DUMMYFUNCTION("""COMPUTED_VALUE"""),"Wrapped Shiden Network")</f>
        <v>Wrapped Shiden Network</v>
      </c>
    </row>
    <row r="12774">
      <c r="A12774" s="3" t="str">
        <f>IFERROR(__xludf.DUMMYFUNCTION("""COMPUTED_VALUE"""),"wrapped-sol")</f>
        <v>wrapped-sol</v>
      </c>
      <c r="B12774" s="3" t="str">
        <f>IFERROR(__xludf.DUMMYFUNCTION("""COMPUTED_VALUE"""),"xsol")</f>
        <v>xsol</v>
      </c>
      <c r="C12774" s="3" t="str">
        <f>IFERROR(__xludf.DUMMYFUNCTION("""COMPUTED_VALUE"""),"Wrapped SOL")</f>
        <v>Wrapped SOL</v>
      </c>
    </row>
    <row r="12775">
      <c r="A12775" s="3" t="str">
        <f>IFERROR(__xludf.DUMMYFUNCTION("""COMPUTED_VALUE"""),"wrapped-solana")</f>
        <v>wrapped-solana</v>
      </c>
      <c r="B12775" s="3" t="str">
        <f>IFERROR(__xludf.DUMMYFUNCTION("""COMPUTED_VALUE"""),"sol")</f>
        <v>sol</v>
      </c>
      <c r="C12775" s="3" t="str">
        <f>IFERROR(__xludf.DUMMYFUNCTION("""COMPUTED_VALUE"""),"Wrapped Solana")</f>
        <v>Wrapped Solana</v>
      </c>
    </row>
    <row r="12776">
      <c r="A12776" s="3" t="str">
        <f>IFERROR(__xludf.DUMMYFUNCTION("""COMPUTED_VALUE"""),"wrapped-staked-scr")</f>
        <v>wrapped-staked-scr</v>
      </c>
      <c r="B12776" s="3" t="str">
        <f>IFERROR(__xludf.DUMMYFUNCTION("""COMPUTED_VALUE"""),"wsscr")</f>
        <v>wsscr</v>
      </c>
      <c r="C12776" s="3" t="str">
        <f>IFERROR(__xludf.DUMMYFUNCTION("""COMPUTED_VALUE"""),"Wrapped Staked SCR")</f>
        <v>Wrapped Staked SCR</v>
      </c>
    </row>
    <row r="12777">
      <c r="A12777" s="3" t="str">
        <f>IFERROR(__xludf.DUMMYFUNCTION("""COMPUTED_VALUE"""),"wrapped-star")</f>
        <v>wrapped-star</v>
      </c>
      <c r="B12777" s="3" t="str">
        <f>IFERROR(__xludf.DUMMYFUNCTION("""COMPUTED_VALUE"""),"wstr")</f>
        <v>wstr</v>
      </c>
      <c r="C12777" s="3" t="str">
        <f>IFERROR(__xludf.DUMMYFUNCTION("""COMPUTED_VALUE"""),"Wrapped Star")</f>
        <v>Wrapped Star</v>
      </c>
    </row>
    <row r="12778">
      <c r="A12778" s="3" t="str">
        <f>IFERROR(__xludf.DUMMYFUNCTION("""COMPUTED_VALUE"""),"wrapped-statera")</f>
        <v>wrapped-statera</v>
      </c>
      <c r="B12778" s="3" t="str">
        <f>IFERROR(__xludf.DUMMYFUNCTION("""COMPUTED_VALUE"""),"wsta")</f>
        <v>wsta</v>
      </c>
      <c r="C12778" s="3" t="str">
        <f>IFERROR(__xludf.DUMMYFUNCTION("""COMPUTED_VALUE"""),"Wrapped Statera")</f>
        <v>Wrapped Statera</v>
      </c>
    </row>
    <row r="12779">
      <c r="A12779" s="3" t="str">
        <f>IFERROR(__xludf.DUMMYFUNCTION("""COMPUTED_VALUE"""),"wrapped-steth")</f>
        <v>wrapped-steth</v>
      </c>
      <c r="B12779" s="3" t="str">
        <f>IFERROR(__xludf.DUMMYFUNCTION("""COMPUTED_VALUE"""),"wsteth")</f>
        <v>wsteth</v>
      </c>
      <c r="C12779" s="3" t="str">
        <f>IFERROR(__xludf.DUMMYFUNCTION("""COMPUTED_VALUE"""),"Wrapped stETH")</f>
        <v>Wrapped stETH</v>
      </c>
    </row>
    <row r="12780">
      <c r="A12780" s="3" t="str">
        <f>IFERROR(__xludf.DUMMYFUNCTION("""COMPUTED_VALUE"""),"wrapped-syscoin")</f>
        <v>wrapped-syscoin</v>
      </c>
      <c r="B12780" s="3" t="str">
        <f>IFERROR(__xludf.DUMMYFUNCTION("""COMPUTED_VALUE"""),"wsys")</f>
        <v>wsys</v>
      </c>
      <c r="C12780" s="3" t="str">
        <f>IFERROR(__xludf.DUMMYFUNCTION("""COMPUTED_VALUE"""),"Wrapped Syscoin")</f>
        <v>Wrapped Syscoin</v>
      </c>
    </row>
    <row r="12781">
      <c r="A12781" s="3" t="str">
        <f>IFERROR(__xludf.DUMMYFUNCTION("""COMPUTED_VALUE"""),"wrapped-telos")</f>
        <v>wrapped-telos</v>
      </c>
      <c r="B12781" s="3" t="str">
        <f>IFERROR(__xludf.DUMMYFUNCTION("""COMPUTED_VALUE"""),"wtlos")</f>
        <v>wtlos</v>
      </c>
      <c r="C12781" s="3" t="str">
        <f>IFERROR(__xludf.DUMMYFUNCTION("""COMPUTED_VALUE"""),"Wrapped Telos")</f>
        <v>Wrapped Telos</v>
      </c>
    </row>
    <row r="12782">
      <c r="A12782" s="3" t="str">
        <f>IFERROR(__xludf.DUMMYFUNCTION("""COMPUTED_VALUE"""),"wrapped-terra")</f>
        <v>wrapped-terra</v>
      </c>
      <c r="B12782" s="3" t="str">
        <f>IFERROR(__xludf.DUMMYFUNCTION("""COMPUTED_VALUE"""),"lunc")</f>
        <v>lunc</v>
      </c>
      <c r="C12782" s="3" t="str">
        <f>IFERROR(__xludf.DUMMYFUNCTION("""COMPUTED_VALUE"""),"Wrapped Terra Classic")</f>
        <v>Wrapped Terra Classic</v>
      </c>
    </row>
    <row r="12783">
      <c r="A12783" s="3" t="str">
        <f>IFERROR(__xludf.DUMMYFUNCTION("""COMPUTED_VALUE"""),"wrapped-tezos")</f>
        <v>wrapped-tezos</v>
      </c>
      <c r="B12783" s="3" t="str">
        <f>IFERROR(__xludf.DUMMYFUNCTION("""COMPUTED_VALUE"""),"wxtz")</f>
        <v>wxtz</v>
      </c>
      <c r="C12783" s="3" t="str">
        <f>IFERROR(__xludf.DUMMYFUNCTION("""COMPUTED_VALUE"""),"StakerDAO Wrapped Tezos")</f>
        <v>StakerDAO Wrapped Tezos</v>
      </c>
    </row>
    <row r="12784">
      <c r="A12784" s="3" t="str">
        <f>IFERROR(__xludf.DUMMYFUNCTION("""COMPUTED_VALUE"""),"wrapped-tezos-2")</f>
        <v>wrapped-tezos-2</v>
      </c>
      <c r="B12784" s="3" t="str">
        <f>IFERROR(__xludf.DUMMYFUNCTION("""COMPUTED_VALUE"""),"wtz")</f>
        <v>wtz</v>
      </c>
      <c r="C12784" s="3" t="str">
        <f>IFERROR(__xludf.DUMMYFUNCTION("""COMPUTED_VALUE"""),"Wrapped Tezos")</f>
        <v>Wrapped Tezos</v>
      </c>
    </row>
    <row r="12785">
      <c r="A12785" s="3" t="str">
        <f>IFERROR(__xludf.DUMMYFUNCTION("""COMPUTED_VALUE"""),"wrapped-thunderpokt")</f>
        <v>wrapped-thunderpokt</v>
      </c>
      <c r="B12785" s="3" t="str">
        <f>IFERROR(__xludf.DUMMYFUNCTION("""COMPUTED_VALUE"""),"wtpokt")</f>
        <v>wtpokt</v>
      </c>
      <c r="C12785" s="3" t="str">
        <f>IFERROR(__xludf.DUMMYFUNCTION("""COMPUTED_VALUE"""),"Wrapped ThunderPOKT")</f>
        <v>Wrapped ThunderPOKT</v>
      </c>
    </row>
    <row r="12786">
      <c r="A12786" s="3" t="str">
        <f>IFERROR(__xludf.DUMMYFUNCTION("""COMPUTED_VALUE"""),"wrapped-tomo")</f>
        <v>wrapped-tomo</v>
      </c>
      <c r="B12786" s="3" t="str">
        <f>IFERROR(__xludf.DUMMYFUNCTION("""COMPUTED_VALUE"""),"wtomo")</f>
        <v>wtomo</v>
      </c>
      <c r="C12786" s="3" t="str">
        <f>IFERROR(__xludf.DUMMYFUNCTION("""COMPUTED_VALUE"""),"Wrapped TOMO")</f>
        <v>Wrapped TOMO</v>
      </c>
    </row>
    <row r="12787">
      <c r="A12787" s="3" t="str">
        <f>IFERROR(__xludf.DUMMYFUNCTION("""COMPUTED_VALUE"""),"wrapped-ton-crystal")</f>
        <v>wrapped-ton-crystal</v>
      </c>
      <c r="B12787" s="3" t="str">
        <f>IFERROR(__xludf.DUMMYFUNCTION("""COMPUTED_VALUE"""),"wton")</f>
        <v>wton</v>
      </c>
      <c r="C12787" s="3" t="str">
        <f>IFERROR(__xludf.DUMMYFUNCTION("""COMPUTED_VALUE"""),"Wrapped TON Crystal")</f>
        <v>Wrapped TON Crystal</v>
      </c>
    </row>
    <row r="12788">
      <c r="A12788" s="3" t="str">
        <f>IFERROR(__xludf.DUMMYFUNCTION("""COMPUTED_VALUE"""),"wrapped-tron")</f>
        <v>wrapped-tron</v>
      </c>
      <c r="B12788" s="3" t="str">
        <f>IFERROR(__xludf.DUMMYFUNCTION("""COMPUTED_VALUE"""),"wtrx")</f>
        <v>wtrx</v>
      </c>
      <c r="C12788" s="3" t="str">
        <f>IFERROR(__xludf.DUMMYFUNCTION("""COMPUTED_VALUE"""),"Wrapped Tron")</f>
        <v>Wrapped Tron</v>
      </c>
    </row>
    <row r="12789">
      <c r="A12789" s="3" t="str">
        <f>IFERROR(__xludf.DUMMYFUNCTION("""COMPUTED_VALUE"""),"wrapped-turtlecoin")</f>
        <v>wrapped-turtlecoin</v>
      </c>
      <c r="B12789" s="3" t="str">
        <f>IFERROR(__xludf.DUMMYFUNCTION("""COMPUTED_VALUE"""),"wtrtl")</f>
        <v>wtrtl</v>
      </c>
      <c r="C12789" s="3" t="str">
        <f>IFERROR(__xludf.DUMMYFUNCTION("""COMPUTED_VALUE"""),"Wrapped TurtleCoin")</f>
        <v>Wrapped TurtleCoin</v>
      </c>
    </row>
    <row r="12790">
      <c r="A12790" s="3" t="str">
        <f>IFERROR(__xludf.DUMMYFUNCTION("""COMPUTED_VALUE"""),"wrapped-usdc")</f>
        <v>wrapped-usdc</v>
      </c>
      <c r="B12790" s="3" t="str">
        <f>IFERROR(__xludf.DUMMYFUNCTION("""COMPUTED_VALUE"""),"xusd")</f>
        <v>xusd</v>
      </c>
      <c r="C12790" s="3" t="str">
        <f>IFERROR(__xludf.DUMMYFUNCTION("""COMPUTED_VALUE"""),"Wrapped USDC")</f>
        <v>Wrapped USDC</v>
      </c>
    </row>
    <row r="12791">
      <c r="A12791" s="3" t="str">
        <f>IFERROR(__xludf.DUMMYFUNCTION("""COMPUTED_VALUE"""),"wrapped-usdt")</f>
        <v>wrapped-usdt</v>
      </c>
      <c r="B12791" s="3" t="str">
        <f>IFERROR(__xludf.DUMMYFUNCTION("""COMPUTED_VALUE"""),"wusdt")</f>
        <v>wusdt</v>
      </c>
      <c r="C12791" s="3" t="str">
        <f>IFERROR(__xludf.DUMMYFUNCTION("""COMPUTED_VALUE"""),"Wrapped USDT")</f>
        <v>Wrapped USDT</v>
      </c>
    </row>
    <row r="12792">
      <c r="A12792" s="3" t="str">
        <f>IFERROR(__xludf.DUMMYFUNCTION("""COMPUTED_VALUE"""),"wrapped-usdt-allbridge-from-polygon")</f>
        <v>wrapped-usdt-allbridge-from-polygon</v>
      </c>
      <c r="B12792" s="3" t="str">
        <f>IFERROR(__xludf.DUMMYFUNCTION("""COMPUTED_VALUE"""),"apusdt")</f>
        <v>apusdt</v>
      </c>
      <c r="C12792" s="3" t="str">
        <f>IFERROR(__xludf.DUMMYFUNCTION("""COMPUTED_VALUE"""),"Wrapped USDT (Allbridge from Polygon)")</f>
        <v>Wrapped USDT (Allbridge from Polygon)</v>
      </c>
    </row>
    <row r="12793">
      <c r="A12793" s="3" t="str">
        <f>IFERROR(__xludf.DUMMYFUNCTION("""COMPUTED_VALUE"""),"wrapped-ust")</f>
        <v>wrapped-ust</v>
      </c>
      <c r="B12793" s="3" t="str">
        <f>IFERROR(__xludf.DUMMYFUNCTION("""COMPUTED_VALUE"""),"ustc")</f>
        <v>ustc</v>
      </c>
      <c r="C12793" s="3" t="str">
        <f>IFERROR(__xludf.DUMMYFUNCTION("""COMPUTED_VALUE"""),"Wrapped USTC")</f>
        <v>Wrapped USTC</v>
      </c>
    </row>
    <row r="12794">
      <c r="A12794" s="3" t="str">
        <f>IFERROR(__xludf.DUMMYFUNCTION("""COMPUTED_VALUE"""),"wrapped-velas")</f>
        <v>wrapped-velas</v>
      </c>
      <c r="B12794" s="3" t="str">
        <f>IFERROR(__xludf.DUMMYFUNCTION("""COMPUTED_VALUE"""),"wvlx")</f>
        <v>wvlx</v>
      </c>
      <c r="C12794" s="3" t="str">
        <f>IFERROR(__xludf.DUMMYFUNCTION("""COMPUTED_VALUE"""),"Wrapped Velas")</f>
        <v>Wrapped Velas</v>
      </c>
    </row>
    <row r="12795">
      <c r="A12795" s="3" t="str">
        <f>IFERROR(__xludf.DUMMYFUNCTION("""COMPUTED_VALUE"""),"wrapped-virgin-gen-0-cryptokitties")</f>
        <v>wrapped-virgin-gen-0-cryptokitties</v>
      </c>
      <c r="B12795" s="3" t="str">
        <f>IFERROR(__xludf.DUMMYFUNCTION("""COMPUTED_VALUE"""),"wvg0")</f>
        <v>wvg0</v>
      </c>
      <c r="C12795" s="3" t="str">
        <f>IFERROR(__xludf.DUMMYFUNCTION("""COMPUTED_VALUE"""),"Wrapped Virgin Gen-0 CryptoKittties")</f>
        <v>Wrapped Virgin Gen-0 CryptoKittties</v>
      </c>
    </row>
    <row r="12796">
      <c r="A12796" s="3" t="str">
        <f>IFERROR(__xludf.DUMMYFUNCTION("""COMPUTED_VALUE"""),"wrapped-wan")</f>
        <v>wrapped-wan</v>
      </c>
      <c r="B12796" s="3" t="str">
        <f>IFERROR(__xludf.DUMMYFUNCTION("""COMPUTED_VALUE"""),"wwan")</f>
        <v>wwan</v>
      </c>
      <c r="C12796" s="3" t="str">
        <f>IFERROR(__xludf.DUMMYFUNCTION("""COMPUTED_VALUE"""),"Wrapped Wan")</f>
        <v>Wrapped Wan</v>
      </c>
    </row>
    <row r="12797">
      <c r="A12797" s="3" t="str">
        <f>IFERROR(__xludf.DUMMYFUNCTION("""COMPUTED_VALUE"""),"wrapped-wdoge")</f>
        <v>wrapped-wdoge</v>
      </c>
      <c r="B12797" s="3" t="str">
        <f>IFERROR(__xludf.DUMMYFUNCTION("""COMPUTED_VALUE"""),"wwdoge")</f>
        <v>wwdoge</v>
      </c>
      <c r="C12797" s="3" t="str">
        <f>IFERROR(__xludf.DUMMYFUNCTION("""COMPUTED_VALUE"""),"Wrapped WDOGE")</f>
        <v>Wrapped WDOGE</v>
      </c>
    </row>
    <row r="12798">
      <c r="A12798" s="3" t="str">
        <f>IFERROR(__xludf.DUMMYFUNCTION("""COMPUTED_VALUE"""),"wrapped-wwshib")</f>
        <v>wrapped-wwshib</v>
      </c>
      <c r="B12798" s="3" t="str">
        <f>IFERROR(__xludf.DUMMYFUNCTION("""COMPUTED_VALUE"""),"wwshib")</f>
        <v>wwshib</v>
      </c>
      <c r="C12798" s="3" t="str">
        <f>IFERROR(__xludf.DUMMYFUNCTION("""COMPUTED_VALUE"""),"Wrapped WWSHIB")</f>
        <v>Wrapped WWSHIB</v>
      </c>
    </row>
    <row r="12799">
      <c r="A12799" s="3" t="str">
        <f>IFERROR(__xludf.DUMMYFUNCTION("""COMPUTED_VALUE"""),"wrapped-xbtc")</f>
        <v>wrapped-xbtc</v>
      </c>
      <c r="B12799" s="3" t="str">
        <f>IFERROR(__xludf.DUMMYFUNCTION("""COMPUTED_VALUE"""),"wxbtc")</f>
        <v>wxbtc</v>
      </c>
      <c r="C12799" s="3" t="str">
        <f>IFERROR(__xludf.DUMMYFUNCTION("""COMPUTED_VALUE"""),"Wrapped xBTC")</f>
        <v>Wrapped xBTC</v>
      </c>
    </row>
    <row r="12800">
      <c r="A12800" s="3" t="str">
        <f>IFERROR(__xludf.DUMMYFUNCTION("""COMPUTED_VALUE"""),"wrapped-xdai")</f>
        <v>wrapped-xdai</v>
      </c>
      <c r="B12800" s="3" t="str">
        <f>IFERROR(__xludf.DUMMYFUNCTION("""COMPUTED_VALUE"""),"wxdai")</f>
        <v>wxdai</v>
      </c>
      <c r="C12800" s="3" t="str">
        <f>IFERROR(__xludf.DUMMYFUNCTION("""COMPUTED_VALUE"""),"Wrapped XDAI")</f>
        <v>Wrapped XDAI</v>
      </c>
    </row>
    <row r="12801">
      <c r="A12801" s="3" t="str">
        <f>IFERROR(__xludf.DUMMYFUNCTION("""COMPUTED_VALUE"""),"wrapped-xmr-btse")</f>
        <v>wrapped-xmr-btse</v>
      </c>
      <c r="B12801" s="3" t="str">
        <f>IFERROR(__xludf.DUMMYFUNCTION("""COMPUTED_VALUE"""),"wxmr")</f>
        <v>wxmr</v>
      </c>
      <c r="C12801" s="3" t="str">
        <f>IFERROR(__xludf.DUMMYFUNCTION("""COMPUTED_VALUE"""),"Wrapped XMR by BTSE")</f>
        <v>Wrapped XMR by BTSE</v>
      </c>
    </row>
    <row r="12802">
      <c r="A12802" s="3" t="str">
        <f>IFERROR(__xludf.DUMMYFUNCTION("""COMPUTED_VALUE"""),"wrapped-xrp")</f>
        <v>wrapped-xrp</v>
      </c>
      <c r="B12802" s="3" t="str">
        <f>IFERROR(__xludf.DUMMYFUNCTION("""COMPUTED_VALUE"""),"wxrp")</f>
        <v>wxrp</v>
      </c>
      <c r="C12802" s="3" t="str">
        <f>IFERROR(__xludf.DUMMYFUNCTION("""COMPUTED_VALUE"""),"Wrapped XRP")</f>
        <v>Wrapped XRP</v>
      </c>
    </row>
    <row r="12803">
      <c r="A12803" s="3" t="str">
        <f>IFERROR(__xludf.DUMMYFUNCTION("""COMPUTED_VALUE"""),"wrapped-yfi-sollet")</f>
        <v>wrapped-yfi-sollet</v>
      </c>
      <c r="B12803" s="3" t="str">
        <f>IFERROR(__xludf.DUMMYFUNCTION("""COMPUTED_VALUE"""),"soyfi")</f>
        <v>soyfi</v>
      </c>
      <c r="C12803" s="3" t="str">
        <f>IFERROR(__xludf.DUMMYFUNCTION("""COMPUTED_VALUE"""),"Wrapped YFI (Sollet)")</f>
        <v>Wrapped YFI (Sollet)</v>
      </c>
    </row>
    <row r="12804">
      <c r="A12804" s="3" t="str">
        <f>IFERROR(__xludf.DUMMYFUNCTION("""COMPUTED_VALUE"""),"wrapped-zcash")</f>
        <v>wrapped-zcash</v>
      </c>
      <c r="B12804" s="3" t="str">
        <f>IFERROR(__xludf.DUMMYFUNCTION("""COMPUTED_VALUE"""),"wzec")</f>
        <v>wzec</v>
      </c>
      <c r="C12804" s="3" t="str">
        <f>IFERROR(__xludf.DUMMYFUNCTION("""COMPUTED_VALUE"""),"Wrapped Zcash")</f>
        <v>Wrapped Zcash</v>
      </c>
    </row>
    <row r="12805">
      <c r="A12805" s="3" t="str">
        <f>IFERROR(__xludf.DUMMYFUNCTION("""COMPUTED_VALUE"""),"wsb-sh")</f>
        <v>wsb-sh</v>
      </c>
      <c r="B12805" s="3" t="str">
        <f>IFERROR(__xludf.DUMMYFUNCTION("""COMPUTED_VALUE"""),"wsbt")</f>
        <v>wsbt</v>
      </c>
      <c r="C12805" s="4" t="str">
        <f>IFERROR(__xludf.DUMMYFUNCTION("""COMPUTED_VALUE"""),"WSB.sh")</f>
        <v>WSB.sh</v>
      </c>
    </row>
    <row r="12806">
      <c r="A12806" s="3" t="str">
        <f>IFERROR(__xludf.DUMMYFUNCTION("""COMPUTED_VALUE"""),"wtf-token")</f>
        <v>wtf-token</v>
      </c>
      <c r="B12806" s="3" t="str">
        <f>IFERROR(__xludf.DUMMYFUNCTION("""COMPUTED_VALUE"""),"wtf")</f>
        <v>wtf</v>
      </c>
      <c r="C12806" s="3" t="str">
        <f>IFERROR(__xludf.DUMMYFUNCTION("""COMPUTED_VALUE"""),"Fees.wtf")</f>
        <v>Fees.wtf</v>
      </c>
    </row>
    <row r="12807">
      <c r="A12807" s="3" t="str">
        <f>IFERROR(__xludf.DUMMYFUNCTION("""COMPUTED_VALUE"""),"x2")</f>
        <v>x2</v>
      </c>
      <c r="B12807" s="3" t="str">
        <f>IFERROR(__xludf.DUMMYFUNCTION("""COMPUTED_VALUE"""),"x2")</f>
        <v>x2</v>
      </c>
      <c r="C12807" s="3" t="str">
        <f>IFERROR(__xludf.DUMMYFUNCTION("""COMPUTED_VALUE"""),"X2")</f>
        <v>X2</v>
      </c>
    </row>
    <row r="12808">
      <c r="A12808" s="3" t="str">
        <f>IFERROR(__xludf.DUMMYFUNCTION("""COMPUTED_VALUE"""),"x-2")</f>
        <v>x-2</v>
      </c>
      <c r="B12808" s="3" t="str">
        <f>IFERROR(__xludf.DUMMYFUNCTION("""COMPUTED_VALUE"""),"x")</f>
        <v>x</v>
      </c>
      <c r="C12808" s="3" t="str">
        <f>IFERROR(__xludf.DUMMYFUNCTION("""COMPUTED_VALUE"""),"X")</f>
        <v>X</v>
      </c>
    </row>
    <row r="12809">
      <c r="A12809" s="3" t="str">
        <f>IFERROR(__xludf.DUMMYFUNCTION("""COMPUTED_VALUE"""),"x2y2")</f>
        <v>x2y2</v>
      </c>
      <c r="B12809" s="3" t="str">
        <f>IFERROR(__xludf.DUMMYFUNCTION("""COMPUTED_VALUE"""),"x2y2")</f>
        <v>x2y2</v>
      </c>
      <c r="C12809" s="3" t="str">
        <f>IFERROR(__xludf.DUMMYFUNCTION("""COMPUTED_VALUE"""),"X2Y2")</f>
        <v>X2Y2</v>
      </c>
    </row>
    <row r="12810">
      <c r="A12810" s="3" t="str">
        <f>IFERROR(__xludf.DUMMYFUNCTION("""COMPUTED_VALUE"""),"x42-protocol")</f>
        <v>x42-protocol</v>
      </c>
      <c r="B12810" s="3" t="str">
        <f>IFERROR(__xludf.DUMMYFUNCTION("""COMPUTED_VALUE"""),"x42")</f>
        <v>x42</v>
      </c>
      <c r="C12810" s="3" t="str">
        <f>IFERROR(__xludf.DUMMYFUNCTION("""COMPUTED_VALUE"""),"X42 Protocol")</f>
        <v>X42 Protocol</v>
      </c>
    </row>
    <row r="12811">
      <c r="A12811" s="3" t="str">
        <f>IFERROR(__xludf.DUMMYFUNCTION("""COMPUTED_VALUE"""),"x7dao")</f>
        <v>x7dao</v>
      </c>
      <c r="B12811" s="3" t="str">
        <f>IFERROR(__xludf.DUMMYFUNCTION("""COMPUTED_VALUE"""),"x7dao")</f>
        <v>x7dao</v>
      </c>
      <c r="C12811" s="3" t="str">
        <f>IFERROR(__xludf.DUMMYFUNCTION("""COMPUTED_VALUE"""),"X7DAO")</f>
        <v>X7DAO</v>
      </c>
    </row>
    <row r="12812">
      <c r="A12812" s="3" t="str">
        <f>IFERROR(__xludf.DUMMYFUNCTION("""COMPUTED_VALUE"""),"x7r")</f>
        <v>x7r</v>
      </c>
      <c r="B12812" s="3" t="str">
        <f>IFERROR(__xludf.DUMMYFUNCTION("""COMPUTED_VALUE"""),"x7r")</f>
        <v>x7r</v>
      </c>
      <c r="C12812" s="3" t="str">
        <f>IFERROR(__xludf.DUMMYFUNCTION("""COMPUTED_VALUE"""),"X7R")</f>
        <v>X7R</v>
      </c>
    </row>
    <row r="12813">
      <c r="A12813" s="3" t="str">
        <f>IFERROR(__xludf.DUMMYFUNCTION("""COMPUTED_VALUE"""),"x8-project")</f>
        <v>x8-project</v>
      </c>
      <c r="B12813" s="3" t="str">
        <f>IFERROR(__xludf.DUMMYFUNCTION("""COMPUTED_VALUE"""),"x8x")</f>
        <v>x8x</v>
      </c>
      <c r="C12813" s="3" t="str">
        <f>IFERROR(__xludf.DUMMYFUNCTION("""COMPUTED_VALUE"""),"X8X")</f>
        <v>X8X</v>
      </c>
    </row>
    <row r="12814">
      <c r="A12814" s="3" t="str">
        <f>IFERROR(__xludf.DUMMYFUNCTION("""COMPUTED_VALUE"""),"x99token")</f>
        <v>x99token</v>
      </c>
      <c r="B12814" s="3" t="str">
        <f>IFERROR(__xludf.DUMMYFUNCTION("""COMPUTED_VALUE"""),"x99")</f>
        <v>x99</v>
      </c>
      <c r="C12814" s="3" t="str">
        <f>IFERROR(__xludf.DUMMYFUNCTION("""COMPUTED_VALUE"""),"x99")</f>
        <v>x99</v>
      </c>
    </row>
    <row r="12815">
      <c r="A12815" s="3" t="str">
        <f>IFERROR(__xludf.DUMMYFUNCTION("""COMPUTED_VALUE"""),"xaea-xii-token")</f>
        <v>xaea-xii-token</v>
      </c>
      <c r="B12815" s="3" t="str">
        <f>IFERROR(__xludf.DUMMYFUNCTION("""COMPUTED_VALUE"""),"xaea-xii")</f>
        <v>xaea-xii</v>
      </c>
      <c r="C12815" s="3" t="str">
        <f>IFERROR(__xludf.DUMMYFUNCTION("""COMPUTED_VALUE"""),"XAEA-Xii")</f>
        <v>XAEA-Xii</v>
      </c>
    </row>
    <row r="12816">
      <c r="A12816" s="3" t="str">
        <f>IFERROR(__xludf.DUMMYFUNCTION("""COMPUTED_VALUE"""),"xana")</f>
        <v>xana</v>
      </c>
      <c r="B12816" s="3" t="str">
        <f>IFERROR(__xludf.DUMMYFUNCTION("""COMPUTED_VALUE"""),"xeta")</f>
        <v>xeta</v>
      </c>
      <c r="C12816" s="3" t="str">
        <f>IFERROR(__xludf.DUMMYFUNCTION("""COMPUTED_VALUE"""),"XANA")</f>
        <v>XANA</v>
      </c>
    </row>
    <row r="12817">
      <c r="A12817" s="3" t="str">
        <f>IFERROR(__xludf.DUMMYFUNCTION("""COMPUTED_VALUE"""),"xaurum")</f>
        <v>xaurum</v>
      </c>
      <c r="B12817" s="3" t="str">
        <f>IFERROR(__xludf.DUMMYFUNCTION("""COMPUTED_VALUE"""),"xaur")</f>
        <v>xaur</v>
      </c>
      <c r="C12817" s="3" t="str">
        <f>IFERROR(__xludf.DUMMYFUNCTION("""COMPUTED_VALUE"""),"Xaurum")</f>
        <v>Xaurum</v>
      </c>
    </row>
    <row r="12818">
      <c r="A12818" s="3" t="str">
        <f>IFERROR(__xludf.DUMMYFUNCTION("""COMPUTED_VALUE"""),"xave-coin")</f>
        <v>xave-coin</v>
      </c>
      <c r="B12818" s="3" t="str">
        <f>IFERROR(__xludf.DUMMYFUNCTION("""COMPUTED_VALUE"""),"xvc")</f>
        <v>xvc</v>
      </c>
      <c r="C12818" s="3" t="str">
        <f>IFERROR(__xludf.DUMMYFUNCTION("""COMPUTED_VALUE"""),"Xave Coin")</f>
        <v>Xave Coin</v>
      </c>
    </row>
    <row r="12819">
      <c r="A12819" s="3" t="str">
        <f>IFERROR(__xludf.DUMMYFUNCTION("""COMPUTED_VALUE"""),"xaviera-tech")</f>
        <v>xaviera-tech</v>
      </c>
      <c r="B12819" s="3" t="str">
        <f>IFERROR(__xludf.DUMMYFUNCTION("""COMPUTED_VALUE"""),"xts")</f>
        <v>xts</v>
      </c>
      <c r="C12819" s="3" t="str">
        <f>IFERROR(__xludf.DUMMYFUNCTION("""COMPUTED_VALUE"""),"Xaviera Tech")</f>
        <v>Xaviera Tech</v>
      </c>
    </row>
    <row r="12820">
      <c r="A12820" s="3" t="str">
        <f>IFERROR(__xludf.DUMMYFUNCTION("""COMPUTED_VALUE"""),"xaviera-techno-solutions")</f>
        <v>xaviera-techno-solutions</v>
      </c>
      <c r="B12820" s="3" t="str">
        <f>IFERROR(__xludf.DUMMYFUNCTION("""COMPUTED_VALUE"""),"xts")</f>
        <v>xts</v>
      </c>
      <c r="C12820" s="3" t="str">
        <f>IFERROR(__xludf.DUMMYFUNCTION("""COMPUTED_VALUE"""),"Xaviera Techno Solutions")</f>
        <v>Xaviera Techno Solutions</v>
      </c>
    </row>
    <row r="12821">
      <c r="A12821" s="3" t="str">
        <f>IFERROR(__xludf.DUMMYFUNCTION("""COMPUTED_VALUE"""),"xbe-token")</f>
        <v>xbe-token</v>
      </c>
      <c r="B12821" s="3" t="str">
        <f>IFERROR(__xludf.DUMMYFUNCTION("""COMPUTED_VALUE"""),"xbe")</f>
        <v>xbe</v>
      </c>
      <c r="C12821" s="3" t="str">
        <f>IFERROR(__xludf.DUMMYFUNCTION("""COMPUTED_VALUE"""),"XBE")</f>
        <v>XBE</v>
      </c>
    </row>
    <row r="12822">
      <c r="A12822" s="3" t="str">
        <f>IFERROR(__xludf.DUMMYFUNCTION("""COMPUTED_VALUE"""),"xbit")</f>
        <v>xbit</v>
      </c>
      <c r="B12822" s="3" t="str">
        <f>IFERROR(__xludf.DUMMYFUNCTION("""COMPUTED_VALUE"""),"xbt")</f>
        <v>xbt</v>
      </c>
      <c r="C12822" s="3" t="str">
        <f>IFERROR(__xludf.DUMMYFUNCTION("""COMPUTED_VALUE"""),"Xbit")</f>
        <v>Xbit</v>
      </c>
    </row>
    <row r="12823">
      <c r="A12823" s="3" t="str">
        <f>IFERROR(__xludf.DUMMYFUNCTION("""COMPUTED_VALUE"""),"x-blox")</f>
        <v>x-blox</v>
      </c>
      <c r="B12823" s="3" t="str">
        <f>IFERROR(__xludf.DUMMYFUNCTION("""COMPUTED_VALUE"""),"xbx")</f>
        <v>xbx</v>
      </c>
      <c r="C12823" s="3" t="str">
        <f>IFERROR(__xludf.DUMMYFUNCTION("""COMPUTED_VALUE"""),"X-BLOX")</f>
        <v>X-BLOX</v>
      </c>
    </row>
    <row r="12824">
      <c r="A12824" s="3" t="str">
        <f>IFERROR(__xludf.DUMMYFUNCTION("""COMPUTED_VALUE"""),"xbn")</f>
        <v>xbn</v>
      </c>
      <c r="B12824" s="3" t="str">
        <f>IFERROR(__xludf.DUMMYFUNCTION("""COMPUTED_VALUE"""),"xbn")</f>
        <v>xbn</v>
      </c>
      <c r="C12824" s="3" t="str">
        <f>IFERROR(__xludf.DUMMYFUNCTION("""COMPUTED_VALUE"""),"Elastic BNB")</f>
        <v>Elastic BNB</v>
      </c>
    </row>
    <row r="12825">
      <c r="A12825" s="3" t="str">
        <f>IFERROR(__xludf.DUMMYFUNCTION("""COMPUTED_VALUE"""),"xbn-community-token")</f>
        <v>xbn-community-token</v>
      </c>
      <c r="B12825" s="3" t="str">
        <f>IFERROR(__xludf.DUMMYFUNCTION("""COMPUTED_VALUE"""),"xbc")</f>
        <v>xbc</v>
      </c>
      <c r="C12825" s="3" t="str">
        <f>IFERROR(__xludf.DUMMYFUNCTION("""COMPUTED_VALUE"""),"XBN Community")</f>
        <v>XBN Community</v>
      </c>
    </row>
    <row r="12826">
      <c r="A12826" s="3" t="str">
        <f>IFERROR(__xludf.DUMMYFUNCTION("""COMPUTED_VALUE"""),"xbullion")</f>
        <v>xbullion</v>
      </c>
      <c r="B12826" s="3" t="str">
        <f>IFERROR(__xludf.DUMMYFUNCTION("""COMPUTED_VALUE"""),"gold")</f>
        <v>gold</v>
      </c>
      <c r="C12826" s="3" t="str">
        <f>IFERROR(__xludf.DUMMYFUNCTION("""COMPUTED_VALUE"""),"XBullion")</f>
        <v>XBullion</v>
      </c>
    </row>
    <row r="12827">
      <c r="A12827" s="3" t="str">
        <f>IFERROR(__xludf.DUMMYFUNCTION("""COMPUTED_VALUE"""),"xbullion_silver")</f>
        <v>xbullion_silver</v>
      </c>
      <c r="B12827" s="3" t="str">
        <f>IFERROR(__xludf.DUMMYFUNCTION("""COMPUTED_VALUE"""),"silv")</f>
        <v>silv</v>
      </c>
      <c r="C12827" s="3" t="str">
        <f>IFERROR(__xludf.DUMMYFUNCTION("""COMPUTED_VALUE"""),"XBullion Silver")</f>
        <v>XBullion Silver</v>
      </c>
    </row>
    <row r="12828">
      <c r="A12828" s="3" t="str">
        <f>IFERROR(__xludf.DUMMYFUNCTION("""COMPUTED_VALUE"""),"xcad-network")</f>
        <v>xcad-network</v>
      </c>
      <c r="B12828" s="3" t="str">
        <f>IFERROR(__xludf.DUMMYFUNCTION("""COMPUTED_VALUE"""),"xcad")</f>
        <v>xcad</v>
      </c>
      <c r="C12828" s="3" t="str">
        <f>IFERROR(__xludf.DUMMYFUNCTION("""COMPUTED_VALUE"""),"XCAD Network")</f>
        <v>XCAD Network</v>
      </c>
    </row>
    <row r="12829">
      <c r="A12829" s="3" t="str">
        <f>IFERROR(__xludf.DUMMYFUNCTION("""COMPUTED_VALUE"""),"x-capital")</f>
        <v>x-capital</v>
      </c>
      <c r="B12829" s="3" t="str">
        <f>IFERROR(__xludf.DUMMYFUNCTION("""COMPUTED_VALUE"""),"xcap")</f>
        <v>xcap</v>
      </c>
      <c r="C12829" s="3" t="str">
        <f>IFERROR(__xludf.DUMMYFUNCTION("""COMPUTED_VALUE"""),"X Capital")</f>
        <v>X Capital</v>
      </c>
    </row>
    <row r="12830">
      <c r="A12830" s="3" t="str">
        <f>IFERROR(__xludf.DUMMYFUNCTION("""COMPUTED_VALUE"""),"xcarnival")</f>
        <v>xcarnival</v>
      </c>
      <c r="B12830" s="3" t="str">
        <f>IFERROR(__xludf.DUMMYFUNCTION("""COMPUTED_VALUE"""),"xcv")</f>
        <v>xcv</v>
      </c>
      <c r="C12830" s="3" t="str">
        <f>IFERROR(__xludf.DUMMYFUNCTION("""COMPUTED_VALUE"""),"XCarnival")</f>
        <v>XCarnival</v>
      </c>
    </row>
    <row r="12831">
      <c r="A12831" s="3" t="str">
        <f>IFERROR(__xludf.DUMMYFUNCTION("""COMPUTED_VALUE"""),"x-cash")</f>
        <v>x-cash</v>
      </c>
      <c r="B12831" s="3" t="str">
        <f>IFERROR(__xludf.DUMMYFUNCTION("""COMPUTED_VALUE"""),"xcash")</f>
        <v>xcash</v>
      </c>
      <c r="C12831" s="3" t="str">
        <f>IFERROR(__xludf.DUMMYFUNCTION("""COMPUTED_VALUE"""),"X-CASH")</f>
        <v>X-CASH</v>
      </c>
    </row>
    <row r="12832">
      <c r="A12832" s="3" t="str">
        <f>IFERROR(__xludf.DUMMYFUNCTION("""COMPUTED_VALUE"""),"xcavator")</f>
        <v>xcavator</v>
      </c>
      <c r="B12832" s="3" t="str">
        <f>IFERROR(__xludf.DUMMYFUNCTION("""COMPUTED_VALUE"""),"xca")</f>
        <v>xca</v>
      </c>
      <c r="C12832" s="3" t="str">
        <f>IFERROR(__xludf.DUMMYFUNCTION("""COMPUTED_VALUE"""),"Xcavator")</f>
        <v>Xcavator</v>
      </c>
    </row>
    <row r="12833">
      <c r="A12833" s="3" t="str">
        <f>IFERROR(__xludf.DUMMYFUNCTION("""COMPUTED_VALUE"""),"xcdot")</f>
        <v>xcdot</v>
      </c>
      <c r="B12833" s="3" t="str">
        <f>IFERROR(__xludf.DUMMYFUNCTION("""COMPUTED_VALUE"""),"xcdot")</f>
        <v>xcdot</v>
      </c>
      <c r="C12833" s="3" t="str">
        <f>IFERROR(__xludf.DUMMYFUNCTION("""COMPUTED_VALUE"""),"xcDOT")</f>
        <v>xcDOT</v>
      </c>
    </row>
    <row r="12834">
      <c r="A12834" s="3" t="str">
        <f>IFERROR(__xludf.DUMMYFUNCTION("""COMPUTED_VALUE"""),"xcel-swap")</f>
        <v>xcel-swap</v>
      </c>
      <c r="B12834" s="3" t="str">
        <f>IFERROR(__xludf.DUMMYFUNCTION("""COMPUTED_VALUE"""),"xld")</f>
        <v>xld</v>
      </c>
      <c r="C12834" s="3" t="str">
        <f>IFERROR(__xludf.DUMMYFUNCTION("""COMPUTED_VALUE"""),"Xcel Defi")</f>
        <v>Xcel Defi</v>
      </c>
    </row>
    <row r="12835">
      <c r="A12835" s="3" t="str">
        <f>IFERROR(__xludf.DUMMYFUNCTION("""COMPUTED_VALUE"""),"xceltoken-plus")</f>
        <v>xceltoken-plus</v>
      </c>
      <c r="B12835" s="3" t="str">
        <f>IFERROR(__xludf.DUMMYFUNCTION("""COMPUTED_VALUE"""),"xlab")</f>
        <v>xlab</v>
      </c>
      <c r="C12835" s="3" t="str">
        <f>IFERROR(__xludf.DUMMYFUNCTION("""COMPUTED_VALUE"""),"XCELTOKEN PLUS")</f>
        <v>XCELTOKEN PLUS</v>
      </c>
    </row>
    <row r="12836">
      <c r="A12836" s="3" t="str">
        <f>IFERROR(__xludf.DUMMYFUNCTION("""COMPUTED_VALUE"""),"xcf-token")</f>
        <v>xcf-token</v>
      </c>
      <c r="B12836" s="3" t="str">
        <f>IFERROR(__xludf.DUMMYFUNCTION("""COMPUTED_VALUE"""),"xcf")</f>
        <v>xcf</v>
      </c>
      <c r="C12836" s="3" t="str">
        <f>IFERROR(__xludf.DUMMYFUNCTION("""COMPUTED_VALUE"""),"XCF Token")</f>
        <v>XCF Token</v>
      </c>
    </row>
    <row r="12837">
      <c r="A12837" s="3" t="str">
        <f>IFERROR(__xludf.DUMMYFUNCTION("""COMPUTED_VALUE"""),"xchainz")</f>
        <v>xchainz</v>
      </c>
      <c r="B12837" s="3" t="str">
        <f>IFERROR(__xludf.DUMMYFUNCTION("""COMPUTED_VALUE"""),"xcz")</f>
        <v>xcz</v>
      </c>
      <c r="C12837" s="3" t="str">
        <f>IFERROR(__xludf.DUMMYFUNCTION("""COMPUTED_VALUE"""),"XChainZ")</f>
        <v>XChainZ</v>
      </c>
    </row>
    <row r="12838">
      <c r="A12838" s="3" t="str">
        <f>IFERROR(__xludf.DUMMYFUNCTION("""COMPUTED_VALUE"""),"xcom")</f>
        <v>xcom</v>
      </c>
      <c r="B12838" s="3" t="str">
        <f>IFERROR(__xludf.DUMMYFUNCTION("""COMPUTED_VALUE"""),"xc")</f>
        <v>xc</v>
      </c>
      <c r="C12838" s="3" t="str">
        <f>IFERROR(__xludf.DUMMYFUNCTION("""COMPUTED_VALUE"""),"XCOM")</f>
        <v>XCOM</v>
      </c>
    </row>
    <row r="12839">
      <c r="A12839" s="3" t="str">
        <f>IFERROR(__xludf.DUMMYFUNCTION("""COMPUTED_VALUE"""),"x-consoles")</f>
        <v>x-consoles</v>
      </c>
      <c r="B12839" s="3" t="str">
        <f>IFERROR(__xludf.DUMMYFUNCTION("""COMPUTED_VALUE"""),"game")</f>
        <v>game</v>
      </c>
      <c r="C12839" s="3" t="str">
        <f>IFERROR(__xludf.DUMMYFUNCTION("""COMPUTED_VALUE"""),"X-Consoles")</f>
        <v>X-Consoles</v>
      </c>
    </row>
    <row r="12840">
      <c r="A12840" s="3" t="str">
        <f>IFERROR(__xludf.DUMMYFUNCTION("""COMPUTED_VALUE"""),"xcrx")</f>
        <v>xcrx</v>
      </c>
      <c r="B12840" s="3" t="str">
        <f>IFERROR(__xludf.DUMMYFUNCTION("""COMPUTED_VALUE"""),"xcrx")</f>
        <v>xcrx</v>
      </c>
      <c r="C12840" s="3" t="str">
        <f>IFERROR(__xludf.DUMMYFUNCTION("""COMPUTED_VALUE"""),"xCRX")</f>
        <v>xCRX</v>
      </c>
    </row>
    <row r="12841">
      <c r="A12841" s="3" t="str">
        <f>IFERROR(__xludf.DUMMYFUNCTION("""COMPUTED_VALUE"""),"xdai")</f>
        <v>xdai</v>
      </c>
      <c r="B12841" s="3" t="str">
        <f>IFERROR(__xludf.DUMMYFUNCTION("""COMPUTED_VALUE"""),"xdai")</f>
        <v>xdai</v>
      </c>
      <c r="C12841" s="3" t="str">
        <f>IFERROR(__xludf.DUMMYFUNCTION("""COMPUTED_VALUE"""),"XDAI")</f>
        <v>XDAI</v>
      </c>
    </row>
    <row r="12842">
      <c r="A12842" s="3" t="str">
        <f>IFERROR(__xludf.DUMMYFUNCTION("""COMPUTED_VALUE"""),"xdai-native-comb")</f>
        <v>xdai-native-comb</v>
      </c>
      <c r="B12842" s="3" t="str">
        <f>IFERROR(__xludf.DUMMYFUNCTION("""COMPUTED_VALUE"""),"xcomb")</f>
        <v>xcomb</v>
      </c>
      <c r="C12842" s="3" t="str">
        <f>IFERROR(__xludf.DUMMYFUNCTION("""COMPUTED_VALUE"""),"xDai Native Comb")</f>
        <v>xDai Native Comb</v>
      </c>
    </row>
    <row r="12843">
      <c r="A12843" s="3" t="str">
        <f>IFERROR(__xludf.DUMMYFUNCTION("""COMPUTED_VALUE"""),"xdai-stake")</f>
        <v>xdai-stake</v>
      </c>
      <c r="B12843" s="3" t="str">
        <f>IFERROR(__xludf.DUMMYFUNCTION("""COMPUTED_VALUE"""),"stake")</f>
        <v>stake</v>
      </c>
      <c r="C12843" s="3" t="str">
        <f>IFERROR(__xludf.DUMMYFUNCTION("""COMPUTED_VALUE"""),"STAKE")</f>
        <v>STAKE</v>
      </c>
    </row>
    <row r="12844">
      <c r="A12844" s="3" t="str">
        <f>IFERROR(__xludf.DUMMYFUNCTION("""COMPUTED_VALUE"""),"xdao")</f>
        <v>xdao</v>
      </c>
      <c r="B12844" s="3" t="str">
        <f>IFERROR(__xludf.DUMMYFUNCTION("""COMPUTED_VALUE"""),"xdao")</f>
        <v>xdao</v>
      </c>
      <c r="C12844" s="3" t="str">
        <f>IFERROR(__xludf.DUMMYFUNCTION("""COMPUTED_VALUE"""),"XDAO")</f>
        <v>XDAO</v>
      </c>
    </row>
    <row r="12845">
      <c r="A12845" s="3" t="str">
        <f>IFERROR(__xludf.DUMMYFUNCTION("""COMPUTED_VALUE"""),"xdce-crowd-sale")</f>
        <v>xdce-crowd-sale</v>
      </c>
      <c r="B12845" s="3" t="str">
        <f>IFERROR(__xludf.DUMMYFUNCTION("""COMPUTED_VALUE"""),"xdc")</f>
        <v>xdc</v>
      </c>
      <c r="C12845" s="3" t="str">
        <f>IFERROR(__xludf.DUMMYFUNCTION("""COMPUTED_VALUE"""),"XDC Network")</f>
        <v>XDC Network</v>
      </c>
    </row>
    <row r="12846">
      <c r="A12846" s="3" t="str">
        <f>IFERROR(__xludf.DUMMYFUNCTION("""COMPUTED_VALUE"""),"xdefi")</f>
        <v>xdefi</v>
      </c>
      <c r="B12846" s="3" t="str">
        <f>IFERROR(__xludf.DUMMYFUNCTION("""COMPUTED_VALUE"""),"xdefi")</f>
        <v>xdefi</v>
      </c>
      <c r="C12846" s="3" t="str">
        <f>IFERROR(__xludf.DUMMYFUNCTION("""COMPUTED_VALUE"""),"XDEFI")</f>
        <v>XDEFI</v>
      </c>
    </row>
    <row r="12847">
      <c r="A12847" s="3" t="str">
        <f>IFERROR(__xludf.DUMMYFUNCTION("""COMPUTED_VALUE"""),"xdefi-governance-token")</f>
        <v>xdefi-governance-token</v>
      </c>
      <c r="B12847" s="3" t="str">
        <f>IFERROR(__xludf.DUMMYFUNCTION("""COMPUTED_VALUE"""),"xdex")</f>
        <v>xdex</v>
      </c>
      <c r="C12847" s="3" t="str">
        <f>IFERROR(__xludf.DUMMYFUNCTION("""COMPUTED_VALUE"""),"XDEFI Governance")</f>
        <v>XDEFI Governance</v>
      </c>
    </row>
    <row r="12848">
      <c r="A12848" s="3" t="str">
        <f>IFERROR(__xludf.DUMMYFUNCTION("""COMPUTED_VALUE"""),"xdoge")</f>
        <v>xdoge</v>
      </c>
      <c r="B12848" s="3" t="str">
        <f>IFERROR(__xludf.DUMMYFUNCTION("""COMPUTED_VALUE"""),"xdoge")</f>
        <v>xdoge</v>
      </c>
      <c r="C12848" s="3" t="str">
        <f>IFERROR(__xludf.DUMMYFUNCTION("""COMPUTED_VALUE"""),"Xdoge")</f>
        <v>Xdoge</v>
      </c>
    </row>
    <row r="12849">
      <c r="A12849" s="3" t="str">
        <f>IFERROR(__xludf.DUMMYFUNCTION("""COMPUTED_VALUE"""),"xdollar-stablecoin")</f>
        <v>xdollar-stablecoin</v>
      </c>
      <c r="B12849" s="3" t="str">
        <f>IFERROR(__xludf.DUMMYFUNCTION("""COMPUTED_VALUE"""),"xusd")</f>
        <v>xusd</v>
      </c>
      <c r="C12849" s="3" t="str">
        <f>IFERROR(__xludf.DUMMYFUNCTION("""COMPUTED_VALUE"""),"xDollar Stablecoin")</f>
        <v>xDollar Stablecoin</v>
      </c>
    </row>
    <row r="12850">
      <c r="A12850" s="3" t="str">
        <f>IFERROR(__xludf.DUMMYFUNCTION("""COMPUTED_VALUE"""),"x-ecosystem")</f>
        <v>x-ecosystem</v>
      </c>
      <c r="B12850" s="3" t="str">
        <f>IFERROR(__xludf.DUMMYFUNCTION("""COMPUTED_VALUE"""),"xeco")</f>
        <v>xeco</v>
      </c>
      <c r="C12850" s="3" t="str">
        <f>IFERROR(__xludf.DUMMYFUNCTION("""COMPUTED_VALUE"""),"X Ecosystem")</f>
        <v>X Ecosystem</v>
      </c>
    </row>
    <row r="12851">
      <c r="A12851" s="3" t="str">
        <f>IFERROR(__xludf.DUMMYFUNCTION("""COMPUTED_VALUE"""),"xeebster")</f>
        <v>xeebster</v>
      </c>
      <c r="B12851" s="3" t="str">
        <f>IFERROR(__xludf.DUMMYFUNCTION("""COMPUTED_VALUE"""),"xeeb")</f>
        <v>xeeb</v>
      </c>
      <c r="C12851" s="3" t="str">
        <f>IFERROR(__xludf.DUMMYFUNCTION("""COMPUTED_VALUE"""),"Xeebster")</f>
        <v>Xeebster</v>
      </c>
    </row>
    <row r="12852">
      <c r="A12852" s="3" t="str">
        <f>IFERROR(__xludf.DUMMYFUNCTION("""COMPUTED_VALUE"""),"xels")</f>
        <v>xels</v>
      </c>
      <c r="B12852" s="3" t="str">
        <f>IFERROR(__xludf.DUMMYFUNCTION("""COMPUTED_VALUE"""),"xels")</f>
        <v>xels</v>
      </c>
      <c r="C12852" s="3" t="str">
        <f>IFERROR(__xludf.DUMMYFUNCTION("""COMPUTED_VALUE"""),"XELS")</f>
        <v>XELS</v>
      </c>
    </row>
    <row r="12853">
      <c r="A12853" s="3" t="str">
        <f>IFERROR(__xludf.DUMMYFUNCTION("""COMPUTED_VALUE"""),"xen-crypto")</f>
        <v>xen-crypto</v>
      </c>
      <c r="B12853" s="3" t="str">
        <f>IFERROR(__xludf.DUMMYFUNCTION("""COMPUTED_VALUE"""),"xen")</f>
        <v>xen</v>
      </c>
      <c r="C12853" s="3" t="str">
        <f>IFERROR(__xludf.DUMMYFUNCTION("""COMPUTED_VALUE"""),"XEN Crypto")</f>
        <v>XEN Crypto</v>
      </c>
    </row>
    <row r="12854">
      <c r="A12854" s="3" t="str">
        <f>IFERROR(__xludf.DUMMYFUNCTION("""COMPUTED_VALUE"""),"xend-finance")</f>
        <v>xend-finance</v>
      </c>
      <c r="B12854" s="3" t="str">
        <f>IFERROR(__xludf.DUMMYFUNCTION("""COMPUTED_VALUE"""),"xend")</f>
        <v>xend</v>
      </c>
      <c r="C12854" s="3" t="str">
        <f>IFERROR(__xludf.DUMMYFUNCTION("""COMPUTED_VALUE"""),"Xend Finance")</f>
        <v>Xend Finance</v>
      </c>
    </row>
    <row r="12855">
      <c r="A12855" s="3" t="str">
        <f>IFERROR(__xludf.DUMMYFUNCTION("""COMPUTED_VALUE"""),"xenios")</f>
        <v>xenios</v>
      </c>
      <c r="B12855" s="3" t="str">
        <f>IFERROR(__xludf.DUMMYFUNCTION("""COMPUTED_VALUE"""),"xnc")</f>
        <v>xnc</v>
      </c>
      <c r="C12855" s="3" t="str">
        <f>IFERROR(__xludf.DUMMYFUNCTION("""COMPUTED_VALUE"""),"Xenios")</f>
        <v>Xenios</v>
      </c>
    </row>
    <row r="12856">
      <c r="A12856" s="3" t="str">
        <f>IFERROR(__xludf.DUMMYFUNCTION("""COMPUTED_VALUE"""),"xeniumx")</f>
        <v>xeniumx</v>
      </c>
      <c r="B12856" s="3" t="str">
        <f>IFERROR(__xludf.DUMMYFUNCTION("""COMPUTED_VALUE"""),"xemx")</f>
        <v>xemx</v>
      </c>
      <c r="C12856" s="3" t="str">
        <f>IFERROR(__xludf.DUMMYFUNCTION("""COMPUTED_VALUE"""),"Xeniumx")</f>
        <v>Xeniumx</v>
      </c>
    </row>
    <row r="12857">
      <c r="A12857" s="3" t="str">
        <f>IFERROR(__xludf.DUMMYFUNCTION("""COMPUTED_VALUE"""),"xeno-token")</f>
        <v>xeno-token</v>
      </c>
      <c r="B12857" s="3" t="str">
        <f>IFERROR(__xludf.DUMMYFUNCTION("""COMPUTED_VALUE"""),"xno")</f>
        <v>xno</v>
      </c>
      <c r="C12857" s="3" t="str">
        <f>IFERROR(__xludf.DUMMYFUNCTION("""COMPUTED_VALUE"""),"Xeno")</f>
        <v>Xeno</v>
      </c>
    </row>
    <row r="12858">
      <c r="A12858" s="3" t="str">
        <f>IFERROR(__xludf.DUMMYFUNCTION("""COMPUTED_VALUE"""),"xensor")</f>
        <v>xensor</v>
      </c>
      <c r="B12858" s="3" t="str">
        <f>IFERROR(__xludf.DUMMYFUNCTION("""COMPUTED_VALUE"""),"xsr")</f>
        <v>xsr</v>
      </c>
      <c r="C12858" s="3" t="str">
        <f>IFERROR(__xludf.DUMMYFUNCTION("""COMPUTED_VALUE"""),"Xensor")</f>
        <v>Xensor</v>
      </c>
    </row>
    <row r="12859">
      <c r="A12859" s="3" t="str">
        <f>IFERROR(__xludf.DUMMYFUNCTION("""COMPUTED_VALUE"""),"xeonbit-token")</f>
        <v>xeonbit-token</v>
      </c>
      <c r="B12859" s="3" t="str">
        <f>IFERROR(__xludf.DUMMYFUNCTION("""COMPUTED_VALUE"""),"xns")</f>
        <v>xns</v>
      </c>
      <c r="C12859" s="3" t="str">
        <f>IFERROR(__xludf.DUMMYFUNCTION("""COMPUTED_VALUE"""),"Xeonbit XNS")</f>
        <v>Xeonbit XNS</v>
      </c>
    </row>
    <row r="12860">
      <c r="A12860" s="3" t="str">
        <f>IFERROR(__xludf.DUMMYFUNCTION("""COMPUTED_VALUE"""),"xerium")</f>
        <v>xerium</v>
      </c>
      <c r="B12860" s="3" t="str">
        <f>IFERROR(__xludf.DUMMYFUNCTION("""COMPUTED_VALUE"""),"xerm")</f>
        <v>xerm</v>
      </c>
      <c r="C12860" s="3" t="str">
        <f>IFERROR(__xludf.DUMMYFUNCTION("""COMPUTED_VALUE"""),"Xerium")</f>
        <v>Xerium</v>
      </c>
    </row>
    <row r="12861">
      <c r="A12861" s="3" t="str">
        <f>IFERROR(__xludf.DUMMYFUNCTION("""COMPUTED_VALUE"""),"xeta")</f>
        <v>xeta</v>
      </c>
      <c r="B12861" s="3" t="str">
        <f>IFERROR(__xludf.DUMMYFUNCTION("""COMPUTED_VALUE"""),"xeta")</f>
        <v>xeta</v>
      </c>
      <c r="C12861" s="3" t="str">
        <f>IFERROR(__xludf.DUMMYFUNCTION("""COMPUTED_VALUE"""),"XETA")</f>
        <v>XETA</v>
      </c>
    </row>
    <row r="12862">
      <c r="A12862" s="3" t="str">
        <f>IFERROR(__xludf.DUMMYFUNCTION("""COMPUTED_VALUE"""),"xeus")</f>
        <v>xeus</v>
      </c>
      <c r="B12862" s="3" t="str">
        <f>IFERROR(__xludf.DUMMYFUNCTION("""COMPUTED_VALUE"""),"xeus")</f>
        <v>xeus</v>
      </c>
      <c r="C12862" s="3" t="str">
        <f>IFERROR(__xludf.DUMMYFUNCTION("""COMPUTED_VALUE"""),"XEUS")</f>
        <v>XEUS</v>
      </c>
    </row>
    <row r="12863">
      <c r="A12863" s="3" t="str">
        <f>IFERROR(__xludf.DUMMYFUNCTION("""COMPUTED_VALUE"""),"xfarmer")</f>
        <v>xfarmer</v>
      </c>
      <c r="B12863" s="3" t="str">
        <f>IFERROR(__xludf.DUMMYFUNCTION("""COMPUTED_VALUE"""),"xf")</f>
        <v>xf</v>
      </c>
      <c r="C12863" s="3" t="str">
        <f>IFERROR(__xludf.DUMMYFUNCTION("""COMPUTED_VALUE"""),"xFarmer")</f>
        <v>xFarmer</v>
      </c>
    </row>
    <row r="12864">
      <c r="A12864" s="3" t="str">
        <f>IFERROR(__xludf.DUMMYFUNCTION("""COMPUTED_VALUE"""),"xfinance")</f>
        <v>xfinance</v>
      </c>
      <c r="B12864" s="3" t="str">
        <f>IFERROR(__xludf.DUMMYFUNCTION("""COMPUTED_VALUE"""),"xfi")</f>
        <v>xfi</v>
      </c>
      <c r="C12864" s="3" t="str">
        <f>IFERROR(__xludf.DUMMYFUNCTION("""COMPUTED_VALUE"""),"Xfinance")</f>
        <v>Xfinance</v>
      </c>
    </row>
    <row r="12865">
      <c r="A12865" s="3" t="str">
        <f>IFERROR(__xludf.DUMMYFUNCTION("""COMPUTED_VALUE"""),"xfinite-entertainment-token")</f>
        <v>xfinite-entertainment-token</v>
      </c>
      <c r="B12865" s="3" t="str">
        <f>IFERROR(__xludf.DUMMYFUNCTION("""COMPUTED_VALUE"""),"xet")</f>
        <v>xet</v>
      </c>
      <c r="C12865" s="3" t="str">
        <f>IFERROR(__xludf.DUMMYFUNCTION("""COMPUTED_VALUE"""),"Xfinite Entertainment")</f>
        <v>Xfinite Entertainment</v>
      </c>
    </row>
    <row r="12866">
      <c r="A12866" s="3" t="str">
        <f>IFERROR(__xludf.DUMMYFUNCTION("""COMPUTED_VALUE"""),"xfit")</f>
        <v>xfit</v>
      </c>
      <c r="B12866" s="3" t="str">
        <f>IFERROR(__xludf.DUMMYFUNCTION("""COMPUTED_VALUE"""),"xfit")</f>
        <v>xfit</v>
      </c>
      <c r="C12866" s="3" t="str">
        <f>IFERROR(__xludf.DUMMYFUNCTION("""COMPUTED_VALUE"""),"Xfit")</f>
        <v>Xfit</v>
      </c>
    </row>
    <row r="12867">
      <c r="A12867" s="3" t="str">
        <f>IFERROR(__xludf.DUMMYFUNCTION("""COMPUTED_VALUE"""),"xfuel")</f>
        <v>xfuel</v>
      </c>
      <c r="B12867" s="3" t="str">
        <f>IFERROR(__xludf.DUMMYFUNCTION("""COMPUTED_VALUE"""),"xfuel")</f>
        <v>xfuel</v>
      </c>
      <c r="C12867" s="3" t="str">
        <f>IFERROR(__xludf.DUMMYFUNCTION("""COMPUTED_VALUE"""),"XFUEL")</f>
        <v>XFUEL</v>
      </c>
    </row>
    <row r="12868">
      <c r="A12868" s="3" t="str">
        <f>IFERROR(__xludf.DUMMYFUNCTION("""COMPUTED_VALUE"""),"xfund")</f>
        <v>xfund</v>
      </c>
      <c r="B12868" s="3" t="str">
        <f>IFERROR(__xludf.DUMMYFUNCTION("""COMPUTED_VALUE"""),"xfund")</f>
        <v>xfund</v>
      </c>
      <c r="C12868" s="3" t="str">
        <f>IFERROR(__xludf.DUMMYFUNCTION("""COMPUTED_VALUE"""),"xFUND")</f>
        <v>xFUND</v>
      </c>
    </row>
    <row r="12869">
      <c r="A12869" s="3" t="str">
        <f>IFERROR(__xludf.DUMMYFUNCTION("""COMPUTED_VALUE"""),"xgold-coin")</f>
        <v>xgold-coin</v>
      </c>
      <c r="B12869" s="3" t="str">
        <f>IFERROR(__xludf.DUMMYFUNCTION("""COMPUTED_VALUE"""),"xgold")</f>
        <v>xgold</v>
      </c>
      <c r="C12869" s="3" t="str">
        <f>IFERROR(__xludf.DUMMYFUNCTION("""COMPUTED_VALUE"""),"Xgold Coin")</f>
        <v>Xgold Coin</v>
      </c>
    </row>
    <row r="12870">
      <c r="A12870" s="3" t="str">
        <f>IFERROR(__xludf.DUMMYFUNCTION("""COMPUTED_VALUE"""),"x-hash")</f>
        <v>x-hash</v>
      </c>
      <c r="B12870" s="3" t="str">
        <f>IFERROR(__xludf.DUMMYFUNCTION("""COMPUTED_VALUE"""),"xsh")</f>
        <v>xsh</v>
      </c>
      <c r="C12870" s="3" t="str">
        <f>IFERROR(__xludf.DUMMYFUNCTION("""COMPUTED_VALUE"""),"X-HASH")</f>
        <v>X-HASH</v>
      </c>
    </row>
    <row r="12871">
      <c r="A12871" s="3" t="str">
        <f>IFERROR(__xludf.DUMMYFUNCTION("""COMPUTED_VALUE"""),"xhashtag")</f>
        <v>xhashtag</v>
      </c>
      <c r="B12871" s="3" t="str">
        <f>IFERROR(__xludf.DUMMYFUNCTION("""COMPUTED_VALUE"""),"xtag")</f>
        <v>xtag</v>
      </c>
      <c r="C12871" s="3" t="str">
        <f>IFERROR(__xludf.DUMMYFUNCTION("""COMPUTED_VALUE"""),"xHashtag")</f>
        <v>xHashtag</v>
      </c>
    </row>
    <row r="12872">
      <c r="A12872" s="3" t="str">
        <f>IFERROR(__xludf.DUMMYFUNCTION("""COMPUTED_VALUE"""),"xhype")</f>
        <v>xhype</v>
      </c>
      <c r="B12872" s="3" t="str">
        <f>IFERROR(__xludf.DUMMYFUNCTION("""COMPUTED_VALUE"""),"xhp")</f>
        <v>xhp</v>
      </c>
      <c r="C12872" s="3" t="str">
        <f>IFERROR(__xludf.DUMMYFUNCTION("""COMPUTED_VALUE"""),"XHYPE")</f>
        <v>XHYPE</v>
      </c>
    </row>
    <row r="12873">
      <c r="A12873" s="3" t="str">
        <f>IFERROR(__xludf.DUMMYFUNCTION("""COMPUTED_VALUE"""),"xiamipool")</f>
        <v>xiamipool</v>
      </c>
      <c r="B12873" s="3" t="str">
        <f>IFERROR(__xludf.DUMMYFUNCTION("""COMPUTED_VALUE"""),"xmpt")</f>
        <v>xmpt</v>
      </c>
      <c r="C12873" s="3" t="str">
        <f>IFERROR(__xludf.DUMMYFUNCTION("""COMPUTED_VALUE"""),"XiamiPool")</f>
        <v>XiamiPool</v>
      </c>
    </row>
    <row r="12874">
      <c r="A12874" s="3" t="str">
        <f>IFERROR(__xludf.DUMMYFUNCTION("""COMPUTED_VALUE"""),"xiasi-inu")</f>
        <v>xiasi-inu</v>
      </c>
      <c r="B12874" s="3" t="str">
        <f>IFERROR(__xludf.DUMMYFUNCTION("""COMPUTED_VALUE"""),"xiasi")</f>
        <v>xiasi</v>
      </c>
      <c r="C12874" s="3" t="str">
        <f>IFERROR(__xludf.DUMMYFUNCTION("""COMPUTED_VALUE"""),"Xiasi Inu")</f>
        <v>Xiasi Inu</v>
      </c>
    </row>
    <row r="12875">
      <c r="A12875" s="3" t="str">
        <f>IFERROR(__xludf.DUMMYFUNCTION("""COMPUTED_VALUE"""),"xiden")</f>
        <v>xiden</v>
      </c>
      <c r="B12875" s="3" t="str">
        <f>IFERROR(__xludf.DUMMYFUNCTION("""COMPUTED_VALUE"""),"xden")</f>
        <v>xden</v>
      </c>
      <c r="C12875" s="3" t="str">
        <f>IFERROR(__xludf.DUMMYFUNCTION("""COMPUTED_VALUE"""),"Xiden")</f>
        <v>Xiden</v>
      </c>
    </row>
    <row r="12876">
      <c r="A12876" s="3" t="str">
        <f>IFERROR(__xludf.DUMMYFUNCTION("""COMPUTED_VALUE"""),"xido-finance")</f>
        <v>xido-finance</v>
      </c>
      <c r="B12876" s="3" t="str">
        <f>IFERROR(__xludf.DUMMYFUNCTION("""COMPUTED_VALUE"""),"xido")</f>
        <v>xido</v>
      </c>
      <c r="C12876" s="3" t="str">
        <f>IFERROR(__xludf.DUMMYFUNCTION("""COMPUTED_VALUE"""),"Xido Finance")</f>
        <v>Xido Finance</v>
      </c>
    </row>
    <row r="12877">
      <c r="A12877" s="3" t="str">
        <f>IFERROR(__xludf.DUMMYFUNCTION("""COMPUTED_VALUE"""),"xiglute-coin")</f>
        <v>xiglute-coin</v>
      </c>
      <c r="B12877" s="3" t="str">
        <f>IFERROR(__xludf.DUMMYFUNCTION("""COMPUTED_VALUE"""),"xgc")</f>
        <v>xgc</v>
      </c>
      <c r="C12877" s="3" t="str">
        <f>IFERROR(__xludf.DUMMYFUNCTION("""COMPUTED_VALUE"""),"Xiglute Coin")</f>
        <v>Xiglute Coin</v>
      </c>
    </row>
    <row r="12878">
      <c r="A12878" s="3" t="str">
        <f>IFERROR(__xludf.DUMMYFUNCTION("""COMPUTED_VALUE"""),"xio")</f>
        <v>xio</v>
      </c>
      <c r="B12878" s="3" t="str">
        <f>IFERROR(__xludf.DUMMYFUNCTION("""COMPUTED_VALUE"""),"xio")</f>
        <v>xio</v>
      </c>
      <c r="C12878" s="3" t="str">
        <f>IFERROR(__xludf.DUMMYFUNCTION("""COMPUTED_VALUE"""),"Blockzero Labs")</f>
        <v>Blockzero Labs</v>
      </c>
    </row>
    <row r="12879">
      <c r="A12879" s="3" t="str">
        <f>IFERROR(__xludf.DUMMYFUNCTION("""COMPUTED_VALUE"""),"xion-finance")</f>
        <v>xion-finance</v>
      </c>
      <c r="B12879" s="3" t="str">
        <f>IFERROR(__xludf.DUMMYFUNCTION("""COMPUTED_VALUE"""),"xgt")</f>
        <v>xgt</v>
      </c>
      <c r="C12879" s="3" t="str">
        <f>IFERROR(__xludf.DUMMYFUNCTION("""COMPUTED_VALUE"""),"Xion Finance")</f>
        <v>Xion Finance</v>
      </c>
    </row>
    <row r="12880">
      <c r="A12880" s="3" t="str">
        <f>IFERROR(__xludf.DUMMYFUNCTION("""COMPUTED_VALUE"""),"xiotri")</f>
        <v>xiotri</v>
      </c>
      <c r="B12880" s="3" t="str">
        <f>IFERROR(__xludf.DUMMYFUNCTION("""COMPUTED_VALUE"""),"xiot")</f>
        <v>xiot</v>
      </c>
      <c r="C12880" s="3" t="str">
        <f>IFERROR(__xludf.DUMMYFUNCTION("""COMPUTED_VALUE"""),"Xiotri")</f>
        <v>Xiotri</v>
      </c>
    </row>
    <row r="12881">
      <c r="A12881" s="3" t="str">
        <f>IFERROR(__xludf.DUMMYFUNCTION("""COMPUTED_VALUE"""),"xi-token")</f>
        <v>xi-token</v>
      </c>
      <c r="B12881" s="3" t="str">
        <f>IFERROR(__xludf.DUMMYFUNCTION("""COMPUTED_VALUE"""),"xi")</f>
        <v>xi</v>
      </c>
      <c r="C12881" s="3" t="str">
        <f>IFERROR(__xludf.DUMMYFUNCTION("""COMPUTED_VALUE"""),"Xi")</f>
        <v>Xi</v>
      </c>
    </row>
    <row r="12882">
      <c r="A12882" s="3" t="str">
        <f>IFERROR(__xludf.DUMMYFUNCTION("""COMPUTED_VALUE"""),"xjewel")</f>
        <v>xjewel</v>
      </c>
      <c r="B12882" s="3" t="str">
        <f>IFERROR(__xludf.DUMMYFUNCTION("""COMPUTED_VALUE"""),"xjewel")</f>
        <v>xjewel</v>
      </c>
      <c r="C12882" s="3" t="str">
        <f>IFERROR(__xludf.DUMMYFUNCTION("""COMPUTED_VALUE"""),"xJEWEL")</f>
        <v>xJEWEL</v>
      </c>
    </row>
    <row r="12883">
      <c r="A12883" s="3" t="str">
        <f>IFERROR(__xludf.DUMMYFUNCTION("""COMPUTED_VALUE"""),"xlist")</f>
        <v>xlist</v>
      </c>
      <c r="B12883" s="3" t="str">
        <f>IFERROR(__xludf.DUMMYFUNCTION("""COMPUTED_VALUE"""),"xlist")</f>
        <v>xlist</v>
      </c>
      <c r="C12883" s="3" t="str">
        <f>IFERROR(__xludf.DUMMYFUNCTION("""COMPUTED_VALUE"""),"XList")</f>
        <v>XList</v>
      </c>
    </row>
    <row r="12884">
      <c r="A12884" s="3" t="str">
        <f>IFERROR(__xludf.DUMMYFUNCTION("""COMPUTED_VALUE"""),"xl-moon")</f>
        <v>xl-moon</v>
      </c>
      <c r="B12884" s="3" t="str">
        <f>IFERROR(__xludf.DUMMYFUNCTION("""COMPUTED_VALUE"""),"xlmn")</f>
        <v>xlmn</v>
      </c>
      <c r="C12884" s="3" t="str">
        <f>IFERROR(__xludf.DUMMYFUNCTION("""COMPUTED_VALUE"""),"XL-Moon")</f>
        <v>XL-Moon</v>
      </c>
    </row>
    <row r="12885">
      <c r="A12885" s="3" t="str">
        <f>IFERROR(__xludf.DUMMYFUNCTION("""COMPUTED_VALUE"""),"xmark")</f>
        <v>xmark</v>
      </c>
      <c r="B12885" s="3" t="str">
        <f>IFERROR(__xludf.DUMMYFUNCTION("""COMPUTED_VALUE"""),"xmark")</f>
        <v>xmark</v>
      </c>
      <c r="C12885" s="3" t="str">
        <f>IFERROR(__xludf.DUMMYFUNCTION("""COMPUTED_VALUE"""),"xMARK")</f>
        <v>xMARK</v>
      </c>
    </row>
    <row r="12886">
      <c r="A12886" s="3" t="str">
        <f>IFERROR(__xludf.DUMMYFUNCTION("""COMPUTED_VALUE"""),"xmax")</f>
        <v>xmax</v>
      </c>
      <c r="B12886" s="3" t="str">
        <f>IFERROR(__xludf.DUMMYFUNCTION("""COMPUTED_VALUE"""),"xmx")</f>
        <v>xmx</v>
      </c>
      <c r="C12886" s="3" t="str">
        <f>IFERROR(__xludf.DUMMYFUNCTION("""COMPUTED_VALUE"""),"XMax")</f>
        <v>XMax</v>
      </c>
    </row>
    <row r="12887">
      <c r="A12887" s="3" t="str">
        <f>IFERROR(__xludf.DUMMYFUNCTION("""COMPUTED_VALUE"""),"xmetaversal")</f>
        <v>xmetaversal</v>
      </c>
      <c r="B12887" s="3" t="str">
        <f>IFERROR(__xludf.DUMMYFUNCTION("""COMPUTED_VALUE"""),"xmeta")</f>
        <v>xmeta</v>
      </c>
      <c r="C12887" s="3" t="str">
        <f>IFERROR(__xludf.DUMMYFUNCTION("""COMPUTED_VALUE"""),"XMetaversal")</f>
        <v>XMetaversal</v>
      </c>
    </row>
    <row r="12888">
      <c r="A12888" s="3" t="str">
        <f>IFERROR(__xludf.DUMMYFUNCTION("""COMPUTED_VALUE"""),"x-metaverse")</f>
        <v>x-metaverse</v>
      </c>
      <c r="B12888" s="3" t="str">
        <f>IFERROR(__xludf.DUMMYFUNCTION("""COMPUTED_VALUE"""),"xmeta")</f>
        <v>xmeta</v>
      </c>
      <c r="C12888" s="3" t="str">
        <f>IFERROR(__xludf.DUMMYFUNCTION("""COMPUTED_VALUE"""),"X-Metaverse")</f>
        <v>X-Metaverse</v>
      </c>
    </row>
    <row r="12889">
      <c r="A12889" s="3" t="str">
        <f>IFERROR(__xludf.DUMMYFUNCTION("""COMPUTED_VALUE"""),"xmine")</f>
        <v>xmine</v>
      </c>
      <c r="B12889" s="3" t="str">
        <f>IFERROR(__xludf.DUMMYFUNCTION("""COMPUTED_VALUE"""),"xmn")</f>
        <v>xmn</v>
      </c>
      <c r="C12889" s="3" t="str">
        <f>IFERROR(__xludf.DUMMYFUNCTION("""COMPUTED_VALUE"""),"Xmine")</f>
        <v>Xmine</v>
      </c>
    </row>
    <row r="12890">
      <c r="A12890" s="3" t="str">
        <f>IFERROR(__xludf.DUMMYFUNCTION("""COMPUTED_VALUE"""),"xmon")</f>
        <v>xmon</v>
      </c>
      <c r="B12890" s="3" t="str">
        <f>IFERROR(__xludf.DUMMYFUNCTION("""COMPUTED_VALUE"""),"xmon")</f>
        <v>xmon</v>
      </c>
      <c r="C12890" s="3" t="str">
        <f>IFERROR(__xludf.DUMMYFUNCTION("""COMPUTED_VALUE"""),"XMON")</f>
        <v>XMON</v>
      </c>
    </row>
    <row r="12891">
      <c r="A12891" s="3" t="str">
        <f>IFERROR(__xludf.DUMMYFUNCTION("""COMPUTED_VALUE"""),"xmooney")</f>
        <v>xmooney</v>
      </c>
      <c r="B12891" s="3" t="str">
        <f>IFERROR(__xludf.DUMMYFUNCTION("""COMPUTED_VALUE"""),"xm")</f>
        <v>xm</v>
      </c>
      <c r="C12891" s="3" t="str">
        <f>IFERROR(__xludf.DUMMYFUNCTION("""COMPUTED_VALUE"""),"xMooney")</f>
        <v>xMooney</v>
      </c>
    </row>
    <row r="12892">
      <c r="A12892" s="3" t="str">
        <f>IFERROR(__xludf.DUMMYFUNCTION("""COMPUTED_VALUE"""),"xnft")</f>
        <v>xnft</v>
      </c>
      <c r="B12892" s="3" t="str">
        <f>IFERROR(__xludf.DUMMYFUNCTION("""COMPUTED_VALUE"""),"xnft")</f>
        <v>xnft</v>
      </c>
      <c r="C12892" s="3" t="str">
        <f>IFERROR(__xludf.DUMMYFUNCTION("""COMPUTED_VALUE"""),"xNFT Protocol")</f>
        <v>xNFT Protocol</v>
      </c>
    </row>
    <row r="12893">
      <c r="A12893" s="3" t="str">
        <f>IFERROR(__xludf.DUMMYFUNCTION("""COMPUTED_VALUE"""),"xodex")</f>
        <v>xodex</v>
      </c>
      <c r="B12893" s="3" t="str">
        <f>IFERROR(__xludf.DUMMYFUNCTION("""COMPUTED_VALUE"""),"xodex")</f>
        <v>xodex</v>
      </c>
      <c r="C12893" s="3" t="str">
        <f>IFERROR(__xludf.DUMMYFUNCTION("""COMPUTED_VALUE"""),"Xodex")</f>
        <v>Xodex</v>
      </c>
    </row>
    <row r="12894">
      <c r="A12894" s="3" t="str">
        <f>IFERROR(__xludf.DUMMYFUNCTION("""COMPUTED_VALUE"""),"xolo-inu")</f>
        <v>xolo-inu</v>
      </c>
      <c r="B12894" s="3" t="str">
        <f>IFERROR(__xludf.DUMMYFUNCTION("""COMPUTED_VALUE"""),"xl")</f>
        <v>xl</v>
      </c>
      <c r="C12894" s="3" t="str">
        <f>IFERROR(__xludf.DUMMYFUNCTION("""COMPUTED_VALUE"""),"Xolo Inu")</f>
        <v>Xolo Inu</v>
      </c>
    </row>
    <row r="12895">
      <c r="A12895" s="3" t="str">
        <f>IFERROR(__xludf.DUMMYFUNCTION("""COMPUTED_VALUE"""),"xov")</f>
        <v>xov</v>
      </c>
      <c r="B12895" s="3" t="str">
        <f>IFERROR(__xludf.DUMMYFUNCTION("""COMPUTED_VALUE"""),"xov")</f>
        <v>xov</v>
      </c>
      <c r="C12895" s="3" t="str">
        <f>IFERROR(__xludf.DUMMYFUNCTION("""COMPUTED_VALUE"""),"XOVBank")</f>
        <v>XOVBank</v>
      </c>
    </row>
    <row r="12896">
      <c r="A12896" s="3" t="str">
        <f>IFERROR(__xludf.DUMMYFUNCTION("""COMPUTED_VALUE"""),"xoycoin")</f>
        <v>xoycoin</v>
      </c>
      <c r="B12896" s="3" t="str">
        <f>IFERROR(__xludf.DUMMYFUNCTION("""COMPUTED_VALUE"""),"xoy")</f>
        <v>xoy</v>
      </c>
      <c r="C12896" s="3" t="str">
        <f>IFERROR(__xludf.DUMMYFUNCTION("""COMPUTED_VALUE"""),"XOYCoin")</f>
        <v>XOYCoin</v>
      </c>
    </row>
    <row r="12897">
      <c r="A12897" s="3" t="str">
        <f>IFERROR(__xludf.DUMMYFUNCTION("""COMPUTED_VALUE"""),"xp")</f>
        <v>xp</v>
      </c>
      <c r="B12897" s="3" t="str">
        <f>IFERROR(__xludf.DUMMYFUNCTION("""COMPUTED_VALUE"""),"xp")</f>
        <v>xp</v>
      </c>
      <c r="C12897" s="3" t="str">
        <f>IFERROR(__xludf.DUMMYFUNCTION("""COMPUTED_VALUE"""),"XP")</f>
        <v>XP</v>
      </c>
    </row>
    <row r="12898">
      <c r="A12898" s="3" t="str">
        <f>IFERROR(__xludf.DUMMYFUNCTION("""COMPUTED_VALUE"""),"xpansion-game")</f>
        <v>xpansion-game</v>
      </c>
      <c r="B12898" s="3" t="str">
        <f>IFERROR(__xludf.DUMMYFUNCTION("""COMPUTED_VALUE"""),"xps")</f>
        <v>xps</v>
      </c>
      <c r="C12898" s="3" t="str">
        <f>IFERROR(__xludf.DUMMYFUNCTION("""COMPUTED_VALUE"""),"Xpansion Game")</f>
        <v>Xpansion Game</v>
      </c>
    </row>
    <row r="12899">
      <c r="A12899" s="3" t="str">
        <f>IFERROR(__xludf.DUMMYFUNCTION("""COMPUTED_VALUE"""),"xpendium")</f>
        <v>xpendium</v>
      </c>
      <c r="B12899" s="3" t="str">
        <f>IFERROR(__xludf.DUMMYFUNCTION("""COMPUTED_VALUE"""),"xpnd")</f>
        <v>xpnd</v>
      </c>
      <c r="C12899" s="3" t="str">
        <f>IFERROR(__xludf.DUMMYFUNCTION("""COMPUTED_VALUE"""),"Xpendium")</f>
        <v>Xpendium</v>
      </c>
    </row>
    <row r="12900">
      <c r="A12900" s="3" t="str">
        <f>IFERROR(__xludf.DUMMYFUNCTION("""COMPUTED_VALUE"""),"xperps")</f>
        <v>xperps</v>
      </c>
      <c r="B12900" s="3" t="str">
        <f>IFERROR(__xludf.DUMMYFUNCTION("""COMPUTED_VALUE"""),"xperps")</f>
        <v>xperps</v>
      </c>
      <c r="C12900" s="3" t="str">
        <f>IFERROR(__xludf.DUMMYFUNCTION("""COMPUTED_VALUE"""),"xPERPS")</f>
        <v>xPERPS</v>
      </c>
    </row>
    <row r="12901">
      <c r="A12901" s="3" t="str">
        <f>IFERROR(__xludf.DUMMYFUNCTION("""COMPUTED_VALUE"""),"xpla")</f>
        <v>xpla</v>
      </c>
      <c r="B12901" s="3" t="str">
        <f>IFERROR(__xludf.DUMMYFUNCTION("""COMPUTED_VALUE"""),"xpla")</f>
        <v>xpla</v>
      </c>
      <c r="C12901" s="3" t="str">
        <f>IFERROR(__xludf.DUMMYFUNCTION("""COMPUTED_VALUE"""),"XPLA")</f>
        <v>XPLA</v>
      </c>
    </row>
    <row r="12902">
      <c r="A12902" s="3" t="str">
        <f>IFERROR(__xludf.DUMMYFUNCTION("""COMPUTED_VALUE"""),"xplus-token")</f>
        <v>xplus-token</v>
      </c>
      <c r="B12902" s="3" t="str">
        <f>IFERROR(__xludf.DUMMYFUNCTION("""COMPUTED_VALUE"""),"xpt")</f>
        <v>xpt</v>
      </c>
      <c r="C12902" s="3" t="str">
        <f>IFERROR(__xludf.DUMMYFUNCTION("""COMPUTED_VALUE"""),"XPLUS Token")</f>
        <v>XPLUS Token</v>
      </c>
    </row>
    <row r="12903">
      <c r="A12903" s="3" t="str">
        <f>IFERROR(__xludf.DUMMYFUNCTION("""COMPUTED_VALUE"""),"xpmarket")</f>
        <v>xpmarket</v>
      </c>
      <c r="B12903" s="3" t="str">
        <f>IFERROR(__xludf.DUMMYFUNCTION("""COMPUTED_VALUE"""),"xpm")</f>
        <v>xpm</v>
      </c>
      <c r="C12903" s="3" t="str">
        <f>IFERROR(__xludf.DUMMYFUNCTION("""COMPUTED_VALUE"""),"XPmarket")</f>
        <v>XPmarket</v>
      </c>
    </row>
    <row r="12904">
      <c r="A12904" s="3" t="str">
        <f>IFERROR(__xludf.DUMMYFUNCTION("""COMPUTED_VALUE"""),"xp-network")</f>
        <v>xp-network</v>
      </c>
      <c r="B12904" s="3" t="str">
        <f>IFERROR(__xludf.DUMMYFUNCTION("""COMPUTED_VALUE"""),"xpnet")</f>
        <v>xpnet</v>
      </c>
      <c r="C12904" s="3" t="str">
        <f>IFERROR(__xludf.DUMMYFUNCTION("""COMPUTED_VALUE"""),"XP Network")</f>
        <v>XP Network</v>
      </c>
    </row>
    <row r="12905">
      <c r="A12905" s="3" t="str">
        <f>IFERROR(__xludf.DUMMYFUNCTION("""COMPUTED_VALUE"""),"xpool")</f>
        <v>xpool</v>
      </c>
      <c r="B12905" s="3" t="str">
        <f>IFERROR(__xludf.DUMMYFUNCTION("""COMPUTED_VALUE"""),"xpo")</f>
        <v>xpo</v>
      </c>
      <c r="C12905" s="3" t="str">
        <f>IFERROR(__xludf.DUMMYFUNCTION("""COMPUTED_VALUE"""),"Xpool")</f>
        <v>Xpool</v>
      </c>
    </row>
    <row r="12906">
      <c r="A12906" s="3" t="str">
        <f>IFERROR(__xludf.DUMMYFUNCTION("""COMPUTED_VALUE"""),"xpop")</f>
        <v>xpop</v>
      </c>
      <c r="B12906" s="3" t="str">
        <f>IFERROR(__xludf.DUMMYFUNCTION("""COMPUTED_VALUE"""),"xpop")</f>
        <v>xpop</v>
      </c>
      <c r="C12906" s="3" t="str">
        <f>IFERROR(__xludf.DUMMYFUNCTION("""COMPUTED_VALUE"""),"XPOP")</f>
        <v>XPOP</v>
      </c>
    </row>
    <row r="12907">
      <c r="A12907" s="3" t="str">
        <f>IFERROR(__xludf.DUMMYFUNCTION("""COMPUTED_VALUE"""),"xpose-protocol")</f>
        <v>xpose-protocol</v>
      </c>
      <c r="B12907" s="3" t="str">
        <f>IFERROR(__xludf.DUMMYFUNCTION("""COMPUTED_VALUE"""),"xp")</f>
        <v>xp</v>
      </c>
      <c r="C12907" s="3" t="str">
        <f>IFERROR(__xludf.DUMMYFUNCTION("""COMPUTED_VALUE"""),"Xpose Protocol")</f>
        <v>Xpose Protocol</v>
      </c>
    </row>
    <row r="12908">
      <c r="A12908" s="3" t="str">
        <f>IFERROR(__xludf.DUMMYFUNCTION("""COMPUTED_VALUE"""),"xproject")</f>
        <v>xproject</v>
      </c>
      <c r="B12908" s="3" t="str">
        <f>IFERROR(__xludf.DUMMYFUNCTION("""COMPUTED_VALUE"""),"xpro")</f>
        <v>xpro</v>
      </c>
      <c r="C12908" s="3" t="str">
        <f>IFERROR(__xludf.DUMMYFUNCTION("""COMPUTED_VALUE"""),"XPROJECT")</f>
        <v>XPROJECT</v>
      </c>
    </row>
    <row r="12909">
      <c r="A12909" s="3" t="str">
        <f>IFERROR(__xludf.DUMMYFUNCTION("""COMPUTED_VALUE"""),"x-protocol")</f>
        <v>x-protocol</v>
      </c>
      <c r="B12909" s="3" t="str">
        <f>IFERROR(__xludf.DUMMYFUNCTION("""COMPUTED_VALUE"""),"pot")</f>
        <v>pot</v>
      </c>
      <c r="C12909" s="3" t="str">
        <f>IFERROR(__xludf.DUMMYFUNCTION("""COMPUTED_VALUE"""),"X Protocol")</f>
        <v>X Protocol</v>
      </c>
    </row>
    <row r="12910">
      <c r="A12910" s="3" t="str">
        <f>IFERROR(__xludf.DUMMYFUNCTION("""COMPUTED_VALUE"""),"xptp")</f>
        <v>xptp</v>
      </c>
      <c r="B12910" s="3" t="str">
        <f>IFERROR(__xludf.DUMMYFUNCTION("""COMPUTED_VALUE"""),"xptp")</f>
        <v>xptp</v>
      </c>
      <c r="C12910" s="3" t="str">
        <f>IFERROR(__xludf.DUMMYFUNCTION("""COMPUTED_VALUE"""),"xPTP")</f>
        <v>xPTP</v>
      </c>
    </row>
    <row r="12911">
      <c r="A12911" s="3" t="str">
        <f>IFERROR(__xludf.DUMMYFUNCTION("""COMPUTED_VALUE"""),"xquake")</f>
        <v>xquake</v>
      </c>
      <c r="B12911" s="3" t="str">
        <f>IFERROR(__xludf.DUMMYFUNCTION("""COMPUTED_VALUE"""),"xqk")</f>
        <v>xqk</v>
      </c>
      <c r="C12911" s="3" t="str">
        <f>IFERROR(__xludf.DUMMYFUNCTION("""COMPUTED_VALUE"""),"XQuake")</f>
        <v>XQuake</v>
      </c>
    </row>
    <row r="12912">
      <c r="A12912" s="3" t="str">
        <f>IFERROR(__xludf.DUMMYFUNCTION("""COMPUTED_VALUE"""),"xrdoge")</f>
        <v>xrdoge</v>
      </c>
      <c r="B12912" s="3" t="str">
        <f>IFERROR(__xludf.DUMMYFUNCTION("""COMPUTED_VALUE"""),"xrdoge")</f>
        <v>xrdoge</v>
      </c>
      <c r="C12912" s="3" t="str">
        <f>IFERROR(__xludf.DUMMYFUNCTION("""COMPUTED_VALUE"""),"XRdoge")</f>
        <v>XRdoge</v>
      </c>
    </row>
    <row r="12913">
      <c r="A12913" s="3" t="str">
        <f>IFERROR(__xludf.DUMMYFUNCTION("""COMPUTED_VALUE"""),"xreators")</f>
        <v>xreators</v>
      </c>
      <c r="B12913" s="3" t="str">
        <f>IFERROR(__xludf.DUMMYFUNCTION("""COMPUTED_VALUE"""),"ort")</f>
        <v>ort</v>
      </c>
      <c r="C12913" s="3" t="str">
        <f>IFERROR(__xludf.DUMMYFUNCTION("""COMPUTED_VALUE"""),"XREATORS")</f>
        <v>XREATORS</v>
      </c>
    </row>
    <row r="12914">
      <c r="A12914" s="3" t="str">
        <f>IFERROR(__xludf.DUMMYFUNCTION("""COMPUTED_VALUE"""),"xrhodium")</f>
        <v>xrhodium</v>
      </c>
      <c r="B12914" s="3" t="str">
        <f>IFERROR(__xludf.DUMMYFUNCTION("""COMPUTED_VALUE"""),"xrc")</f>
        <v>xrc</v>
      </c>
      <c r="C12914" s="3" t="str">
        <f>IFERROR(__xludf.DUMMYFUNCTION("""COMPUTED_VALUE"""),"xRhodium")</f>
        <v>xRhodium</v>
      </c>
    </row>
    <row r="12915">
      <c r="A12915" s="3" t="str">
        <f>IFERROR(__xludf.DUMMYFUNCTION("""COMPUTED_VALUE"""),"xriba")</f>
        <v>xriba</v>
      </c>
      <c r="B12915" s="3" t="str">
        <f>IFERROR(__xludf.DUMMYFUNCTION("""COMPUTED_VALUE"""),"xra")</f>
        <v>xra</v>
      </c>
      <c r="C12915" s="3" t="str">
        <f>IFERROR(__xludf.DUMMYFUNCTION("""COMPUTED_VALUE"""),"Xriba")</f>
        <v>Xriba</v>
      </c>
    </row>
    <row r="12916">
      <c r="A12916" s="3" t="str">
        <f>IFERROR(__xludf.DUMMYFUNCTION("""COMPUTED_VALUE"""),"xrice-token")</f>
        <v>xrice-token</v>
      </c>
      <c r="B12916" s="3" t="str">
        <f>IFERROR(__xludf.DUMMYFUNCTION("""COMPUTED_VALUE"""),"xrice")</f>
        <v>xrice</v>
      </c>
      <c r="C12916" s="3" t="str">
        <f>IFERROR(__xludf.DUMMYFUNCTION("""COMPUTED_VALUE"""),"xRice Token")</f>
        <v>xRice Token</v>
      </c>
    </row>
    <row r="12917">
      <c r="A12917" s="3" t="str">
        <f>IFERROR(__xludf.DUMMYFUNCTION("""COMPUTED_VALUE"""),"xrpalike-gene")</f>
        <v>xrpalike-gene</v>
      </c>
      <c r="B12917" s="3" t="str">
        <f>IFERROR(__xludf.DUMMYFUNCTION("""COMPUTED_VALUE"""),"xag")</f>
        <v>xag</v>
      </c>
      <c r="C12917" s="3" t="str">
        <f>IFERROR(__xludf.DUMMYFUNCTION("""COMPUTED_VALUE"""),"Xrpalike Gene")</f>
        <v>Xrpalike Gene</v>
      </c>
    </row>
    <row r="12918">
      <c r="A12918" s="3" t="str">
        <f>IFERROR(__xludf.DUMMYFUNCTION("""COMPUTED_VALUE"""),"xrpaynet")</f>
        <v>xrpaynet</v>
      </c>
      <c r="B12918" s="3" t="str">
        <f>IFERROR(__xludf.DUMMYFUNCTION("""COMPUTED_VALUE"""),"xrpaynet")</f>
        <v>xrpaynet</v>
      </c>
      <c r="C12918" s="3" t="str">
        <f>IFERROR(__xludf.DUMMYFUNCTION("""COMPUTED_VALUE"""),"XRPayNet")</f>
        <v>XRPayNet</v>
      </c>
    </row>
    <row r="12919">
      <c r="A12919" s="3" t="str">
        <f>IFERROR(__xludf.DUMMYFUNCTION("""COMPUTED_VALUE"""),"xrp-classic")</f>
        <v>xrp-classic</v>
      </c>
      <c r="B12919" s="3" t="str">
        <f>IFERROR(__xludf.DUMMYFUNCTION("""COMPUTED_VALUE"""),"xrpc")</f>
        <v>xrpc</v>
      </c>
      <c r="C12919" s="3" t="str">
        <f>IFERROR(__xludf.DUMMYFUNCTION("""COMPUTED_VALUE"""),"XRP Classic")</f>
        <v>XRP Classic</v>
      </c>
    </row>
    <row r="12920">
      <c r="A12920" s="3" t="str">
        <f>IFERROR(__xludf.DUMMYFUNCTION("""COMPUTED_VALUE"""),"xrpfarm")</f>
        <v>xrpfarm</v>
      </c>
      <c r="B12920" s="3" t="str">
        <f>IFERROR(__xludf.DUMMYFUNCTION("""COMPUTED_VALUE"""),"xf")</f>
        <v>xf</v>
      </c>
      <c r="C12920" s="3" t="str">
        <f>IFERROR(__xludf.DUMMYFUNCTION("""COMPUTED_VALUE"""),"XRPFarm")</f>
        <v>XRPFarm</v>
      </c>
    </row>
    <row r="12921">
      <c r="A12921" s="3" t="str">
        <f>IFERROR(__xludf.DUMMYFUNCTION("""COMPUTED_VALUE"""),"xr-shiba-inu")</f>
        <v>xr-shiba-inu</v>
      </c>
      <c r="B12921" s="3" t="str">
        <f>IFERROR(__xludf.DUMMYFUNCTION("""COMPUTED_VALUE"""),"xrshib")</f>
        <v>xrshib</v>
      </c>
      <c r="C12921" s="3" t="str">
        <f>IFERROR(__xludf.DUMMYFUNCTION("""COMPUTED_VALUE"""),"XR Shiba Inu")</f>
        <v>XR Shiba Inu</v>
      </c>
    </row>
    <row r="12922">
      <c r="A12922" s="3" t="str">
        <f>IFERROR(__xludf.DUMMYFUNCTION("""COMPUTED_VALUE"""),"xrun")</f>
        <v>xrun</v>
      </c>
      <c r="B12922" s="3" t="str">
        <f>IFERROR(__xludf.DUMMYFUNCTION("""COMPUTED_VALUE"""),"xrun")</f>
        <v>xrun</v>
      </c>
      <c r="C12922" s="3" t="str">
        <f>IFERROR(__xludf.DUMMYFUNCTION("""COMPUTED_VALUE"""),"XRun")</f>
        <v>XRun</v>
      </c>
    </row>
    <row r="12923">
      <c r="A12923" s="3" t="str">
        <f>IFERROR(__xludf.DUMMYFUNCTION("""COMPUTED_VALUE"""),"xsgd")</f>
        <v>xsgd</v>
      </c>
      <c r="B12923" s="3" t="str">
        <f>IFERROR(__xludf.DUMMYFUNCTION("""COMPUTED_VALUE"""),"xsgd")</f>
        <v>xsgd</v>
      </c>
      <c r="C12923" s="3" t="str">
        <f>IFERROR(__xludf.DUMMYFUNCTION("""COMPUTED_VALUE"""),"XSGD")</f>
        <v>XSGD</v>
      </c>
    </row>
    <row r="12924">
      <c r="A12924" s="3" t="str">
        <f>IFERROR(__xludf.DUMMYFUNCTION("""COMPUTED_VALUE"""),"xshare")</f>
        <v>xshare</v>
      </c>
      <c r="B12924" s="3" t="str">
        <f>IFERROR(__xludf.DUMMYFUNCTION("""COMPUTED_VALUE"""),"xshare")</f>
        <v>xshare</v>
      </c>
      <c r="C12924" s="3" t="str">
        <f>IFERROR(__xludf.DUMMYFUNCTION("""COMPUTED_VALUE"""),"xShare")</f>
        <v>xShare</v>
      </c>
    </row>
    <row r="12925">
      <c r="A12925" s="3" t="str">
        <f>IFERROR(__xludf.DUMMYFUNCTION("""COMPUTED_VALUE"""),"xsigma")</f>
        <v>xsigma</v>
      </c>
      <c r="B12925" s="3" t="str">
        <f>IFERROR(__xludf.DUMMYFUNCTION("""COMPUTED_VALUE"""),"sig")</f>
        <v>sig</v>
      </c>
      <c r="C12925" s="3" t="str">
        <f>IFERROR(__xludf.DUMMYFUNCTION("""COMPUTED_VALUE"""),"xSigma")</f>
        <v>xSigma</v>
      </c>
    </row>
    <row r="12926">
      <c r="A12926" s="3" t="str">
        <f>IFERROR(__xludf.DUMMYFUNCTION("""COMPUTED_VALUE"""),"xsl-labs")</f>
        <v>xsl-labs</v>
      </c>
      <c r="B12926" s="3" t="str">
        <f>IFERROR(__xludf.DUMMYFUNCTION("""COMPUTED_VALUE"""),"syl")</f>
        <v>syl</v>
      </c>
      <c r="C12926" s="3" t="str">
        <f>IFERROR(__xludf.DUMMYFUNCTION("""COMPUTED_VALUE"""),"XSL Labs")</f>
        <v>XSL Labs</v>
      </c>
    </row>
    <row r="12927">
      <c r="A12927" s="3" t="str">
        <f>IFERROR(__xludf.DUMMYFUNCTION("""COMPUTED_VALUE"""),"xspectar")</f>
        <v>xspectar</v>
      </c>
      <c r="B12927" s="3" t="str">
        <f>IFERROR(__xludf.DUMMYFUNCTION("""COMPUTED_VALUE"""),"xspectar")</f>
        <v>xspectar</v>
      </c>
      <c r="C12927" s="3" t="str">
        <f>IFERROR(__xludf.DUMMYFUNCTION("""COMPUTED_VALUE"""),"xSPECTAR")</f>
        <v>xSPECTAR</v>
      </c>
    </row>
    <row r="12928">
      <c r="A12928" s="3" t="str">
        <f>IFERROR(__xludf.DUMMYFUNCTION("""COMPUTED_VALUE"""),"xstorage")</f>
        <v>xstorage</v>
      </c>
      <c r="B12928" s="3" t="str">
        <f>IFERROR(__xludf.DUMMYFUNCTION("""COMPUTED_VALUE"""),"xstx")</f>
        <v>xstx</v>
      </c>
      <c r="C12928" s="3" t="str">
        <f>IFERROR(__xludf.DUMMYFUNCTION("""COMPUTED_VALUE"""),"XStorage")</f>
        <v>XStorage</v>
      </c>
    </row>
    <row r="12929">
      <c r="A12929" s="3" t="str">
        <f>IFERROR(__xludf.DUMMYFUNCTION("""COMPUTED_VALUE"""),"xsushi")</f>
        <v>xsushi</v>
      </c>
      <c r="B12929" s="3" t="str">
        <f>IFERROR(__xludf.DUMMYFUNCTION("""COMPUTED_VALUE"""),"xsushi")</f>
        <v>xsushi</v>
      </c>
      <c r="C12929" s="3" t="str">
        <f>IFERROR(__xludf.DUMMYFUNCTION("""COMPUTED_VALUE"""),"xSUSHI")</f>
        <v>xSUSHI</v>
      </c>
    </row>
    <row r="12930">
      <c r="A12930" s="3" t="str">
        <f>IFERROR(__xludf.DUMMYFUNCTION("""COMPUTED_VALUE"""),"xswap")</f>
        <v>xswap</v>
      </c>
      <c r="B12930" s="3" t="str">
        <f>IFERROR(__xludf.DUMMYFUNCTION("""COMPUTED_VALUE"""),"xsp")</f>
        <v>xsp</v>
      </c>
      <c r="C12930" s="3" t="str">
        <f>IFERROR(__xludf.DUMMYFUNCTION("""COMPUTED_VALUE"""),"XSwap")</f>
        <v>XSwap</v>
      </c>
    </row>
    <row r="12931">
      <c r="A12931" s="3" t="str">
        <f>IFERROR(__xludf.DUMMYFUNCTION("""COMPUTED_VALUE"""),"xswap-protocol")</f>
        <v>xswap-protocol</v>
      </c>
      <c r="B12931" s="3" t="str">
        <f>IFERROR(__xludf.DUMMYFUNCTION("""COMPUTED_VALUE"""),"xsp")</f>
        <v>xsp</v>
      </c>
      <c r="C12931" s="3" t="str">
        <f>IFERROR(__xludf.DUMMYFUNCTION("""COMPUTED_VALUE"""),"XSwap Protocol")</f>
        <v>XSwap Protocol</v>
      </c>
    </row>
    <row r="12932">
      <c r="A12932" s="3" t="str">
        <f>IFERROR(__xludf.DUMMYFUNCTION("""COMPUTED_VALUE"""),"xtal")</f>
        <v>xtal</v>
      </c>
      <c r="B12932" s="3" t="str">
        <f>IFERROR(__xludf.DUMMYFUNCTION("""COMPUTED_VALUE"""),"xtal")</f>
        <v>xtal</v>
      </c>
      <c r="C12932" s="3" t="str">
        <f>IFERROR(__xludf.DUMMYFUNCTION("""COMPUTED_VALUE"""),"XTAL")</f>
        <v>XTAL</v>
      </c>
    </row>
    <row r="12933">
      <c r="A12933" s="3" t="str">
        <f>IFERROR(__xludf.DUMMYFUNCTION("""COMPUTED_VALUE"""),"xtblock-token")</f>
        <v>xtblock-token</v>
      </c>
      <c r="B12933" s="3" t="str">
        <f>IFERROR(__xludf.DUMMYFUNCTION("""COMPUTED_VALUE"""),"xtt-b20")</f>
        <v>xtt-b20</v>
      </c>
      <c r="C12933" s="3" t="str">
        <f>IFERROR(__xludf.DUMMYFUNCTION("""COMPUTED_VALUE"""),"XTblock")</f>
        <v>XTblock</v>
      </c>
    </row>
    <row r="12934">
      <c r="A12934" s="3" t="str">
        <f>IFERROR(__xludf.DUMMYFUNCTION("""COMPUTED_VALUE"""),"xtcom-token")</f>
        <v>xtcom-token</v>
      </c>
      <c r="B12934" s="3" t="str">
        <f>IFERROR(__xludf.DUMMYFUNCTION("""COMPUTED_VALUE"""),"xt")</f>
        <v>xt</v>
      </c>
      <c r="C12934" s="4" t="str">
        <f>IFERROR(__xludf.DUMMYFUNCTION("""COMPUTED_VALUE"""),"XT.com")</f>
        <v>XT.com</v>
      </c>
    </row>
    <row r="12935">
      <c r="A12935" s="3" t="str">
        <f>IFERROR(__xludf.DUMMYFUNCTION("""COMPUTED_VALUE"""),"xtendcash")</f>
        <v>xtendcash</v>
      </c>
      <c r="B12935" s="3" t="str">
        <f>IFERROR(__xludf.DUMMYFUNCTION("""COMPUTED_VALUE"""),"xtnc")</f>
        <v>xtnc</v>
      </c>
      <c r="C12935" s="3" t="str">
        <f>IFERROR(__xludf.DUMMYFUNCTION("""COMPUTED_VALUE"""),"XtendCash")</f>
        <v>XtendCash</v>
      </c>
    </row>
    <row r="12936">
      <c r="A12936" s="3" t="str">
        <f>IFERROR(__xludf.DUMMYFUNCTION("""COMPUTED_VALUE"""),"xtime")</f>
        <v>xtime</v>
      </c>
      <c r="B12936" s="3" t="str">
        <f>IFERROR(__xludf.DUMMYFUNCTION("""COMPUTED_VALUE"""),"xtm")</f>
        <v>xtm</v>
      </c>
      <c r="C12936" s="3" t="str">
        <f>IFERROR(__xludf.DUMMYFUNCTION("""COMPUTED_VALUE"""),"XTime")</f>
        <v>XTime</v>
      </c>
    </row>
    <row r="12937">
      <c r="A12937" s="3" t="str">
        <f>IFERROR(__xludf.DUMMYFUNCTION("""COMPUTED_VALUE"""),"xtoken")</f>
        <v>xtoken</v>
      </c>
      <c r="B12937" s="3" t="str">
        <f>IFERROR(__xludf.DUMMYFUNCTION("""COMPUTED_VALUE"""),"xtk")</f>
        <v>xtk</v>
      </c>
      <c r="C12937" s="3" t="str">
        <f>IFERROR(__xludf.DUMMYFUNCTION("""COMPUTED_VALUE"""),"xToken")</f>
        <v>xToken</v>
      </c>
    </row>
    <row r="12938">
      <c r="A12938" s="3" t="str">
        <f>IFERROR(__xludf.DUMMYFUNCTION("""COMPUTED_VALUE"""),"xtrabytes")</f>
        <v>xtrabytes</v>
      </c>
      <c r="B12938" s="3" t="str">
        <f>IFERROR(__xludf.DUMMYFUNCTION("""COMPUTED_VALUE"""),"xby")</f>
        <v>xby</v>
      </c>
      <c r="C12938" s="3" t="str">
        <f>IFERROR(__xludf.DUMMYFUNCTION("""COMPUTED_VALUE"""),"XTRABYTES")</f>
        <v>XTRABYTES</v>
      </c>
    </row>
    <row r="12939">
      <c r="A12939" s="3" t="str">
        <f>IFERROR(__xludf.DUMMYFUNCTION("""COMPUTED_VALUE"""),"xtra-fund")</f>
        <v>xtra-fund</v>
      </c>
      <c r="B12939" s="3" t="str">
        <f>IFERROR(__xludf.DUMMYFUNCTION("""COMPUTED_VALUE"""),"xtra")</f>
        <v>xtra</v>
      </c>
      <c r="C12939" s="3" t="str">
        <f>IFERROR(__xludf.DUMMYFUNCTION("""COMPUTED_VALUE"""),"Xtra Fund")</f>
        <v>Xtra Fund</v>
      </c>
    </row>
    <row r="12940">
      <c r="A12940" s="3" t="str">
        <f>IFERROR(__xludf.DUMMYFUNCTION("""COMPUTED_VALUE"""),"xtra-token")</f>
        <v>xtra-token</v>
      </c>
      <c r="B12940" s="3" t="str">
        <f>IFERROR(__xludf.DUMMYFUNCTION("""COMPUTED_VALUE"""),"xtra")</f>
        <v>xtra</v>
      </c>
      <c r="C12940" s="3" t="str">
        <f>IFERROR(__xludf.DUMMYFUNCTION("""COMPUTED_VALUE"""),"XTRA")</f>
        <v>XTRA</v>
      </c>
    </row>
    <row r="12941">
      <c r="A12941" s="3" t="str">
        <f>IFERROR(__xludf.DUMMYFUNCTION("""COMPUTED_VALUE"""),"xtremcoin")</f>
        <v>xtremcoin</v>
      </c>
      <c r="B12941" s="3" t="str">
        <f>IFERROR(__xludf.DUMMYFUNCTION("""COMPUTED_VALUE"""),"xtr")</f>
        <v>xtr</v>
      </c>
      <c r="C12941" s="3" t="str">
        <f>IFERROR(__xludf.DUMMYFUNCTION("""COMPUTED_VALUE"""),"Xtremcoin")</f>
        <v>Xtremcoin</v>
      </c>
    </row>
    <row r="12942">
      <c r="A12942" s="3" t="str">
        <f>IFERROR(__xludf.DUMMYFUNCTION("""COMPUTED_VALUE"""),"xtrm")</f>
        <v>xtrm</v>
      </c>
      <c r="B12942" s="3" t="str">
        <f>IFERROR(__xludf.DUMMYFUNCTION("""COMPUTED_VALUE"""),"xtrm")</f>
        <v>xtrm</v>
      </c>
      <c r="C12942" s="3" t="str">
        <f>IFERROR(__xludf.DUMMYFUNCTION("""COMPUTED_VALUE"""),"XTRM")</f>
        <v>XTRM</v>
      </c>
    </row>
    <row r="12943">
      <c r="A12943" s="3" t="str">
        <f>IFERROR(__xludf.DUMMYFUNCTION("""COMPUTED_VALUE"""),"xtusd")</f>
        <v>xtusd</v>
      </c>
      <c r="B12943" s="3" t="str">
        <f>IFERROR(__xludf.DUMMYFUNCTION("""COMPUTED_VALUE"""),"xtusd")</f>
        <v>xtusd</v>
      </c>
      <c r="C12943" s="3" t="str">
        <f>IFERROR(__xludf.DUMMYFUNCTION("""COMPUTED_VALUE"""),"XT Stablecoin XTUSD")</f>
        <v>XT Stablecoin XTUSD</v>
      </c>
    </row>
    <row r="12944">
      <c r="A12944" s="3" t="str">
        <f>IFERROR(__xludf.DUMMYFUNCTION("""COMPUTED_VALUE"""),"xuez")</f>
        <v>xuez</v>
      </c>
      <c r="B12944" s="3" t="str">
        <f>IFERROR(__xludf.DUMMYFUNCTION("""COMPUTED_VALUE"""),"xuez")</f>
        <v>xuez</v>
      </c>
      <c r="C12944" s="3" t="str">
        <f>IFERROR(__xludf.DUMMYFUNCTION("""COMPUTED_VALUE"""),"Xuez Coin")</f>
        <v>Xuez Coin</v>
      </c>
    </row>
    <row r="12945">
      <c r="A12945" s="3" t="str">
        <f>IFERROR(__xludf.DUMMYFUNCTION("""COMPUTED_VALUE"""),"xungible")</f>
        <v>xungible</v>
      </c>
      <c r="B12945" s="3" t="str">
        <f>IFERROR(__xludf.DUMMYFUNCTION("""COMPUTED_VALUE"""),"xgbl")</f>
        <v>xgbl</v>
      </c>
      <c r="C12945" s="3" t="str">
        <f>IFERROR(__xludf.DUMMYFUNCTION("""COMPUTED_VALUE"""),"Xungible")</f>
        <v>Xungible</v>
      </c>
    </row>
    <row r="12946">
      <c r="A12946" s="3" t="str">
        <f>IFERROR(__xludf.DUMMYFUNCTION("""COMPUTED_VALUE"""),"xusd")</f>
        <v>xusd</v>
      </c>
      <c r="B12946" s="3" t="str">
        <f>IFERROR(__xludf.DUMMYFUNCTION("""COMPUTED_VALUE"""),"xusd")</f>
        <v>xusd</v>
      </c>
      <c r="C12946" s="3" t="str">
        <f>IFERROR(__xludf.DUMMYFUNCTION("""COMPUTED_VALUE"""),"xUSD")</f>
        <v>xUSD</v>
      </c>
    </row>
    <row r="12947">
      <c r="A12947" s="3" t="str">
        <f>IFERROR(__xludf.DUMMYFUNCTION("""COMPUTED_VALUE"""),"xusd-token")</f>
        <v>xusd-token</v>
      </c>
      <c r="B12947" s="3" t="str">
        <f>IFERROR(__xludf.DUMMYFUNCTION("""COMPUTED_VALUE"""),"xusd")</f>
        <v>xusd</v>
      </c>
      <c r="C12947" s="3" t="str">
        <f>IFERROR(__xludf.DUMMYFUNCTION("""COMPUTED_VALUE"""),"xUSD Token")</f>
        <v>xUSD Token</v>
      </c>
    </row>
    <row r="12948">
      <c r="A12948" s="3" t="str">
        <f>IFERROR(__xludf.DUMMYFUNCTION("""COMPUTED_VALUE"""),"xverse")</f>
        <v>xverse</v>
      </c>
      <c r="B12948" s="3" t="str">
        <f>IFERROR(__xludf.DUMMYFUNCTION("""COMPUTED_VALUE"""),"xvc")</f>
        <v>xvc</v>
      </c>
      <c r="C12948" s="3" t="str">
        <f>IFERROR(__xludf.DUMMYFUNCTION("""COMPUTED_VALUE"""),"Xverse")</f>
        <v>Xverse</v>
      </c>
    </row>
    <row r="12949">
      <c r="A12949" s="3" t="str">
        <f>IFERROR(__xludf.DUMMYFUNCTION("""COMPUTED_VALUE"""),"xwalrus")</f>
        <v>xwalrus</v>
      </c>
      <c r="B12949" s="3" t="str">
        <f>IFERROR(__xludf.DUMMYFUNCTION("""COMPUTED_VALUE"""),"xwlrs")</f>
        <v>xwlrs</v>
      </c>
      <c r="C12949" s="3" t="str">
        <f>IFERROR(__xludf.DUMMYFUNCTION("""COMPUTED_VALUE"""),"xWalrus")</f>
        <v>xWalrus</v>
      </c>
    </row>
    <row r="12950">
      <c r="A12950" s="3" t="str">
        <f>IFERROR(__xludf.DUMMYFUNCTION("""COMPUTED_VALUE"""),"xwin-finance")</f>
        <v>xwin-finance</v>
      </c>
      <c r="B12950" s="3" t="str">
        <f>IFERROR(__xludf.DUMMYFUNCTION("""COMPUTED_VALUE"""),"xwin")</f>
        <v>xwin</v>
      </c>
      <c r="C12950" s="3" t="str">
        <f>IFERROR(__xludf.DUMMYFUNCTION("""COMPUTED_VALUE"""),"xWIN Finance")</f>
        <v>xWIN Finance</v>
      </c>
    </row>
    <row r="12951">
      <c r="A12951" s="3" t="str">
        <f>IFERROR(__xludf.DUMMYFUNCTION("""COMPUTED_VALUE"""),"x-world-games")</f>
        <v>x-world-games</v>
      </c>
      <c r="B12951" s="3" t="str">
        <f>IFERROR(__xludf.DUMMYFUNCTION("""COMPUTED_VALUE"""),"xwg")</f>
        <v>xwg</v>
      </c>
      <c r="C12951" s="3" t="str">
        <f>IFERROR(__xludf.DUMMYFUNCTION("""COMPUTED_VALUE"""),"X World Games")</f>
        <v>X World Games</v>
      </c>
    </row>
    <row r="12952">
      <c r="A12952" s="3" t="str">
        <f>IFERROR(__xludf.DUMMYFUNCTION("""COMPUTED_VALUE"""),"xxcoin")</f>
        <v>xxcoin</v>
      </c>
      <c r="B12952" s="3" t="str">
        <f>IFERROR(__xludf.DUMMYFUNCTION("""COMPUTED_VALUE"""),"xx")</f>
        <v>xx</v>
      </c>
      <c r="C12952" s="3" t="str">
        <f>IFERROR(__xludf.DUMMYFUNCTION("""COMPUTED_VALUE"""),"XX Network")</f>
        <v>XX Network</v>
      </c>
    </row>
    <row r="12953">
      <c r="A12953" s="3" t="str">
        <f>IFERROR(__xludf.DUMMYFUNCTION("""COMPUTED_VALUE"""),"xx-platform")</f>
        <v>xx-platform</v>
      </c>
      <c r="B12953" s="3" t="str">
        <f>IFERROR(__xludf.DUMMYFUNCTION("""COMPUTED_VALUE"""),"xxp")</f>
        <v>xxp</v>
      </c>
      <c r="C12953" s="3" t="str">
        <f>IFERROR(__xludf.DUMMYFUNCTION("""COMPUTED_VALUE"""),"XX Platform")</f>
        <v>XX Platform</v>
      </c>
    </row>
    <row r="12954">
      <c r="A12954" s="3" t="str">
        <f>IFERROR(__xludf.DUMMYFUNCTION("""COMPUTED_VALUE"""),"xy-finance")</f>
        <v>xy-finance</v>
      </c>
      <c r="B12954" s="3" t="str">
        <f>IFERROR(__xludf.DUMMYFUNCTION("""COMPUTED_VALUE"""),"xy")</f>
        <v>xy</v>
      </c>
      <c r="C12954" s="3" t="str">
        <f>IFERROR(__xludf.DUMMYFUNCTION("""COMPUTED_VALUE"""),"XY Finance")</f>
        <v>XY Finance</v>
      </c>
    </row>
    <row r="12955">
      <c r="A12955" s="3" t="str">
        <f>IFERROR(__xludf.DUMMYFUNCTION("""COMPUTED_VALUE"""),"xyo-network")</f>
        <v>xyo-network</v>
      </c>
      <c r="B12955" s="3" t="str">
        <f>IFERROR(__xludf.DUMMYFUNCTION("""COMPUTED_VALUE"""),"xyo")</f>
        <v>xyo</v>
      </c>
      <c r="C12955" s="3" t="str">
        <f>IFERROR(__xludf.DUMMYFUNCTION("""COMPUTED_VALUE"""),"XYO Network")</f>
        <v>XYO Network</v>
      </c>
    </row>
    <row r="12956">
      <c r="A12956" s="3" t="str">
        <f>IFERROR(__xludf.DUMMYFUNCTION("""COMPUTED_VALUE"""),"xysl")</f>
        <v>xysl</v>
      </c>
      <c r="B12956" s="3" t="str">
        <f>IFERROR(__xludf.DUMMYFUNCTION("""COMPUTED_VALUE"""),"xysl")</f>
        <v>xysl</v>
      </c>
      <c r="C12956" s="3" t="str">
        <f>IFERROR(__xludf.DUMMYFUNCTION("""COMPUTED_VALUE"""),"xYSL")</f>
        <v>xYSL</v>
      </c>
    </row>
    <row r="12957">
      <c r="A12957" s="3" t="str">
        <f>IFERROR(__xludf.DUMMYFUNCTION("""COMPUTED_VALUE"""),"y-5-finance")</f>
        <v>y-5-finance</v>
      </c>
      <c r="B12957" s="3" t="str">
        <f>IFERROR(__xludf.DUMMYFUNCTION("""COMPUTED_VALUE"""),"y-5")</f>
        <v>y-5</v>
      </c>
      <c r="C12957" s="3" t="str">
        <f>IFERROR(__xludf.DUMMYFUNCTION("""COMPUTED_VALUE"""),"Y-5 FINANCE")</f>
        <v>Y-5 FINANCE</v>
      </c>
    </row>
    <row r="12958">
      <c r="A12958" s="3" t="str">
        <f>IFERROR(__xludf.DUMMYFUNCTION("""COMPUTED_VALUE"""),"y5-trader")</f>
        <v>y5-trader</v>
      </c>
      <c r="B12958" s="3" t="str">
        <f>IFERROR(__xludf.DUMMYFUNCTION("""COMPUTED_VALUE"""),"y5tt")</f>
        <v>y5tt</v>
      </c>
      <c r="C12958" s="3" t="str">
        <f>IFERROR(__xludf.DUMMYFUNCTION("""COMPUTED_VALUE"""),"Y5 Trader")</f>
        <v>Y5 Trader</v>
      </c>
    </row>
    <row r="12959">
      <c r="A12959" s="3" t="str">
        <f>IFERROR(__xludf.DUMMYFUNCTION("""COMPUTED_VALUE"""),"yachtx")</f>
        <v>yachtx</v>
      </c>
      <c r="B12959" s="3" t="str">
        <f>IFERROR(__xludf.DUMMYFUNCTION("""COMPUTED_VALUE"""),"yachtx")</f>
        <v>yachtx</v>
      </c>
      <c r="C12959" s="3" t="str">
        <f>IFERROR(__xludf.DUMMYFUNCTION("""COMPUTED_VALUE"""),"YachtX")</f>
        <v>YachtX</v>
      </c>
    </row>
    <row r="12960">
      <c r="A12960" s="3" t="str">
        <f>IFERROR(__xludf.DUMMYFUNCTION("""COMPUTED_VALUE"""),"yacoin")</f>
        <v>yacoin</v>
      </c>
      <c r="B12960" s="3" t="str">
        <f>IFERROR(__xludf.DUMMYFUNCTION("""COMPUTED_VALUE"""),"yac")</f>
        <v>yac</v>
      </c>
      <c r="C12960" s="3" t="str">
        <f>IFERROR(__xludf.DUMMYFUNCTION("""COMPUTED_VALUE"""),"YACoin")</f>
        <v>YACoin</v>
      </c>
    </row>
    <row r="12961">
      <c r="A12961" s="3" t="str">
        <f>IFERROR(__xludf.DUMMYFUNCTION("""COMPUTED_VALUE"""),"yadacoin")</f>
        <v>yadacoin</v>
      </c>
      <c r="B12961" s="3" t="str">
        <f>IFERROR(__xludf.DUMMYFUNCTION("""COMPUTED_VALUE"""),"yda")</f>
        <v>yda</v>
      </c>
      <c r="C12961" s="3" t="str">
        <f>IFERROR(__xludf.DUMMYFUNCTION("""COMPUTED_VALUE"""),"YadaCoin")</f>
        <v>YadaCoin</v>
      </c>
    </row>
    <row r="12962">
      <c r="A12962" s="3" t="str">
        <f>IFERROR(__xludf.DUMMYFUNCTION("""COMPUTED_VALUE"""),"yaki-gold")</f>
        <v>yaki-gold</v>
      </c>
      <c r="B12962" s="3" t="str">
        <f>IFERROR(__xludf.DUMMYFUNCTION("""COMPUTED_VALUE"""),"yag")</f>
        <v>yag</v>
      </c>
      <c r="C12962" s="3" t="str">
        <f>IFERROR(__xludf.DUMMYFUNCTION("""COMPUTED_VALUE"""),"Yaki Gold")</f>
        <v>Yaki Gold</v>
      </c>
    </row>
    <row r="12963">
      <c r="A12963" s="3" t="str">
        <f>IFERROR(__xludf.DUMMYFUNCTION("""COMPUTED_VALUE"""),"yaku")</f>
        <v>yaku</v>
      </c>
      <c r="B12963" s="3" t="str">
        <f>IFERROR(__xludf.DUMMYFUNCTION("""COMPUTED_VALUE"""),"yaku")</f>
        <v>yaku</v>
      </c>
      <c r="C12963" s="3" t="str">
        <f>IFERROR(__xludf.DUMMYFUNCTION("""COMPUTED_VALUE"""),"Yaku")</f>
        <v>Yaku</v>
      </c>
    </row>
    <row r="12964">
      <c r="A12964" s="3" t="str">
        <f>IFERROR(__xludf.DUMMYFUNCTION("""COMPUTED_VALUE"""),"yakushima")</f>
        <v>yakushima</v>
      </c>
      <c r="B12964" s="3" t="str">
        <f>IFERROR(__xludf.DUMMYFUNCTION("""COMPUTED_VALUE"""),"forest")</f>
        <v>forest</v>
      </c>
      <c r="C12964" s="3" t="str">
        <f>IFERROR(__xludf.DUMMYFUNCTION("""COMPUTED_VALUE"""),"YAKUSHIMA")</f>
        <v>YAKUSHIMA</v>
      </c>
    </row>
    <row r="12965">
      <c r="A12965" s="3" t="str">
        <f>IFERROR(__xludf.DUMMYFUNCTION("""COMPUTED_VALUE"""),"yam-2")</f>
        <v>yam-2</v>
      </c>
      <c r="B12965" s="3" t="str">
        <f>IFERROR(__xludf.DUMMYFUNCTION("""COMPUTED_VALUE"""),"yam")</f>
        <v>yam</v>
      </c>
      <c r="C12965" s="3" t="str">
        <f>IFERROR(__xludf.DUMMYFUNCTION("""COMPUTED_VALUE"""),"YAM")</f>
        <v>YAM</v>
      </c>
    </row>
    <row r="12966">
      <c r="A12966" s="3" t="str">
        <f>IFERROR(__xludf.DUMMYFUNCTION("""COMPUTED_VALUE"""),"yamp-finance")</f>
        <v>yamp-finance</v>
      </c>
      <c r="B12966" s="3" t="str">
        <f>IFERROR(__xludf.DUMMYFUNCTION("""COMPUTED_VALUE"""),"yamp")</f>
        <v>yamp</v>
      </c>
      <c r="C12966" s="3" t="str">
        <f>IFERROR(__xludf.DUMMYFUNCTION("""COMPUTED_VALUE"""),"Yamp Finance")</f>
        <v>Yamp Finance</v>
      </c>
    </row>
    <row r="12967">
      <c r="A12967" s="3" t="str">
        <f>IFERROR(__xludf.DUMMYFUNCTION("""COMPUTED_VALUE"""),"yam-v2")</f>
        <v>yam-v2</v>
      </c>
      <c r="B12967" s="3" t="str">
        <f>IFERROR(__xludf.DUMMYFUNCTION("""COMPUTED_VALUE"""),"yamv2")</f>
        <v>yamv2</v>
      </c>
      <c r="C12967" s="3" t="str">
        <f>IFERROR(__xludf.DUMMYFUNCTION("""COMPUTED_VALUE"""),"YAM v2")</f>
        <v>YAM v2</v>
      </c>
    </row>
    <row r="12968">
      <c r="A12968" s="3" t="str">
        <f>IFERROR(__xludf.DUMMYFUNCTION("""COMPUTED_VALUE"""),"yarloo")</f>
        <v>yarloo</v>
      </c>
      <c r="B12968" s="3" t="str">
        <f>IFERROR(__xludf.DUMMYFUNCTION("""COMPUTED_VALUE"""),"yarl")</f>
        <v>yarl</v>
      </c>
      <c r="C12968" s="3" t="str">
        <f>IFERROR(__xludf.DUMMYFUNCTION("""COMPUTED_VALUE"""),"Yarloo")</f>
        <v>Yarloo</v>
      </c>
    </row>
    <row r="12969">
      <c r="A12969" s="3" t="str">
        <f>IFERROR(__xludf.DUMMYFUNCTION("""COMPUTED_VALUE"""),"yas")</f>
        <v>yas</v>
      </c>
      <c r="B12969" s="3" t="str">
        <f>IFERROR(__xludf.DUMMYFUNCTION("""COMPUTED_VALUE"""),"yas")</f>
        <v>yas</v>
      </c>
      <c r="C12969" s="3" t="str">
        <f>IFERROR(__xludf.DUMMYFUNCTION("""COMPUTED_VALUE"""),"YAS")</f>
        <v>YAS</v>
      </c>
    </row>
    <row r="12970">
      <c r="A12970" s="3" t="str">
        <f>IFERROR(__xludf.DUMMYFUNCTION("""COMPUTED_VALUE"""),"yasha-dao")</f>
        <v>yasha-dao</v>
      </c>
      <c r="B12970" s="3" t="str">
        <f>IFERROR(__xludf.DUMMYFUNCTION("""COMPUTED_VALUE"""),"yasha")</f>
        <v>yasha</v>
      </c>
      <c r="C12970" s="3" t="str">
        <f>IFERROR(__xludf.DUMMYFUNCTION("""COMPUTED_VALUE"""),"YASHA")</f>
        <v>YASHA</v>
      </c>
    </row>
    <row r="12971">
      <c r="A12971" s="3" t="str">
        <f>IFERROR(__xludf.DUMMYFUNCTION("""COMPUTED_VALUE"""),"yawww")</f>
        <v>yawww</v>
      </c>
      <c r="B12971" s="3" t="str">
        <f>IFERROR(__xludf.DUMMYFUNCTION("""COMPUTED_VALUE"""),"yaw")</f>
        <v>yaw</v>
      </c>
      <c r="C12971" s="3" t="str">
        <f>IFERROR(__xludf.DUMMYFUNCTION("""COMPUTED_VALUE"""),"Yawww")</f>
        <v>Yawww</v>
      </c>
    </row>
    <row r="12972">
      <c r="A12972" s="3" t="str">
        <f>IFERROR(__xludf.DUMMYFUNCTION("""COMPUTED_VALUE"""),"yaxis")</f>
        <v>yaxis</v>
      </c>
      <c r="B12972" s="3" t="str">
        <f>IFERROR(__xludf.DUMMYFUNCTION("""COMPUTED_VALUE"""),"yaxis")</f>
        <v>yaxis</v>
      </c>
      <c r="C12972" s="3" t="str">
        <f>IFERROR(__xludf.DUMMYFUNCTION("""COMPUTED_VALUE"""),"yAxis")</f>
        <v>yAxis</v>
      </c>
    </row>
    <row r="12973">
      <c r="A12973" s="3" t="str">
        <f>IFERROR(__xludf.DUMMYFUNCTION("""COMPUTED_VALUE"""),"yay-games")</f>
        <v>yay-games</v>
      </c>
      <c r="B12973" s="3" t="str">
        <f>IFERROR(__xludf.DUMMYFUNCTION("""COMPUTED_VALUE"""),"yay")</f>
        <v>yay</v>
      </c>
      <c r="C12973" s="3" t="str">
        <f>IFERROR(__xludf.DUMMYFUNCTION("""COMPUTED_VALUE"""),"YAY Games")</f>
        <v>YAY Games</v>
      </c>
    </row>
    <row r="12974">
      <c r="A12974" s="3" t="str">
        <f>IFERROR(__xludf.DUMMYFUNCTION("""COMPUTED_VALUE"""),"yayo-coin")</f>
        <v>yayo-coin</v>
      </c>
      <c r="B12974" s="3" t="str">
        <f>IFERROR(__xludf.DUMMYFUNCTION("""COMPUTED_VALUE"""),"yayo")</f>
        <v>yayo</v>
      </c>
      <c r="C12974" s="3" t="str">
        <f>IFERROR(__xludf.DUMMYFUNCTION("""COMPUTED_VALUE"""),"Yayo Coin")</f>
        <v>Yayo Coin</v>
      </c>
    </row>
    <row r="12975">
      <c r="A12975" s="3" t="str">
        <f>IFERROR(__xludf.DUMMYFUNCTION("""COMPUTED_VALUE"""),"yayswap")</f>
        <v>yayswap</v>
      </c>
      <c r="B12975" s="3" t="str">
        <f>IFERROR(__xludf.DUMMYFUNCTION("""COMPUTED_VALUE"""),"yay")</f>
        <v>yay</v>
      </c>
      <c r="C12975" s="3" t="str">
        <f>IFERROR(__xludf.DUMMYFUNCTION("""COMPUTED_VALUE"""),"YaySwap")</f>
        <v>YaySwap</v>
      </c>
    </row>
    <row r="12976">
      <c r="A12976" s="3" t="str">
        <f>IFERROR(__xludf.DUMMYFUNCTION("""COMPUTED_VALUE"""),"ycash")</f>
        <v>ycash</v>
      </c>
      <c r="B12976" s="3" t="str">
        <f>IFERROR(__xludf.DUMMYFUNCTION("""COMPUTED_VALUE"""),"yec")</f>
        <v>yec</v>
      </c>
      <c r="C12976" s="3" t="str">
        <f>IFERROR(__xludf.DUMMYFUNCTION("""COMPUTED_VALUE"""),"Ycash")</f>
        <v>Ycash</v>
      </c>
    </row>
    <row r="12977">
      <c r="A12977" s="3" t="str">
        <f>IFERROR(__xludf.DUMMYFUNCTION("""COMPUTED_VALUE"""),"y-coin")</f>
        <v>y-coin</v>
      </c>
      <c r="B12977" s="3" t="str">
        <f>IFERROR(__xludf.DUMMYFUNCTION("""COMPUTED_VALUE"""),"yco")</f>
        <v>yco</v>
      </c>
      <c r="C12977" s="3" t="str">
        <f>IFERROR(__xludf.DUMMYFUNCTION("""COMPUTED_VALUE"""),"Y Coin")</f>
        <v>Y Coin</v>
      </c>
    </row>
    <row r="12978">
      <c r="A12978" s="3" t="str">
        <f>IFERROR(__xludf.DUMMYFUNCTION("""COMPUTED_VALUE"""),"ydragon")</f>
        <v>ydragon</v>
      </c>
      <c r="B12978" s="3" t="str">
        <f>IFERROR(__xludf.DUMMYFUNCTION("""COMPUTED_VALUE"""),"ydr")</f>
        <v>ydr</v>
      </c>
      <c r="C12978" s="3" t="str">
        <f>IFERROR(__xludf.DUMMYFUNCTION("""COMPUTED_VALUE"""),"YDragon")</f>
        <v>YDragon</v>
      </c>
    </row>
    <row r="12979">
      <c r="A12979" s="3" t="str">
        <f>IFERROR(__xludf.DUMMYFUNCTION("""COMPUTED_VALUE"""),"yeabrswap")</f>
        <v>yeabrswap</v>
      </c>
      <c r="B12979" s="3" t="str">
        <f>IFERROR(__xludf.DUMMYFUNCTION("""COMPUTED_VALUE"""),"sbear")</f>
        <v>sbear</v>
      </c>
      <c r="C12979" s="3" t="str">
        <f>IFERROR(__xludf.DUMMYFUNCTION("""COMPUTED_VALUE"""),"yBEARSwap")</f>
        <v>yBEARSwap</v>
      </c>
    </row>
    <row r="12980">
      <c r="A12980" s="3" t="str">
        <f>IFERROR(__xludf.DUMMYFUNCTION("""COMPUTED_VALUE"""),"yeafinance")</f>
        <v>yeafinance</v>
      </c>
      <c r="B12980" s="3" t="str">
        <f>IFERROR(__xludf.DUMMYFUNCTION("""COMPUTED_VALUE"""),"yea")</f>
        <v>yea</v>
      </c>
      <c r="C12980" s="3" t="str">
        <f>IFERROR(__xludf.DUMMYFUNCTION("""COMPUTED_VALUE"""),"YeaFinance")</f>
        <v>YeaFinance</v>
      </c>
    </row>
    <row r="12981">
      <c r="A12981" s="3" t="str">
        <f>IFERROR(__xludf.DUMMYFUNCTION("""COMPUTED_VALUE"""),"yearn-cash")</f>
        <v>yearn-cash</v>
      </c>
      <c r="B12981" s="3" t="str">
        <f>IFERROR(__xludf.DUMMYFUNCTION("""COMPUTED_VALUE"""),"yfic")</f>
        <v>yfic</v>
      </c>
      <c r="C12981" s="3" t="str">
        <f>IFERROR(__xludf.DUMMYFUNCTION("""COMPUTED_VALUE"""),"Yearn Cash")</f>
        <v>Yearn Cash</v>
      </c>
    </row>
    <row r="12982">
      <c r="A12982" s="3" t="str">
        <f>IFERROR(__xludf.DUMMYFUNCTION("""COMPUTED_VALUE"""),"yearn-classic-finance")</f>
        <v>yearn-classic-finance</v>
      </c>
      <c r="B12982" s="3" t="str">
        <f>IFERROR(__xludf.DUMMYFUNCTION("""COMPUTED_VALUE"""),"earn")</f>
        <v>earn</v>
      </c>
      <c r="C12982" s="3" t="str">
        <f>IFERROR(__xludf.DUMMYFUNCTION("""COMPUTED_VALUE"""),"Yearn Classic Finance")</f>
        <v>Yearn Classic Finance</v>
      </c>
    </row>
    <row r="12983">
      <c r="A12983" s="3" t="str">
        <f>IFERROR(__xludf.DUMMYFUNCTION("""COMPUTED_VALUE"""),"yearn-crv")</f>
        <v>yearn-crv</v>
      </c>
      <c r="B12983" s="3" t="str">
        <f>IFERROR(__xludf.DUMMYFUNCTION("""COMPUTED_VALUE"""),"ycrv")</f>
        <v>ycrv</v>
      </c>
      <c r="C12983" s="3" t="str">
        <f>IFERROR(__xludf.DUMMYFUNCTION("""COMPUTED_VALUE"""),"Yearn CRV")</f>
        <v>Yearn CRV</v>
      </c>
    </row>
    <row r="12984">
      <c r="A12984" s="3" t="str">
        <f>IFERROR(__xludf.DUMMYFUNCTION("""COMPUTED_VALUE"""),"yearn-ecosystem-token-index")</f>
        <v>yearn-ecosystem-token-index</v>
      </c>
      <c r="B12984" s="3" t="str">
        <f>IFERROR(__xludf.DUMMYFUNCTION("""COMPUTED_VALUE"""),"yeti")</f>
        <v>yeti</v>
      </c>
      <c r="C12984" s="3" t="str">
        <f>IFERROR(__xludf.DUMMYFUNCTION("""COMPUTED_VALUE"""),"Yearn Ecosystem Index")</f>
        <v>Yearn Ecosystem Index</v>
      </c>
    </row>
    <row r="12985">
      <c r="A12985" s="3" t="str">
        <f>IFERROR(__xludf.DUMMYFUNCTION("""COMPUTED_VALUE"""),"yearn-finance")</f>
        <v>yearn-finance</v>
      </c>
      <c r="B12985" s="3" t="str">
        <f>IFERROR(__xludf.DUMMYFUNCTION("""COMPUTED_VALUE"""),"yfi")</f>
        <v>yfi</v>
      </c>
      <c r="C12985" s="3" t="str">
        <f>IFERROR(__xludf.DUMMYFUNCTION("""COMPUTED_VALUE"""),"yearn.finance")</f>
        <v>yearn.finance</v>
      </c>
    </row>
    <row r="12986">
      <c r="A12986" s="3" t="str">
        <f>IFERROR(__xludf.DUMMYFUNCTION("""COMPUTED_VALUE"""),"yearn-finance-bit")</f>
        <v>yearn-finance-bit</v>
      </c>
      <c r="B12986" s="3" t="str">
        <f>IFERROR(__xludf.DUMMYFUNCTION("""COMPUTED_VALUE"""),"yfbt")</f>
        <v>yfbt</v>
      </c>
      <c r="C12986" s="3" t="str">
        <f>IFERROR(__xludf.DUMMYFUNCTION("""COMPUTED_VALUE"""),"Yearn Finance Bit")</f>
        <v>Yearn Finance Bit</v>
      </c>
    </row>
    <row r="12987">
      <c r="A12987" s="3" t="str">
        <f>IFERROR(__xludf.DUMMYFUNCTION("""COMPUTED_VALUE"""),"yearn-finance-bit2")</f>
        <v>yearn-finance-bit2</v>
      </c>
      <c r="B12987" s="3" t="str">
        <f>IFERROR(__xludf.DUMMYFUNCTION("""COMPUTED_VALUE"""),"yfb2")</f>
        <v>yfb2</v>
      </c>
      <c r="C12987" s="3" t="str">
        <f>IFERROR(__xludf.DUMMYFUNCTION("""COMPUTED_VALUE"""),"Yearn Finance Bit2")</f>
        <v>Yearn Finance Bit2</v>
      </c>
    </row>
    <row r="12988">
      <c r="A12988" s="3" t="str">
        <f>IFERROR(__xludf.DUMMYFUNCTION("""COMPUTED_VALUE"""),"yearn-finance-diamond-token")</f>
        <v>yearn-finance-diamond-token</v>
      </c>
      <c r="B12988" s="3" t="str">
        <f>IFERROR(__xludf.DUMMYFUNCTION("""COMPUTED_VALUE"""),"yfdt")</f>
        <v>yfdt</v>
      </c>
      <c r="C12988" s="3" t="str">
        <f>IFERROR(__xludf.DUMMYFUNCTION("""COMPUTED_VALUE"""),"Yearn Finance Diamond")</f>
        <v>Yearn Finance Diamond</v>
      </c>
    </row>
    <row r="12989">
      <c r="A12989" s="3" t="str">
        <f>IFERROR(__xludf.DUMMYFUNCTION("""COMPUTED_VALUE"""),"yearn-finance-dot")</f>
        <v>yearn-finance-dot</v>
      </c>
      <c r="B12989" s="3" t="str">
        <f>IFERROR(__xludf.DUMMYFUNCTION("""COMPUTED_VALUE"""),"yfdot")</f>
        <v>yfdot</v>
      </c>
      <c r="C12989" s="3" t="str">
        <f>IFERROR(__xludf.DUMMYFUNCTION("""COMPUTED_VALUE"""),"Yearn Finance DOT")</f>
        <v>Yearn Finance DOT</v>
      </c>
    </row>
    <row r="12990">
      <c r="A12990" s="3" t="str">
        <f>IFERROR(__xludf.DUMMYFUNCTION("""COMPUTED_VALUE"""),"yearn-finance-infrastructure-labs")</f>
        <v>yearn-finance-infrastructure-labs</v>
      </c>
      <c r="B12990" s="3" t="str">
        <f>IFERROR(__xludf.DUMMYFUNCTION("""COMPUTED_VALUE"""),"ylab")</f>
        <v>ylab</v>
      </c>
      <c r="C12990" s="3" t="str">
        <f>IFERROR(__xludf.DUMMYFUNCTION("""COMPUTED_VALUE"""),"Yearn-finance Infrastructure Labs")</f>
        <v>Yearn-finance Infrastructure Labs</v>
      </c>
    </row>
    <row r="12991">
      <c r="A12991" s="3" t="str">
        <f>IFERROR(__xludf.DUMMYFUNCTION("""COMPUTED_VALUE"""),"yearn-finance-management")</f>
        <v>yearn-finance-management</v>
      </c>
      <c r="B12991" s="3" t="str">
        <f>IFERROR(__xludf.DUMMYFUNCTION("""COMPUTED_VALUE"""),"yefim")</f>
        <v>yefim</v>
      </c>
      <c r="C12991" s="3" t="str">
        <f>IFERROR(__xludf.DUMMYFUNCTION("""COMPUTED_VALUE"""),"Yearn Finance Management")</f>
        <v>Yearn Finance Management</v>
      </c>
    </row>
    <row r="12992">
      <c r="A12992" s="3" t="str">
        <f>IFERROR(__xludf.DUMMYFUNCTION("""COMPUTED_VALUE"""),"yearn-finance-network")</f>
        <v>yearn-finance-network</v>
      </c>
      <c r="B12992" s="3" t="str">
        <f>IFERROR(__xludf.DUMMYFUNCTION("""COMPUTED_VALUE"""),"yfn")</f>
        <v>yfn</v>
      </c>
      <c r="C12992" s="3" t="str">
        <f>IFERROR(__xludf.DUMMYFUNCTION("""COMPUTED_VALUE"""),"Yearn Finance Network")</f>
        <v>Yearn Finance Network</v>
      </c>
    </row>
    <row r="12993">
      <c r="A12993" s="3" t="str">
        <f>IFERROR(__xludf.DUMMYFUNCTION("""COMPUTED_VALUE"""),"yearn-finance-passive-income")</f>
        <v>yearn-finance-passive-income</v>
      </c>
      <c r="B12993" s="3" t="str">
        <f>IFERROR(__xludf.DUMMYFUNCTION("""COMPUTED_VALUE"""),"yfpi")</f>
        <v>yfpi</v>
      </c>
      <c r="C12993" s="3" t="str">
        <f>IFERROR(__xludf.DUMMYFUNCTION("""COMPUTED_VALUE"""),"Yearn Finance Passive Income")</f>
        <v>Yearn Finance Passive Income</v>
      </c>
    </row>
    <row r="12994">
      <c r="A12994" s="3" t="str">
        <f>IFERROR(__xludf.DUMMYFUNCTION("""COMPUTED_VALUE"""),"yearn-finance-value")</f>
        <v>yearn-finance-value</v>
      </c>
      <c r="B12994" s="3" t="str">
        <f>IFERROR(__xludf.DUMMYFUNCTION("""COMPUTED_VALUE"""),"yfiv")</f>
        <v>yfiv</v>
      </c>
      <c r="C12994" s="3" t="str">
        <f>IFERROR(__xludf.DUMMYFUNCTION("""COMPUTED_VALUE"""),"Yearn Finance Value")</f>
        <v>Yearn Finance Value</v>
      </c>
    </row>
    <row r="12995">
      <c r="A12995" s="3" t="str">
        <f>IFERROR(__xludf.DUMMYFUNCTION("""COMPUTED_VALUE"""),"yearnlab")</f>
        <v>yearnlab</v>
      </c>
      <c r="B12995" s="3" t="str">
        <f>IFERROR(__xludf.DUMMYFUNCTION("""COMPUTED_VALUE"""),"ylb")</f>
        <v>ylb</v>
      </c>
      <c r="C12995" s="3" t="str">
        <f>IFERROR(__xludf.DUMMYFUNCTION("""COMPUTED_VALUE"""),"Yearnlab")</f>
        <v>Yearnlab</v>
      </c>
    </row>
    <row r="12996">
      <c r="A12996" s="3" t="str">
        <f>IFERROR(__xludf.DUMMYFUNCTION("""COMPUTED_VALUE"""),"yearn-lazy-ape")</f>
        <v>yearn-lazy-ape</v>
      </c>
      <c r="B12996" s="3" t="str">
        <f>IFERROR(__xludf.DUMMYFUNCTION("""COMPUTED_VALUE"""),"yla")</f>
        <v>yla</v>
      </c>
      <c r="C12996" s="3" t="str">
        <f>IFERROR(__xludf.DUMMYFUNCTION("""COMPUTED_VALUE"""),"Yearn Lazy Ape")</f>
        <v>Yearn Lazy Ape</v>
      </c>
    </row>
    <row r="12997">
      <c r="A12997" s="3" t="str">
        <f>IFERROR(__xludf.DUMMYFUNCTION("""COMPUTED_VALUE"""),"yearn-secure")</f>
        <v>yearn-secure</v>
      </c>
      <c r="B12997" s="3" t="str">
        <f>IFERROR(__xludf.DUMMYFUNCTION("""COMPUTED_VALUE"""),"ysec")</f>
        <v>ysec</v>
      </c>
      <c r="C12997" s="3" t="str">
        <f>IFERROR(__xludf.DUMMYFUNCTION("""COMPUTED_VALUE"""),"Yearn Secure")</f>
        <v>Yearn Secure</v>
      </c>
    </row>
    <row r="12998">
      <c r="A12998" s="3" t="str">
        <f>IFERROR(__xludf.DUMMYFUNCTION("""COMPUTED_VALUE"""),"yee")</f>
        <v>yee</v>
      </c>
      <c r="B12998" s="3" t="str">
        <f>IFERROR(__xludf.DUMMYFUNCTION("""COMPUTED_VALUE"""),"yee")</f>
        <v>yee</v>
      </c>
      <c r="C12998" s="3" t="str">
        <f>IFERROR(__xludf.DUMMYFUNCTION("""COMPUTED_VALUE"""),"Yee")</f>
        <v>Yee</v>
      </c>
    </row>
    <row r="12999">
      <c r="A12999" s="3" t="str">
        <f>IFERROR(__xludf.DUMMYFUNCTION("""COMPUTED_VALUE"""),"yeld-finance")</f>
        <v>yeld-finance</v>
      </c>
      <c r="B12999" s="3" t="str">
        <f>IFERROR(__xludf.DUMMYFUNCTION("""COMPUTED_VALUE"""),"yeld")</f>
        <v>yeld</v>
      </c>
      <c r="C12999" s="3" t="str">
        <f>IFERROR(__xludf.DUMMYFUNCTION("""COMPUTED_VALUE"""),"Yeld Finance")</f>
        <v>Yeld Finance</v>
      </c>
    </row>
    <row r="13000">
      <c r="A13000" s="3" t="str">
        <f>IFERROR(__xludf.DUMMYFUNCTION("""COMPUTED_VALUE"""),"yel-finance")</f>
        <v>yel-finance</v>
      </c>
      <c r="B13000" s="3" t="str">
        <f>IFERROR(__xludf.DUMMYFUNCTION("""COMPUTED_VALUE"""),"yel")</f>
        <v>yel</v>
      </c>
      <c r="C13000" s="3" t="str">
        <f>IFERROR(__xludf.DUMMYFUNCTION("""COMPUTED_VALUE"""),"Yel.Finance")</f>
        <v>Yel.Finance</v>
      </c>
    </row>
    <row r="13001">
      <c r="A13001" s="3" t="str">
        <f>IFERROR(__xludf.DUMMYFUNCTION("""COMPUTED_VALUE"""),"yellowheart-protocol")</f>
        <v>yellowheart-protocol</v>
      </c>
      <c r="B13001" s="3" t="str">
        <f>IFERROR(__xludf.DUMMYFUNCTION("""COMPUTED_VALUE"""),"hrts")</f>
        <v>hrts</v>
      </c>
      <c r="C13001" s="3" t="str">
        <f>IFERROR(__xludf.DUMMYFUNCTION("""COMPUTED_VALUE"""),"YellowHeart Protocol")</f>
        <v>YellowHeart Protocol</v>
      </c>
    </row>
    <row r="13002">
      <c r="A13002" s="3" t="str">
        <f>IFERROR(__xludf.DUMMYFUNCTION("""COMPUTED_VALUE"""),"yellow-road")</f>
        <v>yellow-road</v>
      </c>
      <c r="B13002" s="3" t="str">
        <f>IFERROR(__xludf.DUMMYFUNCTION("""COMPUTED_VALUE"""),"road")</f>
        <v>road</v>
      </c>
      <c r="C13002" s="3" t="str">
        <f>IFERROR(__xludf.DUMMYFUNCTION("""COMPUTED_VALUE"""),"Yellow Road")</f>
        <v>Yellow Road</v>
      </c>
    </row>
    <row r="13003">
      <c r="A13003" s="3" t="str">
        <f>IFERROR(__xludf.DUMMYFUNCTION("""COMPUTED_VALUE"""),"yeni-malatyaspor-token")</f>
        <v>yeni-malatyaspor-token</v>
      </c>
      <c r="B13003" s="3" t="str">
        <f>IFERROR(__xludf.DUMMYFUNCTION("""COMPUTED_VALUE"""),"yms")</f>
        <v>yms</v>
      </c>
      <c r="C13003" s="3" t="str">
        <f>IFERROR(__xludf.DUMMYFUNCTION("""COMPUTED_VALUE"""),"Yeni Malatyaspor Token")</f>
        <v>Yeni Malatyaspor Token</v>
      </c>
    </row>
    <row r="13004">
      <c r="A13004" s="3" t="str">
        <f>IFERROR(__xludf.DUMMYFUNCTION("""COMPUTED_VALUE"""),"yenten")</f>
        <v>yenten</v>
      </c>
      <c r="B13004" s="3" t="str">
        <f>IFERROR(__xludf.DUMMYFUNCTION("""COMPUTED_VALUE"""),"ytn")</f>
        <v>ytn</v>
      </c>
      <c r="C13004" s="3" t="str">
        <f>IFERROR(__xludf.DUMMYFUNCTION("""COMPUTED_VALUE"""),"YENTEN")</f>
        <v>YENTEN</v>
      </c>
    </row>
    <row r="13005">
      <c r="A13005" s="3" t="str">
        <f>IFERROR(__xludf.DUMMYFUNCTION("""COMPUTED_VALUE"""),"yeon")</f>
        <v>yeon</v>
      </c>
      <c r="B13005" s="3" t="str">
        <f>IFERROR(__xludf.DUMMYFUNCTION("""COMPUTED_VALUE"""),"yeon")</f>
        <v>yeon</v>
      </c>
      <c r="C13005" s="3" t="str">
        <f>IFERROR(__xludf.DUMMYFUNCTION("""COMPUTED_VALUE"""),"Yeon")</f>
        <v>Yeon</v>
      </c>
    </row>
    <row r="13006">
      <c r="A13006" s="3" t="str">
        <f>IFERROR(__xludf.DUMMYFUNCTION("""COMPUTED_VALUE"""),"yesorno")</f>
        <v>yesorno</v>
      </c>
      <c r="B13006" s="3" t="str">
        <f>IFERROR(__xludf.DUMMYFUNCTION("""COMPUTED_VALUE"""),"yon")</f>
        <v>yon</v>
      </c>
      <c r="C13006" s="3" t="str">
        <f>IFERROR(__xludf.DUMMYFUNCTION("""COMPUTED_VALUE"""),"YESorNO")</f>
        <v>YESorNO</v>
      </c>
    </row>
    <row r="13007">
      <c r="A13007" s="3" t="str">
        <f>IFERROR(__xludf.DUMMYFUNCTION("""COMPUTED_VALUE"""),"yes-world")</f>
        <v>yes-world</v>
      </c>
      <c r="B13007" s="3" t="str">
        <f>IFERROR(__xludf.DUMMYFUNCTION("""COMPUTED_VALUE"""),"yes")</f>
        <v>yes</v>
      </c>
      <c r="C13007" s="3" t="str">
        <f>IFERROR(__xludf.DUMMYFUNCTION("""COMPUTED_VALUE"""),"Yes World")</f>
        <v>Yes World</v>
      </c>
    </row>
    <row r="13008">
      <c r="A13008" s="3" t="str">
        <f>IFERROR(__xludf.DUMMYFUNCTION("""COMPUTED_VALUE"""),"yeticoin")</f>
        <v>yeticoin</v>
      </c>
      <c r="B13008" s="3" t="str">
        <f>IFERROR(__xludf.DUMMYFUNCTION("""COMPUTED_VALUE"""),"yetic")</f>
        <v>yetic</v>
      </c>
      <c r="C13008" s="3" t="str">
        <f>IFERROR(__xludf.DUMMYFUNCTION("""COMPUTED_VALUE"""),"YetiCoin")</f>
        <v>YetiCoin</v>
      </c>
    </row>
    <row r="13009">
      <c r="A13009" s="3" t="str">
        <f>IFERROR(__xludf.DUMMYFUNCTION("""COMPUTED_VALUE"""),"yeti-finance")</f>
        <v>yeti-finance</v>
      </c>
      <c r="B13009" s="3" t="str">
        <f>IFERROR(__xludf.DUMMYFUNCTION("""COMPUTED_VALUE"""),"yeti")</f>
        <v>yeti</v>
      </c>
      <c r="C13009" s="3" t="str">
        <f>IFERROR(__xludf.DUMMYFUNCTION("""COMPUTED_VALUE"""),"Yeti Finance")</f>
        <v>Yeti Finance</v>
      </c>
    </row>
    <row r="13010">
      <c r="A13010" s="3" t="str">
        <f>IFERROR(__xludf.DUMMYFUNCTION("""COMPUTED_VALUE"""),"yetiswap")</f>
        <v>yetiswap</v>
      </c>
      <c r="B13010" s="3" t="str">
        <f>IFERROR(__xludf.DUMMYFUNCTION("""COMPUTED_VALUE"""),"yts")</f>
        <v>yts</v>
      </c>
      <c r="C13010" s="3" t="str">
        <f>IFERROR(__xludf.DUMMYFUNCTION("""COMPUTED_VALUE"""),"YetiSwap")</f>
        <v>YetiSwap</v>
      </c>
    </row>
    <row r="13011">
      <c r="A13011" s="3" t="str">
        <f>IFERROR(__xludf.DUMMYFUNCTION("""COMPUTED_VALUE"""),"yfdai-finance")</f>
        <v>yfdai-finance</v>
      </c>
      <c r="B13011" s="3" t="str">
        <f>IFERROR(__xludf.DUMMYFUNCTION("""COMPUTED_VALUE"""),"yf-dai")</f>
        <v>yf-dai</v>
      </c>
      <c r="C13011" s="3" t="str">
        <f>IFERROR(__xludf.DUMMYFUNCTION("""COMPUTED_VALUE"""),"YfDAI.finance")</f>
        <v>YfDAI.finance</v>
      </c>
    </row>
    <row r="13012">
      <c r="A13012" s="3" t="str">
        <f>IFERROR(__xludf.DUMMYFUNCTION("""COMPUTED_VALUE"""),"yfdfi-finance")</f>
        <v>yfdfi-finance</v>
      </c>
      <c r="B13012" s="3" t="str">
        <f>IFERROR(__xludf.DUMMYFUNCTION("""COMPUTED_VALUE"""),"yfd")</f>
        <v>yfd</v>
      </c>
      <c r="C13012" s="3" t="str">
        <f>IFERROR(__xludf.DUMMYFUNCTION("""COMPUTED_VALUE"""),"Your Finance Decentralized")</f>
        <v>Your Finance Decentralized</v>
      </c>
    </row>
    <row r="13013">
      <c r="A13013" s="3" t="str">
        <f>IFERROR(__xludf.DUMMYFUNCTION("""COMPUTED_VALUE"""),"yfe-money")</f>
        <v>yfe-money</v>
      </c>
      <c r="B13013" s="3" t="str">
        <f>IFERROR(__xludf.DUMMYFUNCTION("""COMPUTED_VALUE"""),"yfe")</f>
        <v>yfe</v>
      </c>
      <c r="C13013" s="3" t="str">
        <f>IFERROR(__xludf.DUMMYFUNCTION("""COMPUTED_VALUE"""),"YFE Money")</f>
        <v>YFE Money</v>
      </c>
    </row>
    <row r="13014">
      <c r="A13014" s="3" t="str">
        <f>IFERROR(__xludf.DUMMYFUNCTION("""COMPUTED_VALUE"""),"yff-finance")</f>
        <v>yff-finance</v>
      </c>
      <c r="B13014" s="3" t="str">
        <f>IFERROR(__xludf.DUMMYFUNCTION("""COMPUTED_VALUE"""),"yff")</f>
        <v>yff</v>
      </c>
      <c r="C13014" s="3" t="str">
        <f>IFERROR(__xludf.DUMMYFUNCTION("""COMPUTED_VALUE"""),"YFF.Finance")</f>
        <v>YFF.Finance</v>
      </c>
    </row>
    <row r="13015">
      <c r="A13015" s="3" t="str">
        <f>IFERROR(__xludf.DUMMYFUNCTION("""COMPUTED_VALUE"""),"yffi-finance")</f>
        <v>yffi-finance</v>
      </c>
      <c r="B13015" s="3" t="str">
        <f>IFERROR(__xludf.DUMMYFUNCTION("""COMPUTED_VALUE"""),"yffi")</f>
        <v>yffi</v>
      </c>
      <c r="C13015" s="3" t="str">
        <f>IFERROR(__xludf.DUMMYFUNCTION("""COMPUTED_VALUE"""),"yffi finance")</f>
        <v>yffi finance</v>
      </c>
    </row>
    <row r="13016">
      <c r="A13016" s="3" t="str">
        <f>IFERROR(__xludf.DUMMYFUNCTION("""COMPUTED_VALUE"""),"yffii-finance")</f>
        <v>yffii-finance</v>
      </c>
      <c r="B13016" s="3" t="str">
        <f>IFERROR(__xludf.DUMMYFUNCTION("""COMPUTED_VALUE"""),"yffii")</f>
        <v>yffii</v>
      </c>
      <c r="C13016" s="3" t="str">
        <f>IFERROR(__xludf.DUMMYFUNCTION("""COMPUTED_VALUE"""),"YFFII Finance")</f>
        <v>YFFII Finance</v>
      </c>
    </row>
    <row r="13017">
      <c r="A13017" s="3" t="str">
        <f>IFERROR(__xludf.DUMMYFUNCTION("""COMPUTED_VALUE"""),"yffs")</f>
        <v>yffs</v>
      </c>
      <c r="B13017" s="3" t="str">
        <f>IFERROR(__xludf.DUMMYFUNCTION("""COMPUTED_VALUE"""),"yffs")</f>
        <v>yffs</v>
      </c>
      <c r="C13017" s="3" t="str">
        <f>IFERROR(__xludf.DUMMYFUNCTION("""COMPUTED_VALUE"""),"YFFS Finance")</f>
        <v>YFFS Finance</v>
      </c>
    </row>
    <row r="13018">
      <c r="A13018" s="3" t="str">
        <f>IFERROR(__xludf.DUMMYFUNCTION("""COMPUTED_VALUE"""),"yfii-finance")</f>
        <v>yfii-finance</v>
      </c>
      <c r="B13018" s="3" t="str">
        <f>IFERROR(__xludf.DUMMYFUNCTION("""COMPUTED_VALUE"""),"yfii")</f>
        <v>yfii</v>
      </c>
      <c r="C13018" s="3" t="str">
        <f>IFERROR(__xludf.DUMMYFUNCTION("""COMPUTED_VALUE"""),"DFI.money")</f>
        <v>DFI.money</v>
      </c>
    </row>
    <row r="13019">
      <c r="A13019" s="3" t="str">
        <f>IFERROR(__xludf.DUMMYFUNCTION("""COMPUTED_VALUE"""),"yfii-gold")</f>
        <v>yfii-gold</v>
      </c>
      <c r="B13019" s="3" t="str">
        <f>IFERROR(__xludf.DUMMYFUNCTION("""COMPUTED_VALUE"""),"yfiig")</f>
        <v>yfiig</v>
      </c>
      <c r="C13019" s="3" t="str">
        <f>IFERROR(__xludf.DUMMYFUNCTION("""COMPUTED_VALUE"""),"YFII Gold")</f>
        <v>YFII Gold</v>
      </c>
    </row>
    <row r="13020">
      <c r="A13020" s="3" t="str">
        <f>IFERROR(__xludf.DUMMYFUNCTION("""COMPUTED_VALUE"""),"yfilend-finance")</f>
        <v>yfilend-finance</v>
      </c>
      <c r="B13020" s="3" t="str">
        <f>IFERROR(__xludf.DUMMYFUNCTION("""COMPUTED_VALUE"""),"yfild")</f>
        <v>yfild</v>
      </c>
      <c r="C13020" s="3" t="str">
        <f>IFERROR(__xludf.DUMMYFUNCTION("""COMPUTED_VALUE"""),"YFILEND.FINANCE")</f>
        <v>YFILEND.FINANCE</v>
      </c>
    </row>
    <row r="13021">
      <c r="A13021" s="3" t="str">
        <f>IFERROR(__xludf.DUMMYFUNCTION("""COMPUTED_VALUE"""),"yfione")</f>
        <v>yfione</v>
      </c>
      <c r="B13021" s="3" t="str">
        <f>IFERROR(__xludf.DUMMYFUNCTION("""COMPUTED_VALUE"""),"yfo")</f>
        <v>yfo</v>
      </c>
      <c r="C13021" s="3" t="str">
        <f>IFERROR(__xludf.DUMMYFUNCTION("""COMPUTED_VALUE"""),"YFIONE")</f>
        <v>YFIONE</v>
      </c>
    </row>
    <row r="13022">
      <c r="A13022" s="3" t="str">
        <f>IFERROR(__xludf.DUMMYFUNCTION("""COMPUTED_VALUE"""),"yfix-finance")</f>
        <v>yfix-finance</v>
      </c>
      <c r="B13022" s="3" t="str">
        <f>IFERROR(__xludf.DUMMYFUNCTION("""COMPUTED_VALUE"""),"yfix")</f>
        <v>yfix</v>
      </c>
      <c r="C13022" s="3" t="str">
        <f>IFERROR(__xludf.DUMMYFUNCTION("""COMPUTED_VALUE"""),"YFIX.finance")</f>
        <v>YFIX.finance</v>
      </c>
    </row>
    <row r="13023">
      <c r="A13023" s="3" t="str">
        <f>IFERROR(__xludf.DUMMYFUNCTION("""COMPUTED_VALUE"""),"yflink")</f>
        <v>yflink</v>
      </c>
      <c r="B13023" s="3" t="str">
        <f>IFERROR(__xludf.DUMMYFUNCTION("""COMPUTED_VALUE"""),"yfl")</f>
        <v>yfl</v>
      </c>
      <c r="C13023" s="3" t="str">
        <f>IFERROR(__xludf.DUMMYFUNCTION("""COMPUTED_VALUE"""),"YF Link")</f>
        <v>YF Link</v>
      </c>
    </row>
    <row r="13024">
      <c r="A13024" s="3" t="str">
        <f>IFERROR(__xludf.DUMMYFUNCTION("""COMPUTED_VALUE"""),"yfos-finance")</f>
        <v>yfos-finance</v>
      </c>
      <c r="B13024" s="3" t="str">
        <f>IFERROR(__xludf.DUMMYFUNCTION("""COMPUTED_VALUE"""),"yfos")</f>
        <v>yfos</v>
      </c>
      <c r="C13024" s="3" t="str">
        <f>IFERROR(__xludf.DUMMYFUNCTION("""COMPUTED_VALUE"""),"YFOS.finance")</f>
        <v>YFOS.finance</v>
      </c>
    </row>
    <row r="13025">
      <c r="A13025" s="3" t="str">
        <f>IFERROR(__xludf.DUMMYFUNCTION("""COMPUTED_VALUE"""),"yfox-finance")</f>
        <v>yfox-finance</v>
      </c>
      <c r="B13025" s="3" t="str">
        <f>IFERROR(__xludf.DUMMYFUNCTION("""COMPUTED_VALUE"""),"yfox")</f>
        <v>yfox</v>
      </c>
      <c r="C13025" s="3" t="str">
        <f>IFERROR(__xludf.DUMMYFUNCTION("""COMPUTED_VALUE"""),"YFOX Finance")</f>
        <v>YFOX Finance</v>
      </c>
    </row>
    <row r="13026">
      <c r="A13026" s="3" t="str">
        <f>IFERROR(__xludf.DUMMYFUNCTION("""COMPUTED_VALUE"""),"yfpro-finance")</f>
        <v>yfpro-finance</v>
      </c>
      <c r="B13026" s="3" t="str">
        <f>IFERROR(__xludf.DUMMYFUNCTION("""COMPUTED_VALUE"""),"yfpro")</f>
        <v>yfpro</v>
      </c>
      <c r="C13026" s="3" t="str">
        <f>IFERROR(__xludf.DUMMYFUNCTION("""COMPUTED_VALUE"""),"YFPRO Finance")</f>
        <v>YFPRO Finance</v>
      </c>
    </row>
    <row r="13027">
      <c r="A13027" s="3" t="str">
        <f>IFERROR(__xludf.DUMMYFUNCTION("""COMPUTED_VALUE"""),"yfx")</f>
        <v>yfx</v>
      </c>
      <c r="B13027" s="3" t="str">
        <f>IFERROR(__xludf.DUMMYFUNCTION("""COMPUTED_VALUE"""),"yfx")</f>
        <v>yfx</v>
      </c>
      <c r="C13027" s="3" t="str">
        <f>IFERROR(__xludf.DUMMYFUNCTION("""COMPUTED_VALUE"""),"Your Futures Exchange")</f>
        <v>Your Futures Exchange</v>
      </c>
    </row>
    <row r="13028">
      <c r="A13028" s="3" t="str">
        <f>IFERROR(__xludf.DUMMYFUNCTION("""COMPUTED_VALUE"""),"yield-app")</f>
        <v>yield-app</v>
      </c>
      <c r="B13028" s="3" t="str">
        <f>IFERROR(__xludf.DUMMYFUNCTION("""COMPUTED_VALUE"""),"yld")</f>
        <v>yld</v>
      </c>
      <c r="C13028" s="3" t="str">
        <f>IFERROR(__xludf.DUMMYFUNCTION("""COMPUTED_VALUE"""),"Yield App")</f>
        <v>Yield App</v>
      </c>
    </row>
    <row r="13029">
      <c r="A13029" s="3" t="str">
        <f>IFERROR(__xludf.DUMMYFUNCTION("""COMPUTED_VALUE"""),"yieldblox")</f>
        <v>yieldblox</v>
      </c>
      <c r="B13029" s="3" t="str">
        <f>IFERROR(__xludf.DUMMYFUNCTION("""COMPUTED_VALUE"""),"ybx")</f>
        <v>ybx</v>
      </c>
      <c r="C13029" s="3" t="str">
        <f>IFERROR(__xludf.DUMMYFUNCTION("""COMPUTED_VALUE"""),"YieldBlox")</f>
        <v>YieldBlox</v>
      </c>
    </row>
    <row r="13030">
      <c r="A13030" s="3" t="str">
        <f>IFERROR(__xludf.DUMMYFUNCTION("""COMPUTED_VALUE"""),"yield-guild-games")</f>
        <v>yield-guild-games</v>
      </c>
      <c r="B13030" s="3" t="str">
        <f>IFERROR(__xludf.DUMMYFUNCTION("""COMPUTED_VALUE"""),"ygg")</f>
        <v>ygg</v>
      </c>
      <c r="C13030" s="3" t="str">
        <f>IFERROR(__xludf.DUMMYFUNCTION("""COMPUTED_VALUE"""),"Yield Guild Games")</f>
        <v>Yield Guild Games</v>
      </c>
    </row>
    <row r="13031">
      <c r="A13031" s="3" t="str">
        <f>IFERROR(__xludf.DUMMYFUNCTION("""COMPUTED_VALUE"""),"yieldification")</f>
        <v>yieldification</v>
      </c>
      <c r="B13031" s="3" t="str">
        <f>IFERROR(__xludf.DUMMYFUNCTION("""COMPUTED_VALUE"""),"ydf")</f>
        <v>ydf</v>
      </c>
      <c r="C13031" s="3" t="str">
        <f>IFERROR(__xludf.DUMMYFUNCTION("""COMPUTED_VALUE"""),"Yieldification")</f>
        <v>Yieldification</v>
      </c>
    </row>
    <row r="13032">
      <c r="A13032" s="3" t="str">
        <f>IFERROR(__xludf.DUMMYFUNCTION("""COMPUTED_VALUE"""),"yieldlock")</f>
        <v>yieldlock</v>
      </c>
      <c r="B13032" s="3" t="str">
        <f>IFERROR(__xludf.DUMMYFUNCTION("""COMPUTED_VALUE"""),"ylf")</f>
        <v>ylf</v>
      </c>
      <c r="C13032" s="3" t="str">
        <f>IFERROR(__xludf.DUMMYFUNCTION("""COMPUTED_VALUE"""),"YieldLock")</f>
        <v>YieldLock</v>
      </c>
    </row>
    <row r="13033">
      <c r="A13033" s="3" t="str">
        <f>IFERROR(__xludf.DUMMYFUNCTION("""COMPUTED_VALUE"""),"yieldly")</f>
        <v>yieldly</v>
      </c>
      <c r="B13033" s="3" t="str">
        <f>IFERROR(__xludf.DUMMYFUNCTION("""COMPUTED_VALUE"""),"yldy")</f>
        <v>yldy</v>
      </c>
      <c r="C13033" s="3" t="str">
        <f>IFERROR(__xludf.DUMMYFUNCTION("""COMPUTED_VALUE"""),"Yieldly")</f>
        <v>Yieldly</v>
      </c>
    </row>
    <row r="13034">
      <c r="A13034" s="3" t="str">
        <f>IFERROR(__xludf.DUMMYFUNCTION("""COMPUTED_VALUE"""),"yield-optimization-platform")</f>
        <v>yield-optimization-platform</v>
      </c>
      <c r="B13034" s="3" t="str">
        <f>IFERROR(__xludf.DUMMYFUNCTION("""COMPUTED_VALUE"""),"yop")</f>
        <v>yop</v>
      </c>
      <c r="C13034" s="3" t="str">
        <f>IFERROR(__xludf.DUMMYFUNCTION("""COMPUTED_VALUE"""),"Yield Optimization Platform &amp; Protocol")</f>
        <v>Yield Optimization Platform &amp; Protocol</v>
      </c>
    </row>
    <row r="13035">
      <c r="A13035" s="3" t="str">
        <f>IFERROR(__xludf.DUMMYFUNCTION("""COMPUTED_VALUE"""),"yield-parrot")</f>
        <v>yield-parrot</v>
      </c>
      <c r="B13035" s="3" t="str">
        <f>IFERROR(__xludf.DUMMYFUNCTION("""COMPUTED_VALUE"""),"lory")</f>
        <v>lory</v>
      </c>
      <c r="C13035" s="3" t="str">
        <f>IFERROR(__xludf.DUMMYFUNCTION("""COMPUTED_VALUE"""),"Yield Parrot")</f>
        <v>Yield Parrot</v>
      </c>
    </row>
    <row r="13036">
      <c r="A13036" s="3" t="str">
        <f>IFERROR(__xludf.DUMMYFUNCTION("""COMPUTED_VALUE"""),"yield-protocol")</f>
        <v>yield-protocol</v>
      </c>
      <c r="B13036" s="3" t="str">
        <f>IFERROR(__xludf.DUMMYFUNCTION("""COMPUTED_VALUE"""),"yield")</f>
        <v>yield</v>
      </c>
      <c r="C13036" s="3" t="str">
        <f>IFERROR(__xludf.DUMMYFUNCTION("""COMPUTED_VALUE"""),"Yield Protocol")</f>
        <v>Yield Protocol</v>
      </c>
    </row>
    <row r="13037">
      <c r="A13037" s="3" t="str">
        <f>IFERROR(__xludf.DUMMYFUNCTION("""COMPUTED_VALUE"""),"yieldwars-com")</f>
        <v>yieldwars-com</v>
      </c>
      <c r="B13037" s="3" t="str">
        <f>IFERROR(__xludf.DUMMYFUNCTION("""COMPUTED_VALUE"""),"war")</f>
        <v>war</v>
      </c>
      <c r="C13037" s="3" t="str">
        <f>IFERROR(__xludf.DUMMYFUNCTION("""COMPUTED_VALUE"""),"YieldWars")</f>
        <v>YieldWars</v>
      </c>
    </row>
    <row r="13038">
      <c r="A13038" s="3" t="str">
        <f>IFERROR(__xludf.DUMMYFUNCTION("""COMPUTED_VALUE"""),"yieldwatch")</f>
        <v>yieldwatch</v>
      </c>
      <c r="B13038" s="3" t="str">
        <f>IFERROR(__xludf.DUMMYFUNCTION("""COMPUTED_VALUE"""),"watch")</f>
        <v>watch</v>
      </c>
      <c r="C13038" s="3" t="str">
        <f>IFERROR(__xludf.DUMMYFUNCTION("""COMPUTED_VALUE"""),"Yieldwatch")</f>
        <v>Yieldwatch</v>
      </c>
    </row>
    <row r="13039">
      <c r="A13039" s="3" t="str">
        <f>IFERROR(__xludf.DUMMYFUNCTION("""COMPUTED_VALUE"""),"yield-yak")</f>
        <v>yield-yak</v>
      </c>
      <c r="B13039" s="3" t="str">
        <f>IFERROR(__xludf.DUMMYFUNCTION("""COMPUTED_VALUE"""),"yak")</f>
        <v>yak</v>
      </c>
      <c r="C13039" s="3" t="str">
        <f>IFERROR(__xludf.DUMMYFUNCTION("""COMPUTED_VALUE"""),"Yield Yak")</f>
        <v>Yield Yak</v>
      </c>
    </row>
    <row r="13040">
      <c r="A13040" s="3" t="str">
        <f>IFERROR(__xludf.DUMMYFUNCTION("""COMPUTED_VALUE"""),"yield-yak-avax")</f>
        <v>yield-yak-avax</v>
      </c>
      <c r="B13040" s="3" t="str">
        <f>IFERROR(__xludf.DUMMYFUNCTION("""COMPUTED_VALUE"""),"yyavax")</f>
        <v>yyavax</v>
      </c>
      <c r="C13040" s="3" t="str">
        <f>IFERROR(__xludf.DUMMYFUNCTION("""COMPUTED_VALUE"""),"Yield Yak AVAX")</f>
        <v>Yield Yak AVAX</v>
      </c>
    </row>
    <row r="13041">
      <c r="A13041" s="3" t="str">
        <f>IFERROR(__xludf.DUMMYFUNCTION("""COMPUTED_VALUE"""),"yield-yld")</f>
        <v>yield-yld</v>
      </c>
      <c r="B13041" s="3" t="str">
        <f>IFERROR(__xludf.DUMMYFUNCTION("""COMPUTED_VALUE"""),"yld")</f>
        <v>yld</v>
      </c>
      <c r="C13041" s="3" t="str">
        <f>IFERROR(__xludf.DUMMYFUNCTION("""COMPUTED_VALUE"""),"Yield YLD")</f>
        <v>Yield YLD</v>
      </c>
    </row>
    <row r="13042">
      <c r="A13042" s="3" t="str">
        <f>IFERROR(__xludf.DUMMYFUNCTION("""COMPUTED_VALUE"""),"yin-finance")</f>
        <v>yin-finance</v>
      </c>
      <c r="B13042" s="3" t="str">
        <f>IFERROR(__xludf.DUMMYFUNCTION("""COMPUTED_VALUE"""),"yin")</f>
        <v>yin</v>
      </c>
      <c r="C13042" s="3" t="str">
        <f>IFERROR(__xludf.DUMMYFUNCTION("""COMPUTED_VALUE"""),"YIN Finance")</f>
        <v>YIN Finance</v>
      </c>
    </row>
    <row r="13043">
      <c r="A13043" s="3" t="str">
        <f>IFERROR(__xludf.DUMMYFUNCTION("""COMPUTED_VALUE"""),"yinyang")</f>
        <v>yinyang</v>
      </c>
      <c r="B13043" s="3" t="str">
        <f>IFERROR(__xludf.DUMMYFUNCTION("""COMPUTED_VALUE"""),"yy")</f>
        <v>yy</v>
      </c>
      <c r="C13043" s="3" t="str">
        <f>IFERROR(__xludf.DUMMYFUNCTION("""COMPUTED_VALUE"""),"YinYang")</f>
        <v>YinYang</v>
      </c>
    </row>
    <row r="13044">
      <c r="A13044" s="3" t="str">
        <f>IFERROR(__xludf.DUMMYFUNCTION("""COMPUTED_VALUE"""),"ymplepay")</f>
        <v>ymplepay</v>
      </c>
      <c r="B13044" s="3" t="str">
        <f>IFERROR(__xludf.DUMMYFUNCTION("""COMPUTED_VALUE"""),"ympa")</f>
        <v>ympa</v>
      </c>
      <c r="C13044" s="3" t="str">
        <f>IFERROR(__xludf.DUMMYFUNCTION("""COMPUTED_VALUE"""),"YmplePay")</f>
        <v>YmplePay</v>
      </c>
    </row>
    <row r="13045">
      <c r="A13045" s="3" t="str">
        <f>IFERROR(__xludf.DUMMYFUNCTION("""COMPUTED_VALUE"""),"yobit-token")</f>
        <v>yobit-token</v>
      </c>
      <c r="B13045" s="3" t="str">
        <f>IFERROR(__xludf.DUMMYFUNCTION("""COMPUTED_VALUE"""),"yo")</f>
        <v>yo</v>
      </c>
      <c r="C13045" s="3" t="str">
        <f>IFERROR(__xludf.DUMMYFUNCTION("""COMPUTED_VALUE"""),"Yobit")</f>
        <v>Yobit</v>
      </c>
    </row>
    <row r="13046">
      <c r="A13046" s="3" t="str">
        <f>IFERROR(__xludf.DUMMYFUNCTION("""COMPUTED_VALUE"""),"yocoin")</f>
        <v>yocoin</v>
      </c>
      <c r="B13046" s="3" t="str">
        <f>IFERROR(__xludf.DUMMYFUNCTION("""COMPUTED_VALUE"""),"yoc")</f>
        <v>yoc</v>
      </c>
      <c r="C13046" s="3" t="str">
        <f>IFERROR(__xludf.DUMMYFUNCTION("""COMPUTED_VALUE"""),"Yocoin")</f>
        <v>Yocoin</v>
      </c>
    </row>
    <row r="13047">
      <c r="A13047" s="3" t="str">
        <f>IFERROR(__xludf.DUMMYFUNCTION("""COMPUTED_VALUE"""),"yocoinyoco")</f>
        <v>yocoinyoco</v>
      </c>
      <c r="B13047" s="3" t="str">
        <f>IFERROR(__xludf.DUMMYFUNCTION("""COMPUTED_VALUE"""),"yoco")</f>
        <v>yoco</v>
      </c>
      <c r="C13047" s="3" t="str">
        <f>IFERROR(__xludf.DUMMYFUNCTION("""COMPUTED_VALUE"""),"YocoinYOCO")</f>
        <v>YocoinYOCO</v>
      </c>
    </row>
    <row r="13048">
      <c r="A13048" s="3" t="str">
        <f>IFERROR(__xludf.DUMMYFUNCTION("""COMPUTED_VALUE"""),"yoda-coin-swap")</f>
        <v>yoda-coin-swap</v>
      </c>
      <c r="B13048" s="3" t="str">
        <f>IFERROR(__xludf.DUMMYFUNCTION("""COMPUTED_VALUE"""),"jedals")</f>
        <v>jedals</v>
      </c>
      <c r="C13048" s="3" t="str">
        <f>IFERROR(__xludf.DUMMYFUNCTION("""COMPUTED_VALUE"""),"Yoda Coin Swap")</f>
        <v>Yoda Coin Swap</v>
      </c>
    </row>
    <row r="13049">
      <c r="A13049" s="3" t="str">
        <f>IFERROR(__xludf.DUMMYFUNCTION("""COMPUTED_VALUE"""),"yodeswap")</f>
        <v>yodeswap</v>
      </c>
      <c r="B13049" s="3" t="str">
        <f>IFERROR(__xludf.DUMMYFUNCTION("""COMPUTED_VALUE"""),"yode")</f>
        <v>yode</v>
      </c>
      <c r="C13049" s="3" t="str">
        <f>IFERROR(__xludf.DUMMYFUNCTION("""COMPUTED_VALUE"""),"YodeSwap")</f>
        <v>YodeSwap</v>
      </c>
    </row>
    <row r="13050">
      <c r="A13050" s="3" t="str">
        <f>IFERROR(__xludf.DUMMYFUNCTION("""COMPUTED_VALUE"""),"yofune-nushi")</f>
        <v>yofune-nushi</v>
      </c>
      <c r="B13050" s="3" t="str">
        <f>IFERROR(__xludf.DUMMYFUNCTION("""COMPUTED_VALUE"""),"koyo")</f>
        <v>koyo</v>
      </c>
      <c r="C13050" s="3" t="str">
        <f>IFERROR(__xludf.DUMMYFUNCTION("""COMPUTED_VALUE"""),"Yofune Nushi")</f>
        <v>Yofune Nushi</v>
      </c>
    </row>
    <row r="13051">
      <c r="A13051" s="3" t="str">
        <f>IFERROR(__xludf.DUMMYFUNCTION("""COMPUTED_VALUE"""),"yogo")</f>
        <v>yogo</v>
      </c>
      <c r="B13051" s="3" t="str">
        <f>IFERROR(__xludf.DUMMYFUNCTION("""COMPUTED_VALUE"""),"yogo")</f>
        <v>yogo</v>
      </c>
      <c r="C13051" s="3" t="str">
        <f>IFERROR(__xludf.DUMMYFUNCTION("""COMPUTED_VALUE"""),"Yogo")</f>
        <v>Yogo</v>
      </c>
    </row>
    <row r="13052">
      <c r="A13052" s="3" t="str">
        <f>IFERROR(__xludf.DUMMYFUNCTION("""COMPUTED_VALUE"""),"yohero")</f>
        <v>yohero</v>
      </c>
      <c r="B13052" s="3" t="str">
        <f>IFERROR(__xludf.DUMMYFUNCTION("""COMPUTED_VALUE"""),"yo")</f>
        <v>yo</v>
      </c>
      <c r="C13052" s="3" t="str">
        <f>IFERROR(__xludf.DUMMYFUNCTION("""COMPUTED_VALUE"""),"YoHero")</f>
        <v>YoHero</v>
      </c>
    </row>
    <row r="13053">
      <c r="A13053" s="3" t="str">
        <f>IFERROR(__xludf.DUMMYFUNCTION("""COMPUTED_VALUE"""),"yohero-yhc")</f>
        <v>yohero-yhc</v>
      </c>
      <c r="B13053" s="3" t="str">
        <f>IFERROR(__xludf.DUMMYFUNCTION("""COMPUTED_VALUE"""),"yhc")</f>
        <v>yhc</v>
      </c>
      <c r="C13053" s="3" t="str">
        <f>IFERROR(__xludf.DUMMYFUNCTION("""COMPUTED_VALUE"""),"YoHero (YHC)")</f>
        <v>YoHero (YHC)</v>
      </c>
    </row>
    <row r="13054">
      <c r="A13054" s="3" t="str">
        <f>IFERROR(__xludf.DUMMYFUNCTION("""COMPUTED_VALUE"""),"yokaiswap")</f>
        <v>yokaiswap</v>
      </c>
      <c r="B13054" s="3" t="str">
        <f>IFERROR(__xludf.DUMMYFUNCTION("""COMPUTED_VALUE"""),"yok")</f>
        <v>yok</v>
      </c>
      <c r="C13054" s="3" t="str">
        <f>IFERROR(__xludf.DUMMYFUNCTION("""COMPUTED_VALUE"""),"YokaiSwap")</f>
        <v>YokaiSwap</v>
      </c>
    </row>
    <row r="13055">
      <c r="A13055" s="3" t="str">
        <f>IFERROR(__xludf.DUMMYFUNCTION("""COMPUTED_VALUE"""),"yokcoin")</f>
        <v>yokcoin</v>
      </c>
      <c r="B13055" s="3" t="str">
        <f>IFERROR(__xludf.DUMMYFUNCTION("""COMPUTED_VALUE"""),"yok")</f>
        <v>yok</v>
      </c>
      <c r="C13055" s="3" t="str">
        <f>IFERROR(__xludf.DUMMYFUNCTION("""COMPUTED_VALUE"""),"YOKcoin")</f>
        <v>YOKcoin</v>
      </c>
    </row>
    <row r="13056">
      <c r="A13056" s="3" t="str">
        <f>IFERROR(__xludf.DUMMYFUNCTION("""COMPUTED_VALUE"""),"yokozuna-finance")</f>
        <v>yokozuna-finance</v>
      </c>
      <c r="B13056" s="3" t="str">
        <f>IFERROR(__xludf.DUMMYFUNCTION("""COMPUTED_VALUE"""),"zuna")</f>
        <v>zuna</v>
      </c>
      <c r="C13056" s="3" t="str">
        <f>IFERROR(__xludf.DUMMYFUNCTION("""COMPUTED_VALUE"""),"Yokozuna Finance")</f>
        <v>Yokozuna Finance</v>
      </c>
    </row>
    <row r="13057">
      <c r="A13057" s="3" t="str">
        <f>IFERROR(__xludf.DUMMYFUNCTION("""COMPUTED_VALUE"""),"yolo-cash")</f>
        <v>yolo-cash</v>
      </c>
      <c r="B13057" s="3" t="str">
        <f>IFERROR(__xludf.DUMMYFUNCTION("""COMPUTED_VALUE"""),"ylc")</f>
        <v>ylc</v>
      </c>
      <c r="C13057" s="3" t="str">
        <f>IFERROR(__xludf.DUMMYFUNCTION("""COMPUTED_VALUE"""),"YOLOCash")</f>
        <v>YOLOCash</v>
      </c>
    </row>
    <row r="13058">
      <c r="A13058" s="3" t="str">
        <f>IFERROR(__xludf.DUMMYFUNCTION("""COMPUTED_VALUE"""),"yooshi")</f>
        <v>yooshi</v>
      </c>
      <c r="B13058" s="3" t="str">
        <f>IFERROR(__xludf.DUMMYFUNCTION("""COMPUTED_VALUE"""),"yooshi")</f>
        <v>yooshi</v>
      </c>
      <c r="C13058" s="3" t="str">
        <f>IFERROR(__xludf.DUMMYFUNCTION("""COMPUTED_VALUE"""),"YooShi")</f>
        <v>YooShi</v>
      </c>
    </row>
    <row r="13059">
      <c r="A13059" s="3" t="str">
        <f>IFERROR(__xludf.DUMMYFUNCTION("""COMPUTED_VALUE"""),"yooshiba-inu")</f>
        <v>yooshiba-inu</v>
      </c>
      <c r="B13059" s="3" t="str">
        <f>IFERROR(__xludf.DUMMYFUNCTION("""COMPUTED_VALUE"""),"yshibainu")</f>
        <v>yshibainu</v>
      </c>
      <c r="C13059" s="3" t="str">
        <f>IFERROR(__xludf.DUMMYFUNCTION("""COMPUTED_VALUE"""),"Yooshiba Inu")</f>
        <v>Yooshiba Inu</v>
      </c>
    </row>
    <row r="13060">
      <c r="A13060" s="3" t="str">
        <f>IFERROR(__xludf.DUMMYFUNCTION("""COMPUTED_VALUE"""),"yoplex")</f>
        <v>yoplex</v>
      </c>
      <c r="B13060" s="3" t="str">
        <f>IFERROR(__xludf.DUMMYFUNCTION("""COMPUTED_VALUE"""),"yplx")</f>
        <v>yplx</v>
      </c>
      <c r="C13060" s="3" t="str">
        <f>IFERROR(__xludf.DUMMYFUNCTION("""COMPUTED_VALUE"""),"Yoplex")</f>
        <v>Yoplex</v>
      </c>
    </row>
    <row r="13061">
      <c r="A13061" s="3" t="str">
        <f>IFERROR(__xludf.DUMMYFUNCTION("""COMPUTED_VALUE"""),"yoshi-exchange")</f>
        <v>yoshi-exchange</v>
      </c>
      <c r="B13061" s="3" t="str">
        <f>IFERROR(__xludf.DUMMYFUNCTION("""COMPUTED_VALUE"""),"yoshi")</f>
        <v>yoshi</v>
      </c>
      <c r="C13061" s="3" t="str">
        <f>IFERROR(__xludf.DUMMYFUNCTION("""COMPUTED_VALUE"""),"Yoshi.exchange")</f>
        <v>Yoshi.exchange</v>
      </c>
    </row>
    <row r="13062">
      <c r="A13062" s="3" t="str">
        <f>IFERROR(__xludf.DUMMYFUNCTION("""COMPUTED_VALUE"""),"youbie")</f>
        <v>youbie</v>
      </c>
      <c r="B13062" s="3" t="str">
        <f>IFERROR(__xludf.DUMMYFUNCTION("""COMPUTED_VALUE"""),"$youb")</f>
        <v>$youb</v>
      </c>
      <c r="C13062" s="3" t="str">
        <f>IFERROR(__xludf.DUMMYFUNCTION("""COMPUTED_VALUE"""),"Youbie")</f>
        <v>Youbie</v>
      </c>
    </row>
    <row r="13063">
      <c r="A13063" s="3" t="str">
        <f>IFERROR(__xludf.DUMMYFUNCTION("""COMPUTED_VALUE"""),"youcash")</f>
        <v>youcash</v>
      </c>
      <c r="B13063" s="3" t="str">
        <f>IFERROR(__xludf.DUMMYFUNCTION("""COMPUTED_VALUE"""),"youc")</f>
        <v>youc</v>
      </c>
      <c r="C13063" s="3" t="str">
        <f>IFERROR(__xludf.DUMMYFUNCTION("""COMPUTED_VALUE"""),"YOUcash")</f>
        <v>YOUcash</v>
      </c>
    </row>
    <row r="13064">
      <c r="A13064" s="3" t="str">
        <f>IFERROR(__xludf.DUMMYFUNCTION("""COMPUTED_VALUE"""),"you-chain")</f>
        <v>you-chain</v>
      </c>
      <c r="B13064" s="3" t="str">
        <f>IFERROR(__xludf.DUMMYFUNCTION("""COMPUTED_VALUE"""),"you")</f>
        <v>you</v>
      </c>
      <c r="C13064" s="3" t="str">
        <f>IFERROR(__xludf.DUMMYFUNCTION("""COMPUTED_VALUE"""),"YOU Chain")</f>
        <v>YOU Chain</v>
      </c>
    </row>
    <row r="13065">
      <c r="A13065" s="3" t="str">
        <f>IFERROR(__xludf.DUMMYFUNCTION("""COMPUTED_VALUE"""),"youclout")</f>
        <v>youclout</v>
      </c>
      <c r="B13065" s="3" t="str">
        <f>IFERROR(__xludf.DUMMYFUNCTION("""COMPUTED_VALUE"""),"yct")</f>
        <v>yct</v>
      </c>
      <c r="C13065" s="3" t="str">
        <f>IFERROR(__xludf.DUMMYFUNCTION("""COMPUTED_VALUE"""),"Youclout")</f>
        <v>Youclout</v>
      </c>
    </row>
    <row r="13066">
      <c r="A13066" s="3" t="str">
        <f>IFERROR(__xludf.DUMMYFUNCTION("""COMPUTED_VALUE"""),"youcoin-metaverse")</f>
        <v>youcoin-metaverse</v>
      </c>
      <c r="B13066" s="3" t="str">
        <f>IFERROR(__xludf.DUMMYFUNCTION("""COMPUTED_VALUE"""),"ucon")</f>
        <v>ucon</v>
      </c>
      <c r="C13066" s="3" t="str">
        <f>IFERROR(__xludf.DUMMYFUNCTION("""COMPUTED_VALUE"""),"YouCoin Metaverse")</f>
        <v>YouCoin Metaverse</v>
      </c>
    </row>
    <row r="13067">
      <c r="A13067" s="3" t="str">
        <f>IFERROR(__xludf.DUMMYFUNCTION("""COMPUTED_VALUE"""),"youlive-coin")</f>
        <v>youlive-coin</v>
      </c>
      <c r="B13067" s="3" t="str">
        <f>IFERROR(__xludf.DUMMYFUNCTION("""COMPUTED_VALUE"""),"uc")</f>
        <v>uc</v>
      </c>
      <c r="C13067" s="3" t="str">
        <f>IFERROR(__xludf.DUMMYFUNCTION("""COMPUTED_VALUE"""),"YouLive Coin")</f>
        <v>YouLive Coin</v>
      </c>
    </row>
    <row r="13068">
      <c r="A13068" s="3" t="str">
        <f>IFERROR(__xludf.DUMMYFUNCTION("""COMPUTED_VALUE"""),"youliveeveryday")</f>
        <v>youliveeveryday</v>
      </c>
      <c r="B13068" s="3" t="str">
        <f>IFERROR(__xludf.DUMMYFUNCTION("""COMPUTED_VALUE"""),"ule")</f>
        <v>ule</v>
      </c>
      <c r="C13068" s="3" t="str">
        <f>IFERROR(__xludf.DUMMYFUNCTION("""COMPUTED_VALUE"""),"YouLiveEveryday")</f>
        <v>YouLiveEveryday</v>
      </c>
    </row>
    <row r="13069">
      <c r="A13069" s="3" t="str">
        <f>IFERROR(__xludf.DUMMYFUNCTION("""COMPUTED_VALUE"""),"youminter")</f>
        <v>youminter</v>
      </c>
      <c r="B13069" s="3" t="str">
        <f>IFERROR(__xludf.DUMMYFUNCTION("""COMPUTED_VALUE"""),"umint")</f>
        <v>umint</v>
      </c>
      <c r="C13069" s="3" t="str">
        <f>IFERROR(__xludf.DUMMYFUNCTION("""COMPUTED_VALUE"""),"YouMinter")</f>
        <v>YouMinter</v>
      </c>
    </row>
    <row r="13070">
      <c r="A13070" s="3" t="str">
        <f>IFERROR(__xludf.DUMMYFUNCTION("""COMPUTED_VALUE"""),"young")</f>
        <v>young</v>
      </c>
      <c r="B13070" s="3" t="str">
        <f>IFERROR(__xludf.DUMMYFUNCTION("""COMPUTED_VALUE"""),"yng")</f>
        <v>yng</v>
      </c>
      <c r="C13070" s="3" t="str">
        <f>IFERROR(__xludf.DUMMYFUNCTION("""COMPUTED_VALUE"""),"Young")</f>
        <v>Young</v>
      </c>
    </row>
    <row r="13071">
      <c r="A13071" s="3" t="str">
        <f>IFERROR(__xludf.DUMMYFUNCTION("""COMPUTED_VALUE"""),"young-boys-fan-token")</f>
        <v>young-boys-fan-token</v>
      </c>
      <c r="B13071" s="3" t="str">
        <f>IFERROR(__xludf.DUMMYFUNCTION("""COMPUTED_VALUE"""),"ybo")</f>
        <v>ybo</v>
      </c>
      <c r="C13071" s="3" t="str">
        <f>IFERROR(__xludf.DUMMYFUNCTION("""COMPUTED_VALUE"""),"Young Boys Fan Token")</f>
        <v>Young Boys Fan Token</v>
      </c>
    </row>
    <row r="13072">
      <c r="A13072" s="3" t="str">
        <f>IFERROR(__xludf.DUMMYFUNCTION("""COMPUTED_VALUE"""),"youngparrot")</f>
        <v>youngparrot</v>
      </c>
      <c r="B13072" s="3" t="str">
        <f>IFERROR(__xludf.DUMMYFUNCTION("""COMPUTED_VALUE"""),"ypc")</f>
        <v>ypc</v>
      </c>
      <c r="C13072" s="3" t="str">
        <f>IFERROR(__xludf.DUMMYFUNCTION("""COMPUTED_VALUE"""),"YoungParrot")</f>
        <v>YoungParrot</v>
      </c>
    </row>
    <row r="13073">
      <c r="A13073" s="3" t="str">
        <f>IFERROR(__xludf.DUMMYFUNCTION("""COMPUTED_VALUE"""),"yourkiss")</f>
        <v>yourkiss</v>
      </c>
      <c r="B13073" s="3" t="str">
        <f>IFERROR(__xludf.DUMMYFUNCTION("""COMPUTED_VALUE"""),"yks")</f>
        <v>yks</v>
      </c>
      <c r="C13073" s="3" t="str">
        <f>IFERROR(__xludf.DUMMYFUNCTION("""COMPUTED_VALUE"""),"YourKiss")</f>
        <v>YourKiss</v>
      </c>
    </row>
    <row r="13074">
      <c r="A13074" s="3" t="str">
        <f>IFERROR(__xludf.DUMMYFUNCTION("""COMPUTED_VALUE"""),"youswap")</f>
        <v>youswap</v>
      </c>
      <c r="B13074" s="3" t="str">
        <f>IFERROR(__xludf.DUMMYFUNCTION("""COMPUTED_VALUE"""),"you")</f>
        <v>you</v>
      </c>
      <c r="C13074" s="3" t="str">
        <f>IFERROR(__xludf.DUMMYFUNCTION("""COMPUTED_VALUE"""),"YouSwap")</f>
        <v>YouSwap</v>
      </c>
    </row>
    <row r="13075">
      <c r="A13075" s="3" t="str">
        <f>IFERROR(__xludf.DUMMYFUNCTION("""COMPUTED_VALUE"""),"youves-uusd")</f>
        <v>youves-uusd</v>
      </c>
      <c r="B13075" s="3" t="str">
        <f>IFERROR(__xludf.DUMMYFUNCTION("""COMPUTED_VALUE"""),"uusd")</f>
        <v>uusd</v>
      </c>
      <c r="C13075" s="3" t="str">
        <f>IFERROR(__xludf.DUMMYFUNCTION("""COMPUTED_VALUE"""),"Youves uUSD")</f>
        <v>Youves uUSD</v>
      </c>
    </row>
    <row r="13076">
      <c r="A13076" s="3" t="str">
        <f>IFERROR(__xludf.DUMMYFUNCTION("""COMPUTED_VALUE"""),"youves-you-governance")</f>
        <v>youves-you-governance</v>
      </c>
      <c r="B13076" s="3" t="str">
        <f>IFERROR(__xludf.DUMMYFUNCTION("""COMPUTED_VALUE"""),"you")</f>
        <v>you</v>
      </c>
      <c r="C13076" s="3" t="str">
        <f>IFERROR(__xludf.DUMMYFUNCTION("""COMPUTED_VALUE"""),"Youves YOU Governance")</f>
        <v>Youves YOU Governance</v>
      </c>
    </row>
    <row r="13077">
      <c r="A13077" s="3" t="str">
        <f>IFERROR(__xludf.DUMMYFUNCTION("""COMPUTED_VALUE"""),"youwho")</f>
        <v>youwho</v>
      </c>
      <c r="B13077" s="3" t="str">
        <f>IFERROR(__xludf.DUMMYFUNCTION("""COMPUTED_VALUE"""),"you")</f>
        <v>you</v>
      </c>
      <c r="C13077" s="3" t="str">
        <f>IFERROR(__xludf.DUMMYFUNCTION("""COMPUTED_VALUE"""),"Youwho")</f>
        <v>Youwho</v>
      </c>
    </row>
    <row r="13078">
      <c r="A13078" s="3" t="str">
        <f>IFERROR(__xludf.DUMMYFUNCTION("""COMPUTED_VALUE"""),"yoyow")</f>
        <v>yoyow</v>
      </c>
      <c r="B13078" s="3" t="str">
        <f>IFERROR(__xludf.DUMMYFUNCTION("""COMPUTED_VALUE"""),"yoyow")</f>
        <v>yoyow</v>
      </c>
      <c r="C13078" s="3" t="str">
        <f>IFERROR(__xludf.DUMMYFUNCTION("""COMPUTED_VALUE"""),"YOYOW")</f>
        <v>YOYOW</v>
      </c>
    </row>
    <row r="13079">
      <c r="A13079" s="3" t="str">
        <f>IFERROR(__xludf.DUMMYFUNCTION("""COMPUTED_VALUE"""),"yrise-finance")</f>
        <v>yrise-finance</v>
      </c>
      <c r="B13079" s="3" t="str">
        <f>IFERROR(__xludf.DUMMYFUNCTION("""COMPUTED_VALUE"""),"yrise")</f>
        <v>yrise</v>
      </c>
      <c r="C13079" s="3" t="str">
        <f>IFERROR(__xludf.DUMMYFUNCTION("""COMPUTED_VALUE"""),"yRise Finance")</f>
        <v>yRise Finance</v>
      </c>
    </row>
    <row r="13080">
      <c r="A13080" s="3" t="str">
        <f>IFERROR(__xludf.DUMMYFUNCTION("""COMPUTED_VALUE"""),"ysl")</f>
        <v>ysl</v>
      </c>
      <c r="B13080" s="3" t="str">
        <f>IFERROR(__xludf.DUMMYFUNCTION("""COMPUTED_VALUE"""),"ysl")</f>
        <v>ysl</v>
      </c>
      <c r="C13080" s="3" t="str">
        <f>IFERROR(__xludf.DUMMYFUNCTION("""COMPUTED_VALUE"""),"YSL")</f>
        <v>YSL</v>
      </c>
    </row>
    <row r="13081">
      <c r="A13081" s="3" t="str">
        <f>IFERROR(__xludf.DUMMYFUNCTION("""COMPUTED_VALUE"""),"ysoy-chain")</f>
        <v>ysoy-chain</v>
      </c>
      <c r="B13081" s="3" t="str">
        <f>IFERROR(__xludf.DUMMYFUNCTION("""COMPUTED_VALUE"""),"ysoy")</f>
        <v>ysoy</v>
      </c>
      <c r="C13081" s="3" t="str">
        <f>IFERROR(__xludf.DUMMYFUNCTION("""COMPUTED_VALUE"""),"YSOY Chain")</f>
        <v>YSOY Chain</v>
      </c>
    </row>
    <row r="13082">
      <c r="A13082" s="3" t="str">
        <f>IFERROR(__xludf.DUMMYFUNCTION("""COMPUTED_VALUE"""),"ystar")</f>
        <v>ystar</v>
      </c>
      <c r="B13082" s="3" t="str">
        <f>IFERROR(__xludf.DUMMYFUNCTION("""COMPUTED_VALUE"""),"ysr")</f>
        <v>ysr</v>
      </c>
      <c r="C13082" s="3" t="str">
        <f>IFERROR(__xludf.DUMMYFUNCTION("""COMPUTED_VALUE"""),"Ystar")</f>
        <v>Ystar</v>
      </c>
    </row>
    <row r="13083">
      <c r="A13083" s="3" t="str">
        <f>IFERROR(__xludf.DUMMYFUNCTION("""COMPUTED_VALUE"""),"ytofu")</f>
        <v>ytofu</v>
      </c>
      <c r="B13083" s="3" t="str">
        <f>IFERROR(__xludf.DUMMYFUNCTION("""COMPUTED_VALUE"""),"ytofu")</f>
        <v>ytofu</v>
      </c>
      <c r="C13083" s="3" t="str">
        <f>IFERROR(__xludf.DUMMYFUNCTION("""COMPUTED_VALUE"""),"yTOFU")</f>
        <v>yTOFU</v>
      </c>
    </row>
    <row r="13084">
      <c r="A13084" s="3" t="str">
        <f>IFERROR(__xludf.DUMMYFUNCTION("""COMPUTED_VALUE"""),"ytv-coin")</f>
        <v>ytv-coin</v>
      </c>
      <c r="B13084" s="3" t="str">
        <f>IFERROR(__xludf.DUMMYFUNCTION("""COMPUTED_VALUE"""),"ytv")</f>
        <v>ytv</v>
      </c>
      <c r="C13084" s="3" t="str">
        <f>IFERROR(__xludf.DUMMYFUNCTION("""COMPUTED_VALUE"""),"YTV Coin")</f>
        <v>YTV Coin</v>
      </c>
    </row>
    <row r="13085">
      <c r="A13085" s="3" t="str">
        <f>IFERROR(__xludf.DUMMYFUNCTION("""COMPUTED_VALUE"""),"yuan-chain-coin")</f>
        <v>yuan-chain-coin</v>
      </c>
      <c r="B13085" s="3" t="str">
        <f>IFERROR(__xludf.DUMMYFUNCTION("""COMPUTED_VALUE"""),"ycc")</f>
        <v>ycc</v>
      </c>
      <c r="C13085" s="3" t="str">
        <f>IFERROR(__xludf.DUMMYFUNCTION("""COMPUTED_VALUE"""),"Yuan Chain Coin")</f>
        <v>Yuan Chain Coin</v>
      </c>
    </row>
    <row r="13086">
      <c r="A13086" s="3" t="str">
        <f>IFERROR(__xludf.DUMMYFUNCTION("""COMPUTED_VALUE"""),"yu-coin")</f>
        <v>yu-coin</v>
      </c>
      <c r="B13086" s="3" t="str">
        <f>IFERROR(__xludf.DUMMYFUNCTION("""COMPUTED_VALUE"""),"yucj")</f>
        <v>yucj</v>
      </c>
      <c r="C13086" s="3" t="str">
        <f>IFERROR(__xludf.DUMMYFUNCTION("""COMPUTED_VALUE"""),"Yu Coin [OLD]")</f>
        <v>Yu Coin [OLD]</v>
      </c>
    </row>
    <row r="13087">
      <c r="A13087" s="3" t="str">
        <f>IFERROR(__xludf.DUMMYFUNCTION("""COMPUTED_VALUE"""),"yu-coin-2")</f>
        <v>yu-coin-2</v>
      </c>
      <c r="B13087" s="3" t="str">
        <f>IFERROR(__xludf.DUMMYFUNCTION("""COMPUTED_VALUE"""),"yucj")</f>
        <v>yucj</v>
      </c>
      <c r="C13087" s="3" t="str">
        <f>IFERROR(__xludf.DUMMYFUNCTION("""COMPUTED_VALUE"""),"Yu Coin")</f>
        <v>Yu Coin</v>
      </c>
    </row>
    <row r="13088">
      <c r="A13088" s="3" t="str">
        <f>IFERROR(__xludf.DUMMYFUNCTION("""COMPUTED_VALUE"""),"yugi")</f>
        <v>yugi</v>
      </c>
      <c r="B13088" s="3" t="str">
        <f>IFERROR(__xludf.DUMMYFUNCTION("""COMPUTED_VALUE"""),"yugi")</f>
        <v>yugi</v>
      </c>
      <c r="C13088" s="3" t="str">
        <f>IFERROR(__xludf.DUMMYFUNCTION("""COMPUTED_VALUE"""),"Yugi")</f>
        <v>Yugi</v>
      </c>
    </row>
    <row r="13089">
      <c r="A13089" s="3" t="str">
        <f>IFERROR(__xludf.DUMMYFUNCTION("""COMPUTED_VALUE"""),"yummy")</f>
        <v>yummy</v>
      </c>
      <c r="B13089" s="3" t="str">
        <f>IFERROR(__xludf.DUMMYFUNCTION("""COMPUTED_VALUE"""),"yummy")</f>
        <v>yummy</v>
      </c>
      <c r="C13089" s="3" t="str">
        <f>IFERROR(__xludf.DUMMYFUNCTION("""COMPUTED_VALUE"""),"Yummy")</f>
        <v>Yummy</v>
      </c>
    </row>
    <row r="13090">
      <c r="A13090" s="3" t="str">
        <f>IFERROR(__xludf.DUMMYFUNCTION("""COMPUTED_VALUE"""),"yup")</f>
        <v>yup</v>
      </c>
      <c r="B13090" s="3" t="str">
        <f>IFERROR(__xludf.DUMMYFUNCTION("""COMPUTED_VALUE"""),"yup")</f>
        <v>yup</v>
      </c>
      <c r="C13090" s="3" t="str">
        <f>IFERROR(__xludf.DUMMYFUNCTION("""COMPUTED_VALUE"""),"Yup")</f>
        <v>Yup</v>
      </c>
    </row>
    <row r="13091">
      <c r="A13091" s="3" t="str">
        <f>IFERROR(__xludf.DUMMYFUNCTION("""COMPUTED_VALUE"""),"yusd-stablecoin")</f>
        <v>yusd-stablecoin</v>
      </c>
      <c r="B13091" s="3" t="str">
        <f>IFERROR(__xludf.DUMMYFUNCTION("""COMPUTED_VALUE"""),"yusd")</f>
        <v>yusd</v>
      </c>
      <c r="C13091" s="3" t="str">
        <f>IFERROR(__xludf.DUMMYFUNCTION("""COMPUTED_VALUE"""),"YUSD Stablecoin")</f>
        <v>YUSD Stablecoin</v>
      </c>
    </row>
    <row r="13092">
      <c r="A13092" s="3" t="str">
        <f>IFERROR(__xludf.DUMMYFUNCTION("""COMPUTED_VALUE"""),"yuse")</f>
        <v>yuse</v>
      </c>
      <c r="B13092" s="3" t="str">
        <f>IFERROR(__xludf.DUMMYFUNCTION("""COMPUTED_VALUE"""),"yuse")</f>
        <v>yuse</v>
      </c>
      <c r="C13092" s="3" t="str">
        <f>IFERROR(__xludf.DUMMYFUNCTION("""COMPUTED_VALUE"""),"Yuse")</f>
        <v>Yuse</v>
      </c>
    </row>
    <row r="13093">
      <c r="A13093" s="3" t="str">
        <f>IFERROR(__xludf.DUMMYFUNCTION("""COMPUTED_VALUE"""),"yuzuswap")</f>
        <v>yuzuswap</v>
      </c>
      <c r="B13093" s="3" t="str">
        <f>IFERROR(__xludf.DUMMYFUNCTION("""COMPUTED_VALUE"""),"yuzu")</f>
        <v>yuzu</v>
      </c>
      <c r="C13093" s="3" t="str">
        <f>IFERROR(__xludf.DUMMYFUNCTION("""COMPUTED_VALUE"""),"YuzuSwap")</f>
        <v>YuzuSwap</v>
      </c>
    </row>
    <row r="13094">
      <c r="A13094" s="3" t="str">
        <f>IFERROR(__xludf.DUMMYFUNCTION("""COMPUTED_VALUE"""),"yvault-lp-ycurve")</f>
        <v>yvault-lp-ycurve</v>
      </c>
      <c r="B13094" s="3" t="str">
        <f>IFERROR(__xludf.DUMMYFUNCTION("""COMPUTED_VALUE"""),"yvault-lp-ycurve")</f>
        <v>yvault-lp-ycurve</v>
      </c>
      <c r="C13094" s="3" t="str">
        <f>IFERROR(__xludf.DUMMYFUNCTION("""COMPUTED_VALUE"""),"yUSD")</f>
        <v>yUSD</v>
      </c>
    </row>
    <row r="13095">
      <c r="A13095" s="3" t="str">
        <f>IFERROR(__xludf.DUMMYFUNCTION("""COMPUTED_VALUE"""),"yvboost")</f>
        <v>yvboost</v>
      </c>
      <c r="B13095" s="3" t="str">
        <f>IFERROR(__xludf.DUMMYFUNCTION("""COMPUTED_VALUE"""),"yvboost")</f>
        <v>yvboost</v>
      </c>
      <c r="C13095" s="3" t="str">
        <f>IFERROR(__xludf.DUMMYFUNCTION("""COMPUTED_VALUE"""),"Yearn Compounding veCRV yVault")</f>
        <v>Yearn Compounding veCRV yVault</v>
      </c>
    </row>
    <row r="13096">
      <c r="A13096" s="3" t="str">
        <f>IFERROR(__xludf.DUMMYFUNCTION("""COMPUTED_VALUE"""),"yvs-finance")</f>
        <v>yvs-finance</v>
      </c>
      <c r="B13096" s="3" t="str">
        <f>IFERROR(__xludf.DUMMYFUNCTION("""COMPUTED_VALUE"""),"yvs")</f>
        <v>yvs</v>
      </c>
      <c r="C13096" s="3" t="str">
        <f>IFERROR(__xludf.DUMMYFUNCTION("""COMPUTED_VALUE"""),"YVS Finance")</f>
        <v>YVS Finance</v>
      </c>
    </row>
    <row r="13097">
      <c r="A13097" s="3" t="str">
        <f>IFERROR(__xludf.DUMMYFUNCTION("""COMPUTED_VALUE"""),"yye-energy")</f>
        <v>yye-energy</v>
      </c>
      <c r="B13097" s="3" t="str">
        <f>IFERROR(__xludf.DUMMYFUNCTION("""COMPUTED_VALUE"""),"yye")</f>
        <v>yye</v>
      </c>
      <c r="C13097" s="3" t="str">
        <f>IFERROR(__xludf.DUMMYFUNCTION("""COMPUTED_VALUE"""),"YYE Energy")</f>
        <v>YYE Energy</v>
      </c>
    </row>
    <row r="13098">
      <c r="A13098" s="3" t="str">
        <f>IFERROR(__xludf.DUMMYFUNCTION("""COMPUTED_VALUE"""),"yzz")</f>
        <v>yzz</v>
      </c>
      <c r="B13098" s="3" t="str">
        <f>IFERROR(__xludf.DUMMYFUNCTION("""COMPUTED_VALUE"""),"yzz")</f>
        <v>yzz</v>
      </c>
      <c r="C13098" s="3" t="str">
        <f>IFERROR(__xludf.DUMMYFUNCTION("""COMPUTED_VALUE"""),"YZZ")</f>
        <v>YZZ</v>
      </c>
    </row>
    <row r="13099">
      <c r="A13099" s="3" t="str">
        <f>IFERROR(__xludf.DUMMYFUNCTION("""COMPUTED_VALUE"""),"z7dao")</f>
        <v>z7dao</v>
      </c>
      <c r="B13099" s="3" t="str">
        <f>IFERROR(__xludf.DUMMYFUNCTION("""COMPUTED_VALUE"""),"z7")</f>
        <v>z7</v>
      </c>
      <c r="C13099" s="3" t="str">
        <f>IFERROR(__xludf.DUMMYFUNCTION("""COMPUTED_VALUE"""),"Z7DAO")</f>
        <v>Z7DAO</v>
      </c>
    </row>
    <row r="13100">
      <c r="A13100" s="3" t="str">
        <f>IFERROR(__xludf.DUMMYFUNCTION("""COMPUTED_VALUE"""),"zabaku-inu")</f>
        <v>zabaku-inu</v>
      </c>
      <c r="B13100" s="3" t="str">
        <f>IFERROR(__xludf.DUMMYFUNCTION("""COMPUTED_VALUE"""),"zabaku")</f>
        <v>zabaku</v>
      </c>
      <c r="C13100" s="3" t="str">
        <f>IFERROR(__xludf.DUMMYFUNCTION("""COMPUTED_VALUE"""),"Zabaku Inu")</f>
        <v>Zabaku Inu</v>
      </c>
    </row>
    <row r="13101">
      <c r="A13101" s="3" t="str">
        <f>IFERROR(__xludf.DUMMYFUNCTION("""COMPUTED_VALUE"""),"zada")</f>
        <v>zada</v>
      </c>
      <c r="B13101" s="3" t="str">
        <f>IFERROR(__xludf.DUMMYFUNCTION("""COMPUTED_VALUE"""),"zada")</f>
        <v>zada</v>
      </c>
      <c r="C13101" s="3" t="str">
        <f>IFERROR(__xludf.DUMMYFUNCTION("""COMPUTED_VALUE"""),"Zada")</f>
        <v>Zada</v>
      </c>
    </row>
    <row r="13102">
      <c r="A13102" s="3" t="str">
        <f>IFERROR(__xludf.DUMMYFUNCTION("""COMPUTED_VALUE"""),"zagent-gem")</f>
        <v>zagent-gem</v>
      </c>
      <c r="B13102" s="3" t="str">
        <f>IFERROR(__xludf.DUMMYFUNCTION("""COMPUTED_VALUE"""),"zeg")</f>
        <v>zeg</v>
      </c>
      <c r="C13102" s="3" t="str">
        <f>IFERROR(__xludf.DUMMYFUNCTION("""COMPUTED_VALUE"""),"Zagent Gem")</f>
        <v>Zagent Gem</v>
      </c>
    </row>
    <row r="13103">
      <c r="A13103" s="3" t="str">
        <f>IFERROR(__xludf.DUMMYFUNCTION("""COMPUTED_VALUE"""),"zaif-token")</f>
        <v>zaif-token</v>
      </c>
      <c r="B13103" s="3" t="str">
        <f>IFERROR(__xludf.DUMMYFUNCTION("""COMPUTED_VALUE"""),"zaif")</f>
        <v>zaif</v>
      </c>
      <c r="C13103" s="3" t="str">
        <f>IFERROR(__xludf.DUMMYFUNCTION("""COMPUTED_VALUE"""),"Zaif")</f>
        <v>Zaif</v>
      </c>
    </row>
    <row r="13104">
      <c r="A13104" s="3" t="str">
        <f>IFERROR(__xludf.DUMMYFUNCTION("""COMPUTED_VALUE"""),"zakumifi")</f>
        <v>zakumifi</v>
      </c>
      <c r="B13104" s="3" t="str">
        <f>IFERROR(__xludf.DUMMYFUNCTION("""COMPUTED_VALUE"""),"zafi")</f>
        <v>zafi</v>
      </c>
      <c r="C13104" s="3" t="str">
        <f>IFERROR(__xludf.DUMMYFUNCTION("""COMPUTED_VALUE"""),"ZakumiFi")</f>
        <v>ZakumiFi</v>
      </c>
    </row>
    <row r="13105">
      <c r="A13105" s="3" t="str">
        <f>IFERROR(__xludf.DUMMYFUNCTION("""COMPUTED_VALUE"""),"zambesigold")</f>
        <v>zambesigold</v>
      </c>
      <c r="B13105" s="3" t="str">
        <f>IFERROR(__xludf.DUMMYFUNCTION("""COMPUTED_VALUE"""),"zgd")</f>
        <v>zgd</v>
      </c>
      <c r="C13105" s="3" t="str">
        <f>IFERROR(__xludf.DUMMYFUNCTION("""COMPUTED_VALUE"""),"ZambesiGold")</f>
        <v>ZambesiGold</v>
      </c>
    </row>
    <row r="13106">
      <c r="A13106" s="3" t="str">
        <f>IFERROR(__xludf.DUMMYFUNCTION("""COMPUTED_VALUE"""),"zam-io")</f>
        <v>zam-io</v>
      </c>
      <c r="B13106" s="3" t="str">
        <f>IFERROR(__xludf.DUMMYFUNCTION("""COMPUTED_VALUE"""),"zam")</f>
        <v>zam</v>
      </c>
      <c r="C13106" s="4" t="str">
        <f>IFERROR(__xludf.DUMMYFUNCTION("""COMPUTED_VALUE"""),"Zam.io")</f>
        <v>Zam.io</v>
      </c>
    </row>
    <row r="13107">
      <c r="A13107" s="3" t="str">
        <f>IFERROR(__xludf.DUMMYFUNCTION("""COMPUTED_VALUE"""),"zamzam")</f>
        <v>zamzam</v>
      </c>
      <c r="B13107" s="3" t="str">
        <f>IFERROR(__xludf.DUMMYFUNCTION("""COMPUTED_VALUE"""),"zamzam")</f>
        <v>zamzam</v>
      </c>
      <c r="C13107" s="3" t="str">
        <f>IFERROR(__xludf.DUMMYFUNCTION("""COMPUTED_VALUE"""),"ZAMZAM")</f>
        <v>ZAMZAM</v>
      </c>
    </row>
    <row r="13108">
      <c r="A13108" s="3" t="str">
        <f>IFERROR(__xludf.DUMMYFUNCTION("""COMPUTED_VALUE"""),"zano")</f>
        <v>zano</v>
      </c>
      <c r="B13108" s="3" t="str">
        <f>IFERROR(__xludf.DUMMYFUNCTION("""COMPUTED_VALUE"""),"zano")</f>
        <v>zano</v>
      </c>
      <c r="C13108" s="3" t="str">
        <f>IFERROR(__xludf.DUMMYFUNCTION("""COMPUTED_VALUE"""),"Zano")</f>
        <v>Zano</v>
      </c>
    </row>
    <row r="13109">
      <c r="A13109" s="3" t="str">
        <f>IFERROR(__xludf.DUMMYFUNCTION("""COMPUTED_VALUE"""),"zantepay")</f>
        <v>zantepay</v>
      </c>
      <c r="B13109" s="3" t="str">
        <f>IFERROR(__xludf.DUMMYFUNCTION("""COMPUTED_VALUE"""),"zantepay")</f>
        <v>zantepay</v>
      </c>
      <c r="C13109" s="3" t="str">
        <f>IFERROR(__xludf.DUMMYFUNCTION("""COMPUTED_VALUE"""),"Zantepay")</f>
        <v>Zantepay</v>
      </c>
    </row>
    <row r="13110">
      <c r="A13110" s="3" t="str">
        <f>IFERROR(__xludf.DUMMYFUNCTION("""COMPUTED_VALUE"""),"zap")</f>
        <v>zap</v>
      </c>
      <c r="B13110" s="3" t="str">
        <f>IFERROR(__xludf.DUMMYFUNCTION("""COMPUTED_VALUE"""),"zap")</f>
        <v>zap</v>
      </c>
      <c r="C13110" s="3" t="str">
        <f>IFERROR(__xludf.DUMMYFUNCTION("""COMPUTED_VALUE"""),"Zap")</f>
        <v>Zap</v>
      </c>
    </row>
    <row r="13111">
      <c r="A13111" s="3" t="str">
        <f>IFERROR(__xludf.DUMMYFUNCTION("""COMPUTED_VALUE"""),"zappay")</f>
        <v>zappay</v>
      </c>
      <c r="B13111" s="3" t="str">
        <f>IFERROR(__xludf.DUMMYFUNCTION("""COMPUTED_VALUE"""),"zapc")</f>
        <v>zapc</v>
      </c>
      <c r="C13111" s="3" t="str">
        <f>IFERROR(__xludf.DUMMYFUNCTION("""COMPUTED_VALUE"""),"Zappay")</f>
        <v>Zappay</v>
      </c>
    </row>
    <row r="13112">
      <c r="A13112" s="3" t="str">
        <f>IFERROR(__xludf.DUMMYFUNCTION("""COMPUTED_VALUE"""),"zappy")</f>
        <v>zappy</v>
      </c>
      <c r="B13112" s="3" t="str">
        <f>IFERROR(__xludf.DUMMYFUNCTION("""COMPUTED_VALUE"""),"zap")</f>
        <v>zap</v>
      </c>
      <c r="C13112" s="3" t="str">
        <f>IFERROR(__xludf.DUMMYFUNCTION("""COMPUTED_VALUE"""),"Zappy")</f>
        <v>Zappy</v>
      </c>
    </row>
    <row r="13113">
      <c r="A13113" s="3" t="str">
        <f>IFERROR(__xludf.DUMMYFUNCTION("""COMPUTED_VALUE"""),"zarcash")</f>
        <v>zarcash</v>
      </c>
      <c r="B13113" s="3" t="str">
        <f>IFERROR(__xludf.DUMMYFUNCTION("""COMPUTED_VALUE"""),"zarh")</f>
        <v>zarh</v>
      </c>
      <c r="C13113" s="3" t="str">
        <f>IFERROR(__xludf.DUMMYFUNCTION("""COMPUTED_VALUE"""),"Zarhexcash")</f>
        <v>Zarhexcash</v>
      </c>
    </row>
    <row r="13114">
      <c r="A13114" s="3" t="str">
        <f>IFERROR(__xludf.DUMMYFUNCTION("""COMPUTED_VALUE"""),"zarp-stablecoin")</f>
        <v>zarp-stablecoin</v>
      </c>
      <c r="B13114" s="3" t="str">
        <f>IFERROR(__xludf.DUMMYFUNCTION("""COMPUTED_VALUE"""),"zarp")</f>
        <v>zarp</v>
      </c>
      <c r="C13114" s="3" t="str">
        <f>IFERROR(__xludf.DUMMYFUNCTION("""COMPUTED_VALUE"""),"ZARP Stablecoin")</f>
        <v>ZARP Stablecoin</v>
      </c>
    </row>
    <row r="13115">
      <c r="A13115" s="3" t="str">
        <f>IFERROR(__xludf.DUMMYFUNCTION("""COMPUTED_VALUE"""),"zasset-zusd")</f>
        <v>zasset-zusd</v>
      </c>
      <c r="B13115" s="3" t="str">
        <f>IFERROR(__xludf.DUMMYFUNCTION("""COMPUTED_VALUE"""),"zusd")</f>
        <v>zusd</v>
      </c>
      <c r="C13115" s="3" t="str">
        <f>IFERROR(__xludf.DUMMYFUNCTION("""COMPUTED_VALUE"""),"Zasset zUSD")</f>
        <v>Zasset zUSD</v>
      </c>
    </row>
    <row r="13116">
      <c r="A13116" s="3" t="str">
        <f>IFERROR(__xludf.DUMMYFUNCTION("""COMPUTED_VALUE"""),"zatcoin-2")</f>
        <v>zatcoin-2</v>
      </c>
      <c r="B13116" s="3" t="str">
        <f>IFERROR(__xludf.DUMMYFUNCTION("""COMPUTED_VALUE"""),"zpro")</f>
        <v>zpro</v>
      </c>
      <c r="C13116" s="3" t="str">
        <f>IFERROR(__xludf.DUMMYFUNCTION("""COMPUTED_VALUE"""),"ZAT Project")</f>
        <v>ZAT Project</v>
      </c>
    </row>
    <row r="13117">
      <c r="A13117" s="3" t="str">
        <f>IFERROR(__xludf.DUMMYFUNCTION("""COMPUTED_VALUE"""),"zb-token")</f>
        <v>zb-token</v>
      </c>
      <c r="B13117" s="3" t="str">
        <f>IFERROR(__xludf.DUMMYFUNCTION("""COMPUTED_VALUE"""),"zb")</f>
        <v>zb</v>
      </c>
      <c r="C13117" s="3" t="str">
        <f>IFERROR(__xludf.DUMMYFUNCTION("""COMPUTED_VALUE"""),"ZB")</f>
        <v>ZB</v>
      </c>
    </row>
    <row r="13118">
      <c r="A13118" s="3" t="str">
        <f>IFERROR(__xludf.DUMMYFUNCTION("""COMPUTED_VALUE"""),"zcash")</f>
        <v>zcash</v>
      </c>
      <c r="B13118" s="3" t="str">
        <f>IFERROR(__xludf.DUMMYFUNCTION("""COMPUTED_VALUE"""),"zec")</f>
        <v>zec</v>
      </c>
      <c r="C13118" s="3" t="str">
        <f>IFERROR(__xludf.DUMMYFUNCTION("""COMPUTED_VALUE"""),"Zcash")</f>
        <v>Zcash</v>
      </c>
    </row>
    <row r="13119">
      <c r="A13119" s="3" t="str">
        <f>IFERROR(__xludf.DUMMYFUNCTION("""COMPUTED_VALUE"""),"zclassic")</f>
        <v>zclassic</v>
      </c>
      <c r="B13119" s="3" t="str">
        <f>IFERROR(__xludf.DUMMYFUNCTION("""COMPUTED_VALUE"""),"zcl")</f>
        <v>zcl</v>
      </c>
      <c r="C13119" s="3" t="str">
        <f>IFERROR(__xludf.DUMMYFUNCTION("""COMPUTED_VALUE"""),"Zclassic")</f>
        <v>Zclassic</v>
      </c>
    </row>
    <row r="13120">
      <c r="A13120" s="3" t="str">
        <f>IFERROR(__xludf.DUMMYFUNCTION("""COMPUTED_VALUE"""),"zcoin")</f>
        <v>zcoin</v>
      </c>
      <c r="B13120" s="3" t="str">
        <f>IFERROR(__xludf.DUMMYFUNCTION("""COMPUTED_VALUE"""),"firo")</f>
        <v>firo</v>
      </c>
      <c r="C13120" s="3" t="str">
        <f>IFERROR(__xludf.DUMMYFUNCTION("""COMPUTED_VALUE"""),"Firo")</f>
        <v>Firo</v>
      </c>
    </row>
    <row r="13121">
      <c r="A13121" s="3" t="str">
        <f>IFERROR(__xludf.DUMMYFUNCTION("""COMPUTED_VALUE"""),"zcore")</f>
        <v>zcore</v>
      </c>
      <c r="B13121" s="3" t="str">
        <f>IFERROR(__xludf.DUMMYFUNCTION("""COMPUTED_VALUE"""),"zcr")</f>
        <v>zcr</v>
      </c>
      <c r="C13121" s="3" t="str">
        <f>IFERROR(__xludf.DUMMYFUNCTION("""COMPUTED_VALUE"""),"ZCore")</f>
        <v>ZCore</v>
      </c>
    </row>
    <row r="13122">
      <c r="A13122" s="3" t="str">
        <f>IFERROR(__xludf.DUMMYFUNCTION("""COMPUTED_VALUE"""),"zcore-finance")</f>
        <v>zcore-finance</v>
      </c>
      <c r="B13122" s="3" t="str">
        <f>IFERROR(__xludf.DUMMYFUNCTION("""COMPUTED_VALUE"""),"zefi")</f>
        <v>zefi</v>
      </c>
      <c r="C13122" s="3" t="str">
        <f>IFERROR(__xludf.DUMMYFUNCTION("""COMPUTED_VALUE"""),"ZCore Finance")</f>
        <v>ZCore Finance</v>
      </c>
    </row>
    <row r="13123">
      <c r="A13123" s="3" t="str">
        <f>IFERROR(__xludf.DUMMYFUNCTION("""COMPUTED_VALUE"""),"zebec-protocol")</f>
        <v>zebec-protocol</v>
      </c>
      <c r="B13123" s="3" t="str">
        <f>IFERROR(__xludf.DUMMYFUNCTION("""COMPUTED_VALUE"""),"zbc")</f>
        <v>zbc</v>
      </c>
      <c r="C13123" s="3" t="str">
        <f>IFERROR(__xludf.DUMMYFUNCTION("""COMPUTED_VALUE"""),"Zebec Protocol")</f>
        <v>Zebec Protocol</v>
      </c>
    </row>
    <row r="13124">
      <c r="A13124" s="3" t="str">
        <f>IFERROR(__xludf.DUMMYFUNCTION("""COMPUTED_VALUE"""),"zebi")</f>
        <v>zebi</v>
      </c>
      <c r="B13124" s="3" t="str">
        <f>IFERROR(__xludf.DUMMYFUNCTION("""COMPUTED_VALUE"""),"zco")</f>
        <v>zco</v>
      </c>
      <c r="C13124" s="3" t="str">
        <f>IFERROR(__xludf.DUMMYFUNCTION("""COMPUTED_VALUE"""),"Zebi")</f>
        <v>Zebi</v>
      </c>
    </row>
    <row r="13125">
      <c r="A13125" s="3" t="str">
        <f>IFERROR(__xludf.DUMMYFUNCTION("""COMPUTED_VALUE"""),"zebra-dao")</f>
        <v>zebra-dao</v>
      </c>
      <c r="B13125" s="3" t="str">
        <f>IFERROR(__xludf.DUMMYFUNCTION("""COMPUTED_VALUE"""),"zebra")</f>
        <v>zebra</v>
      </c>
      <c r="C13125" s="3" t="str">
        <f>IFERROR(__xludf.DUMMYFUNCTION("""COMPUTED_VALUE"""),"Zebra DAO")</f>
        <v>Zebra DAO</v>
      </c>
    </row>
    <row r="13126">
      <c r="A13126" s="3" t="str">
        <f>IFERROR(__xludf.DUMMYFUNCTION("""COMPUTED_VALUE"""),"zed-run")</f>
        <v>zed-run</v>
      </c>
      <c r="B13126" s="3" t="str">
        <f>IFERROR(__xludf.DUMMYFUNCTION("""COMPUTED_VALUE"""),"zed")</f>
        <v>zed</v>
      </c>
      <c r="C13126" s="3" t="str">
        <f>IFERROR(__xludf.DUMMYFUNCTION("""COMPUTED_VALUE"""),"ZED RUN")</f>
        <v>ZED RUN</v>
      </c>
    </row>
    <row r="13127">
      <c r="A13127" s="3" t="str">
        <f>IFERROR(__xludf.DUMMYFUNCTION("""COMPUTED_VALUE"""),"zedxion")</f>
        <v>zedxion</v>
      </c>
      <c r="B13127" s="3" t="str">
        <f>IFERROR(__xludf.DUMMYFUNCTION("""COMPUTED_VALUE"""),"zedxion")</f>
        <v>zedxion</v>
      </c>
      <c r="C13127" s="3" t="str">
        <f>IFERROR(__xludf.DUMMYFUNCTION("""COMPUTED_VALUE"""),"Zedxion")</f>
        <v>Zedxion</v>
      </c>
    </row>
    <row r="13128">
      <c r="A13128" s="3" t="str">
        <f>IFERROR(__xludf.DUMMYFUNCTION("""COMPUTED_VALUE"""),"zedxion-usdz")</f>
        <v>zedxion-usdz</v>
      </c>
      <c r="B13128" s="3" t="str">
        <f>IFERROR(__xludf.DUMMYFUNCTION("""COMPUTED_VALUE"""),"usdz")</f>
        <v>usdz</v>
      </c>
      <c r="C13128" s="3" t="str">
        <f>IFERROR(__xludf.DUMMYFUNCTION("""COMPUTED_VALUE"""),"Zedxion USDZ")</f>
        <v>Zedxion USDZ</v>
      </c>
    </row>
    <row r="13129">
      <c r="A13129" s="3" t="str">
        <f>IFERROR(__xludf.DUMMYFUNCTION("""COMPUTED_VALUE"""),"zeedex")</f>
        <v>zeedex</v>
      </c>
      <c r="B13129" s="3" t="str">
        <f>IFERROR(__xludf.DUMMYFUNCTION("""COMPUTED_VALUE"""),"zdex")</f>
        <v>zdex</v>
      </c>
      <c r="C13129" s="3" t="str">
        <f>IFERROR(__xludf.DUMMYFUNCTION("""COMPUTED_VALUE"""),"Zeedex")</f>
        <v>Zeedex</v>
      </c>
    </row>
    <row r="13130">
      <c r="A13130" s="3" t="str">
        <f>IFERROR(__xludf.DUMMYFUNCTION("""COMPUTED_VALUE"""),"zeepin")</f>
        <v>zeepin</v>
      </c>
      <c r="B13130" s="3" t="str">
        <f>IFERROR(__xludf.DUMMYFUNCTION("""COMPUTED_VALUE"""),"zpt")</f>
        <v>zpt</v>
      </c>
      <c r="C13130" s="3" t="str">
        <f>IFERROR(__xludf.DUMMYFUNCTION("""COMPUTED_VALUE"""),"Zeepin")</f>
        <v>Zeepin</v>
      </c>
    </row>
    <row r="13131">
      <c r="A13131" s="3" t="str">
        <f>IFERROR(__xludf.DUMMYFUNCTION("""COMPUTED_VALUE"""),"zeitcoin")</f>
        <v>zeitcoin</v>
      </c>
      <c r="B13131" s="3" t="str">
        <f>IFERROR(__xludf.DUMMYFUNCTION("""COMPUTED_VALUE"""),"zeit")</f>
        <v>zeit</v>
      </c>
      <c r="C13131" s="3" t="str">
        <f>IFERROR(__xludf.DUMMYFUNCTION("""COMPUTED_VALUE"""),"Zeitcoin")</f>
        <v>Zeitcoin</v>
      </c>
    </row>
    <row r="13132">
      <c r="A13132" s="3" t="str">
        <f>IFERROR(__xludf.DUMMYFUNCTION("""COMPUTED_VALUE"""),"zeitgeist")</f>
        <v>zeitgeist</v>
      </c>
      <c r="B13132" s="3" t="str">
        <f>IFERROR(__xludf.DUMMYFUNCTION("""COMPUTED_VALUE"""),"ztg")</f>
        <v>ztg</v>
      </c>
      <c r="C13132" s="3" t="str">
        <f>IFERROR(__xludf.DUMMYFUNCTION("""COMPUTED_VALUE"""),"Zeitgeist")</f>
        <v>Zeitgeist</v>
      </c>
    </row>
    <row r="13133">
      <c r="A13133" s="3" t="str">
        <f>IFERROR(__xludf.DUMMYFUNCTION("""COMPUTED_VALUE"""),"zelaanft")</f>
        <v>zelaanft</v>
      </c>
      <c r="B13133" s="3" t="str">
        <f>IFERROR(__xludf.DUMMYFUNCTION("""COMPUTED_VALUE"""),"nftz")</f>
        <v>nftz</v>
      </c>
      <c r="C13133" s="3" t="str">
        <f>IFERROR(__xludf.DUMMYFUNCTION("""COMPUTED_VALUE"""),"ZelaaNFT [OLD]")</f>
        <v>ZelaaNFT [OLD]</v>
      </c>
    </row>
    <row r="13134">
      <c r="A13134" s="3" t="str">
        <f>IFERROR(__xludf.DUMMYFUNCTION("""COMPUTED_VALUE"""),"zelaanft-2")</f>
        <v>zelaanft-2</v>
      </c>
      <c r="B13134" s="3" t="str">
        <f>IFERROR(__xludf.DUMMYFUNCTION("""COMPUTED_VALUE"""),"nftz")</f>
        <v>nftz</v>
      </c>
      <c r="C13134" s="3" t="str">
        <f>IFERROR(__xludf.DUMMYFUNCTION("""COMPUTED_VALUE"""),"ZelaaNFT")</f>
        <v>ZelaaNFT</v>
      </c>
    </row>
    <row r="13135">
      <c r="A13135" s="3" t="str">
        <f>IFERROR(__xludf.DUMMYFUNCTION("""COMPUTED_VALUE"""),"zelaapayae")</f>
        <v>zelaapayae</v>
      </c>
      <c r="B13135" s="3" t="str">
        <f>IFERROR(__xludf.DUMMYFUNCTION("""COMPUTED_VALUE"""),"zpae")</f>
        <v>zpae</v>
      </c>
      <c r="C13135" s="3" t="str">
        <f>IFERROR(__xludf.DUMMYFUNCTION("""COMPUTED_VALUE"""),"ZelaaPayAE")</f>
        <v>ZelaaPayAE</v>
      </c>
    </row>
    <row r="13136">
      <c r="A13136" s="3" t="str">
        <f>IFERROR(__xludf.DUMMYFUNCTION("""COMPUTED_VALUE"""),"zelcash")</f>
        <v>zelcash</v>
      </c>
      <c r="B13136" s="3" t="str">
        <f>IFERROR(__xludf.DUMMYFUNCTION("""COMPUTED_VALUE"""),"flux")</f>
        <v>flux</v>
      </c>
      <c r="C13136" s="3" t="str">
        <f>IFERROR(__xludf.DUMMYFUNCTION("""COMPUTED_VALUE"""),"Flux")</f>
        <v>Flux</v>
      </c>
    </row>
    <row r="13137">
      <c r="A13137" s="3" t="str">
        <f>IFERROR(__xludf.DUMMYFUNCTION("""COMPUTED_VALUE"""),"zelda-inu")</f>
        <v>zelda-inu</v>
      </c>
      <c r="B13137" s="3" t="str">
        <f>IFERROR(__xludf.DUMMYFUNCTION("""COMPUTED_VALUE"""),"zlda")</f>
        <v>zlda</v>
      </c>
      <c r="C13137" s="3" t="str">
        <f>IFERROR(__xludf.DUMMYFUNCTION("""COMPUTED_VALUE"""),"Zelda Inu")</f>
        <v>Zelda Inu</v>
      </c>
    </row>
    <row r="13138">
      <c r="A13138" s="3" t="str">
        <f>IFERROR(__xludf.DUMMYFUNCTION("""COMPUTED_VALUE"""),"zeloop-eco-reward")</f>
        <v>zeloop-eco-reward</v>
      </c>
      <c r="B13138" s="3" t="str">
        <f>IFERROR(__xludf.DUMMYFUNCTION("""COMPUTED_VALUE"""),"erw")</f>
        <v>erw</v>
      </c>
      <c r="C13138" s="3" t="str">
        <f>IFERROR(__xludf.DUMMYFUNCTION("""COMPUTED_VALUE"""),"ZeLoop Eco Reward")</f>
        <v>ZeLoop Eco Reward</v>
      </c>
    </row>
    <row r="13139">
      <c r="A13139" s="3" t="str">
        <f>IFERROR(__xludf.DUMMYFUNCTION("""COMPUTED_VALUE"""),"zelwin")</f>
        <v>zelwin</v>
      </c>
      <c r="B13139" s="3" t="str">
        <f>IFERROR(__xludf.DUMMYFUNCTION("""COMPUTED_VALUE"""),"zlw")</f>
        <v>zlw</v>
      </c>
      <c r="C13139" s="3" t="str">
        <f>IFERROR(__xludf.DUMMYFUNCTION("""COMPUTED_VALUE"""),"Zelwin")</f>
        <v>Zelwin</v>
      </c>
    </row>
    <row r="13140">
      <c r="A13140" s="3" t="str">
        <f>IFERROR(__xludf.DUMMYFUNCTION("""COMPUTED_VALUE"""),"zenad")</f>
        <v>zenad</v>
      </c>
      <c r="B13140" s="3" t="str">
        <f>IFERROR(__xludf.DUMMYFUNCTION("""COMPUTED_VALUE"""),"znd")</f>
        <v>znd</v>
      </c>
      <c r="C13140" s="3" t="str">
        <f>IFERROR(__xludf.DUMMYFUNCTION("""COMPUTED_VALUE"""),"Zenad")</f>
        <v>Zenad</v>
      </c>
    </row>
    <row r="13141">
      <c r="A13141" s="3" t="str">
        <f>IFERROR(__xludf.DUMMYFUNCTION("""COMPUTED_VALUE"""),"zencash")</f>
        <v>zencash</v>
      </c>
      <c r="B13141" s="3" t="str">
        <f>IFERROR(__xludf.DUMMYFUNCTION("""COMPUTED_VALUE"""),"zen")</f>
        <v>zen</v>
      </c>
      <c r="C13141" s="3" t="str">
        <f>IFERROR(__xludf.DUMMYFUNCTION("""COMPUTED_VALUE"""),"Horizen")</f>
        <v>Horizen</v>
      </c>
    </row>
    <row r="13142">
      <c r="A13142" s="3" t="str">
        <f>IFERROR(__xludf.DUMMYFUNCTION("""COMPUTED_VALUE"""),"zenc-coin")</f>
        <v>zenc-coin</v>
      </c>
      <c r="B13142" s="3" t="str">
        <f>IFERROR(__xludf.DUMMYFUNCTION("""COMPUTED_VALUE"""),"zenc")</f>
        <v>zenc</v>
      </c>
      <c r="C13142" s="3" t="str">
        <f>IFERROR(__xludf.DUMMYFUNCTION("""COMPUTED_VALUE"""),"Zenc Coin")</f>
        <v>Zenc Coin</v>
      </c>
    </row>
    <row r="13143">
      <c r="A13143" s="3" t="str">
        <f>IFERROR(__xludf.DUMMYFUNCTION("""COMPUTED_VALUE"""),"zenfuse")</f>
        <v>zenfuse</v>
      </c>
      <c r="B13143" s="3" t="str">
        <f>IFERROR(__xludf.DUMMYFUNCTION("""COMPUTED_VALUE"""),"zefu")</f>
        <v>zefu</v>
      </c>
      <c r="C13143" s="3" t="str">
        <f>IFERROR(__xludf.DUMMYFUNCTION("""COMPUTED_VALUE"""),"Zenfuse")</f>
        <v>Zenfuse</v>
      </c>
    </row>
    <row r="13144">
      <c r="A13144" s="3" t="str">
        <f>IFERROR(__xludf.DUMMYFUNCTION("""COMPUTED_VALUE"""),"zenith-chain")</f>
        <v>zenith-chain</v>
      </c>
      <c r="B13144" s="3" t="str">
        <f>IFERROR(__xludf.DUMMYFUNCTION("""COMPUTED_VALUE"""),"zenith")</f>
        <v>zenith</v>
      </c>
      <c r="C13144" s="3" t="str">
        <f>IFERROR(__xludf.DUMMYFUNCTION("""COMPUTED_VALUE"""),"Zenith Chain")</f>
        <v>Zenith Chain</v>
      </c>
    </row>
    <row r="13145">
      <c r="A13145" s="3" t="str">
        <f>IFERROR(__xludf.DUMMYFUNCTION("""COMPUTED_VALUE"""),"zenith-finance")</f>
        <v>zenith-finance</v>
      </c>
      <c r="B13145" s="3" t="str">
        <f>IFERROR(__xludf.DUMMYFUNCTION("""COMPUTED_VALUE"""),"znt")</f>
        <v>znt</v>
      </c>
      <c r="C13145" s="3" t="str">
        <f>IFERROR(__xludf.DUMMYFUNCTION("""COMPUTED_VALUE"""),"Zenith Finance")</f>
        <v>Zenith Finance</v>
      </c>
    </row>
    <row r="13146">
      <c r="A13146" s="3" t="str">
        <f>IFERROR(__xludf.DUMMYFUNCTION("""COMPUTED_VALUE"""),"zenlink-network-token")</f>
        <v>zenlink-network-token</v>
      </c>
      <c r="B13146" s="3" t="str">
        <f>IFERROR(__xludf.DUMMYFUNCTION("""COMPUTED_VALUE"""),"zlk")</f>
        <v>zlk</v>
      </c>
      <c r="C13146" s="3" t="str">
        <f>IFERROR(__xludf.DUMMYFUNCTION("""COMPUTED_VALUE"""),"Zenlink Network")</f>
        <v>Zenlink Network</v>
      </c>
    </row>
    <row r="13147">
      <c r="A13147" s="3" t="str">
        <f>IFERROR(__xludf.DUMMYFUNCTION("""COMPUTED_VALUE"""),"zennies")</f>
        <v>zennies</v>
      </c>
      <c r="B13147" s="3" t="str">
        <f>IFERROR(__xludf.DUMMYFUNCTION("""COMPUTED_VALUE"""),"zeni")</f>
        <v>zeni</v>
      </c>
      <c r="C13147" s="3" t="str">
        <f>IFERROR(__xludf.DUMMYFUNCTION("""COMPUTED_VALUE"""),"Zennies")</f>
        <v>Zennies</v>
      </c>
    </row>
    <row r="13148">
      <c r="A13148" s="3" t="str">
        <f>IFERROR(__xludf.DUMMYFUNCTION("""COMPUTED_VALUE"""),"zenon")</f>
        <v>zenon</v>
      </c>
      <c r="B13148" s="3" t="str">
        <f>IFERROR(__xludf.DUMMYFUNCTION("""COMPUTED_VALUE"""),"znn")</f>
        <v>znn</v>
      </c>
      <c r="C13148" s="3" t="str">
        <f>IFERROR(__xludf.DUMMYFUNCTION("""COMPUTED_VALUE"""),"Zenon")</f>
        <v>Zenon</v>
      </c>
    </row>
    <row r="13149">
      <c r="A13149" s="3" t="str">
        <f>IFERROR(__xludf.DUMMYFUNCTION("""COMPUTED_VALUE"""),"zensports")</f>
        <v>zensports</v>
      </c>
      <c r="B13149" s="3" t="str">
        <f>IFERROR(__xludf.DUMMYFUNCTION("""COMPUTED_VALUE"""),"sports")</f>
        <v>sports</v>
      </c>
      <c r="C13149" s="3" t="str">
        <f>IFERROR(__xludf.DUMMYFUNCTION("""COMPUTED_VALUE"""),"ZenSports")</f>
        <v>ZenSports</v>
      </c>
    </row>
    <row r="13150">
      <c r="A13150" s="3" t="str">
        <f>IFERROR(__xludf.DUMMYFUNCTION("""COMPUTED_VALUE"""),"zenswap-network-token")</f>
        <v>zenswap-network-token</v>
      </c>
      <c r="B13150" s="3" t="str">
        <f>IFERROR(__xludf.DUMMYFUNCTION("""COMPUTED_VALUE"""),"znt")</f>
        <v>znt</v>
      </c>
      <c r="C13150" s="3" t="str">
        <f>IFERROR(__xludf.DUMMYFUNCTION("""COMPUTED_VALUE"""),"Zenswap Network ZNT")</f>
        <v>Zenswap Network ZNT</v>
      </c>
    </row>
    <row r="13151">
      <c r="A13151" s="3" t="str">
        <f>IFERROR(__xludf.DUMMYFUNCTION("""COMPUTED_VALUE"""),"zent-cash")</f>
        <v>zent-cash</v>
      </c>
      <c r="B13151" s="3" t="str">
        <f>IFERROR(__xludf.DUMMYFUNCTION("""COMPUTED_VALUE"""),"ztc")</f>
        <v>ztc</v>
      </c>
      <c r="C13151" s="3" t="str">
        <f>IFERROR(__xludf.DUMMYFUNCTION("""COMPUTED_VALUE"""),"Zent Cash")</f>
        <v>Zent Cash</v>
      </c>
    </row>
    <row r="13152">
      <c r="A13152" s="3" t="str">
        <f>IFERROR(__xludf.DUMMYFUNCTION("""COMPUTED_VALUE"""),"zenzo")</f>
        <v>zenzo</v>
      </c>
      <c r="B13152" s="3" t="str">
        <f>IFERROR(__xludf.DUMMYFUNCTION("""COMPUTED_VALUE"""),"znz")</f>
        <v>znz</v>
      </c>
      <c r="C13152" s="3" t="str">
        <f>IFERROR(__xludf.DUMMYFUNCTION("""COMPUTED_VALUE"""),"ZENZO")</f>
        <v>ZENZO</v>
      </c>
    </row>
    <row r="13153">
      <c r="A13153" s="3" t="str">
        <f>IFERROR(__xludf.DUMMYFUNCTION("""COMPUTED_VALUE"""),"zeon")</f>
        <v>zeon</v>
      </c>
      <c r="B13153" s="3" t="str">
        <f>IFERROR(__xludf.DUMMYFUNCTION("""COMPUTED_VALUE"""),"zeon")</f>
        <v>zeon</v>
      </c>
      <c r="C13153" s="3" t="str">
        <f>IFERROR(__xludf.DUMMYFUNCTION("""COMPUTED_VALUE"""),"ZEON Network")</f>
        <v>ZEON Network</v>
      </c>
    </row>
    <row r="13154">
      <c r="A13154" s="3" t="str">
        <f>IFERROR(__xludf.DUMMYFUNCTION("""COMPUTED_VALUE"""),"zeos")</f>
        <v>zeos</v>
      </c>
      <c r="B13154" s="3" t="str">
        <f>IFERROR(__xludf.DUMMYFUNCTION("""COMPUTED_VALUE"""),"zeos")</f>
        <v>zeos</v>
      </c>
      <c r="C13154" s="3" t="str">
        <f>IFERROR(__xludf.DUMMYFUNCTION("""COMPUTED_VALUE"""),"ZEOS")</f>
        <v>ZEOS</v>
      </c>
    </row>
    <row r="13155">
      <c r="A13155" s="3" t="str">
        <f>IFERROR(__xludf.DUMMYFUNCTION("""COMPUTED_VALUE"""),"zeptagram")</f>
        <v>zeptagram</v>
      </c>
      <c r="B13155" s="3" t="str">
        <f>IFERROR(__xludf.DUMMYFUNCTION("""COMPUTED_VALUE"""),"zptc")</f>
        <v>zptc</v>
      </c>
      <c r="C13155" s="3" t="str">
        <f>IFERROR(__xludf.DUMMYFUNCTION("""COMPUTED_VALUE"""),"Zeptacoin")</f>
        <v>Zeptacoin</v>
      </c>
    </row>
    <row r="13156">
      <c r="A13156" s="3" t="str">
        <f>IFERROR(__xludf.DUMMYFUNCTION("""COMPUTED_VALUE"""),"zer0zer0")</f>
        <v>zer0zer0</v>
      </c>
      <c r="B13156" s="3" t="str">
        <f>IFERROR(__xludf.DUMMYFUNCTION("""COMPUTED_VALUE"""),"00")</f>
        <v>00</v>
      </c>
      <c r="C13156" s="3" t="str">
        <f>IFERROR(__xludf.DUMMYFUNCTION("""COMPUTED_VALUE"""),"00 Token")</f>
        <v>00 Token</v>
      </c>
    </row>
    <row r="13157">
      <c r="A13157" s="3" t="str">
        <f>IFERROR(__xludf.DUMMYFUNCTION("""COMPUTED_VALUE"""),"zero")</f>
        <v>zero</v>
      </c>
      <c r="B13157" s="3" t="str">
        <f>IFERROR(__xludf.DUMMYFUNCTION("""COMPUTED_VALUE"""),"zer")</f>
        <v>zer</v>
      </c>
      <c r="C13157" s="3" t="str">
        <f>IFERROR(__xludf.DUMMYFUNCTION("""COMPUTED_VALUE"""),"Zero")</f>
        <v>Zero</v>
      </c>
    </row>
    <row r="13158">
      <c r="A13158" s="3" t="str">
        <f>IFERROR(__xludf.DUMMYFUNCTION("""COMPUTED_VALUE"""),"zero-exchange")</f>
        <v>zero-exchange</v>
      </c>
      <c r="B13158" s="3" t="str">
        <f>IFERROR(__xludf.DUMMYFUNCTION("""COMPUTED_VALUE"""),"zero")</f>
        <v>zero</v>
      </c>
      <c r="C13158" s="3" t="str">
        <f>IFERROR(__xludf.DUMMYFUNCTION("""COMPUTED_VALUE"""),"0.exchange")</f>
        <v>0.exchange</v>
      </c>
    </row>
    <row r="13159">
      <c r="A13159" s="3" t="str">
        <f>IFERROR(__xludf.DUMMYFUNCTION("""COMPUTED_VALUE"""),"zerogoki")</f>
        <v>zerogoki</v>
      </c>
      <c r="B13159" s="3" t="str">
        <f>IFERROR(__xludf.DUMMYFUNCTION("""COMPUTED_VALUE"""),"rei")</f>
        <v>rei</v>
      </c>
      <c r="C13159" s="3" t="str">
        <f>IFERROR(__xludf.DUMMYFUNCTION("""COMPUTED_VALUE"""),"Zerogoki")</f>
        <v>Zerogoki</v>
      </c>
    </row>
    <row r="13160">
      <c r="A13160" s="3" t="str">
        <f>IFERROR(__xludf.DUMMYFUNCTION("""COMPUTED_VALUE"""),"zerohybrid")</f>
        <v>zerohybrid</v>
      </c>
      <c r="B13160" s="3" t="str">
        <f>IFERROR(__xludf.DUMMYFUNCTION("""COMPUTED_VALUE"""),"zht")</f>
        <v>zht</v>
      </c>
      <c r="C13160" s="3" t="str">
        <f>IFERROR(__xludf.DUMMYFUNCTION("""COMPUTED_VALUE"""),"ZeroHybrid Network")</f>
        <v>ZeroHybrid Network</v>
      </c>
    </row>
    <row r="13161">
      <c r="A13161" s="3" t="str">
        <f>IFERROR(__xludf.DUMMYFUNCTION("""COMPUTED_VALUE"""),"zeronauts")</f>
        <v>zeronauts</v>
      </c>
      <c r="B13161" s="3" t="str">
        <f>IFERROR(__xludf.DUMMYFUNCTION("""COMPUTED_VALUE"""),"zns")</f>
        <v>zns</v>
      </c>
      <c r="C13161" s="3" t="str">
        <f>IFERROR(__xludf.DUMMYFUNCTION("""COMPUTED_VALUE"""),"Zeronauts")</f>
        <v>Zeronauts</v>
      </c>
    </row>
    <row r="13162">
      <c r="A13162" s="3" t="str">
        <f>IFERROR(__xludf.DUMMYFUNCTION("""COMPUTED_VALUE"""),"zeroswap")</f>
        <v>zeroswap</v>
      </c>
      <c r="B13162" s="3" t="str">
        <f>IFERROR(__xludf.DUMMYFUNCTION("""COMPUTED_VALUE"""),"zee")</f>
        <v>zee</v>
      </c>
      <c r="C13162" s="3" t="str">
        <f>IFERROR(__xludf.DUMMYFUNCTION("""COMPUTED_VALUE"""),"ZeroSwap")</f>
        <v>ZeroSwap</v>
      </c>
    </row>
    <row r="13163">
      <c r="A13163" s="3" t="str">
        <f>IFERROR(__xludf.DUMMYFUNCTION("""COMPUTED_VALUE"""),"zero-tech")</f>
        <v>zero-tech</v>
      </c>
      <c r="B13163" s="3" t="str">
        <f>IFERROR(__xludf.DUMMYFUNCTION("""COMPUTED_VALUE"""),"zero")</f>
        <v>zero</v>
      </c>
      <c r="C13163" s="3" t="str">
        <f>IFERROR(__xludf.DUMMYFUNCTION("""COMPUTED_VALUE"""),"Zero Tech")</f>
        <v>Zero Tech</v>
      </c>
    </row>
    <row r="13164">
      <c r="A13164" s="3" t="str">
        <f>IFERROR(__xludf.DUMMYFUNCTION("""COMPUTED_VALUE"""),"zero-utility-token")</f>
        <v>zero-utility-token</v>
      </c>
      <c r="B13164" s="3" t="str">
        <f>IFERROR(__xludf.DUMMYFUNCTION("""COMPUTED_VALUE"""),"zut")</f>
        <v>zut</v>
      </c>
      <c r="C13164" s="3" t="str">
        <f>IFERROR(__xludf.DUMMYFUNCTION("""COMPUTED_VALUE"""),"Zero Utility")</f>
        <v>Zero Utility</v>
      </c>
    </row>
    <row r="13165">
      <c r="A13165" s="3" t="str">
        <f>IFERROR(__xludf.DUMMYFUNCTION("""COMPUTED_VALUE"""),"zerox")</f>
        <v>zerox</v>
      </c>
      <c r="B13165" s="3" t="str">
        <f>IFERROR(__xludf.DUMMYFUNCTION("""COMPUTED_VALUE"""),"zerox")</f>
        <v>zerox</v>
      </c>
      <c r="C13165" s="3" t="str">
        <f>IFERROR(__xludf.DUMMYFUNCTION("""COMPUTED_VALUE"""),"ZeroX")</f>
        <v>ZeroX</v>
      </c>
    </row>
    <row r="13166">
      <c r="A13166" s="3" t="str">
        <f>IFERROR(__xludf.DUMMYFUNCTION("""COMPUTED_VALUE"""),"zerozed")</f>
        <v>zerozed</v>
      </c>
      <c r="B13166" s="3" t="str">
        <f>IFERROR(__xludf.DUMMYFUNCTION("""COMPUTED_VALUE"""),"x0z")</f>
        <v>x0z</v>
      </c>
      <c r="C13166" s="3" t="str">
        <f>IFERROR(__xludf.DUMMYFUNCTION("""COMPUTED_VALUE"""),"Zerozed")</f>
        <v>Zerozed</v>
      </c>
    </row>
    <row r="13167">
      <c r="A13167" s="3" t="str">
        <f>IFERROR(__xludf.DUMMYFUNCTION("""COMPUTED_VALUE"""),"zest-synthetic-protocol")</f>
        <v>zest-synthetic-protocol</v>
      </c>
      <c r="B13167" s="3" t="str">
        <f>IFERROR(__xludf.DUMMYFUNCTION("""COMPUTED_VALUE"""),"zsp")</f>
        <v>zsp</v>
      </c>
      <c r="C13167" s="3" t="str">
        <f>IFERROR(__xludf.DUMMYFUNCTION("""COMPUTED_VALUE"""),"Zest Synthetic Protocol")</f>
        <v>Zest Synthetic Protocol</v>
      </c>
    </row>
    <row r="13168">
      <c r="A13168" s="3" t="str">
        <f>IFERROR(__xludf.DUMMYFUNCTION("""COMPUTED_VALUE"""),"zetachain")</f>
        <v>zetachain</v>
      </c>
      <c r="B13168" s="3" t="str">
        <f>IFERROR(__xludf.DUMMYFUNCTION("""COMPUTED_VALUE"""),"zeta")</f>
        <v>zeta</v>
      </c>
      <c r="C13168" s="3" t="str">
        <f>IFERROR(__xludf.DUMMYFUNCTION("""COMPUTED_VALUE"""),"ZetaChain")</f>
        <v>ZetaChain</v>
      </c>
    </row>
    <row r="13169">
      <c r="A13169" s="3" t="str">
        <f>IFERROR(__xludf.DUMMYFUNCTION("""COMPUTED_VALUE"""),"zetacoin")</f>
        <v>zetacoin</v>
      </c>
      <c r="B13169" s="3" t="str">
        <f>IFERROR(__xludf.DUMMYFUNCTION("""COMPUTED_VALUE"""),"zet")</f>
        <v>zet</v>
      </c>
      <c r="C13169" s="3" t="str">
        <f>IFERROR(__xludf.DUMMYFUNCTION("""COMPUTED_VALUE"""),"Zetacoin")</f>
        <v>Zetacoin</v>
      </c>
    </row>
    <row r="13170">
      <c r="A13170" s="3" t="str">
        <f>IFERROR(__xludf.DUMMYFUNCTION("""COMPUTED_VALUE"""),"zeto")</f>
        <v>zeto</v>
      </c>
      <c r="B13170" s="3" t="str">
        <f>IFERROR(__xludf.DUMMYFUNCTION("""COMPUTED_VALUE"""),"ztc")</f>
        <v>ztc</v>
      </c>
      <c r="C13170" s="3" t="str">
        <f>IFERROR(__xludf.DUMMYFUNCTION("""COMPUTED_VALUE"""),"ZeTo")</f>
        <v>ZeTo</v>
      </c>
    </row>
    <row r="13171">
      <c r="A13171" s="3" t="str">
        <f>IFERROR(__xludf.DUMMYFUNCTION("""COMPUTED_VALUE"""),"zetrix")</f>
        <v>zetrix</v>
      </c>
      <c r="B13171" s="3" t="str">
        <f>IFERROR(__xludf.DUMMYFUNCTION("""COMPUTED_VALUE"""),"ztx")</f>
        <v>ztx</v>
      </c>
      <c r="C13171" s="3" t="str">
        <f>IFERROR(__xludf.DUMMYFUNCTION("""COMPUTED_VALUE"""),"Zetrix")</f>
        <v>Zetrix</v>
      </c>
    </row>
    <row r="13172">
      <c r="A13172" s="3" t="str">
        <f>IFERROR(__xludf.DUMMYFUNCTION("""COMPUTED_VALUE"""),"zeus10000")</f>
        <v>zeus10000</v>
      </c>
      <c r="B13172" s="3" t="str">
        <f>IFERROR(__xludf.DUMMYFUNCTION("""COMPUTED_VALUE"""),"zeus10000")</f>
        <v>zeus10000</v>
      </c>
      <c r="C13172" s="3" t="str">
        <f>IFERROR(__xludf.DUMMYFUNCTION("""COMPUTED_VALUE"""),"ZEUS10000")</f>
        <v>ZEUS10000</v>
      </c>
    </row>
    <row r="13173">
      <c r="A13173" s="3" t="str">
        <f>IFERROR(__xludf.DUMMYFUNCTION("""COMPUTED_VALUE"""),"zeus-finance")</f>
        <v>zeus-finance</v>
      </c>
      <c r="B13173" s="3" t="str">
        <f>IFERROR(__xludf.DUMMYFUNCTION("""COMPUTED_VALUE"""),"zeus")</f>
        <v>zeus</v>
      </c>
      <c r="C13173" s="3" t="str">
        <f>IFERROR(__xludf.DUMMYFUNCTION("""COMPUTED_VALUE"""),"Zeus Finance")</f>
        <v>Zeus Finance</v>
      </c>
    </row>
    <row r="13174">
      <c r="A13174" s="3" t="str">
        <f>IFERROR(__xludf.DUMMYFUNCTION("""COMPUTED_VALUE"""),"zeus-node-finance")</f>
        <v>zeus-node-finance</v>
      </c>
      <c r="B13174" s="3" t="str">
        <f>IFERROR(__xludf.DUMMYFUNCTION("""COMPUTED_VALUE"""),"zeus")</f>
        <v>zeus</v>
      </c>
      <c r="C13174" s="3" t="str">
        <f>IFERROR(__xludf.DUMMYFUNCTION("""COMPUTED_VALUE"""),"Zeus Node Finance")</f>
        <v>Zeus Node Finance</v>
      </c>
    </row>
    <row r="13175">
      <c r="A13175" s="3" t="str">
        <f>IFERROR(__xludf.DUMMYFUNCTION("""COMPUTED_VALUE"""),"zeusshield")</f>
        <v>zeusshield</v>
      </c>
      <c r="B13175" s="3" t="str">
        <f>IFERROR(__xludf.DUMMYFUNCTION("""COMPUTED_VALUE"""),"zsc")</f>
        <v>zsc</v>
      </c>
      <c r="C13175" s="3" t="str">
        <f>IFERROR(__xludf.DUMMYFUNCTION("""COMPUTED_VALUE"""),"Zeusshield")</f>
        <v>Zeusshield</v>
      </c>
    </row>
    <row r="13176">
      <c r="A13176" s="3" t="str">
        <f>IFERROR(__xludf.DUMMYFUNCTION("""COMPUTED_VALUE"""),"zeuxcoin")</f>
        <v>zeuxcoin</v>
      </c>
      <c r="B13176" s="3" t="str">
        <f>IFERROR(__xludf.DUMMYFUNCTION("""COMPUTED_VALUE"""),"zuc")</f>
        <v>zuc</v>
      </c>
      <c r="C13176" s="3" t="str">
        <f>IFERROR(__xludf.DUMMYFUNCTION("""COMPUTED_VALUE"""),"ZeuxCoin")</f>
        <v>ZeuxCoin</v>
      </c>
    </row>
    <row r="13177">
      <c r="A13177" s="3" t="str">
        <f>IFERROR(__xludf.DUMMYFUNCTION("""COMPUTED_VALUE"""),"zfarm")</f>
        <v>zfarm</v>
      </c>
      <c r="B13177" s="3" t="str">
        <f>IFERROR(__xludf.DUMMYFUNCTION("""COMPUTED_VALUE"""),"zfarm")</f>
        <v>zfarm</v>
      </c>
      <c r="C13177" s="3" t="str">
        <f>IFERROR(__xludf.DUMMYFUNCTION("""COMPUTED_VALUE"""),"ZFarm")</f>
        <v>ZFarm</v>
      </c>
    </row>
    <row r="13178">
      <c r="A13178" s="3" t="str">
        <f>IFERROR(__xludf.DUMMYFUNCTION("""COMPUTED_VALUE"""),"zhc-zero-hour-cash")</f>
        <v>zhc-zero-hour-cash</v>
      </c>
      <c r="B13178" s="3" t="str">
        <f>IFERROR(__xludf.DUMMYFUNCTION("""COMPUTED_VALUE"""),"zhc")</f>
        <v>zhc</v>
      </c>
      <c r="C13178" s="3" t="str">
        <f>IFERROR(__xludf.DUMMYFUNCTION("""COMPUTED_VALUE"""),"ZHC : Zero Hour Cash")</f>
        <v>ZHC : Zero Hour Cash</v>
      </c>
    </row>
    <row r="13179">
      <c r="A13179" s="3" t="str">
        <f>IFERROR(__xludf.DUMMYFUNCTION("""COMPUTED_VALUE"""),"zignaly")</f>
        <v>zignaly</v>
      </c>
      <c r="B13179" s="3" t="str">
        <f>IFERROR(__xludf.DUMMYFUNCTION("""COMPUTED_VALUE"""),"zig")</f>
        <v>zig</v>
      </c>
      <c r="C13179" s="3" t="str">
        <f>IFERROR(__xludf.DUMMYFUNCTION("""COMPUTED_VALUE"""),"Zignaly")</f>
        <v>Zignaly</v>
      </c>
    </row>
    <row r="13180">
      <c r="A13180" s="3" t="str">
        <f>IFERROR(__xludf.DUMMYFUNCTION("""COMPUTED_VALUE"""),"zigzag-2")</f>
        <v>zigzag-2</v>
      </c>
      <c r="B13180" s="3" t="str">
        <f>IFERROR(__xludf.DUMMYFUNCTION("""COMPUTED_VALUE"""),"zz")</f>
        <v>zz</v>
      </c>
      <c r="C13180" s="3" t="str">
        <f>IFERROR(__xludf.DUMMYFUNCTION("""COMPUTED_VALUE"""),"ZigZag")</f>
        <v>ZigZag</v>
      </c>
    </row>
    <row r="13181">
      <c r="A13181" s="3" t="str">
        <f>IFERROR(__xludf.DUMMYFUNCTION("""COMPUTED_VALUE"""),"zik-token")</f>
        <v>zik-token</v>
      </c>
      <c r="B13181" s="3" t="str">
        <f>IFERROR(__xludf.DUMMYFUNCTION("""COMPUTED_VALUE"""),"zik")</f>
        <v>zik</v>
      </c>
      <c r="C13181" s="3" t="str">
        <f>IFERROR(__xludf.DUMMYFUNCTION("""COMPUTED_VALUE"""),"Ziktalk")</f>
        <v>Ziktalk</v>
      </c>
    </row>
    <row r="13182">
      <c r="A13182" s="3" t="str">
        <f>IFERROR(__xludf.DUMMYFUNCTION("""COMPUTED_VALUE"""),"zilchess")</f>
        <v>zilchess</v>
      </c>
      <c r="B13182" s="3" t="str">
        <f>IFERROR(__xludf.DUMMYFUNCTION("""COMPUTED_VALUE"""),"zch")</f>
        <v>zch</v>
      </c>
      <c r="C13182" s="3" t="str">
        <f>IFERROR(__xludf.DUMMYFUNCTION("""COMPUTED_VALUE"""),"ZilChess")</f>
        <v>ZilChess</v>
      </c>
    </row>
    <row r="13183">
      <c r="A13183" s="3" t="str">
        <f>IFERROR(__xludf.DUMMYFUNCTION("""COMPUTED_VALUE"""),"zillion-aakar-xo")</f>
        <v>zillion-aakar-xo</v>
      </c>
      <c r="B13183" s="3" t="str">
        <f>IFERROR(__xludf.DUMMYFUNCTION("""COMPUTED_VALUE"""),"zillionxo")</f>
        <v>zillionxo</v>
      </c>
      <c r="C13183" s="3" t="str">
        <f>IFERROR(__xludf.DUMMYFUNCTION("""COMPUTED_VALUE"""),"Zillion Aakar XO")</f>
        <v>Zillion Aakar XO</v>
      </c>
    </row>
    <row r="13184">
      <c r="A13184" s="3" t="str">
        <f>IFERROR(__xludf.DUMMYFUNCTION("""COMPUTED_VALUE"""),"zillioncoin")</f>
        <v>zillioncoin</v>
      </c>
      <c r="B13184" s="3" t="str">
        <f>IFERROR(__xludf.DUMMYFUNCTION("""COMPUTED_VALUE"""),"zln")</f>
        <v>zln</v>
      </c>
      <c r="C13184" s="3" t="str">
        <f>IFERROR(__xludf.DUMMYFUNCTION("""COMPUTED_VALUE"""),"ZillionCoin")</f>
        <v>ZillionCoin</v>
      </c>
    </row>
    <row r="13185">
      <c r="A13185" s="3" t="str">
        <f>IFERROR(__xludf.DUMMYFUNCTION("""COMPUTED_VALUE"""),"zilliqa")</f>
        <v>zilliqa</v>
      </c>
      <c r="B13185" s="3" t="str">
        <f>IFERROR(__xludf.DUMMYFUNCTION("""COMPUTED_VALUE"""),"zil")</f>
        <v>zil</v>
      </c>
      <c r="C13185" s="3" t="str">
        <f>IFERROR(__xludf.DUMMYFUNCTION("""COMPUTED_VALUE"""),"Zilliqa")</f>
        <v>Zilliqa</v>
      </c>
    </row>
    <row r="13186">
      <c r="A13186" s="3" t="str">
        <f>IFERROR(__xludf.DUMMYFUNCTION("""COMPUTED_VALUE"""),"zilpay-wallet")</f>
        <v>zilpay-wallet</v>
      </c>
      <c r="B13186" s="3" t="str">
        <f>IFERROR(__xludf.DUMMYFUNCTION("""COMPUTED_VALUE"""),"zlp")</f>
        <v>zlp</v>
      </c>
      <c r="C13186" s="3" t="str">
        <f>IFERROR(__xludf.DUMMYFUNCTION("""COMPUTED_VALUE"""),"ZilPay Wallet")</f>
        <v>ZilPay Wallet</v>
      </c>
    </row>
    <row r="13187">
      <c r="A13187" s="3" t="str">
        <f>IFERROR(__xludf.DUMMYFUNCTION("""COMPUTED_VALUE"""),"zilstream")</f>
        <v>zilstream</v>
      </c>
      <c r="B13187" s="3" t="str">
        <f>IFERROR(__xludf.DUMMYFUNCTION("""COMPUTED_VALUE"""),"stream")</f>
        <v>stream</v>
      </c>
      <c r="C13187" s="3" t="str">
        <f>IFERROR(__xludf.DUMMYFUNCTION("""COMPUTED_VALUE"""),"ZilStream")</f>
        <v>ZilStream</v>
      </c>
    </row>
    <row r="13188">
      <c r="A13188" s="3" t="str">
        <f>IFERROR(__xludf.DUMMYFUNCTION("""COMPUTED_VALUE"""),"zilswap")</f>
        <v>zilswap</v>
      </c>
      <c r="B13188" s="3" t="str">
        <f>IFERROR(__xludf.DUMMYFUNCTION("""COMPUTED_VALUE"""),"zwap")</f>
        <v>zwap</v>
      </c>
      <c r="C13188" s="3" t="str">
        <f>IFERROR(__xludf.DUMMYFUNCTION("""COMPUTED_VALUE"""),"ZilSwap")</f>
        <v>ZilSwap</v>
      </c>
    </row>
    <row r="13189">
      <c r="A13189" s="3" t="str">
        <f>IFERROR(__xludf.DUMMYFUNCTION("""COMPUTED_VALUE"""),"zilwall")</f>
        <v>zilwall</v>
      </c>
      <c r="B13189" s="3" t="str">
        <f>IFERROR(__xludf.DUMMYFUNCTION("""COMPUTED_VALUE"""),"zwall")</f>
        <v>zwall</v>
      </c>
      <c r="C13189" s="3" t="str">
        <f>IFERROR(__xludf.DUMMYFUNCTION("""COMPUTED_VALUE"""),"ZilWall")</f>
        <v>ZilWall</v>
      </c>
    </row>
    <row r="13190">
      <c r="A13190" s="3" t="str">
        <f>IFERROR(__xludf.DUMMYFUNCTION("""COMPUTED_VALUE"""),"zilwall-paint")</f>
        <v>zilwall-paint</v>
      </c>
      <c r="B13190" s="3" t="str">
        <f>IFERROR(__xludf.DUMMYFUNCTION("""COMPUTED_VALUE"""),"zpaint")</f>
        <v>zpaint</v>
      </c>
      <c r="C13190" s="3" t="str">
        <f>IFERROR(__xludf.DUMMYFUNCTION("""COMPUTED_VALUE"""),"ZilWall Paint")</f>
        <v>ZilWall Paint</v>
      </c>
    </row>
    <row r="13191">
      <c r="A13191" s="3" t="str">
        <f>IFERROR(__xludf.DUMMYFUNCTION("""COMPUTED_VALUE"""),"zimbocash")</f>
        <v>zimbocash</v>
      </c>
      <c r="B13191" s="3" t="str">
        <f>IFERROR(__xludf.DUMMYFUNCTION("""COMPUTED_VALUE"""),"zash")</f>
        <v>zash</v>
      </c>
      <c r="C13191" s="3" t="str">
        <f>IFERROR(__xludf.DUMMYFUNCTION("""COMPUTED_VALUE"""),"ZIMBOCASH")</f>
        <v>ZIMBOCASH</v>
      </c>
    </row>
    <row r="13192">
      <c r="A13192" s="3" t="str">
        <f>IFERROR(__xludf.DUMMYFUNCTION("""COMPUTED_VALUE"""),"zin")</f>
        <v>zin</v>
      </c>
      <c r="B13192" s="3" t="str">
        <f>IFERROR(__xludf.DUMMYFUNCTION("""COMPUTED_VALUE"""),"zin")</f>
        <v>zin</v>
      </c>
      <c r="C13192" s="3" t="str">
        <f>IFERROR(__xludf.DUMMYFUNCTION("""COMPUTED_VALUE"""),"Zin")</f>
        <v>Zin</v>
      </c>
    </row>
    <row r="13193">
      <c r="A13193" s="3" t="str">
        <f>IFERROR(__xludf.DUMMYFUNCTION("""COMPUTED_VALUE"""),"zinari")</f>
        <v>zinari</v>
      </c>
      <c r="B13193" s="3" t="str">
        <f>IFERROR(__xludf.DUMMYFUNCTION("""COMPUTED_VALUE"""),"zina")</f>
        <v>zina</v>
      </c>
      <c r="C13193" s="3" t="str">
        <f>IFERROR(__xludf.DUMMYFUNCTION("""COMPUTED_VALUE"""),"ZINARI")</f>
        <v>ZINARI</v>
      </c>
    </row>
    <row r="13194">
      <c r="A13194" s="3" t="str">
        <f>IFERROR(__xludf.DUMMYFUNCTION("""COMPUTED_VALUE"""),"zinja")</f>
        <v>zinja</v>
      </c>
      <c r="B13194" s="3" t="str">
        <f>IFERROR(__xludf.DUMMYFUNCTION("""COMPUTED_VALUE"""),"z")</f>
        <v>z</v>
      </c>
      <c r="C13194" s="3" t="str">
        <f>IFERROR(__xludf.DUMMYFUNCTION("""COMPUTED_VALUE"""),"Zinja")</f>
        <v>Zinja</v>
      </c>
    </row>
    <row r="13195">
      <c r="A13195" s="3" t="str">
        <f>IFERROR(__xludf.DUMMYFUNCTION("""COMPUTED_VALUE"""),"ziobitx")</f>
        <v>ziobitx</v>
      </c>
      <c r="B13195" s="3" t="str">
        <f>IFERROR(__xludf.DUMMYFUNCTION("""COMPUTED_VALUE"""),"zbtx")</f>
        <v>zbtx</v>
      </c>
      <c r="C13195" s="3" t="str">
        <f>IFERROR(__xludf.DUMMYFUNCTION("""COMPUTED_VALUE"""),"ZiobitX")</f>
        <v>ZiobitX</v>
      </c>
    </row>
    <row r="13196">
      <c r="A13196" s="3" t="str">
        <f>IFERROR(__xludf.DUMMYFUNCTION("""COMPUTED_VALUE"""),"zion")</f>
        <v>zion</v>
      </c>
      <c r="B13196" s="3" t="str">
        <f>IFERROR(__xludf.DUMMYFUNCTION("""COMPUTED_VALUE"""),"zion")</f>
        <v>zion</v>
      </c>
      <c r="C13196" s="3" t="str">
        <f>IFERROR(__xludf.DUMMYFUNCTION("""COMPUTED_VALUE"""),"Zion")</f>
        <v>Zion</v>
      </c>
    </row>
    <row r="13197">
      <c r="A13197" s="3" t="str">
        <f>IFERROR(__xludf.DUMMYFUNCTION("""COMPUTED_VALUE"""),"ziontopia")</f>
        <v>ziontopia</v>
      </c>
      <c r="B13197" s="3" t="str">
        <f>IFERROR(__xludf.DUMMYFUNCTION("""COMPUTED_VALUE"""),"zion")</f>
        <v>zion</v>
      </c>
      <c r="C13197" s="3" t="str">
        <f>IFERROR(__xludf.DUMMYFUNCTION("""COMPUTED_VALUE"""),"ZionTopia")</f>
        <v>ZionTopia</v>
      </c>
    </row>
    <row r="13198">
      <c r="A13198" s="3" t="str">
        <f>IFERROR(__xludf.DUMMYFUNCTION("""COMPUTED_VALUE"""),"ziot")</f>
        <v>ziot</v>
      </c>
      <c r="B13198" s="3" t="str">
        <f>IFERROR(__xludf.DUMMYFUNCTION("""COMPUTED_VALUE"""),"ziot")</f>
        <v>ziot</v>
      </c>
      <c r="C13198" s="3" t="str">
        <f>IFERROR(__xludf.DUMMYFUNCTION("""COMPUTED_VALUE"""),"Ziot")</f>
        <v>Ziot</v>
      </c>
    </row>
    <row r="13199">
      <c r="A13199" s="3" t="str">
        <f>IFERROR(__xludf.DUMMYFUNCTION("""COMPUTED_VALUE"""),"zip")</f>
        <v>zip</v>
      </c>
      <c r="B13199" s="3" t="str">
        <f>IFERROR(__xludf.DUMMYFUNCTION("""COMPUTED_VALUE"""),"zip")</f>
        <v>zip</v>
      </c>
      <c r="C13199" s="3" t="str">
        <f>IFERROR(__xludf.DUMMYFUNCTION("""COMPUTED_VALUE"""),"Zipper Network")</f>
        <v>Zipper Network</v>
      </c>
    </row>
    <row r="13200">
      <c r="A13200" s="3" t="str">
        <f>IFERROR(__xludf.DUMMYFUNCTION("""COMPUTED_VALUE"""),"zipmex-token")</f>
        <v>zipmex-token</v>
      </c>
      <c r="B13200" s="3" t="str">
        <f>IFERROR(__xludf.DUMMYFUNCTION("""COMPUTED_VALUE"""),"zmt")</f>
        <v>zmt</v>
      </c>
      <c r="C13200" s="3" t="str">
        <f>IFERROR(__xludf.DUMMYFUNCTION("""COMPUTED_VALUE"""),"Zipmex")</f>
        <v>Zipmex</v>
      </c>
    </row>
    <row r="13201">
      <c r="A13201" s="3" t="str">
        <f>IFERROR(__xludf.DUMMYFUNCTION("""COMPUTED_VALUE"""),"zippie")</f>
        <v>zippie</v>
      </c>
      <c r="B13201" s="3" t="str">
        <f>IFERROR(__xludf.DUMMYFUNCTION("""COMPUTED_VALUE"""),"zipt")</f>
        <v>zipt</v>
      </c>
      <c r="C13201" s="3" t="str">
        <f>IFERROR(__xludf.DUMMYFUNCTION("""COMPUTED_VALUE"""),"Zippie")</f>
        <v>Zippie</v>
      </c>
    </row>
    <row r="13202">
      <c r="A13202" s="3" t="str">
        <f>IFERROR(__xludf.DUMMYFUNCTION("""COMPUTED_VALUE"""),"zipswap")</f>
        <v>zipswap</v>
      </c>
      <c r="B13202" s="3" t="str">
        <f>IFERROR(__xludf.DUMMYFUNCTION("""COMPUTED_VALUE"""),"zip")</f>
        <v>zip</v>
      </c>
      <c r="C13202" s="3" t="str">
        <f>IFERROR(__xludf.DUMMYFUNCTION("""COMPUTED_VALUE"""),"ZipSwap")</f>
        <v>ZipSwap</v>
      </c>
    </row>
    <row r="13203">
      <c r="A13203" s="3" t="str">
        <f>IFERROR(__xludf.DUMMYFUNCTION("""COMPUTED_VALUE"""),"zircon-gamma-token")</f>
        <v>zircon-gamma-token</v>
      </c>
      <c r="B13203" s="3" t="str">
        <f>IFERROR(__xludf.DUMMYFUNCTION("""COMPUTED_VALUE"""),"zrg")</f>
        <v>zrg</v>
      </c>
      <c r="C13203" s="3" t="str">
        <f>IFERROR(__xludf.DUMMYFUNCTION("""COMPUTED_VALUE"""),"Zircon Gamma Token")</f>
        <v>Zircon Gamma Token</v>
      </c>
    </row>
    <row r="13204">
      <c r="A13204" s="3" t="str">
        <f>IFERROR(__xludf.DUMMYFUNCTION("""COMPUTED_VALUE"""),"zirve-coin")</f>
        <v>zirve-coin</v>
      </c>
      <c r="B13204" s="3" t="str">
        <f>IFERROR(__xludf.DUMMYFUNCTION("""COMPUTED_VALUE"""),"zirve")</f>
        <v>zirve</v>
      </c>
      <c r="C13204" s="3" t="str">
        <f>IFERROR(__xludf.DUMMYFUNCTION("""COMPUTED_VALUE"""),"Zirve Coin")</f>
        <v>Zirve Coin</v>
      </c>
    </row>
    <row r="13205">
      <c r="A13205" s="3" t="str">
        <f>IFERROR(__xludf.DUMMYFUNCTION("""COMPUTED_VALUE"""),"ziticoin")</f>
        <v>ziticoin</v>
      </c>
      <c r="B13205" s="3" t="str">
        <f>IFERROR(__xludf.DUMMYFUNCTION("""COMPUTED_VALUE"""),"ziti")</f>
        <v>ziti</v>
      </c>
      <c r="C13205" s="3" t="str">
        <f>IFERROR(__xludf.DUMMYFUNCTION("""COMPUTED_VALUE"""),"Ziticoin")</f>
        <v>Ziticoin</v>
      </c>
    </row>
    <row r="13206">
      <c r="A13206" s="3" t="str">
        <f>IFERROR(__xludf.DUMMYFUNCTION("""COMPUTED_VALUE"""),"zjoe")</f>
        <v>zjoe</v>
      </c>
      <c r="B13206" s="3" t="str">
        <f>IFERROR(__xludf.DUMMYFUNCTION("""COMPUTED_VALUE"""),"zjoe")</f>
        <v>zjoe</v>
      </c>
      <c r="C13206" s="3" t="str">
        <f>IFERROR(__xludf.DUMMYFUNCTION("""COMPUTED_VALUE"""),"zJOE")</f>
        <v>zJOE</v>
      </c>
    </row>
    <row r="13207">
      <c r="A13207" s="3" t="str">
        <f>IFERROR(__xludf.DUMMYFUNCTION("""COMPUTED_VALUE"""),"zkasino")</f>
        <v>zkasino</v>
      </c>
      <c r="B13207" s="3" t="str">
        <f>IFERROR(__xludf.DUMMYFUNCTION("""COMPUTED_VALUE"""),"zkas")</f>
        <v>zkas</v>
      </c>
      <c r="C13207" s="3" t="str">
        <f>IFERROR(__xludf.DUMMYFUNCTION("""COMPUTED_VALUE"""),"ZKasino")</f>
        <v>ZKasino</v>
      </c>
    </row>
    <row r="13208">
      <c r="A13208" s="3" t="str">
        <f>IFERROR(__xludf.DUMMYFUNCTION("""COMPUTED_VALUE"""),"zklend")</f>
        <v>zklend</v>
      </c>
      <c r="B13208" s="3" t="str">
        <f>IFERROR(__xludf.DUMMYFUNCTION("""COMPUTED_VALUE"""),"zend")</f>
        <v>zend</v>
      </c>
      <c r="C13208" s="3" t="str">
        <f>IFERROR(__xludf.DUMMYFUNCTION("""COMPUTED_VALUE"""),"zkLend")</f>
        <v>zkLend</v>
      </c>
    </row>
    <row r="13209">
      <c r="A13209" s="3" t="str">
        <f>IFERROR(__xludf.DUMMYFUNCTION("""COMPUTED_VALUE"""),"zkspace")</f>
        <v>zkspace</v>
      </c>
      <c r="B13209" s="3" t="str">
        <f>IFERROR(__xludf.DUMMYFUNCTION("""COMPUTED_VALUE"""),"zks")</f>
        <v>zks</v>
      </c>
      <c r="C13209" s="3" t="str">
        <f>IFERROR(__xludf.DUMMYFUNCTION("""COMPUTED_VALUE"""),"ZKSpace")</f>
        <v>ZKSpace</v>
      </c>
    </row>
    <row r="13210">
      <c r="A13210" s="3" t="str">
        <f>IFERROR(__xludf.DUMMYFUNCTION("""COMPUTED_VALUE"""),"zlot")</f>
        <v>zlot</v>
      </c>
      <c r="B13210" s="3" t="str">
        <f>IFERROR(__xludf.DUMMYFUNCTION("""COMPUTED_VALUE"""),"zlot")</f>
        <v>zlot</v>
      </c>
      <c r="C13210" s="3" t="str">
        <f>IFERROR(__xludf.DUMMYFUNCTION("""COMPUTED_VALUE"""),"zLOT")</f>
        <v>zLOT</v>
      </c>
    </row>
    <row r="13211">
      <c r="A13211" s="3" t="str">
        <f>IFERROR(__xludf.DUMMYFUNCTION("""COMPUTED_VALUE"""),"zmine")</f>
        <v>zmine</v>
      </c>
      <c r="B13211" s="3" t="str">
        <f>IFERROR(__xludf.DUMMYFUNCTION("""COMPUTED_VALUE"""),"zmn")</f>
        <v>zmn</v>
      </c>
      <c r="C13211" s="3" t="str">
        <f>IFERROR(__xludf.DUMMYFUNCTION("""COMPUTED_VALUE"""),"ZMINE")</f>
        <v>ZMINE</v>
      </c>
    </row>
    <row r="13212">
      <c r="A13212" s="3" t="str">
        <f>IFERROR(__xludf.DUMMYFUNCTION("""COMPUTED_VALUE"""),"zodiacs")</f>
        <v>zodiacs</v>
      </c>
      <c r="B13212" s="3" t="str">
        <f>IFERROR(__xludf.DUMMYFUNCTION("""COMPUTED_VALUE"""),"zdc")</f>
        <v>zdc</v>
      </c>
      <c r="C13212" s="3" t="str">
        <f>IFERROR(__xludf.DUMMYFUNCTION("""COMPUTED_VALUE"""),"Zodiacs")</f>
        <v>Zodiacs</v>
      </c>
    </row>
    <row r="13213">
      <c r="A13213" s="3" t="str">
        <f>IFERROR(__xludf.DUMMYFUNCTION("""COMPUTED_VALUE"""),"zodiacsv2")</f>
        <v>zodiacsv2</v>
      </c>
      <c r="B13213" s="3" t="str">
        <f>IFERROR(__xludf.DUMMYFUNCTION("""COMPUTED_VALUE"""),"zdcv2")</f>
        <v>zdcv2</v>
      </c>
      <c r="C13213" s="3" t="str">
        <f>IFERROR(__xludf.DUMMYFUNCTION("""COMPUTED_VALUE"""),"ZodiacsV2")</f>
        <v>ZodiacsV2</v>
      </c>
    </row>
    <row r="13214">
      <c r="A13214" s="3" t="str">
        <f>IFERROR(__xludf.DUMMYFUNCTION("""COMPUTED_VALUE"""),"zodium")</f>
        <v>zodium</v>
      </c>
      <c r="B13214" s="3" t="str">
        <f>IFERROR(__xludf.DUMMYFUNCTION("""COMPUTED_VALUE"""),"zodi")</f>
        <v>zodi</v>
      </c>
      <c r="C13214" s="3" t="str">
        <f>IFERROR(__xludf.DUMMYFUNCTION("""COMPUTED_VALUE"""),"Zodium")</f>
        <v>Zodium</v>
      </c>
    </row>
    <row r="13215">
      <c r="A13215" s="3" t="str">
        <f>IFERROR(__xludf.DUMMYFUNCTION("""COMPUTED_VALUE"""),"zoid-pay")</f>
        <v>zoid-pay</v>
      </c>
      <c r="B13215" s="3" t="str">
        <f>IFERROR(__xludf.DUMMYFUNCTION("""COMPUTED_VALUE"""),"zpay")</f>
        <v>zpay</v>
      </c>
      <c r="C13215" s="3" t="str">
        <f>IFERROR(__xludf.DUMMYFUNCTION("""COMPUTED_VALUE"""),"ZoidPay")</f>
        <v>ZoidPay</v>
      </c>
    </row>
    <row r="13216">
      <c r="A13216" s="3" t="str">
        <f>IFERROR(__xludf.DUMMYFUNCTION("""COMPUTED_VALUE"""),"zombie-inu")</f>
        <v>zombie-inu</v>
      </c>
      <c r="B13216" s="3" t="str">
        <f>IFERROR(__xludf.DUMMYFUNCTION("""COMPUTED_VALUE"""),"zinu")</f>
        <v>zinu</v>
      </c>
      <c r="C13216" s="3" t="str">
        <f>IFERROR(__xludf.DUMMYFUNCTION("""COMPUTED_VALUE"""),"Zombie Inu")</f>
        <v>Zombie Inu</v>
      </c>
    </row>
    <row r="13217">
      <c r="A13217" s="3" t="str">
        <f>IFERROR(__xludf.DUMMYFUNCTION("""COMPUTED_VALUE"""),"zombie-runner")</f>
        <v>zombie-runner</v>
      </c>
      <c r="B13217" s="3" t="str">
        <f>IFERROR(__xludf.DUMMYFUNCTION("""COMPUTED_VALUE"""),"zombie")</f>
        <v>zombie</v>
      </c>
      <c r="C13217" s="3" t="str">
        <f>IFERROR(__xludf.DUMMYFUNCTION("""COMPUTED_VALUE"""),"Zombie Runner")</f>
        <v>Zombie Runner</v>
      </c>
    </row>
    <row r="13218">
      <c r="A13218" s="3" t="str">
        <f>IFERROR(__xludf.DUMMYFUNCTION("""COMPUTED_VALUE"""),"zombie-skrat")</f>
        <v>zombie-skrat</v>
      </c>
      <c r="B13218" s="3" t="str">
        <f>IFERROR(__xludf.DUMMYFUNCTION("""COMPUTED_VALUE"""),"zskrat")</f>
        <v>zskrat</v>
      </c>
      <c r="C13218" s="3" t="str">
        <f>IFERROR(__xludf.DUMMYFUNCTION("""COMPUTED_VALUE"""),"ZOMBIE SKRAT")</f>
        <v>ZOMBIE SKRAT</v>
      </c>
    </row>
    <row r="13219">
      <c r="A13219" s="3" t="str">
        <f>IFERROR(__xludf.DUMMYFUNCTION("""COMPUTED_VALUE"""),"zombie-world-z")</f>
        <v>zombie-world-z</v>
      </c>
      <c r="B13219" s="3" t="str">
        <f>IFERROR(__xludf.DUMMYFUNCTION("""COMPUTED_VALUE"""),"zwz")</f>
        <v>zwz</v>
      </c>
      <c r="C13219" s="3" t="str">
        <f>IFERROR(__xludf.DUMMYFUNCTION("""COMPUTED_VALUE"""),"Zombie World Z")</f>
        <v>Zombie World Z</v>
      </c>
    </row>
    <row r="13220">
      <c r="A13220" s="3" t="str">
        <f>IFERROR(__xludf.DUMMYFUNCTION("""COMPUTED_VALUE"""),"zomfi")</f>
        <v>zomfi</v>
      </c>
      <c r="B13220" s="3" t="str">
        <f>IFERROR(__xludf.DUMMYFUNCTION("""COMPUTED_VALUE"""),"zomfi")</f>
        <v>zomfi</v>
      </c>
      <c r="C13220" s="3" t="str">
        <f>IFERROR(__xludf.DUMMYFUNCTION("""COMPUTED_VALUE"""),"Zomfi")</f>
        <v>Zomfi</v>
      </c>
    </row>
    <row r="13221">
      <c r="A13221" s="3" t="str">
        <f>IFERROR(__xludf.DUMMYFUNCTION("""COMPUTED_VALUE"""),"zomi")</f>
        <v>zomi</v>
      </c>
      <c r="B13221" s="3" t="str">
        <f>IFERROR(__xludf.DUMMYFUNCTION("""COMPUTED_VALUE"""),"zomi")</f>
        <v>zomi</v>
      </c>
      <c r="C13221" s="3" t="str">
        <f>IFERROR(__xludf.DUMMYFUNCTION("""COMPUTED_VALUE"""),"ZOMI")</f>
        <v>ZOMI</v>
      </c>
    </row>
    <row r="13222">
      <c r="A13222" s="3" t="str">
        <f>IFERROR(__xludf.DUMMYFUNCTION("""COMPUTED_VALUE"""),"zone")</f>
        <v>zone</v>
      </c>
      <c r="B13222" s="3" t="str">
        <f>IFERROR(__xludf.DUMMYFUNCTION("""COMPUTED_VALUE"""),"zone")</f>
        <v>zone</v>
      </c>
      <c r="C13222" s="3" t="str">
        <f>IFERROR(__xludf.DUMMYFUNCTION("""COMPUTED_VALUE"""),"Zone")</f>
        <v>Zone</v>
      </c>
    </row>
    <row r="13223">
      <c r="A13223" s="3" t="str">
        <f>IFERROR(__xludf.DUMMYFUNCTION("""COMPUTED_VALUE"""),"zonecoin")</f>
        <v>zonecoin</v>
      </c>
      <c r="B13223" s="3" t="str">
        <f>IFERROR(__xludf.DUMMYFUNCTION("""COMPUTED_VALUE"""),"zne")</f>
        <v>zne</v>
      </c>
      <c r="C13223" s="3" t="str">
        <f>IFERROR(__xludf.DUMMYFUNCTION("""COMPUTED_VALUE"""),"Zonecoin")</f>
        <v>Zonecoin</v>
      </c>
    </row>
    <row r="13224">
      <c r="A13224" s="3" t="str">
        <f>IFERROR(__xludf.DUMMYFUNCTION("""COMPUTED_VALUE"""),"zone-of-avoidance")</f>
        <v>zone-of-avoidance</v>
      </c>
      <c r="B13224" s="3" t="str">
        <f>IFERROR(__xludf.DUMMYFUNCTION("""COMPUTED_VALUE"""),"zoa")</f>
        <v>zoa</v>
      </c>
      <c r="C13224" s="3" t="str">
        <f>IFERROR(__xludf.DUMMYFUNCTION("""COMPUTED_VALUE"""),"Zone of Avoidance")</f>
        <v>Zone of Avoidance</v>
      </c>
    </row>
    <row r="13225">
      <c r="A13225" s="3" t="str">
        <f>IFERROR(__xludf.DUMMYFUNCTION("""COMPUTED_VALUE"""),"zoo-coin")</f>
        <v>zoo-coin</v>
      </c>
      <c r="B13225" s="3" t="str">
        <f>IFERROR(__xludf.DUMMYFUNCTION("""COMPUTED_VALUE"""),"zoo")</f>
        <v>zoo</v>
      </c>
      <c r="C13225" s="3" t="str">
        <f>IFERROR(__xludf.DUMMYFUNCTION("""COMPUTED_VALUE"""),"ZooCoin")</f>
        <v>ZooCoin</v>
      </c>
    </row>
    <row r="13226">
      <c r="A13226" s="3" t="str">
        <f>IFERROR(__xludf.DUMMYFUNCTION("""COMPUTED_VALUE"""),"zoo-crypto-world")</f>
        <v>zoo-crypto-world</v>
      </c>
      <c r="B13226" s="3" t="str">
        <f>IFERROR(__xludf.DUMMYFUNCTION("""COMPUTED_VALUE"""),"zoo")</f>
        <v>zoo</v>
      </c>
      <c r="C13226" s="3" t="str">
        <f>IFERROR(__xludf.DUMMYFUNCTION("""COMPUTED_VALUE"""),"ZOO Crypto World")</f>
        <v>ZOO Crypto World</v>
      </c>
    </row>
    <row r="13227">
      <c r="A13227" s="3" t="str">
        <f>IFERROR(__xludf.DUMMYFUNCTION("""COMPUTED_VALUE"""),"zoodao")</f>
        <v>zoodao</v>
      </c>
      <c r="B13227" s="3" t="str">
        <f>IFERROR(__xludf.DUMMYFUNCTION("""COMPUTED_VALUE"""),"zoo")</f>
        <v>zoo</v>
      </c>
      <c r="C13227" s="3" t="str">
        <f>IFERROR(__xludf.DUMMYFUNCTION("""COMPUTED_VALUE"""),"ZooDAO")</f>
        <v>ZooDAO</v>
      </c>
    </row>
    <row r="13228">
      <c r="A13228" s="3" t="str">
        <f>IFERROR(__xludf.DUMMYFUNCTION("""COMPUTED_VALUE"""),"zookeeper")</f>
        <v>zookeeper</v>
      </c>
      <c r="B13228" s="3" t="str">
        <f>IFERROR(__xludf.DUMMYFUNCTION("""COMPUTED_VALUE"""),"zoo")</f>
        <v>zoo</v>
      </c>
      <c r="C13228" s="3" t="str">
        <f>IFERROR(__xludf.DUMMYFUNCTION("""COMPUTED_VALUE"""),"ZooKeeper")</f>
        <v>ZooKeeper</v>
      </c>
    </row>
    <row r="13229">
      <c r="A13229" s="3" t="str">
        <f>IFERROR(__xludf.DUMMYFUNCTION("""COMPUTED_VALUE"""),"zoo-labs")</f>
        <v>zoo-labs</v>
      </c>
      <c r="B13229" s="3" t="str">
        <f>IFERROR(__xludf.DUMMYFUNCTION("""COMPUTED_VALUE"""),"zoo")</f>
        <v>zoo</v>
      </c>
      <c r="C13229" s="3" t="str">
        <f>IFERROR(__xludf.DUMMYFUNCTION("""COMPUTED_VALUE"""),"Zoo Labs")</f>
        <v>Zoo Labs</v>
      </c>
    </row>
    <row r="13230">
      <c r="A13230" s="3" t="str">
        <f>IFERROR(__xludf.DUMMYFUNCTION("""COMPUTED_VALUE"""),"zoomswap")</f>
        <v>zoomswap</v>
      </c>
      <c r="B13230" s="3" t="str">
        <f>IFERROR(__xludf.DUMMYFUNCTION("""COMPUTED_VALUE"""),"zm")</f>
        <v>zm</v>
      </c>
      <c r="C13230" s="3" t="str">
        <f>IFERROR(__xludf.DUMMYFUNCTION("""COMPUTED_VALUE"""),"ZoomSwap")</f>
        <v>ZoomSwap</v>
      </c>
    </row>
    <row r="13231">
      <c r="A13231" s="3" t="str">
        <f>IFERROR(__xludf.DUMMYFUNCTION("""COMPUTED_VALUE"""),"zoopad")</f>
        <v>zoopad</v>
      </c>
      <c r="B13231" s="3" t="str">
        <f>IFERROR(__xludf.DUMMYFUNCTION("""COMPUTED_VALUE"""),"zoopad")</f>
        <v>zoopad</v>
      </c>
      <c r="C13231" s="3" t="str">
        <f>IFERROR(__xludf.DUMMYFUNCTION("""COMPUTED_VALUE"""),"ZOOPAD")</f>
        <v>ZOOPAD</v>
      </c>
    </row>
    <row r="13232">
      <c r="A13232" s="3" t="str">
        <f>IFERROR(__xludf.DUMMYFUNCTION("""COMPUTED_VALUE"""),"zooshi")</f>
        <v>zooshi</v>
      </c>
      <c r="B13232" s="3" t="str">
        <f>IFERROR(__xludf.DUMMYFUNCTION("""COMPUTED_VALUE"""),"zooshi")</f>
        <v>zooshi</v>
      </c>
      <c r="C13232" s="3" t="str">
        <f>IFERROR(__xludf.DUMMYFUNCTION("""COMPUTED_VALUE"""),"Zooshi")</f>
        <v>Zooshi</v>
      </c>
    </row>
    <row r="13233">
      <c r="A13233" s="3" t="str">
        <f>IFERROR(__xludf.DUMMYFUNCTION("""COMPUTED_VALUE"""),"zoo-token")</f>
        <v>zoo-token</v>
      </c>
      <c r="B13233" s="3" t="str">
        <f>IFERROR(__xludf.DUMMYFUNCTION("""COMPUTED_VALUE"""),"zoot")</f>
        <v>zoot</v>
      </c>
      <c r="C13233" s="3" t="str">
        <f>IFERROR(__xludf.DUMMYFUNCTION("""COMPUTED_VALUE"""),"Zoo")</f>
        <v>Zoo</v>
      </c>
    </row>
    <row r="13234">
      <c r="A13234" s="3" t="str">
        <f>IFERROR(__xludf.DUMMYFUNCTION("""COMPUTED_VALUE"""),"zoracles")</f>
        <v>zoracles</v>
      </c>
      <c r="B13234" s="3" t="str">
        <f>IFERROR(__xludf.DUMMYFUNCTION("""COMPUTED_VALUE"""),"zora")</f>
        <v>zora</v>
      </c>
      <c r="C13234" s="3" t="str">
        <f>IFERROR(__xludf.DUMMYFUNCTION("""COMPUTED_VALUE"""),"Zoracles")</f>
        <v>Zoracles</v>
      </c>
    </row>
    <row r="13235">
      <c r="A13235" s="3" t="str">
        <f>IFERROR(__xludf.DUMMYFUNCTION("""COMPUTED_VALUE"""),"zoro-inu")</f>
        <v>zoro-inu</v>
      </c>
      <c r="B13235" s="3" t="str">
        <f>IFERROR(__xludf.DUMMYFUNCTION("""COMPUTED_VALUE"""),"zoro")</f>
        <v>zoro</v>
      </c>
      <c r="C13235" s="3" t="str">
        <f>IFERROR(__xludf.DUMMYFUNCTION("""COMPUTED_VALUE"""),"Zoro Inu")</f>
        <v>Zoro Inu</v>
      </c>
    </row>
    <row r="13236">
      <c r="A13236" s="3" t="str">
        <f>IFERROR(__xludf.DUMMYFUNCTION("""COMPUTED_VALUE"""),"zrcoin")</f>
        <v>zrcoin</v>
      </c>
      <c r="B13236" s="3" t="str">
        <f>IFERROR(__xludf.DUMMYFUNCTION("""COMPUTED_VALUE"""),"zrc")</f>
        <v>zrc</v>
      </c>
      <c r="C13236" s="3" t="str">
        <f>IFERROR(__xludf.DUMMYFUNCTION("""COMPUTED_VALUE"""),"ZrCoin")</f>
        <v>ZrCoin</v>
      </c>
    </row>
    <row r="13237">
      <c r="A13237" s="3" t="str">
        <f>IFERROR(__xludf.DUMMYFUNCTION("""COMPUTED_VALUE"""),"zro")</f>
        <v>zro</v>
      </c>
      <c r="B13237" s="3" t="str">
        <f>IFERROR(__xludf.DUMMYFUNCTION("""COMPUTED_VALUE"""),"zro")</f>
        <v>zro</v>
      </c>
      <c r="C13237" s="4" t="str">
        <f>IFERROR(__xludf.DUMMYFUNCTION("""COMPUTED_VALUE"""),"Carb0n.fi")</f>
        <v>Carb0n.fi</v>
      </c>
    </row>
    <row r="13238">
      <c r="A13238" s="3" t="str">
        <f>IFERROR(__xludf.DUMMYFUNCTION("""COMPUTED_VALUE"""),"zudgezury")</f>
        <v>zudgezury</v>
      </c>
      <c r="B13238" s="3" t="str">
        <f>IFERROR(__xludf.DUMMYFUNCTION("""COMPUTED_VALUE"""),"zzc")</f>
        <v>zzc</v>
      </c>
      <c r="C13238" s="3" t="str">
        <f>IFERROR(__xludf.DUMMYFUNCTION("""COMPUTED_VALUE"""),"ZudgeZury")</f>
        <v>ZudgeZury</v>
      </c>
    </row>
    <row r="13239">
      <c r="A13239" s="3" t="str">
        <f>IFERROR(__xludf.DUMMYFUNCTION("""COMPUTED_VALUE"""),"zufinance")</f>
        <v>zufinance</v>
      </c>
      <c r="B13239" s="3" t="str">
        <f>IFERROR(__xludf.DUMMYFUNCTION("""COMPUTED_VALUE"""),"zuf")</f>
        <v>zuf</v>
      </c>
      <c r="C13239" s="3" t="str">
        <f>IFERROR(__xludf.DUMMYFUNCTION("""COMPUTED_VALUE"""),"ZuFinance")</f>
        <v>ZuFinance</v>
      </c>
    </row>
    <row r="13240">
      <c r="A13240" s="3" t="str">
        <f>IFERROR(__xludf.DUMMYFUNCTION("""COMPUTED_VALUE"""),"zuki-moba")</f>
        <v>zuki-moba</v>
      </c>
      <c r="B13240" s="3" t="str">
        <f>IFERROR(__xludf.DUMMYFUNCTION("""COMPUTED_VALUE"""),"zuki")</f>
        <v>zuki</v>
      </c>
      <c r="C13240" s="3" t="str">
        <f>IFERROR(__xludf.DUMMYFUNCTION("""COMPUTED_VALUE"""),"Zuki Moba")</f>
        <v>Zuki Moba</v>
      </c>
    </row>
    <row r="13241">
      <c r="A13241" s="3" t="str">
        <f>IFERROR(__xludf.DUMMYFUNCTION("""COMPUTED_VALUE"""),"zum-token")</f>
        <v>zum-token</v>
      </c>
      <c r="B13241" s="3" t="str">
        <f>IFERROR(__xludf.DUMMYFUNCTION("""COMPUTED_VALUE"""),"zum")</f>
        <v>zum</v>
      </c>
      <c r="C13241" s="3" t="str">
        <f>IFERROR(__xludf.DUMMYFUNCTION("""COMPUTED_VALUE"""),"ZUM")</f>
        <v>ZUM</v>
      </c>
    </row>
    <row r="13242">
      <c r="A13242" s="3" t="str">
        <f>IFERROR(__xludf.DUMMYFUNCTION("""COMPUTED_VALUE"""),"zuna")</f>
        <v>zuna</v>
      </c>
      <c r="B13242" s="3" t="str">
        <f>IFERROR(__xludf.DUMMYFUNCTION("""COMPUTED_VALUE"""),"zuna")</f>
        <v>zuna</v>
      </c>
      <c r="C13242" s="3" t="str">
        <f>IFERROR(__xludf.DUMMYFUNCTION("""COMPUTED_VALUE"""),"Zuna")</f>
        <v>Zuna</v>
      </c>
    </row>
    <row r="13243">
      <c r="A13243" s="3" t="str">
        <f>IFERROR(__xludf.DUMMYFUNCTION("""COMPUTED_VALUE"""),"zunami-protocol")</f>
        <v>zunami-protocol</v>
      </c>
      <c r="B13243" s="3" t="str">
        <f>IFERROR(__xludf.DUMMYFUNCTION("""COMPUTED_VALUE"""),"uzd")</f>
        <v>uzd</v>
      </c>
      <c r="C13243" s="3" t="str">
        <f>IFERROR(__xludf.DUMMYFUNCTION("""COMPUTED_VALUE"""),"Zunami USD")</f>
        <v>Zunami USD</v>
      </c>
    </row>
    <row r="13244">
      <c r="A13244" s="3" t="str">
        <f>IFERROR(__xludf.DUMMYFUNCTION("""COMPUTED_VALUE"""),"zupi-coin")</f>
        <v>zupi-coin</v>
      </c>
      <c r="B13244" s="3" t="str">
        <f>IFERROR(__xludf.DUMMYFUNCTION("""COMPUTED_VALUE"""),"zupi")</f>
        <v>zupi</v>
      </c>
      <c r="C13244" s="3" t="str">
        <f>IFERROR(__xludf.DUMMYFUNCTION("""COMPUTED_VALUE"""),"Zupi Coin")</f>
        <v>Zupi Coin</v>
      </c>
    </row>
    <row r="13245">
      <c r="A13245" s="3" t="str">
        <f>IFERROR(__xludf.DUMMYFUNCTION("""COMPUTED_VALUE"""),"zuplo")</f>
        <v>zuplo</v>
      </c>
      <c r="B13245" s="3" t="str">
        <f>IFERROR(__xludf.DUMMYFUNCTION("""COMPUTED_VALUE"""),"zlp")</f>
        <v>zlp</v>
      </c>
      <c r="C13245" s="3" t="str">
        <f>IFERROR(__xludf.DUMMYFUNCTION("""COMPUTED_VALUE"""),"Zuplo")</f>
        <v>Zuplo</v>
      </c>
    </row>
    <row r="13246">
      <c r="A13246" s="3" t="str">
        <f>IFERROR(__xludf.DUMMYFUNCTION("""COMPUTED_VALUE"""),"zurrency")</f>
        <v>zurrency</v>
      </c>
      <c r="B13246" s="3" t="str">
        <f>IFERROR(__xludf.DUMMYFUNCTION("""COMPUTED_VALUE"""),"zurr")</f>
        <v>zurr</v>
      </c>
      <c r="C13246" s="3" t="str">
        <f>IFERROR(__xludf.DUMMYFUNCTION("""COMPUTED_VALUE"""),"ZURRENCY")</f>
        <v>ZURRENCY</v>
      </c>
    </row>
    <row r="13247">
      <c r="A13247" s="3" t="str">
        <f>IFERROR(__xludf.DUMMYFUNCTION("""COMPUTED_VALUE"""),"zusd")</f>
        <v>zusd</v>
      </c>
      <c r="B13247" s="3" t="str">
        <f>IFERROR(__xludf.DUMMYFUNCTION("""COMPUTED_VALUE"""),"zusd")</f>
        <v>zusd</v>
      </c>
      <c r="C13247" s="3" t="str">
        <f>IFERROR(__xludf.DUMMYFUNCTION("""COMPUTED_VALUE"""),"ZUSD")</f>
        <v>ZUSD</v>
      </c>
    </row>
    <row r="13248">
      <c r="A13248" s="3" t="str">
        <f>IFERROR(__xludf.DUMMYFUNCTION("""COMPUTED_VALUE"""),"zuz-protocol")</f>
        <v>zuz-protocol</v>
      </c>
      <c r="B13248" s="3" t="str">
        <f>IFERROR(__xludf.DUMMYFUNCTION("""COMPUTED_VALUE"""),"zuz")</f>
        <v>zuz</v>
      </c>
      <c r="C13248" s="3" t="str">
        <f>IFERROR(__xludf.DUMMYFUNCTION("""COMPUTED_VALUE"""),"ZUZ Protocol")</f>
        <v>ZUZ Protocol</v>
      </c>
    </row>
    <row r="13249">
      <c r="A13249" s="3" t="str">
        <f>IFERROR(__xludf.DUMMYFUNCTION("""COMPUTED_VALUE"""),"z-versus-project")</f>
        <v>z-versus-project</v>
      </c>
      <c r="B13249" s="3" t="str">
        <f>IFERROR(__xludf.DUMMYFUNCTION("""COMPUTED_VALUE"""),"zversus")</f>
        <v>zversus</v>
      </c>
      <c r="C13249" s="3" t="str">
        <f>IFERROR(__xludf.DUMMYFUNCTION("""COMPUTED_VALUE"""),"Z Versus Project")</f>
        <v>Z Versus Project</v>
      </c>
    </row>
    <row r="13250">
      <c r="A13250" s="3" t="str">
        <f>IFERROR(__xludf.DUMMYFUNCTION("""COMPUTED_VALUE"""),"zynecoin")</f>
        <v>zynecoin</v>
      </c>
      <c r="B13250" s="3" t="str">
        <f>IFERROR(__xludf.DUMMYFUNCTION("""COMPUTED_VALUE"""),"zyn")</f>
        <v>zyn</v>
      </c>
      <c r="C13250" s="3" t="str">
        <f>IFERROR(__xludf.DUMMYFUNCTION("""COMPUTED_VALUE"""),"Zynecoin")</f>
        <v>Zynecoin</v>
      </c>
    </row>
    <row r="13251">
      <c r="A13251" s="3" t="str">
        <f>IFERROR(__xludf.DUMMYFUNCTION("""COMPUTED_VALUE"""),"zyro")</f>
        <v>zyro</v>
      </c>
      <c r="B13251" s="3" t="str">
        <f>IFERROR(__xludf.DUMMYFUNCTION("""COMPUTED_VALUE"""),"zyro")</f>
        <v>zyro</v>
      </c>
      <c r="C13251" s="3" t="str">
        <f>IFERROR(__xludf.DUMMYFUNCTION("""COMPUTED_VALUE"""),"Zyro")</f>
        <v>Zyro</v>
      </c>
    </row>
    <row r="13252">
      <c r="A13252" s="3" t="str">
        <f>IFERROR(__xludf.DUMMYFUNCTION("""COMPUTED_VALUE"""),"zyrri")</f>
        <v>zyrri</v>
      </c>
      <c r="B13252" s="3" t="str">
        <f>IFERROR(__xludf.DUMMYFUNCTION("""COMPUTED_VALUE"""),"zyr")</f>
        <v>zyr</v>
      </c>
      <c r="C13252" s="3" t="str">
        <f>IFERROR(__xludf.DUMMYFUNCTION("""COMPUTED_VALUE"""),"Zyrri")</f>
        <v>Zyrri</v>
      </c>
    </row>
    <row r="13253">
      <c r="A13253" s="3" t="str">
        <f>IFERROR(__xludf.DUMMYFUNCTION("""COMPUTED_VALUE"""),"zytara-dollar")</f>
        <v>zytara-dollar</v>
      </c>
      <c r="B13253" s="3" t="str">
        <f>IFERROR(__xludf.DUMMYFUNCTION("""COMPUTED_VALUE"""),"zusd")</f>
        <v>zusd</v>
      </c>
      <c r="C13253" s="3" t="str">
        <f>IFERROR(__xludf.DUMMYFUNCTION("""COMPUTED_VALUE"""),"Zytara Dollar")</f>
        <v>Zytara Dollar</v>
      </c>
    </row>
    <row r="13254">
      <c r="A13254" s="3" t="str">
        <f>IFERROR(__xludf.DUMMYFUNCTION("""COMPUTED_VALUE"""),"zyx")</f>
        <v>zyx</v>
      </c>
      <c r="B13254" s="3" t="str">
        <f>IFERROR(__xludf.DUMMYFUNCTION("""COMPUTED_VALUE"""),"zyx")</f>
        <v>zyx</v>
      </c>
      <c r="C13254" s="3" t="str">
        <f>IFERROR(__xludf.DUMMYFUNCTION("""COMPUTED_VALUE"""),"ZYX")</f>
        <v>ZYX</v>
      </c>
    </row>
    <row r="13255">
      <c r="A13255" s="3"/>
      <c r="B13255" s="3"/>
      <c r="C13255" s="3"/>
    </row>
    <row r="13256">
      <c r="A13256" s="3"/>
      <c r="B13256" s="3"/>
      <c r="C13256" s="3"/>
    </row>
    <row r="13257">
      <c r="A13257" s="3"/>
      <c r="B13257" s="3"/>
      <c r="C13257" s="3"/>
    </row>
    <row r="13258">
      <c r="A13258" s="3"/>
      <c r="B13258" s="3"/>
      <c r="C13258" s="3"/>
    </row>
    <row r="13259">
      <c r="A13259" s="3"/>
      <c r="B13259" s="3"/>
      <c r="C13259" s="3"/>
    </row>
    <row r="13260">
      <c r="A13260" s="3"/>
      <c r="B13260" s="3"/>
      <c r="C13260" s="3"/>
    </row>
    <row r="13261">
      <c r="A13261" s="3"/>
      <c r="B13261" s="3"/>
      <c r="C13261" s="3"/>
    </row>
    <row r="13262">
      <c r="A13262" s="3"/>
      <c r="B13262" s="3"/>
      <c r="C13262" s="3"/>
    </row>
    <row r="13263">
      <c r="A13263" s="3"/>
      <c r="B13263" s="3"/>
      <c r="C13263" s="3"/>
    </row>
    <row r="13264">
      <c r="A13264" s="3"/>
      <c r="B13264" s="3"/>
      <c r="C13264" s="3"/>
    </row>
    <row r="13265">
      <c r="A13265" s="3"/>
      <c r="B13265" s="3"/>
      <c r="C13265" s="3"/>
    </row>
    <row r="13266">
      <c r="A13266" s="3"/>
      <c r="B13266" s="3"/>
      <c r="C13266" s="3"/>
    </row>
    <row r="13267">
      <c r="A13267" s="3"/>
      <c r="B13267" s="3"/>
      <c r="C13267" s="3"/>
    </row>
    <row r="13268">
      <c r="A13268" s="3"/>
      <c r="B13268" s="3"/>
      <c r="C13268" s="3"/>
    </row>
    <row r="13269">
      <c r="A13269" s="3"/>
      <c r="B13269" s="3"/>
      <c r="C13269" s="3"/>
    </row>
    <row r="13270">
      <c r="A13270" s="3"/>
      <c r="B13270" s="3"/>
      <c r="C13270" s="3"/>
    </row>
    <row r="13271">
      <c r="A13271" s="3"/>
      <c r="B13271" s="3"/>
      <c r="C13271" s="3"/>
    </row>
    <row r="13272">
      <c r="A13272" s="3"/>
      <c r="B13272" s="3"/>
      <c r="C13272" s="3"/>
    </row>
    <row r="13273">
      <c r="A13273" s="3"/>
      <c r="B13273" s="3"/>
      <c r="C13273" s="3"/>
    </row>
    <row r="13274">
      <c r="A13274" s="3"/>
      <c r="B13274" s="3"/>
      <c r="C13274" s="3"/>
    </row>
    <row r="13275">
      <c r="A13275" s="3"/>
      <c r="B13275" s="3"/>
      <c r="C13275" s="3"/>
    </row>
    <row r="13276">
      <c r="A13276" s="3"/>
      <c r="B13276" s="3"/>
      <c r="C13276" s="3"/>
    </row>
    <row r="13277">
      <c r="A13277" s="3"/>
      <c r="B13277" s="3"/>
      <c r="C13277" s="3"/>
    </row>
    <row r="13278">
      <c r="A13278" s="3"/>
      <c r="B13278" s="3"/>
      <c r="C13278" s="3"/>
    </row>
    <row r="13279">
      <c r="A13279" s="3"/>
      <c r="B13279" s="3"/>
      <c r="C13279" s="3"/>
    </row>
    <row r="13280">
      <c r="A13280" s="3"/>
      <c r="B13280" s="3"/>
      <c r="C13280" s="3"/>
    </row>
    <row r="13281">
      <c r="A13281" s="3"/>
      <c r="B13281" s="3"/>
      <c r="C13281" s="3"/>
    </row>
    <row r="13282">
      <c r="A13282" s="3"/>
      <c r="B13282" s="3"/>
      <c r="C13282" s="3"/>
    </row>
    <row r="13283">
      <c r="A13283" s="3"/>
      <c r="B13283" s="3"/>
      <c r="C13283" s="3"/>
    </row>
    <row r="13284">
      <c r="A13284" s="3"/>
      <c r="B13284" s="3"/>
      <c r="C13284" s="3"/>
    </row>
    <row r="13285">
      <c r="A13285" s="3"/>
      <c r="B13285" s="3"/>
      <c r="C13285" s="3"/>
    </row>
    <row r="13286">
      <c r="A13286" s="3"/>
      <c r="B13286" s="3"/>
      <c r="C13286" s="3"/>
    </row>
    <row r="13287">
      <c r="A13287" s="3"/>
      <c r="B13287" s="3"/>
      <c r="C13287" s="3"/>
    </row>
    <row r="13288">
      <c r="A13288" s="3"/>
      <c r="B13288" s="3"/>
      <c r="C13288" s="3"/>
    </row>
    <row r="13289">
      <c r="A13289" s="3"/>
      <c r="B13289" s="3"/>
      <c r="C13289" s="3"/>
    </row>
    <row r="13290">
      <c r="A13290" s="3"/>
      <c r="B13290" s="3"/>
      <c r="C13290" s="3"/>
    </row>
    <row r="13291">
      <c r="A13291" s="3"/>
      <c r="B13291" s="3"/>
      <c r="C13291" s="3"/>
    </row>
    <row r="13292">
      <c r="A13292" s="3"/>
      <c r="B13292" s="3"/>
      <c r="C13292" s="3"/>
    </row>
    <row r="13293">
      <c r="A13293" s="3"/>
      <c r="B13293" s="3"/>
      <c r="C13293" s="3"/>
    </row>
    <row r="13294">
      <c r="A13294" s="3"/>
      <c r="B13294" s="3"/>
      <c r="C13294" s="3"/>
    </row>
    <row r="13295">
      <c r="A13295" s="3"/>
      <c r="B13295" s="3"/>
      <c r="C13295" s="3"/>
    </row>
    <row r="13296">
      <c r="A13296" s="3"/>
      <c r="B13296" s="3"/>
      <c r="C13296" s="3"/>
    </row>
    <row r="13297">
      <c r="A13297" s="3"/>
      <c r="B13297" s="3"/>
      <c r="C13297" s="3"/>
    </row>
    <row r="13298">
      <c r="A13298" s="3"/>
      <c r="B13298" s="3"/>
      <c r="C13298" s="3"/>
    </row>
    <row r="13299">
      <c r="A13299" s="3"/>
      <c r="B13299" s="3"/>
      <c r="C13299" s="3"/>
    </row>
    <row r="13300">
      <c r="A13300" s="3"/>
      <c r="B13300" s="3"/>
      <c r="C13300" s="3"/>
    </row>
    <row r="13301">
      <c r="A13301" s="3"/>
      <c r="B13301" s="3"/>
      <c r="C13301" s="3"/>
    </row>
    <row r="13302">
      <c r="A13302" s="3"/>
      <c r="B13302" s="3"/>
      <c r="C13302" s="3"/>
    </row>
    <row r="13303">
      <c r="A13303" s="3"/>
      <c r="B13303" s="3"/>
      <c r="C13303" s="3"/>
    </row>
    <row r="13304">
      <c r="A13304" s="3"/>
      <c r="B13304" s="3"/>
      <c r="C13304" s="3"/>
    </row>
    <row r="13305">
      <c r="A13305" s="3"/>
      <c r="B13305" s="3"/>
      <c r="C13305" s="3"/>
    </row>
    <row r="13306">
      <c r="A13306" s="3"/>
      <c r="B13306" s="3"/>
      <c r="C13306" s="3"/>
    </row>
    <row r="13307">
      <c r="A13307" s="3"/>
      <c r="B13307" s="3"/>
      <c r="C13307" s="3"/>
    </row>
    <row r="13308">
      <c r="A13308" s="3"/>
      <c r="B13308" s="3"/>
      <c r="C13308" s="3"/>
    </row>
    <row r="13309">
      <c r="A13309" s="3"/>
      <c r="B13309" s="3"/>
      <c r="C13309" s="3"/>
    </row>
    <row r="13310">
      <c r="A13310" s="3"/>
      <c r="B13310" s="3"/>
      <c r="C13310" s="3"/>
    </row>
    <row r="13311">
      <c r="A13311" s="3"/>
      <c r="B13311" s="3"/>
      <c r="C13311" s="3"/>
    </row>
    <row r="13312">
      <c r="A13312" s="3"/>
      <c r="B13312" s="3"/>
      <c r="C13312" s="3"/>
    </row>
    <row r="13313">
      <c r="A13313" s="3"/>
      <c r="B13313" s="3"/>
      <c r="C13313" s="3"/>
    </row>
    <row r="13314">
      <c r="A13314" s="3"/>
      <c r="B13314" s="3"/>
      <c r="C13314" s="3"/>
    </row>
    <row r="13315">
      <c r="A13315" s="3"/>
      <c r="B13315" s="3"/>
      <c r="C13315" s="3"/>
    </row>
    <row r="13316">
      <c r="A13316" s="3"/>
      <c r="B13316" s="3"/>
      <c r="C13316" s="3"/>
    </row>
    <row r="13317">
      <c r="A13317" s="3"/>
      <c r="B13317" s="3"/>
      <c r="C13317" s="3"/>
    </row>
    <row r="13318">
      <c r="A13318" s="3"/>
      <c r="B13318" s="3"/>
      <c r="C13318" s="3"/>
    </row>
    <row r="13319">
      <c r="A13319" s="3"/>
      <c r="B13319" s="3"/>
      <c r="C13319" s="3"/>
    </row>
    <row r="13320">
      <c r="A13320" s="3"/>
      <c r="B13320" s="3"/>
      <c r="C13320" s="3"/>
    </row>
    <row r="13321">
      <c r="A13321" s="3"/>
      <c r="B13321" s="3"/>
      <c r="C13321" s="3"/>
    </row>
    <row r="13322">
      <c r="A13322" s="3"/>
      <c r="B13322" s="3"/>
      <c r="C13322" s="3"/>
    </row>
    <row r="13323">
      <c r="A13323" s="3"/>
      <c r="B13323" s="3"/>
      <c r="C13323" s="3"/>
    </row>
    <row r="13324">
      <c r="A13324" s="3"/>
      <c r="B13324" s="3"/>
      <c r="C13324" s="3"/>
    </row>
    <row r="13325">
      <c r="A13325" s="3"/>
      <c r="B13325" s="3"/>
      <c r="C13325" s="3"/>
    </row>
    <row r="13326">
      <c r="A13326" s="3"/>
      <c r="B13326" s="3"/>
      <c r="C13326" s="3"/>
    </row>
    <row r="13327">
      <c r="A13327" s="3"/>
      <c r="B13327" s="3"/>
      <c r="C13327" s="3"/>
    </row>
    <row r="13328">
      <c r="A13328" s="3"/>
      <c r="B13328" s="3"/>
      <c r="C13328" s="3"/>
    </row>
    <row r="13329">
      <c r="A13329" s="3"/>
      <c r="B13329" s="3"/>
      <c r="C13329" s="3"/>
    </row>
    <row r="13330">
      <c r="A13330" s="3"/>
      <c r="B13330" s="3"/>
      <c r="C13330" s="3"/>
    </row>
    <row r="13331">
      <c r="A13331" s="3"/>
      <c r="B13331" s="3"/>
      <c r="C13331" s="3"/>
    </row>
    <row r="13332">
      <c r="A13332" s="3"/>
      <c r="B13332" s="3"/>
      <c r="C13332" s="3"/>
    </row>
    <row r="13333">
      <c r="A13333" s="3"/>
      <c r="B13333" s="3"/>
      <c r="C13333" s="3"/>
    </row>
    <row r="13334">
      <c r="A13334" s="3"/>
      <c r="B13334" s="3"/>
      <c r="C13334" s="3"/>
    </row>
    <row r="13335">
      <c r="A13335" s="3"/>
      <c r="B13335" s="3"/>
      <c r="C13335" s="3"/>
    </row>
    <row r="13336">
      <c r="A13336" s="3"/>
      <c r="B13336" s="3"/>
      <c r="C13336" s="3"/>
    </row>
    <row r="13337">
      <c r="A13337" s="3"/>
      <c r="B13337" s="3"/>
      <c r="C13337" s="3"/>
    </row>
    <row r="13338">
      <c r="A13338" s="3"/>
      <c r="B13338" s="3"/>
      <c r="C13338" s="3"/>
    </row>
    <row r="13339">
      <c r="A13339" s="3"/>
      <c r="B13339" s="3"/>
      <c r="C13339" s="3"/>
    </row>
    <row r="13340">
      <c r="A13340" s="3"/>
      <c r="B13340" s="3"/>
      <c r="C13340" s="3"/>
    </row>
    <row r="13341">
      <c r="A13341" s="3"/>
      <c r="B13341" s="3"/>
      <c r="C13341" s="3"/>
    </row>
    <row r="13342">
      <c r="A13342" s="3"/>
      <c r="B13342" s="3"/>
      <c r="C13342" s="3"/>
    </row>
    <row r="13343">
      <c r="A13343" s="3"/>
      <c r="B13343" s="3"/>
      <c r="C13343" s="3"/>
    </row>
    <row r="13344">
      <c r="A13344" s="3"/>
      <c r="B13344" s="3"/>
      <c r="C13344" s="3"/>
    </row>
    <row r="13345">
      <c r="A13345" s="3"/>
      <c r="B13345" s="3"/>
      <c r="C13345" s="3"/>
    </row>
    <row r="13346">
      <c r="A13346" s="3"/>
      <c r="B13346" s="3"/>
      <c r="C13346" s="3"/>
    </row>
    <row r="13347">
      <c r="A13347" s="3"/>
      <c r="B13347" s="3"/>
      <c r="C13347" s="3"/>
    </row>
    <row r="13348">
      <c r="A13348" s="3"/>
      <c r="B13348" s="3"/>
      <c r="C13348" s="3"/>
    </row>
    <row r="13349">
      <c r="A13349" s="3"/>
      <c r="B13349" s="3"/>
      <c r="C13349" s="3"/>
    </row>
    <row r="13350">
      <c r="A13350" s="3"/>
      <c r="B13350" s="3"/>
      <c r="C13350" s="3"/>
    </row>
    <row r="13351">
      <c r="A13351" s="3"/>
      <c r="B13351" s="3"/>
      <c r="C13351" s="3"/>
    </row>
    <row r="13352">
      <c r="A13352" s="3"/>
      <c r="B13352" s="3"/>
      <c r="C13352" s="3"/>
    </row>
    <row r="13353">
      <c r="A13353" s="3"/>
      <c r="B13353" s="3"/>
      <c r="C13353" s="3"/>
    </row>
    <row r="13354">
      <c r="A13354" s="3"/>
      <c r="B13354" s="3"/>
      <c r="C13354" s="3"/>
    </row>
    <row r="13355">
      <c r="A13355" s="3"/>
      <c r="B13355" s="3"/>
      <c r="C13355" s="3"/>
    </row>
    <row r="13356">
      <c r="A13356" s="3"/>
      <c r="B13356" s="3"/>
      <c r="C13356" s="3"/>
    </row>
    <row r="13357">
      <c r="A13357" s="3"/>
      <c r="B13357" s="3"/>
      <c r="C13357" s="3"/>
    </row>
    <row r="13358">
      <c r="A13358" s="3"/>
      <c r="B13358" s="3"/>
      <c r="C13358" s="3"/>
    </row>
    <row r="13359">
      <c r="A13359" s="3"/>
      <c r="B13359" s="3"/>
      <c r="C13359" s="3"/>
    </row>
    <row r="13360">
      <c r="A13360" s="3"/>
      <c r="B13360" s="3"/>
      <c r="C13360" s="3"/>
    </row>
    <row r="13361">
      <c r="A13361" s="3"/>
      <c r="B13361" s="3"/>
      <c r="C13361" s="3"/>
    </row>
    <row r="13362">
      <c r="A13362" s="3"/>
      <c r="B13362" s="3"/>
      <c r="C13362" s="3"/>
    </row>
    <row r="13363">
      <c r="A13363" s="3"/>
      <c r="B13363" s="3"/>
      <c r="C13363" s="3"/>
    </row>
    <row r="13364">
      <c r="A13364" s="3"/>
      <c r="B13364" s="3"/>
      <c r="C13364" s="3"/>
    </row>
    <row r="13365">
      <c r="A13365" s="3"/>
      <c r="B13365" s="3"/>
      <c r="C13365" s="3"/>
    </row>
    <row r="13366">
      <c r="A13366" s="3"/>
      <c r="B13366" s="3"/>
      <c r="C13366" s="3"/>
    </row>
    <row r="13367">
      <c r="A13367" s="3"/>
      <c r="B13367" s="3"/>
      <c r="C13367" s="3"/>
    </row>
    <row r="13368">
      <c r="A13368" s="3"/>
      <c r="B13368" s="3"/>
      <c r="C13368" s="3"/>
    </row>
    <row r="13369">
      <c r="A13369" s="3"/>
      <c r="B13369" s="3"/>
      <c r="C13369" s="3"/>
    </row>
    <row r="13370">
      <c r="A13370" s="3"/>
      <c r="B13370" s="3"/>
      <c r="C13370" s="3"/>
    </row>
    <row r="13371">
      <c r="A13371" s="3"/>
      <c r="B13371" s="3"/>
      <c r="C13371" s="3"/>
    </row>
    <row r="13372">
      <c r="A13372" s="3"/>
      <c r="B13372" s="3"/>
      <c r="C13372" s="3"/>
    </row>
    <row r="13373">
      <c r="A13373" s="3"/>
      <c r="B13373" s="3"/>
      <c r="C13373" s="3"/>
    </row>
    <row r="13374">
      <c r="A13374" s="3"/>
      <c r="B13374" s="3"/>
      <c r="C13374" s="3"/>
    </row>
    <row r="13375">
      <c r="A13375" s="3"/>
      <c r="B13375" s="3"/>
      <c r="C13375" s="3"/>
    </row>
    <row r="13376">
      <c r="A13376" s="3"/>
      <c r="B13376" s="3"/>
      <c r="C13376" s="3"/>
    </row>
    <row r="13377">
      <c r="A13377" s="3"/>
      <c r="B13377" s="3"/>
      <c r="C13377" s="3"/>
    </row>
    <row r="13378">
      <c r="A13378" s="3"/>
      <c r="B13378" s="3"/>
      <c r="C13378" s="3"/>
    </row>
    <row r="13379">
      <c r="A13379" s="3"/>
      <c r="B13379" s="3"/>
      <c r="C13379" s="3"/>
    </row>
    <row r="13380">
      <c r="A13380" s="3"/>
      <c r="B13380" s="3"/>
      <c r="C13380" s="3"/>
    </row>
    <row r="13381">
      <c r="A13381" s="3"/>
      <c r="B13381" s="3"/>
      <c r="C13381" s="3"/>
    </row>
    <row r="13382">
      <c r="A13382" s="3"/>
      <c r="B13382" s="3"/>
      <c r="C13382" s="3"/>
    </row>
    <row r="13383">
      <c r="A13383" s="3"/>
      <c r="B13383" s="3"/>
      <c r="C13383" s="3"/>
    </row>
    <row r="13384">
      <c r="A13384" s="3"/>
      <c r="B13384" s="3"/>
      <c r="C13384" s="3"/>
    </row>
    <row r="13385">
      <c r="A13385" s="3"/>
      <c r="B13385" s="3"/>
      <c r="C13385" s="3"/>
    </row>
    <row r="13386">
      <c r="A13386" s="3"/>
      <c r="B13386" s="3"/>
      <c r="C13386" s="3"/>
    </row>
    <row r="13387">
      <c r="A13387" s="3"/>
      <c r="B13387" s="3"/>
      <c r="C13387" s="3"/>
    </row>
    <row r="13388">
      <c r="A13388" s="3"/>
      <c r="B13388" s="3"/>
      <c r="C13388" s="3"/>
    </row>
    <row r="13389">
      <c r="A13389" s="3"/>
      <c r="B13389" s="3"/>
      <c r="C13389" s="3"/>
    </row>
    <row r="13390">
      <c r="A13390" s="3"/>
      <c r="B13390" s="3"/>
      <c r="C13390" s="3"/>
    </row>
    <row r="13391">
      <c r="A13391" s="3"/>
      <c r="B13391" s="3"/>
      <c r="C13391" s="3"/>
    </row>
    <row r="13392">
      <c r="A13392" s="3"/>
      <c r="B13392" s="3"/>
      <c r="C13392" s="3"/>
    </row>
    <row r="13393">
      <c r="A13393" s="3"/>
      <c r="B13393" s="3"/>
      <c r="C13393" s="3"/>
    </row>
    <row r="13394">
      <c r="A13394" s="3"/>
      <c r="B13394" s="3"/>
      <c r="C13394" s="3"/>
    </row>
    <row r="13395">
      <c r="A13395" s="3"/>
      <c r="B13395" s="3"/>
      <c r="C13395" s="3"/>
    </row>
    <row r="13396">
      <c r="A13396" s="3"/>
      <c r="B13396" s="3"/>
      <c r="C13396" s="3"/>
    </row>
    <row r="13397">
      <c r="A13397" s="3"/>
      <c r="B13397" s="3"/>
      <c r="C13397" s="3"/>
    </row>
    <row r="13398">
      <c r="A13398" s="3"/>
      <c r="B13398" s="3"/>
      <c r="C13398" s="3"/>
    </row>
    <row r="13399">
      <c r="A13399" s="3"/>
      <c r="B13399" s="3"/>
      <c r="C13399" s="3"/>
    </row>
    <row r="13400">
      <c r="A13400" s="3"/>
      <c r="B13400" s="3"/>
      <c r="C13400" s="3"/>
    </row>
    <row r="13401">
      <c r="A13401" s="3"/>
      <c r="B13401" s="3"/>
      <c r="C13401" s="3"/>
    </row>
    <row r="13402">
      <c r="A13402" s="3"/>
      <c r="B13402" s="3"/>
      <c r="C13402" s="3"/>
    </row>
    <row r="13403">
      <c r="A13403" s="3"/>
      <c r="B13403" s="3"/>
      <c r="C13403" s="3"/>
    </row>
    <row r="13404">
      <c r="A13404" s="3"/>
      <c r="B13404" s="3"/>
      <c r="C13404" s="3"/>
    </row>
    <row r="13405">
      <c r="A13405" s="3"/>
      <c r="B13405" s="3"/>
      <c r="C13405" s="3"/>
    </row>
    <row r="13406">
      <c r="A13406" s="3"/>
      <c r="B13406" s="3"/>
      <c r="C13406" s="3"/>
    </row>
    <row r="13407">
      <c r="A13407" s="3"/>
      <c r="B13407" s="3"/>
      <c r="C13407" s="3"/>
    </row>
    <row r="13408">
      <c r="A13408" s="3"/>
      <c r="B13408" s="3"/>
      <c r="C13408" s="3"/>
    </row>
    <row r="13409">
      <c r="A13409" s="3"/>
      <c r="B13409" s="3"/>
      <c r="C13409" s="3"/>
    </row>
    <row r="13410">
      <c r="A13410" s="3"/>
      <c r="B13410" s="3"/>
      <c r="C13410" s="3"/>
    </row>
    <row r="13411">
      <c r="A13411" s="3"/>
      <c r="B13411" s="3"/>
      <c r="C13411" s="3"/>
    </row>
    <row r="13412">
      <c r="A13412" s="3"/>
      <c r="B13412" s="3"/>
      <c r="C13412" s="3"/>
    </row>
    <row r="13413">
      <c r="A13413" s="3"/>
      <c r="B13413" s="3"/>
      <c r="C13413" s="3"/>
    </row>
    <row r="13414">
      <c r="A13414" s="3"/>
      <c r="B13414" s="3"/>
      <c r="C13414" s="3"/>
    </row>
    <row r="13415">
      <c r="A13415" s="3"/>
      <c r="B13415" s="3"/>
      <c r="C13415" s="3"/>
    </row>
    <row r="13416">
      <c r="A13416" s="3"/>
      <c r="B13416" s="3"/>
      <c r="C13416" s="3"/>
    </row>
    <row r="13417">
      <c r="A13417" s="3"/>
      <c r="B13417" s="3"/>
      <c r="C13417" s="3"/>
    </row>
    <row r="13418">
      <c r="A13418" s="3"/>
      <c r="B13418" s="3"/>
      <c r="C13418" s="3"/>
    </row>
    <row r="13419">
      <c r="A13419" s="3"/>
      <c r="B13419" s="3"/>
      <c r="C13419" s="3"/>
    </row>
    <row r="13420">
      <c r="A13420" s="3"/>
      <c r="B13420" s="3"/>
      <c r="C13420" s="3"/>
    </row>
    <row r="13421">
      <c r="A13421" s="3"/>
      <c r="B13421" s="3"/>
      <c r="C13421" s="3"/>
    </row>
    <row r="13422">
      <c r="A13422" s="3"/>
      <c r="B13422" s="3"/>
      <c r="C13422" s="3"/>
    </row>
    <row r="13423">
      <c r="A13423" s="3"/>
      <c r="B13423" s="3"/>
      <c r="C13423" s="3"/>
    </row>
    <row r="13424">
      <c r="A13424" s="3"/>
      <c r="B13424" s="3"/>
      <c r="C13424" s="3"/>
    </row>
    <row r="13425">
      <c r="A13425" s="3"/>
      <c r="B13425" s="3"/>
      <c r="C13425" s="3"/>
    </row>
    <row r="13426">
      <c r="A13426" s="3"/>
      <c r="B13426" s="3"/>
      <c r="C13426" s="3"/>
    </row>
    <row r="13427">
      <c r="A13427" s="3"/>
      <c r="B13427" s="3"/>
      <c r="C13427" s="3"/>
    </row>
    <row r="13428">
      <c r="A13428" s="3"/>
      <c r="B13428" s="3"/>
      <c r="C13428" s="3"/>
    </row>
    <row r="13429">
      <c r="A13429" s="3"/>
      <c r="B13429" s="3"/>
      <c r="C13429" s="3"/>
    </row>
    <row r="13430">
      <c r="A13430" s="3"/>
      <c r="B13430" s="3"/>
      <c r="C13430" s="3"/>
    </row>
    <row r="13431">
      <c r="A13431" s="3"/>
      <c r="B13431" s="3"/>
      <c r="C13431" s="3"/>
    </row>
    <row r="13432">
      <c r="A13432" s="3"/>
      <c r="B13432" s="3"/>
      <c r="C13432" s="3"/>
    </row>
    <row r="13433">
      <c r="A13433" s="3"/>
      <c r="B13433" s="3"/>
      <c r="C13433" s="3"/>
    </row>
    <row r="13434">
      <c r="A13434" s="3"/>
      <c r="B13434" s="3"/>
      <c r="C13434" s="3"/>
    </row>
    <row r="13435">
      <c r="A13435" s="3"/>
      <c r="B13435" s="3"/>
      <c r="C13435" s="3"/>
    </row>
    <row r="13436">
      <c r="A13436" s="3"/>
      <c r="B13436" s="3"/>
      <c r="C13436" s="3"/>
    </row>
    <row r="13437">
      <c r="A13437" s="3"/>
      <c r="B13437" s="3"/>
      <c r="C13437" s="3"/>
    </row>
    <row r="13438">
      <c r="A13438" s="3"/>
      <c r="B13438" s="3"/>
      <c r="C13438" s="3"/>
    </row>
    <row r="13439">
      <c r="A13439" s="3"/>
      <c r="B13439" s="3"/>
      <c r="C13439" s="3"/>
    </row>
    <row r="13440">
      <c r="A13440" s="3"/>
      <c r="B13440" s="3"/>
      <c r="C13440" s="3"/>
    </row>
    <row r="13441">
      <c r="A13441" s="3"/>
      <c r="B13441" s="3"/>
      <c r="C13441" s="3"/>
    </row>
    <row r="13442">
      <c r="A13442" s="3"/>
      <c r="B13442" s="3"/>
      <c r="C13442" s="3"/>
    </row>
    <row r="13443">
      <c r="A13443" s="3"/>
      <c r="B13443" s="3"/>
      <c r="C13443" s="3"/>
    </row>
    <row r="13444">
      <c r="A13444" s="3"/>
      <c r="B13444" s="3"/>
      <c r="C13444" s="3"/>
    </row>
    <row r="13445">
      <c r="A13445" s="3"/>
      <c r="B13445" s="3"/>
      <c r="C13445" s="3"/>
    </row>
    <row r="13446">
      <c r="A13446" s="3"/>
      <c r="B13446" s="3"/>
      <c r="C13446" s="3"/>
    </row>
    <row r="13447">
      <c r="A13447" s="3"/>
      <c r="B13447" s="3"/>
      <c r="C13447" s="3"/>
    </row>
    <row r="13448">
      <c r="A13448" s="3"/>
      <c r="B13448" s="3"/>
      <c r="C13448" s="3"/>
    </row>
    <row r="13449">
      <c r="A13449" s="3"/>
      <c r="B13449" s="3"/>
      <c r="C13449" s="3"/>
    </row>
    <row r="13450">
      <c r="A13450" s="3"/>
      <c r="B13450" s="3"/>
      <c r="C13450" s="3"/>
    </row>
    <row r="13451">
      <c r="A13451" s="3"/>
      <c r="B13451" s="3"/>
      <c r="C13451" s="3"/>
    </row>
    <row r="13452">
      <c r="A13452" s="3"/>
      <c r="B13452" s="3"/>
      <c r="C13452" s="3"/>
    </row>
    <row r="13453">
      <c r="A13453" s="3"/>
      <c r="B13453" s="3"/>
      <c r="C13453" s="3"/>
    </row>
    <row r="13454">
      <c r="A13454" s="3"/>
      <c r="B13454" s="3"/>
      <c r="C13454" s="3"/>
    </row>
    <row r="13455">
      <c r="A13455" s="3"/>
      <c r="B13455" s="3"/>
      <c r="C13455" s="3"/>
    </row>
    <row r="13456">
      <c r="A13456" s="3"/>
      <c r="B13456" s="3"/>
      <c r="C13456" s="3"/>
    </row>
    <row r="13457">
      <c r="A13457" s="3"/>
      <c r="B13457" s="3"/>
      <c r="C13457" s="3"/>
    </row>
    <row r="13458">
      <c r="A13458" s="3"/>
      <c r="B13458" s="3"/>
      <c r="C13458" s="3"/>
    </row>
    <row r="13459">
      <c r="A13459" s="3"/>
      <c r="B13459" s="3"/>
      <c r="C13459" s="3"/>
    </row>
    <row r="13460">
      <c r="A13460" s="3"/>
      <c r="B13460" s="3"/>
      <c r="C13460" s="3"/>
    </row>
    <row r="13461">
      <c r="A13461" s="3"/>
      <c r="B13461" s="3"/>
      <c r="C13461" s="3"/>
    </row>
    <row r="13462">
      <c r="A13462" s="3"/>
      <c r="B13462" s="3"/>
      <c r="C13462" s="3"/>
    </row>
    <row r="13463">
      <c r="A13463" s="3"/>
      <c r="B13463" s="3"/>
      <c r="C13463" s="3"/>
    </row>
    <row r="13464">
      <c r="A13464" s="3"/>
      <c r="B13464" s="3"/>
      <c r="C13464" s="3"/>
    </row>
    <row r="13465">
      <c r="A13465" s="3"/>
      <c r="B13465" s="3"/>
      <c r="C13465" s="3"/>
    </row>
    <row r="13466">
      <c r="A13466" s="3"/>
      <c r="B13466" s="3"/>
      <c r="C13466" s="3"/>
    </row>
    <row r="13467">
      <c r="A13467" s="3"/>
      <c r="B13467" s="3"/>
      <c r="C13467" s="3"/>
    </row>
    <row r="13468">
      <c r="A13468" s="3"/>
      <c r="B13468" s="3"/>
      <c r="C13468" s="3"/>
    </row>
    <row r="13469">
      <c r="A13469" s="3"/>
      <c r="B13469" s="3"/>
      <c r="C13469" s="3"/>
    </row>
    <row r="13470">
      <c r="A13470" s="3"/>
      <c r="B13470" s="3"/>
      <c r="C13470" s="3"/>
    </row>
    <row r="13471">
      <c r="A13471" s="3"/>
      <c r="B13471" s="3"/>
      <c r="C13471" s="3"/>
    </row>
    <row r="13472">
      <c r="A13472" s="3"/>
      <c r="B13472" s="3"/>
      <c r="C13472" s="3"/>
    </row>
    <row r="13473">
      <c r="A13473" s="3"/>
      <c r="B13473" s="3"/>
      <c r="C13473" s="3"/>
    </row>
    <row r="13474">
      <c r="A13474" s="3"/>
      <c r="B13474" s="3"/>
      <c r="C13474" s="3"/>
    </row>
    <row r="13475">
      <c r="A13475" s="3"/>
      <c r="B13475" s="3"/>
      <c r="C13475" s="3"/>
    </row>
    <row r="13476">
      <c r="A13476" s="3"/>
      <c r="B13476" s="3"/>
      <c r="C13476" s="3"/>
    </row>
    <row r="13477">
      <c r="A13477" s="3"/>
      <c r="B13477" s="3"/>
      <c r="C13477" s="3"/>
    </row>
    <row r="13478">
      <c r="A13478" s="3"/>
      <c r="B13478" s="3"/>
      <c r="C13478" s="3"/>
    </row>
    <row r="13479">
      <c r="A13479" s="3"/>
      <c r="B13479" s="3"/>
      <c r="C13479" s="3"/>
    </row>
    <row r="13480">
      <c r="A13480" s="3"/>
      <c r="B13480" s="3"/>
      <c r="C13480" s="3"/>
    </row>
    <row r="13481">
      <c r="A13481" s="3"/>
      <c r="B13481" s="3"/>
      <c r="C13481" s="3"/>
    </row>
    <row r="13482">
      <c r="A13482" s="3"/>
      <c r="B13482" s="3"/>
      <c r="C13482" s="3"/>
    </row>
    <row r="13483">
      <c r="A13483" s="3"/>
      <c r="B13483" s="3"/>
      <c r="C13483" s="3"/>
    </row>
    <row r="13484">
      <c r="A13484" s="3"/>
      <c r="B13484" s="3"/>
      <c r="C13484" s="3"/>
    </row>
    <row r="13485">
      <c r="A13485" s="3"/>
      <c r="B13485" s="3"/>
      <c r="C13485" s="3"/>
    </row>
    <row r="13486">
      <c r="A13486" s="3"/>
      <c r="B13486" s="3"/>
      <c r="C13486" s="3"/>
    </row>
    <row r="13487">
      <c r="A13487" s="3"/>
      <c r="B13487" s="3"/>
      <c r="C13487" s="3"/>
    </row>
    <row r="13488">
      <c r="A13488" s="3"/>
      <c r="B13488" s="3"/>
      <c r="C13488" s="3"/>
    </row>
    <row r="13489">
      <c r="A13489" s="3"/>
      <c r="B13489" s="3"/>
      <c r="C13489" s="3"/>
    </row>
    <row r="13490">
      <c r="A13490" s="3"/>
      <c r="B13490" s="3"/>
      <c r="C13490" s="3"/>
    </row>
    <row r="13491">
      <c r="A13491" s="3"/>
      <c r="B13491" s="3"/>
      <c r="C13491" s="3"/>
    </row>
    <row r="13492">
      <c r="A13492" s="3"/>
      <c r="B13492" s="3"/>
      <c r="C13492" s="3"/>
    </row>
    <row r="13493">
      <c r="A13493" s="3"/>
      <c r="B13493" s="3"/>
      <c r="C13493" s="3"/>
    </row>
    <row r="13494">
      <c r="A13494" s="3"/>
      <c r="B13494" s="3"/>
      <c r="C13494" s="3"/>
    </row>
    <row r="13495">
      <c r="A13495" s="3"/>
      <c r="B13495" s="3"/>
      <c r="C13495" s="3"/>
    </row>
    <row r="13496">
      <c r="A13496" s="3"/>
      <c r="B13496" s="3"/>
      <c r="C13496" s="3"/>
    </row>
    <row r="13497">
      <c r="A13497" s="3"/>
      <c r="B13497" s="3"/>
      <c r="C13497" s="3"/>
    </row>
    <row r="13498">
      <c r="A13498" s="3"/>
      <c r="B13498" s="3"/>
      <c r="C13498" s="3"/>
    </row>
    <row r="13499">
      <c r="A13499" s="3"/>
      <c r="B13499" s="3"/>
      <c r="C13499" s="3"/>
    </row>
    <row r="13500">
      <c r="A13500" s="3"/>
      <c r="B13500" s="3"/>
      <c r="C13500" s="3"/>
    </row>
    <row r="13501">
      <c r="A13501" s="3"/>
      <c r="B13501" s="3"/>
      <c r="C13501" s="3"/>
    </row>
    <row r="13502">
      <c r="A13502" s="3"/>
      <c r="B13502" s="3"/>
      <c r="C13502" s="3"/>
    </row>
    <row r="13503">
      <c r="A13503" s="3"/>
      <c r="B13503" s="3"/>
      <c r="C13503" s="3"/>
    </row>
    <row r="13504">
      <c r="A13504" s="3"/>
      <c r="B13504" s="3"/>
      <c r="C13504" s="3"/>
    </row>
    <row r="13505">
      <c r="A13505" s="3"/>
      <c r="B13505" s="3"/>
      <c r="C13505" s="3"/>
    </row>
    <row r="13506">
      <c r="A13506" s="3"/>
      <c r="B13506" s="3"/>
      <c r="C13506" s="3"/>
    </row>
    <row r="13507">
      <c r="A13507" s="3"/>
      <c r="B13507" s="3"/>
      <c r="C13507" s="3"/>
    </row>
    <row r="13508">
      <c r="A13508" s="3"/>
      <c r="B13508" s="3"/>
      <c r="C13508" s="3"/>
    </row>
    <row r="13509">
      <c r="A13509" s="3"/>
      <c r="B13509" s="3"/>
      <c r="C13509" s="3"/>
    </row>
    <row r="13510">
      <c r="A13510" s="3"/>
      <c r="B13510" s="3"/>
      <c r="C13510" s="3"/>
    </row>
    <row r="13511">
      <c r="A13511" s="3"/>
      <c r="B13511" s="3"/>
      <c r="C13511" s="3"/>
    </row>
    <row r="13512">
      <c r="A13512" s="3"/>
      <c r="B13512" s="3"/>
      <c r="C13512" s="3"/>
    </row>
    <row r="13513">
      <c r="A13513" s="3"/>
      <c r="B13513" s="3"/>
      <c r="C13513" s="3"/>
    </row>
    <row r="13514">
      <c r="A13514" s="3"/>
      <c r="B13514" s="3"/>
      <c r="C13514" s="3"/>
    </row>
    <row r="13515">
      <c r="A13515" s="3"/>
      <c r="B13515" s="3"/>
      <c r="C13515" s="3"/>
    </row>
    <row r="13516">
      <c r="A13516" s="3"/>
      <c r="B13516" s="3"/>
      <c r="C13516" s="3"/>
    </row>
    <row r="13517">
      <c r="A13517" s="3"/>
      <c r="B13517" s="3"/>
      <c r="C13517" s="3"/>
    </row>
    <row r="13518">
      <c r="A13518" s="3"/>
      <c r="B13518" s="3"/>
      <c r="C13518" s="3"/>
    </row>
    <row r="13519">
      <c r="A13519" s="3"/>
      <c r="B13519" s="3"/>
      <c r="C13519" s="3"/>
    </row>
    <row r="13520">
      <c r="A13520" s="3"/>
      <c r="B13520" s="3"/>
      <c r="C13520" s="3"/>
    </row>
    <row r="13521">
      <c r="A13521" s="3"/>
      <c r="B13521" s="3"/>
      <c r="C13521" s="3"/>
    </row>
    <row r="13522">
      <c r="A13522" s="3"/>
      <c r="B13522" s="3"/>
      <c r="C13522" s="3"/>
    </row>
    <row r="13523">
      <c r="A13523" s="3"/>
      <c r="B13523" s="3"/>
      <c r="C13523" s="3"/>
    </row>
    <row r="13524">
      <c r="A13524" s="3"/>
      <c r="B13524" s="3"/>
      <c r="C13524" s="3"/>
    </row>
    <row r="13525">
      <c r="A13525" s="3"/>
      <c r="B13525" s="3"/>
      <c r="C13525" s="3"/>
    </row>
    <row r="13526">
      <c r="A13526" s="3"/>
      <c r="B13526" s="3"/>
      <c r="C13526" s="3"/>
    </row>
    <row r="13527">
      <c r="A13527" s="3"/>
      <c r="B13527" s="3"/>
      <c r="C13527" s="3"/>
    </row>
    <row r="13528">
      <c r="A13528" s="3"/>
      <c r="B13528" s="3"/>
      <c r="C13528" s="3"/>
    </row>
    <row r="13529">
      <c r="A13529" s="3"/>
      <c r="B13529" s="3"/>
      <c r="C13529" s="3"/>
    </row>
    <row r="13530">
      <c r="A13530" s="3"/>
      <c r="B13530" s="3"/>
      <c r="C13530" s="3"/>
    </row>
    <row r="13531">
      <c r="A13531" s="3"/>
      <c r="B13531" s="3"/>
      <c r="C13531" s="3"/>
    </row>
    <row r="13532">
      <c r="A13532" s="3"/>
      <c r="B13532" s="3"/>
      <c r="C13532" s="3"/>
    </row>
    <row r="13533">
      <c r="A13533" s="3"/>
      <c r="B13533" s="3"/>
      <c r="C13533" s="3"/>
    </row>
    <row r="13534">
      <c r="A13534" s="3"/>
      <c r="B13534" s="3"/>
      <c r="C13534" s="3"/>
    </row>
    <row r="13535">
      <c r="A13535" s="3"/>
      <c r="B13535" s="3"/>
      <c r="C13535" s="3"/>
    </row>
    <row r="13536">
      <c r="A13536" s="3"/>
      <c r="B13536" s="3"/>
      <c r="C13536" s="3"/>
    </row>
    <row r="13537">
      <c r="A13537" s="3"/>
      <c r="B13537" s="3"/>
      <c r="C13537" s="3"/>
    </row>
    <row r="13538">
      <c r="A13538" s="3"/>
      <c r="B13538" s="3"/>
      <c r="C13538" s="3"/>
    </row>
    <row r="13539">
      <c r="A13539" s="3"/>
      <c r="B13539" s="3"/>
      <c r="C13539" s="3"/>
    </row>
    <row r="13540">
      <c r="A13540" s="3"/>
      <c r="B13540" s="3"/>
      <c r="C13540" s="3"/>
    </row>
    <row r="13541">
      <c r="A13541" s="3"/>
      <c r="B13541" s="3"/>
      <c r="C13541" s="3"/>
    </row>
    <row r="13542">
      <c r="A13542" s="3"/>
      <c r="B13542" s="3"/>
      <c r="C13542" s="3"/>
    </row>
    <row r="13543">
      <c r="A13543" s="3"/>
      <c r="B13543" s="3"/>
      <c r="C13543" s="3"/>
    </row>
    <row r="13544">
      <c r="A13544" s="3"/>
      <c r="B13544" s="3"/>
      <c r="C13544" s="3"/>
    </row>
    <row r="13545">
      <c r="A13545" s="3"/>
      <c r="B13545" s="3"/>
      <c r="C13545" s="3"/>
    </row>
    <row r="13546">
      <c r="A13546" s="3"/>
      <c r="B13546" s="3"/>
      <c r="C13546" s="3"/>
    </row>
    <row r="13547">
      <c r="A13547" s="3"/>
      <c r="B13547" s="3"/>
      <c r="C13547" s="3"/>
    </row>
    <row r="13548">
      <c r="A13548" s="3"/>
      <c r="B13548" s="3"/>
      <c r="C13548" s="3"/>
    </row>
    <row r="13549">
      <c r="A13549" s="3"/>
      <c r="B13549" s="3"/>
      <c r="C13549" s="3"/>
    </row>
    <row r="13550">
      <c r="A13550" s="3"/>
      <c r="B13550" s="3"/>
      <c r="C13550" s="3"/>
    </row>
    <row r="13551">
      <c r="A13551" s="3"/>
      <c r="B13551" s="3"/>
      <c r="C13551" s="3"/>
    </row>
    <row r="13552">
      <c r="A13552" s="3"/>
      <c r="B13552" s="3"/>
      <c r="C13552" s="3"/>
    </row>
    <row r="13553">
      <c r="A13553" s="3"/>
      <c r="B13553" s="3"/>
      <c r="C13553" s="3"/>
    </row>
    <row r="13554">
      <c r="A13554" s="3"/>
      <c r="B13554" s="3"/>
      <c r="C13554" s="3"/>
    </row>
    <row r="13555">
      <c r="A13555" s="3"/>
      <c r="B13555" s="3"/>
      <c r="C13555" s="3"/>
    </row>
    <row r="13556">
      <c r="A13556" s="3"/>
      <c r="B13556" s="3"/>
      <c r="C13556" s="3"/>
    </row>
    <row r="13557">
      <c r="A13557" s="3"/>
      <c r="B13557" s="3"/>
      <c r="C13557" s="3"/>
    </row>
    <row r="13558">
      <c r="A13558" s="3"/>
      <c r="B13558" s="3"/>
      <c r="C13558" s="3"/>
    </row>
    <row r="13559">
      <c r="A13559" s="3"/>
      <c r="B13559" s="3"/>
      <c r="C13559" s="3"/>
    </row>
    <row r="13560">
      <c r="A13560" s="3"/>
      <c r="B13560" s="3"/>
      <c r="C13560" s="3"/>
    </row>
    <row r="13561">
      <c r="A13561" s="3"/>
      <c r="B13561" s="3"/>
      <c r="C13561" s="3"/>
    </row>
    <row r="13562">
      <c r="A13562" s="3"/>
      <c r="B13562" s="3"/>
      <c r="C13562" s="3"/>
    </row>
    <row r="13563">
      <c r="A13563" s="3"/>
      <c r="B13563" s="3"/>
      <c r="C13563" s="3"/>
    </row>
    <row r="13564">
      <c r="A13564" s="3"/>
      <c r="B13564" s="3"/>
      <c r="C13564" s="3"/>
    </row>
    <row r="13565">
      <c r="A13565" s="3"/>
      <c r="B13565" s="3"/>
      <c r="C13565" s="3"/>
    </row>
    <row r="13566">
      <c r="A13566" s="3"/>
      <c r="B13566" s="3"/>
      <c r="C13566" s="3"/>
    </row>
    <row r="13567">
      <c r="A13567" s="3"/>
      <c r="B13567" s="3"/>
      <c r="C13567" s="3"/>
    </row>
    <row r="13568">
      <c r="A13568" s="3"/>
      <c r="B13568" s="3"/>
      <c r="C13568" s="3"/>
    </row>
    <row r="13569">
      <c r="A13569" s="3"/>
      <c r="B13569" s="3"/>
      <c r="C13569" s="3"/>
    </row>
    <row r="13570">
      <c r="A13570" s="3"/>
      <c r="B13570" s="3"/>
      <c r="C13570" s="3"/>
    </row>
    <row r="13571">
      <c r="A13571" s="3"/>
      <c r="B13571" s="3"/>
      <c r="C13571" s="3"/>
    </row>
    <row r="13572">
      <c r="A13572" s="3"/>
      <c r="B13572" s="3"/>
      <c r="C13572" s="3"/>
    </row>
    <row r="13573">
      <c r="A13573" s="3"/>
      <c r="B13573" s="3"/>
      <c r="C13573" s="3"/>
    </row>
    <row r="13574">
      <c r="A13574" s="3"/>
      <c r="B13574" s="3"/>
      <c r="C13574" s="3"/>
    </row>
    <row r="13575">
      <c r="A13575" s="3"/>
      <c r="B13575" s="3"/>
      <c r="C13575" s="3"/>
    </row>
    <row r="13576">
      <c r="A13576" s="3"/>
      <c r="B13576" s="3"/>
      <c r="C13576" s="3"/>
    </row>
    <row r="13577">
      <c r="A13577" s="3"/>
      <c r="B13577" s="3"/>
      <c r="C13577" s="3"/>
    </row>
    <row r="13578">
      <c r="A13578" s="3"/>
      <c r="B13578" s="3"/>
      <c r="C13578" s="3"/>
    </row>
    <row r="13579">
      <c r="A13579" s="3"/>
      <c r="B13579" s="3"/>
      <c r="C13579" s="3"/>
    </row>
    <row r="13580">
      <c r="A13580" s="3"/>
      <c r="B13580" s="3"/>
      <c r="C13580" s="3"/>
    </row>
    <row r="13581">
      <c r="A13581" s="3"/>
      <c r="B13581" s="3"/>
      <c r="C13581" s="3"/>
    </row>
    <row r="13582">
      <c r="A13582" s="3"/>
      <c r="B13582" s="3"/>
      <c r="C13582" s="3"/>
    </row>
    <row r="13583">
      <c r="A13583" s="3"/>
      <c r="B13583" s="3"/>
      <c r="C13583" s="3"/>
    </row>
    <row r="13584">
      <c r="A13584" s="3"/>
      <c r="B13584" s="3"/>
      <c r="C13584" s="3"/>
    </row>
    <row r="13585">
      <c r="A13585" s="3"/>
      <c r="B13585" s="3"/>
      <c r="C13585" s="3"/>
    </row>
    <row r="13586">
      <c r="A13586" s="3"/>
      <c r="B13586" s="3"/>
      <c r="C13586" s="3"/>
    </row>
    <row r="13587">
      <c r="A13587" s="3"/>
      <c r="B13587" s="3"/>
      <c r="C13587" s="3"/>
    </row>
    <row r="13588">
      <c r="A13588" s="3"/>
      <c r="B13588" s="3"/>
      <c r="C13588" s="3"/>
    </row>
    <row r="13589">
      <c r="A13589" s="3"/>
      <c r="B13589" s="3"/>
      <c r="C13589" s="3"/>
    </row>
    <row r="13590">
      <c r="A13590" s="3"/>
      <c r="B13590" s="3"/>
      <c r="C13590" s="3"/>
    </row>
    <row r="13591">
      <c r="A13591" s="3"/>
      <c r="B13591" s="3"/>
      <c r="C13591" s="3"/>
    </row>
    <row r="13592">
      <c r="A13592" s="3"/>
      <c r="B13592" s="3"/>
      <c r="C13592" s="3"/>
    </row>
    <row r="13593">
      <c r="A13593" s="3"/>
      <c r="B13593" s="3"/>
      <c r="C13593" s="3"/>
    </row>
    <row r="13594">
      <c r="A13594" s="3"/>
      <c r="B13594" s="3"/>
      <c r="C13594" s="3"/>
    </row>
    <row r="13595">
      <c r="A13595" s="3"/>
      <c r="B13595" s="3"/>
      <c r="C13595" s="3"/>
    </row>
    <row r="13596">
      <c r="A13596" s="3"/>
      <c r="B13596" s="3"/>
      <c r="C13596" s="3"/>
    </row>
    <row r="13597">
      <c r="A13597" s="3"/>
      <c r="B13597" s="3"/>
      <c r="C13597" s="3"/>
    </row>
    <row r="13598">
      <c r="A13598" s="3"/>
      <c r="B13598" s="3"/>
      <c r="C13598" s="3"/>
    </row>
    <row r="13599">
      <c r="A13599" s="3"/>
      <c r="B13599" s="3"/>
      <c r="C13599" s="3"/>
    </row>
    <row r="13600">
      <c r="A13600" s="3"/>
      <c r="B13600" s="3"/>
      <c r="C13600" s="3"/>
    </row>
    <row r="13601">
      <c r="A13601" s="3"/>
      <c r="B13601" s="3"/>
      <c r="C13601" s="3"/>
    </row>
    <row r="13602">
      <c r="A13602" s="3"/>
      <c r="B13602" s="3"/>
      <c r="C13602" s="3"/>
    </row>
    <row r="13603">
      <c r="A13603" s="3"/>
      <c r="B13603" s="3"/>
      <c r="C13603" s="3"/>
    </row>
    <row r="13604">
      <c r="A13604" s="3"/>
      <c r="B13604" s="3"/>
      <c r="C13604" s="3"/>
    </row>
    <row r="13605">
      <c r="A13605" s="3"/>
      <c r="B13605" s="3"/>
      <c r="C13605" s="3"/>
    </row>
    <row r="13606">
      <c r="A13606" s="3"/>
      <c r="B13606" s="3"/>
      <c r="C13606" s="3"/>
    </row>
    <row r="13607">
      <c r="A13607" s="3"/>
      <c r="B13607" s="3"/>
      <c r="C13607" s="3"/>
    </row>
    <row r="13608">
      <c r="A13608" s="3"/>
      <c r="B13608" s="3"/>
      <c r="C13608" s="3"/>
    </row>
    <row r="13609">
      <c r="A13609" s="3"/>
      <c r="B13609" s="3"/>
      <c r="C13609" s="3"/>
    </row>
    <row r="13610">
      <c r="A13610" s="3"/>
      <c r="B13610" s="3"/>
      <c r="C13610" s="3"/>
    </row>
    <row r="13611">
      <c r="A13611" s="3"/>
      <c r="B13611" s="3"/>
      <c r="C13611" s="3"/>
    </row>
    <row r="13612">
      <c r="A13612" s="3"/>
      <c r="B13612" s="3"/>
      <c r="C13612" s="3"/>
    </row>
    <row r="13613">
      <c r="A13613" s="3"/>
      <c r="B13613" s="3"/>
      <c r="C13613" s="3"/>
    </row>
    <row r="13614">
      <c r="A13614" s="3"/>
      <c r="B13614" s="3"/>
      <c r="C13614" s="3"/>
    </row>
    <row r="13615">
      <c r="A13615" s="3"/>
      <c r="B13615" s="3"/>
      <c r="C13615" s="3"/>
    </row>
    <row r="13616">
      <c r="A13616" s="3"/>
      <c r="B13616" s="3"/>
      <c r="C13616" s="3"/>
    </row>
    <row r="13617">
      <c r="A13617" s="3"/>
      <c r="B13617" s="3"/>
      <c r="C13617" s="3"/>
    </row>
    <row r="13618">
      <c r="A13618" s="3"/>
      <c r="B13618" s="3"/>
      <c r="C13618" s="3"/>
    </row>
    <row r="13619">
      <c r="A13619" s="3"/>
      <c r="B13619" s="3"/>
      <c r="C13619" s="3"/>
    </row>
    <row r="13620">
      <c r="A13620" s="3"/>
      <c r="B13620" s="3"/>
      <c r="C13620" s="3"/>
    </row>
    <row r="13621">
      <c r="A13621" s="3"/>
      <c r="B13621" s="3"/>
      <c r="C13621" s="3"/>
    </row>
    <row r="13622">
      <c r="A13622" s="3"/>
      <c r="B13622" s="3"/>
      <c r="C13622" s="3"/>
    </row>
    <row r="13623">
      <c r="A13623" s="3"/>
      <c r="B13623" s="3"/>
      <c r="C13623" s="3"/>
    </row>
    <row r="13624">
      <c r="A13624" s="3"/>
      <c r="B13624" s="3"/>
      <c r="C13624" s="3"/>
    </row>
    <row r="13625">
      <c r="A13625" s="3"/>
      <c r="B13625" s="3"/>
      <c r="C13625" s="3"/>
    </row>
    <row r="13626">
      <c r="A13626" s="3"/>
      <c r="B13626" s="3"/>
      <c r="C13626" s="3"/>
    </row>
    <row r="13627">
      <c r="A13627" s="3"/>
      <c r="B13627" s="3"/>
      <c r="C13627" s="3"/>
    </row>
    <row r="13628">
      <c r="A13628" s="3"/>
      <c r="B13628" s="3"/>
      <c r="C13628" s="3"/>
    </row>
    <row r="13629">
      <c r="A13629" s="3"/>
      <c r="B13629" s="3"/>
      <c r="C13629" s="3"/>
    </row>
    <row r="13630">
      <c r="A13630" s="3"/>
      <c r="B13630" s="3"/>
      <c r="C13630" s="3"/>
    </row>
    <row r="13631">
      <c r="A13631" s="3"/>
      <c r="B13631" s="3"/>
      <c r="C13631" s="3"/>
    </row>
    <row r="13632">
      <c r="A13632" s="3"/>
      <c r="B13632" s="3"/>
      <c r="C13632" s="3"/>
    </row>
    <row r="13633">
      <c r="A13633" s="3"/>
      <c r="B13633" s="3"/>
      <c r="C13633" s="3"/>
    </row>
    <row r="13634">
      <c r="A13634" s="3"/>
      <c r="B13634" s="3"/>
      <c r="C13634" s="3"/>
    </row>
    <row r="13635">
      <c r="A13635" s="3"/>
      <c r="B13635" s="3"/>
      <c r="C13635" s="3"/>
    </row>
    <row r="13636">
      <c r="A13636" s="3"/>
      <c r="B13636" s="3"/>
      <c r="C13636" s="3"/>
    </row>
    <row r="13637">
      <c r="A13637" s="3"/>
      <c r="B13637" s="3"/>
      <c r="C13637" s="3"/>
    </row>
    <row r="13638">
      <c r="A13638" s="3"/>
      <c r="B13638" s="3"/>
      <c r="C13638" s="3"/>
    </row>
    <row r="13639">
      <c r="A13639" s="3"/>
      <c r="B13639" s="3"/>
      <c r="C13639" s="3"/>
    </row>
    <row r="13640">
      <c r="A13640" s="3"/>
      <c r="B13640" s="3"/>
      <c r="C13640" s="3"/>
    </row>
    <row r="13641">
      <c r="A13641" s="3"/>
      <c r="B13641" s="3"/>
      <c r="C13641" s="3"/>
    </row>
    <row r="13642">
      <c r="A13642" s="3"/>
      <c r="B13642" s="3"/>
      <c r="C13642" s="3"/>
    </row>
    <row r="13643">
      <c r="A13643" s="3"/>
      <c r="B13643" s="3"/>
      <c r="C13643" s="3"/>
    </row>
    <row r="13644">
      <c r="A13644" s="3"/>
      <c r="B13644" s="3"/>
      <c r="C13644" s="3"/>
    </row>
    <row r="13645">
      <c r="A13645" s="3"/>
      <c r="B13645" s="3"/>
      <c r="C13645" s="3"/>
    </row>
    <row r="13646">
      <c r="A13646" s="3"/>
      <c r="B13646" s="3"/>
      <c r="C13646" s="3"/>
    </row>
    <row r="13647">
      <c r="A13647" s="3"/>
      <c r="B13647" s="3"/>
      <c r="C13647" s="3"/>
    </row>
    <row r="13648">
      <c r="A13648" s="3"/>
      <c r="B13648" s="3"/>
      <c r="C13648" s="3"/>
    </row>
    <row r="13649">
      <c r="A13649" s="3"/>
      <c r="B13649" s="3"/>
      <c r="C13649" s="3"/>
    </row>
    <row r="13650">
      <c r="A13650" s="3"/>
      <c r="B13650" s="3"/>
      <c r="C13650" s="3"/>
    </row>
    <row r="13651">
      <c r="A13651" s="3"/>
      <c r="B13651" s="3"/>
      <c r="C13651" s="3"/>
    </row>
    <row r="13652">
      <c r="A13652" s="3"/>
      <c r="B13652" s="3"/>
      <c r="C13652" s="3"/>
    </row>
    <row r="13653">
      <c r="A13653" s="3"/>
      <c r="B13653" s="3"/>
      <c r="C13653" s="3"/>
    </row>
    <row r="13654">
      <c r="A13654" s="3"/>
      <c r="B13654" s="3"/>
      <c r="C13654" s="3"/>
    </row>
    <row r="13655">
      <c r="A13655" s="3"/>
      <c r="B13655" s="3"/>
      <c r="C13655" s="3"/>
    </row>
    <row r="13656">
      <c r="A13656" s="3"/>
      <c r="B13656" s="3"/>
      <c r="C13656" s="3"/>
    </row>
    <row r="13657">
      <c r="A13657" s="3"/>
      <c r="B13657" s="3"/>
      <c r="C13657" s="3"/>
    </row>
    <row r="13658">
      <c r="A13658" s="3"/>
      <c r="B13658" s="3"/>
      <c r="C13658" s="3"/>
    </row>
    <row r="13659">
      <c r="A13659" s="3"/>
      <c r="B13659" s="3"/>
      <c r="C13659" s="3"/>
    </row>
    <row r="13660">
      <c r="A13660" s="3"/>
      <c r="B13660" s="3"/>
      <c r="C13660" s="3"/>
    </row>
    <row r="13661">
      <c r="A13661" s="3"/>
      <c r="B13661" s="3"/>
      <c r="C13661" s="3"/>
    </row>
    <row r="13662">
      <c r="A13662" s="3"/>
      <c r="B13662" s="3"/>
      <c r="C13662" s="3"/>
    </row>
    <row r="13663">
      <c r="A13663" s="3"/>
      <c r="B13663" s="3"/>
      <c r="C13663" s="3"/>
    </row>
    <row r="13664">
      <c r="A13664" s="3"/>
      <c r="B13664" s="3"/>
      <c r="C13664" s="3"/>
    </row>
    <row r="13665">
      <c r="A13665" s="3"/>
      <c r="B13665" s="3"/>
      <c r="C13665" s="3"/>
    </row>
    <row r="13666">
      <c r="A13666" s="3"/>
      <c r="B13666" s="3"/>
      <c r="C13666" s="3"/>
    </row>
    <row r="13667">
      <c r="A13667" s="3"/>
      <c r="B13667" s="3"/>
      <c r="C13667" s="3"/>
    </row>
    <row r="13668">
      <c r="A13668" s="3"/>
      <c r="B13668" s="3"/>
      <c r="C13668" s="3"/>
    </row>
    <row r="13669">
      <c r="A13669" s="3"/>
      <c r="B13669" s="3"/>
      <c r="C13669" s="3"/>
    </row>
    <row r="13670">
      <c r="A13670" s="3"/>
      <c r="B13670" s="3"/>
      <c r="C13670" s="3"/>
    </row>
    <row r="13671">
      <c r="A13671" s="3"/>
      <c r="B13671" s="3"/>
      <c r="C13671" s="3"/>
    </row>
    <row r="13672">
      <c r="A13672" s="3"/>
      <c r="B13672" s="3"/>
      <c r="C13672" s="3"/>
    </row>
    <row r="13673">
      <c r="A13673" s="3"/>
      <c r="B13673" s="3"/>
      <c r="C13673" s="3"/>
    </row>
    <row r="13674">
      <c r="A13674" s="3"/>
      <c r="B13674" s="3"/>
      <c r="C13674" s="3"/>
    </row>
    <row r="13675">
      <c r="A13675" s="3"/>
      <c r="B13675" s="3"/>
      <c r="C13675" s="3"/>
    </row>
    <row r="13676">
      <c r="A13676" s="3"/>
      <c r="B13676" s="3"/>
      <c r="C13676" s="3"/>
    </row>
    <row r="13677">
      <c r="A13677" s="3"/>
      <c r="B13677" s="3"/>
      <c r="C13677" s="3"/>
    </row>
    <row r="13678">
      <c r="A13678" s="3"/>
      <c r="B13678" s="3"/>
      <c r="C13678" s="3"/>
    </row>
    <row r="13679">
      <c r="A13679" s="3"/>
      <c r="B13679" s="3"/>
      <c r="C13679" s="3"/>
    </row>
    <row r="13680">
      <c r="A13680" s="3"/>
      <c r="B13680" s="3"/>
      <c r="C13680" s="3"/>
    </row>
    <row r="13681">
      <c r="A13681" s="3"/>
      <c r="B13681" s="3"/>
      <c r="C13681" s="3"/>
    </row>
    <row r="13682">
      <c r="A13682" s="3"/>
      <c r="B13682" s="3"/>
      <c r="C13682" s="3"/>
    </row>
    <row r="13683">
      <c r="A13683" s="3"/>
      <c r="B13683" s="3"/>
      <c r="C13683" s="3"/>
    </row>
    <row r="13684">
      <c r="A13684" s="3"/>
      <c r="B13684" s="3"/>
      <c r="C13684" s="3"/>
    </row>
    <row r="13685">
      <c r="A13685" s="3"/>
      <c r="B13685" s="3"/>
      <c r="C13685" s="3"/>
    </row>
    <row r="13686">
      <c r="A13686" s="3"/>
      <c r="B13686" s="3"/>
      <c r="C13686" s="3"/>
    </row>
    <row r="13687">
      <c r="A13687" s="3"/>
      <c r="B13687" s="3"/>
      <c r="C13687" s="3"/>
    </row>
    <row r="13688">
      <c r="A13688" s="3"/>
      <c r="B13688" s="3"/>
      <c r="C13688" s="3"/>
    </row>
    <row r="13689">
      <c r="A13689" s="3"/>
      <c r="B13689" s="3"/>
      <c r="C13689" s="3"/>
    </row>
    <row r="13690">
      <c r="A13690" s="3"/>
      <c r="B13690" s="3"/>
      <c r="C13690" s="3"/>
    </row>
    <row r="13691">
      <c r="A13691" s="3"/>
      <c r="B13691" s="3"/>
      <c r="C13691" s="3"/>
    </row>
    <row r="13692">
      <c r="A13692" s="3"/>
      <c r="B13692" s="3"/>
      <c r="C13692" s="3"/>
    </row>
    <row r="13693">
      <c r="A13693" s="3"/>
      <c r="B13693" s="3"/>
      <c r="C13693" s="3"/>
    </row>
    <row r="13694">
      <c r="A13694" s="3"/>
      <c r="B13694" s="3"/>
      <c r="C13694" s="3"/>
    </row>
    <row r="13695">
      <c r="A13695" s="3"/>
      <c r="B13695" s="3"/>
      <c r="C13695" s="3"/>
    </row>
    <row r="13696">
      <c r="A13696" s="3"/>
      <c r="B13696" s="3"/>
      <c r="C13696" s="3"/>
    </row>
    <row r="13697">
      <c r="A13697" s="3"/>
      <c r="B13697" s="3"/>
      <c r="C13697" s="3"/>
    </row>
    <row r="13698">
      <c r="A13698" s="3"/>
      <c r="B13698" s="3"/>
      <c r="C13698" s="3"/>
    </row>
    <row r="13699">
      <c r="A13699" s="3"/>
      <c r="B13699" s="3"/>
      <c r="C13699" s="3"/>
    </row>
    <row r="13700">
      <c r="A13700" s="3"/>
      <c r="B13700" s="3"/>
      <c r="C13700" s="3"/>
    </row>
    <row r="13701">
      <c r="A13701" s="3"/>
      <c r="B13701" s="3"/>
      <c r="C13701" s="3"/>
    </row>
    <row r="13702">
      <c r="A13702" s="3"/>
      <c r="B13702" s="3"/>
      <c r="C13702" s="3"/>
    </row>
    <row r="13703">
      <c r="A13703" s="3"/>
      <c r="B13703" s="3"/>
      <c r="C13703" s="3"/>
    </row>
    <row r="13704">
      <c r="A13704" s="3"/>
      <c r="B13704" s="3"/>
      <c r="C13704" s="3"/>
    </row>
    <row r="13705">
      <c r="A13705" s="3"/>
      <c r="B13705" s="3"/>
      <c r="C13705" s="3"/>
    </row>
    <row r="13706">
      <c r="A13706" s="3"/>
      <c r="B13706" s="3"/>
      <c r="C13706" s="3"/>
    </row>
    <row r="13707">
      <c r="A13707" s="3"/>
      <c r="B13707" s="3"/>
      <c r="C13707" s="3"/>
    </row>
    <row r="13708">
      <c r="A13708" s="3"/>
      <c r="B13708" s="3"/>
      <c r="C13708" s="3"/>
    </row>
    <row r="13709">
      <c r="A13709" s="3"/>
      <c r="B13709" s="3"/>
      <c r="C13709" s="3"/>
    </row>
    <row r="13710">
      <c r="A13710" s="3"/>
      <c r="B13710" s="3"/>
      <c r="C13710" s="3"/>
    </row>
    <row r="13711">
      <c r="A13711" s="3"/>
      <c r="B13711" s="3"/>
      <c r="C13711" s="3"/>
    </row>
    <row r="13712">
      <c r="A13712" s="3"/>
      <c r="B13712" s="3"/>
      <c r="C13712" s="3"/>
    </row>
    <row r="13713">
      <c r="A13713" s="3"/>
      <c r="B13713" s="3"/>
      <c r="C13713" s="3"/>
    </row>
    <row r="13714">
      <c r="A13714" s="3"/>
      <c r="B13714" s="3"/>
      <c r="C13714" s="3"/>
    </row>
    <row r="13715">
      <c r="A13715" s="3"/>
      <c r="B13715" s="3"/>
      <c r="C13715" s="3"/>
    </row>
    <row r="13716">
      <c r="A13716" s="3"/>
      <c r="B13716" s="3"/>
      <c r="C13716" s="3"/>
    </row>
    <row r="13717">
      <c r="A13717" s="3"/>
      <c r="B13717" s="3"/>
      <c r="C13717" s="3"/>
    </row>
    <row r="13718">
      <c r="A13718" s="3"/>
      <c r="B13718" s="3"/>
      <c r="C13718" s="3"/>
    </row>
    <row r="13719">
      <c r="A13719" s="3"/>
      <c r="B13719" s="3"/>
      <c r="C13719" s="3"/>
    </row>
    <row r="13720">
      <c r="A13720" s="3"/>
      <c r="B13720" s="3"/>
      <c r="C13720" s="3"/>
    </row>
    <row r="13721">
      <c r="A13721" s="3"/>
      <c r="B13721" s="3"/>
      <c r="C13721" s="3"/>
    </row>
    <row r="13722">
      <c r="A13722" s="3"/>
      <c r="B13722" s="3"/>
      <c r="C13722" s="3"/>
    </row>
    <row r="13723">
      <c r="A13723" s="3"/>
      <c r="B13723" s="3"/>
      <c r="C13723" s="3"/>
    </row>
    <row r="13724">
      <c r="A13724" s="3"/>
      <c r="B13724" s="3"/>
      <c r="C13724" s="3"/>
    </row>
    <row r="13725">
      <c r="A13725" s="3"/>
      <c r="B13725" s="3"/>
      <c r="C13725" s="3"/>
    </row>
    <row r="13726">
      <c r="A13726" s="3"/>
      <c r="B13726" s="3"/>
      <c r="C13726" s="3"/>
    </row>
    <row r="13727">
      <c r="A13727" s="3"/>
      <c r="B13727" s="3"/>
      <c r="C13727" s="3"/>
    </row>
    <row r="13728">
      <c r="A13728" s="3"/>
      <c r="B13728" s="3"/>
      <c r="C13728" s="3"/>
    </row>
    <row r="13729">
      <c r="A13729" s="3"/>
      <c r="B13729" s="3"/>
      <c r="C13729" s="3"/>
    </row>
    <row r="13730">
      <c r="A13730" s="3"/>
      <c r="B13730" s="3"/>
      <c r="C13730" s="3"/>
    </row>
    <row r="13731">
      <c r="A13731" s="3"/>
      <c r="B13731" s="3"/>
      <c r="C13731" s="3"/>
    </row>
    <row r="13732">
      <c r="A13732" s="3"/>
      <c r="B13732" s="3"/>
      <c r="C13732" s="3"/>
    </row>
    <row r="13733">
      <c r="A13733" s="3"/>
      <c r="B13733" s="3"/>
      <c r="C13733" s="3"/>
    </row>
    <row r="13734">
      <c r="A13734" s="3"/>
      <c r="B13734" s="3"/>
      <c r="C13734" s="3"/>
    </row>
    <row r="13735">
      <c r="A13735" s="3"/>
      <c r="B13735" s="3"/>
      <c r="C13735" s="3"/>
    </row>
    <row r="13736">
      <c r="A13736" s="3"/>
      <c r="B13736" s="3"/>
      <c r="C13736" s="3"/>
    </row>
    <row r="13737">
      <c r="A13737" s="3"/>
      <c r="B13737" s="3"/>
      <c r="C13737" s="3"/>
    </row>
    <row r="13738">
      <c r="A13738" s="3"/>
      <c r="B13738" s="3"/>
      <c r="C13738" s="3"/>
    </row>
    <row r="13739">
      <c r="A13739" s="3"/>
      <c r="B13739" s="3"/>
      <c r="C13739" s="3"/>
    </row>
    <row r="13740">
      <c r="A13740" s="3"/>
      <c r="B13740" s="3"/>
      <c r="C13740" s="3"/>
    </row>
    <row r="13741">
      <c r="A13741" s="3"/>
      <c r="B13741" s="3"/>
      <c r="C13741" s="3"/>
    </row>
    <row r="13742">
      <c r="A13742" s="3"/>
      <c r="B13742" s="3"/>
      <c r="C13742" s="3"/>
    </row>
    <row r="13743">
      <c r="A13743" s="3"/>
      <c r="B13743" s="3"/>
      <c r="C13743" s="3"/>
    </row>
    <row r="13744">
      <c r="A13744" s="3"/>
      <c r="B13744" s="3"/>
      <c r="C13744" s="3"/>
    </row>
    <row r="13745">
      <c r="A13745" s="3"/>
      <c r="B13745" s="3"/>
      <c r="C13745" s="3"/>
    </row>
    <row r="13746">
      <c r="A13746" s="3"/>
      <c r="B13746" s="3"/>
      <c r="C13746" s="3"/>
    </row>
    <row r="13747">
      <c r="A13747" s="3"/>
      <c r="B13747" s="3"/>
      <c r="C13747" s="3"/>
    </row>
    <row r="13748">
      <c r="A13748" s="3"/>
      <c r="B13748" s="3"/>
      <c r="C13748" s="3"/>
    </row>
    <row r="13749">
      <c r="A13749" s="3"/>
      <c r="B13749" s="3"/>
      <c r="C13749" s="3"/>
    </row>
    <row r="13750">
      <c r="A13750" s="3"/>
      <c r="B13750" s="3"/>
      <c r="C13750" s="3"/>
    </row>
    <row r="13751">
      <c r="A13751" s="3"/>
      <c r="B13751" s="3"/>
      <c r="C13751" s="3"/>
    </row>
    <row r="13752">
      <c r="A13752" s="3"/>
      <c r="B13752" s="3"/>
      <c r="C13752" s="3"/>
    </row>
    <row r="13753">
      <c r="A13753" s="3"/>
      <c r="B13753" s="3"/>
      <c r="C13753" s="3"/>
    </row>
    <row r="13754">
      <c r="A13754" s="3"/>
      <c r="B13754" s="3"/>
      <c r="C13754" s="3"/>
    </row>
    <row r="13755">
      <c r="A13755" s="3"/>
      <c r="B13755" s="3"/>
      <c r="C13755" s="3"/>
    </row>
    <row r="13756">
      <c r="A13756" s="3"/>
      <c r="B13756" s="3"/>
      <c r="C13756" s="3"/>
    </row>
    <row r="13757">
      <c r="A13757" s="3"/>
      <c r="B13757" s="3"/>
      <c r="C13757" s="3"/>
    </row>
    <row r="13758">
      <c r="A13758" s="3"/>
      <c r="B13758" s="3"/>
      <c r="C13758" s="3"/>
    </row>
    <row r="13759">
      <c r="A13759" s="3"/>
      <c r="B13759" s="3"/>
      <c r="C13759" s="3"/>
    </row>
    <row r="13760">
      <c r="A13760" s="3"/>
      <c r="B13760" s="3"/>
      <c r="C13760" s="3"/>
    </row>
    <row r="13761">
      <c r="A13761" s="3"/>
      <c r="B13761" s="3"/>
      <c r="C13761" s="3"/>
    </row>
    <row r="13762">
      <c r="A13762" s="3"/>
      <c r="B13762" s="3"/>
      <c r="C13762" s="3"/>
    </row>
    <row r="13763">
      <c r="A13763" s="3"/>
      <c r="B13763" s="3"/>
      <c r="C13763" s="3"/>
    </row>
    <row r="13764">
      <c r="A13764" s="3"/>
      <c r="B13764" s="3"/>
      <c r="C13764" s="3"/>
    </row>
    <row r="13765">
      <c r="A13765" s="3"/>
      <c r="B13765" s="3"/>
      <c r="C13765" s="3"/>
    </row>
    <row r="13766">
      <c r="A13766" s="3"/>
      <c r="B13766" s="3"/>
      <c r="C13766" s="3"/>
    </row>
    <row r="13767">
      <c r="A13767" s="3"/>
      <c r="B13767" s="3"/>
      <c r="C13767" s="3"/>
    </row>
    <row r="13768">
      <c r="A13768" s="3"/>
      <c r="B13768" s="3"/>
      <c r="C13768" s="3"/>
    </row>
    <row r="13769">
      <c r="A13769" s="3"/>
      <c r="B13769" s="3"/>
      <c r="C13769" s="3"/>
    </row>
    <row r="13770">
      <c r="A13770" s="3"/>
      <c r="B13770" s="3"/>
      <c r="C13770" s="3"/>
    </row>
    <row r="13771">
      <c r="A13771" s="3"/>
      <c r="B13771" s="3"/>
      <c r="C13771" s="3"/>
    </row>
    <row r="13772">
      <c r="A13772" s="3"/>
      <c r="B13772" s="3"/>
      <c r="C13772" s="3"/>
    </row>
    <row r="13773">
      <c r="A13773" s="3"/>
      <c r="B13773" s="3"/>
      <c r="C13773" s="3"/>
    </row>
    <row r="13774">
      <c r="A13774" s="3"/>
      <c r="B13774" s="3"/>
      <c r="C13774" s="3"/>
    </row>
    <row r="13775">
      <c r="A13775" s="3"/>
      <c r="B13775" s="3"/>
      <c r="C13775" s="3"/>
    </row>
    <row r="13776">
      <c r="A13776" s="3"/>
      <c r="B13776" s="3"/>
      <c r="C13776" s="3"/>
    </row>
    <row r="13777">
      <c r="A13777" s="3"/>
      <c r="B13777" s="3"/>
      <c r="C13777" s="3"/>
    </row>
    <row r="13778">
      <c r="A13778" s="3"/>
      <c r="B13778" s="3"/>
      <c r="C13778" s="3"/>
    </row>
    <row r="13779">
      <c r="A13779" s="3"/>
      <c r="B13779" s="3"/>
      <c r="C13779" s="3"/>
    </row>
    <row r="13780">
      <c r="A13780" s="3"/>
      <c r="B13780" s="3"/>
      <c r="C13780" s="3"/>
    </row>
    <row r="13781">
      <c r="A13781" s="3"/>
      <c r="B13781" s="3"/>
      <c r="C13781" s="3"/>
    </row>
    <row r="13782">
      <c r="A13782" s="3"/>
      <c r="B13782" s="3"/>
      <c r="C13782" s="3"/>
    </row>
    <row r="13783">
      <c r="A13783" s="3"/>
      <c r="B13783" s="3"/>
      <c r="C13783" s="3"/>
    </row>
    <row r="13784">
      <c r="A13784" s="3"/>
      <c r="B13784" s="3"/>
      <c r="C13784" s="3"/>
    </row>
    <row r="13785">
      <c r="A13785" s="3"/>
      <c r="B13785" s="3"/>
      <c r="C13785" s="3"/>
    </row>
    <row r="13786">
      <c r="A13786" s="3"/>
      <c r="B13786" s="3"/>
      <c r="C13786" s="3"/>
    </row>
    <row r="13787">
      <c r="A13787" s="3"/>
      <c r="B13787" s="3"/>
      <c r="C13787" s="3"/>
    </row>
    <row r="13788">
      <c r="A13788" s="3"/>
      <c r="B13788" s="3"/>
      <c r="C13788" s="3"/>
    </row>
    <row r="13789">
      <c r="A13789" s="3"/>
      <c r="B13789" s="3"/>
      <c r="C13789" s="3"/>
    </row>
    <row r="13790">
      <c r="A13790" s="3"/>
      <c r="B13790" s="3"/>
      <c r="C13790" s="3"/>
    </row>
    <row r="13791">
      <c r="A13791" s="3"/>
      <c r="B13791" s="3"/>
      <c r="C13791" s="3"/>
    </row>
    <row r="13792">
      <c r="A13792" s="3"/>
      <c r="B13792" s="3"/>
      <c r="C13792" s="3"/>
    </row>
    <row r="13793">
      <c r="A13793" s="3"/>
      <c r="B13793" s="3"/>
      <c r="C13793" s="3"/>
    </row>
    <row r="13794">
      <c r="A13794" s="3"/>
      <c r="B13794" s="3"/>
      <c r="C13794" s="3"/>
    </row>
    <row r="13795">
      <c r="A13795" s="3"/>
      <c r="B13795" s="3"/>
      <c r="C13795" s="3"/>
    </row>
    <row r="13796">
      <c r="A13796" s="3"/>
      <c r="B13796" s="3"/>
      <c r="C13796" s="3"/>
    </row>
    <row r="13797">
      <c r="A13797" s="3"/>
      <c r="B13797" s="3"/>
      <c r="C13797" s="3"/>
    </row>
    <row r="13798">
      <c r="A13798" s="3"/>
      <c r="B13798" s="3"/>
      <c r="C13798" s="3"/>
    </row>
    <row r="13799">
      <c r="A13799" s="3"/>
      <c r="B13799" s="3"/>
      <c r="C13799" s="3"/>
    </row>
    <row r="13800">
      <c r="A13800" s="3"/>
      <c r="B13800" s="3"/>
      <c r="C13800" s="3"/>
    </row>
    <row r="13801">
      <c r="A13801" s="3"/>
      <c r="B13801" s="3"/>
      <c r="C13801" s="3"/>
    </row>
    <row r="13802">
      <c r="A13802" s="3"/>
      <c r="B13802" s="3"/>
      <c r="C13802" s="3"/>
    </row>
    <row r="13803">
      <c r="A13803" s="3"/>
      <c r="B13803" s="3"/>
      <c r="C13803" s="3"/>
    </row>
    <row r="13804">
      <c r="A13804" s="3"/>
      <c r="B13804" s="3"/>
      <c r="C13804" s="3"/>
    </row>
    <row r="13805">
      <c r="A13805" s="3"/>
      <c r="B13805" s="3"/>
      <c r="C13805" s="3"/>
    </row>
    <row r="13806">
      <c r="A13806" s="3"/>
      <c r="B13806" s="3"/>
      <c r="C13806" s="3"/>
    </row>
    <row r="13807">
      <c r="A13807" s="3"/>
      <c r="B13807" s="3"/>
      <c r="C13807" s="3"/>
    </row>
    <row r="13808">
      <c r="A13808" s="3"/>
      <c r="B13808" s="3"/>
      <c r="C13808" s="3"/>
    </row>
    <row r="13809">
      <c r="A13809" s="3"/>
      <c r="B13809" s="3"/>
      <c r="C13809" s="3"/>
    </row>
    <row r="13810">
      <c r="A13810" s="3"/>
      <c r="B13810" s="3"/>
      <c r="C13810" s="3"/>
    </row>
    <row r="13811">
      <c r="A13811" s="3"/>
      <c r="B13811" s="3"/>
      <c r="C13811" s="3"/>
    </row>
    <row r="13812">
      <c r="A13812" s="3"/>
      <c r="B13812" s="3"/>
      <c r="C13812" s="3"/>
    </row>
    <row r="13813">
      <c r="A13813" s="3"/>
      <c r="B13813" s="3"/>
      <c r="C13813" s="3"/>
    </row>
    <row r="13814">
      <c r="A13814" s="3"/>
      <c r="B13814" s="3"/>
      <c r="C13814" s="3"/>
    </row>
    <row r="13815">
      <c r="A13815" s="3"/>
      <c r="B13815" s="3"/>
      <c r="C13815" s="3"/>
    </row>
    <row r="13816">
      <c r="A13816" s="3"/>
      <c r="B13816" s="3"/>
      <c r="C13816" s="3"/>
    </row>
    <row r="13817">
      <c r="A13817" s="3"/>
      <c r="B13817" s="3"/>
      <c r="C13817" s="3"/>
    </row>
    <row r="13818">
      <c r="A13818" s="3"/>
      <c r="B13818" s="3"/>
      <c r="C13818" s="3"/>
    </row>
    <row r="13819">
      <c r="A13819" s="3"/>
      <c r="B13819" s="3"/>
      <c r="C13819" s="3"/>
    </row>
    <row r="13820">
      <c r="A13820" s="3"/>
      <c r="B13820" s="3"/>
      <c r="C13820" s="3"/>
    </row>
    <row r="13821">
      <c r="A13821" s="3"/>
      <c r="B13821" s="3"/>
      <c r="C13821" s="3"/>
    </row>
    <row r="13822">
      <c r="A13822" s="3"/>
      <c r="B13822" s="3"/>
      <c r="C13822" s="3"/>
    </row>
    <row r="13823">
      <c r="A13823" s="3"/>
      <c r="B13823" s="3"/>
      <c r="C13823" s="3"/>
    </row>
    <row r="13824">
      <c r="A13824" s="3"/>
      <c r="B13824" s="3"/>
      <c r="C13824" s="3"/>
    </row>
    <row r="13825">
      <c r="A13825" s="3"/>
      <c r="B13825" s="3"/>
      <c r="C13825" s="3"/>
    </row>
    <row r="13826">
      <c r="A13826" s="3"/>
      <c r="B13826" s="3"/>
      <c r="C13826" s="3"/>
    </row>
    <row r="13827">
      <c r="A13827" s="3"/>
      <c r="B13827" s="3"/>
      <c r="C13827" s="3"/>
    </row>
    <row r="13828">
      <c r="A13828" s="3"/>
      <c r="B13828" s="3"/>
      <c r="C13828" s="3"/>
    </row>
    <row r="13829">
      <c r="A13829" s="3"/>
      <c r="B13829" s="3"/>
      <c r="C13829" s="3"/>
    </row>
    <row r="13830">
      <c r="A13830" s="3"/>
      <c r="B13830" s="3"/>
      <c r="C13830" s="3"/>
    </row>
    <row r="13831">
      <c r="A13831" s="3"/>
      <c r="B13831" s="3"/>
      <c r="C13831" s="3"/>
    </row>
    <row r="13832">
      <c r="A13832" s="3"/>
      <c r="B13832" s="3"/>
      <c r="C13832" s="3"/>
    </row>
    <row r="13833">
      <c r="A13833" s="3"/>
      <c r="B13833" s="3"/>
      <c r="C13833" s="3"/>
    </row>
    <row r="13834">
      <c r="A13834" s="3"/>
      <c r="B13834" s="3"/>
      <c r="C13834" s="3"/>
    </row>
    <row r="13835">
      <c r="A13835" s="3"/>
      <c r="B13835" s="3"/>
      <c r="C13835" s="3"/>
    </row>
    <row r="13836">
      <c r="A13836" s="3"/>
      <c r="B13836" s="3"/>
      <c r="C13836" s="3"/>
    </row>
    <row r="13837">
      <c r="A13837" s="3"/>
      <c r="B13837" s="3"/>
      <c r="C13837" s="3"/>
    </row>
    <row r="13838">
      <c r="A13838" s="3"/>
      <c r="B13838" s="3"/>
      <c r="C13838" s="3"/>
    </row>
    <row r="13839">
      <c r="A13839" s="3"/>
      <c r="B13839" s="3"/>
      <c r="C13839" s="3"/>
    </row>
    <row r="13840">
      <c r="A13840" s="3"/>
      <c r="B13840" s="3"/>
      <c r="C13840" s="3"/>
    </row>
    <row r="13841">
      <c r="A13841" s="3"/>
      <c r="B13841" s="3"/>
      <c r="C13841" s="3"/>
    </row>
    <row r="13842">
      <c r="A13842" s="3"/>
      <c r="B13842" s="3"/>
      <c r="C13842" s="3"/>
    </row>
    <row r="13843">
      <c r="A13843" s="3"/>
      <c r="B13843" s="3"/>
      <c r="C13843" s="3"/>
    </row>
    <row r="13844">
      <c r="A13844" s="3"/>
      <c r="B13844" s="3"/>
      <c r="C13844" s="3"/>
    </row>
    <row r="13845">
      <c r="A13845" s="3"/>
      <c r="B13845" s="3"/>
      <c r="C13845" s="3"/>
    </row>
    <row r="13846">
      <c r="A13846" s="3"/>
      <c r="B13846" s="3"/>
      <c r="C13846" s="3"/>
    </row>
    <row r="13847">
      <c r="A13847" s="3"/>
      <c r="B13847" s="3"/>
      <c r="C13847" s="3"/>
    </row>
    <row r="13848">
      <c r="A13848" s="3"/>
      <c r="B13848" s="3"/>
      <c r="C13848" s="3"/>
    </row>
    <row r="13849">
      <c r="A13849" s="3"/>
      <c r="B13849" s="3"/>
      <c r="C13849" s="3"/>
    </row>
    <row r="13850">
      <c r="A13850" s="3"/>
      <c r="B13850" s="3"/>
      <c r="C13850" s="3"/>
    </row>
    <row r="13851">
      <c r="A13851" s="3"/>
      <c r="B13851" s="3"/>
      <c r="C13851" s="3"/>
    </row>
    <row r="13852">
      <c r="A13852" s="3"/>
      <c r="B13852" s="3"/>
      <c r="C13852" s="3"/>
    </row>
    <row r="13853">
      <c r="A13853" s="3"/>
      <c r="B13853" s="3"/>
      <c r="C13853" s="3"/>
    </row>
    <row r="13854">
      <c r="A13854" s="3"/>
      <c r="B13854" s="3"/>
      <c r="C13854" s="3"/>
    </row>
    <row r="13855">
      <c r="A13855" s="3"/>
      <c r="B13855" s="3"/>
      <c r="C13855" s="3"/>
    </row>
    <row r="13856">
      <c r="A13856" s="3"/>
      <c r="B13856" s="3"/>
      <c r="C13856" s="3"/>
    </row>
    <row r="13857">
      <c r="A13857" s="3"/>
      <c r="B13857" s="3"/>
      <c r="C13857" s="3"/>
    </row>
    <row r="13858">
      <c r="A13858" s="3"/>
      <c r="B13858" s="3"/>
      <c r="C13858" s="3"/>
    </row>
    <row r="13859">
      <c r="A13859" s="3"/>
      <c r="B13859" s="3"/>
      <c r="C13859" s="3"/>
    </row>
    <row r="13860">
      <c r="A13860" s="3"/>
      <c r="B13860" s="3"/>
      <c r="C13860" s="3"/>
    </row>
    <row r="13861">
      <c r="A13861" s="3"/>
      <c r="B13861" s="3"/>
      <c r="C13861" s="3"/>
    </row>
    <row r="13862">
      <c r="A13862" s="3"/>
      <c r="B13862" s="3"/>
      <c r="C13862" s="3"/>
    </row>
    <row r="13863">
      <c r="A13863" s="3"/>
      <c r="B13863" s="3"/>
      <c r="C13863" s="3"/>
    </row>
  </sheetData>
  <hyperlinks>
    <hyperlink r:id="rId1" ref="C398"/>
    <hyperlink r:id="rId2" ref="C495"/>
    <hyperlink r:id="rId3" ref="C567"/>
    <hyperlink r:id="rId4" ref="C616"/>
    <hyperlink r:id="rId5" ref="C850"/>
    <hyperlink r:id="rId6" ref="C1025"/>
    <hyperlink r:id="rId7" ref="C1027"/>
    <hyperlink r:id="rId8" ref="C1274"/>
    <hyperlink r:id="rId9" ref="C1398"/>
    <hyperlink r:id="rId10" ref="C1412"/>
    <hyperlink r:id="rId11" ref="C1450"/>
    <hyperlink r:id="rId12" ref="C1486"/>
    <hyperlink r:id="rId13" ref="C1816"/>
    <hyperlink r:id="rId14" ref="C2157"/>
    <hyperlink r:id="rId15" ref="C2295"/>
    <hyperlink r:id="rId16" ref="C2484"/>
    <hyperlink r:id="rId17" ref="C2687"/>
    <hyperlink r:id="rId18" ref="C2710"/>
    <hyperlink r:id="rId19" ref="C2930"/>
    <hyperlink r:id="rId20" ref="C3192"/>
    <hyperlink r:id="rId21" ref="C3339"/>
    <hyperlink r:id="rId22" ref="C3436"/>
    <hyperlink r:id="rId23" ref="C3832"/>
    <hyperlink r:id="rId24" ref="C4037"/>
    <hyperlink r:id="rId25" ref="C4169"/>
    <hyperlink r:id="rId26" ref="C4492"/>
    <hyperlink r:id="rId27" ref="C4654"/>
    <hyperlink r:id="rId28" ref="C5281"/>
    <hyperlink r:id="rId29" ref="C5307"/>
    <hyperlink r:id="rId30" ref="C5326"/>
    <hyperlink r:id="rId31" ref="C5388"/>
    <hyperlink r:id="rId32" ref="C5457"/>
    <hyperlink r:id="rId33" ref="C5596"/>
    <hyperlink r:id="rId34" ref="C5683"/>
    <hyperlink r:id="rId35" ref="C6333"/>
    <hyperlink r:id="rId36" ref="C7219"/>
    <hyperlink r:id="rId37" ref="C7258"/>
    <hyperlink r:id="rId38" ref="C7437"/>
    <hyperlink r:id="rId39" ref="C7873"/>
    <hyperlink r:id="rId40" ref="C8197"/>
    <hyperlink r:id="rId41" ref="C8204"/>
    <hyperlink r:id="rId42" ref="C8854"/>
    <hyperlink r:id="rId43" ref="C9011"/>
    <hyperlink r:id="rId44" ref="C9114"/>
    <hyperlink r:id="rId45" ref="C9800"/>
    <hyperlink r:id="rId46" ref="C10202"/>
    <hyperlink r:id="rId47" ref="C10453"/>
    <hyperlink r:id="rId48" ref="C10965"/>
    <hyperlink r:id="rId49" ref="C11003"/>
    <hyperlink r:id="rId50" ref="C11896"/>
    <hyperlink r:id="rId51" ref="C12458"/>
    <hyperlink r:id="rId52" ref="C12805"/>
    <hyperlink r:id="rId53" ref="C12934"/>
    <hyperlink r:id="rId54" ref="C13106"/>
    <hyperlink r:id="rId55" ref="C13237"/>
  </hyperlinks>
  <drawing r:id="rId5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6" width="12.63"/>
  </cols>
  <sheetData>
    <row r="1">
      <c r="A1" s="6">
        <v>33.0</v>
      </c>
    </row>
  </sheetData>
  <drawing r:id="rId1"/>
</worksheet>
</file>