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layt\Desktop\Proje Ödevi Final Dosyası\"/>
    </mc:Choice>
  </mc:AlternateContent>
  <bookViews>
    <workbookView xWindow="0" yWindow="0" windowWidth="23040" windowHeight="7152" activeTab="1"/>
  </bookViews>
  <sheets>
    <sheet name="KOZAN SU BİLANCOSU" sheetId="1" r:id="rId1"/>
    <sheet name="en son yapılan hintli" sheetId="7" r:id="rId2"/>
    <sheet name="KOZAN WORD"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7" l="1"/>
  <c r="C13" i="7"/>
  <c r="B13" i="7"/>
  <c r="G17" i="7"/>
  <c r="F6" i="7" l="1"/>
  <c r="H16" i="7"/>
  <c r="G16" i="7"/>
  <c r="G12" i="7"/>
  <c r="G10" i="7"/>
  <c r="G6" i="7"/>
  <c r="G9" i="7"/>
  <c r="L17" i="7"/>
  <c r="C79" i="7"/>
  <c r="L59" i="7"/>
  <c r="E45" i="7"/>
  <c r="N24" i="7"/>
  <c r="F14" i="7"/>
  <c r="E14" i="7"/>
  <c r="M11" i="7"/>
  <c r="M13" i="7"/>
  <c r="E13" i="7" s="1"/>
  <c r="F13" i="7" s="1"/>
  <c r="G13" i="7" s="1"/>
  <c r="H13" i="7" s="1"/>
  <c r="I13" i="7" s="1"/>
  <c r="J13" i="7" s="1"/>
  <c r="K13" i="7" s="1"/>
  <c r="L13" i="7" s="1"/>
  <c r="N16" i="7"/>
  <c r="B14" i="7"/>
  <c r="K12" i="7"/>
  <c r="F12" i="7"/>
  <c r="F11" i="7"/>
  <c r="E11" i="7"/>
  <c r="D11" i="7"/>
  <c r="C11" i="7"/>
  <c r="B11" i="7"/>
  <c r="F8" i="7"/>
  <c r="E10" i="7"/>
  <c r="B10" i="7"/>
  <c r="H6" i="7" l="1"/>
  <c r="H12" i="7"/>
  <c r="F9" i="7"/>
  <c r="M16" i="7"/>
  <c r="C8" i="7"/>
  <c r="M8" i="7"/>
  <c r="M9" i="7"/>
  <c r="O16" i="7"/>
  <c r="L8" i="7"/>
  <c r="L9" i="7"/>
  <c r="B4" i="7"/>
  <c r="B6" i="7"/>
  <c r="C3" i="7"/>
  <c r="D3" i="7"/>
  <c r="E3" i="7"/>
  <c r="F3" i="7"/>
  <c r="G3" i="7"/>
  <c r="H3" i="7"/>
  <c r="I3" i="7"/>
  <c r="J3" i="7"/>
  <c r="K3" i="7"/>
  <c r="L3" i="7"/>
  <c r="M3" i="7"/>
  <c r="B3" i="7"/>
  <c r="P95" i="7"/>
  <c r="O95" i="7"/>
  <c r="N95" i="7"/>
  <c r="M95" i="7"/>
  <c r="L95" i="7"/>
  <c r="K95" i="7"/>
  <c r="J95" i="7"/>
  <c r="I95" i="7"/>
  <c r="H95" i="7"/>
  <c r="G95" i="7"/>
  <c r="F95" i="7"/>
  <c r="E95" i="7"/>
  <c r="D95" i="7"/>
  <c r="O79" i="7"/>
  <c r="N79" i="7"/>
  <c r="M79" i="7"/>
  <c r="L79" i="7"/>
  <c r="K79" i="7"/>
  <c r="J79" i="7"/>
  <c r="I79" i="7"/>
  <c r="H79" i="7"/>
  <c r="G79" i="7"/>
  <c r="F79" i="7"/>
  <c r="E79" i="7"/>
  <c r="D79" i="7"/>
  <c r="K10" i="7"/>
  <c r="J10" i="7"/>
  <c r="I10" i="7"/>
  <c r="H10" i="7"/>
  <c r="N7" i="7"/>
  <c r="N2" i="7"/>
  <c r="Q2" i="7" l="1"/>
  <c r="N3" i="7"/>
  <c r="Q3" i="7" s="1"/>
  <c r="P95" i="1"/>
  <c r="E95" i="1"/>
  <c r="F95" i="1"/>
  <c r="G95" i="1"/>
  <c r="H95" i="1"/>
  <c r="I95" i="1"/>
  <c r="J95" i="1"/>
  <c r="K95" i="1"/>
  <c r="L95" i="1"/>
  <c r="M95" i="1"/>
  <c r="N95" i="1"/>
  <c r="O95" i="1"/>
  <c r="D95" i="1"/>
  <c r="O79" i="1"/>
  <c r="D79" i="1"/>
  <c r="E79" i="1"/>
  <c r="F79" i="1"/>
  <c r="G79" i="1"/>
  <c r="H79" i="1"/>
  <c r="I79" i="1"/>
  <c r="J79" i="1"/>
  <c r="K79" i="1"/>
  <c r="L79" i="1"/>
  <c r="M79" i="1"/>
  <c r="N79" i="1"/>
  <c r="C79" i="1"/>
  <c r="K4" i="7" l="1"/>
  <c r="K6" i="7" s="1"/>
  <c r="K11" i="7" s="1"/>
  <c r="M4" i="7"/>
  <c r="M6" i="7" s="1"/>
  <c r="D4" i="7"/>
  <c r="D6" i="7" s="1"/>
  <c r="H4" i="7"/>
  <c r="I4" i="7"/>
  <c r="I6" i="7" s="1"/>
  <c r="J4" i="7"/>
  <c r="J6" i="7" s="1"/>
  <c r="L4" i="7"/>
  <c r="L6" i="7" s="1"/>
  <c r="C4" i="7"/>
  <c r="C6" i="7" s="1"/>
  <c r="E4" i="7"/>
  <c r="E6" i="7" s="1"/>
  <c r="F4" i="7"/>
  <c r="G4" i="7"/>
  <c r="E3" i="1"/>
  <c r="K10" i="3"/>
  <c r="J10" i="3"/>
  <c r="I10" i="3"/>
  <c r="H10" i="3"/>
  <c r="N7" i="3"/>
  <c r="M3" i="3"/>
  <c r="L3" i="3"/>
  <c r="K3" i="3"/>
  <c r="J3" i="3"/>
  <c r="I3" i="3"/>
  <c r="H3" i="3"/>
  <c r="G3" i="3"/>
  <c r="F3" i="3"/>
  <c r="E3" i="3"/>
  <c r="D3" i="3"/>
  <c r="C3" i="3"/>
  <c r="B3" i="3"/>
  <c r="N3" i="3" s="1"/>
  <c r="Q3" i="3" s="1"/>
  <c r="Q2" i="3"/>
  <c r="M4" i="3" s="1"/>
  <c r="M6" i="3" s="1"/>
  <c r="N2" i="3"/>
  <c r="K10" i="1"/>
  <c r="J10" i="1"/>
  <c r="I10" i="1"/>
  <c r="H10" i="1"/>
  <c r="N7" i="1"/>
  <c r="M3" i="1"/>
  <c r="L3" i="1"/>
  <c r="K3" i="1"/>
  <c r="J3" i="1"/>
  <c r="I3" i="1"/>
  <c r="H3" i="1"/>
  <c r="G3" i="1"/>
  <c r="F3" i="1"/>
  <c r="D3" i="1"/>
  <c r="C3" i="1"/>
  <c r="B3" i="1"/>
  <c r="N2" i="1"/>
  <c r="K14" i="7" l="1"/>
  <c r="L60" i="7"/>
  <c r="G11" i="7"/>
  <c r="G14" i="7"/>
  <c r="E12" i="7"/>
  <c r="C10" i="7"/>
  <c r="C12" i="7" s="1"/>
  <c r="C14" i="7"/>
  <c r="C9" i="7"/>
  <c r="L10" i="7"/>
  <c r="L12" i="7" s="1"/>
  <c r="L14" i="7"/>
  <c r="J12" i="7"/>
  <c r="J11" i="7"/>
  <c r="J14" i="7"/>
  <c r="I11" i="7"/>
  <c r="I14" i="7"/>
  <c r="I12" i="7"/>
  <c r="H11" i="7"/>
  <c r="H14" i="7"/>
  <c r="D14" i="7"/>
  <c r="D10" i="7"/>
  <c r="D12" i="7" s="1"/>
  <c r="N6" i="7"/>
  <c r="B12" i="7"/>
  <c r="M10" i="7"/>
  <c r="M12" i="7" s="1"/>
  <c r="M14" i="7"/>
  <c r="N3" i="1"/>
  <c r="M14" i="3"/>
  <c r="M10" i="3"/>
  <c r="M12" i="3" s="1"/>
  <c r="F4" i="3"/>
  <c r="F6" i="3" s="1"/>
  <c r="E4" i="3"/>
  <c r="E6" i="3" s="1"/>
  <c r="D4" i="3"/>
  <c r="D6" i="3" s="1"/>
  <c r="C4" i="3"/>
  <c r="C6" i="3" s="1"/>
  <c r="B4" i="3"/>
  <c r="B6" i="3" s="1"/>
  <c r="H4" i="3"/>
  <c r="H6" i="3" s="1"/>
  <c r="J4" i="3"/>
  <c r="J6" i="3" s="1"/>
  <c r="K4" i="3"/>
  <c r="K6" i="3" s="1"/>
  <c r="G4" i="3"/>
  <c r="G6" i="3" s="1"/>
  <c r="I4" i="3"/>
  <c r="I6" i="3" s="1"/>
  <c r="L4" i="3"/>
  <c r="L6" i="3" s="1"/>
  <c r="B9" i="7" l="1"/>
  <c r="N11" i="7"/>
  <c r="D8" i="7"/>
  <c r="E8" i="7" s="1"/>
  <c r="L14" i="3"/>
  <c r="L9" i="3"/>
  <c r="L10" i="3"/>
  <c r="L12" i="3" s="1"/>
  <c r="D11" i="3"/>
  <c r="D14" i="3"/>
  <c r="D10" i="3"/>
  <c r="D12" i="3" s="1"/>
  <c r="I11" i="3"/>
  <c r="I14" i="3"/>
  <c r="I12" i="3"/>
  <c r="G11" i="3"/>
  <c r="G14" i="3"/>
  <c r="K11" i="3"/>
  <c r="K14" i="3"/>
  <c r="K12" i="3"/>
  <c r="J11" i="3"/>
  <c r="J14" i="3"/>
  <c r="J12" i="3"/>
  <c r="H11" i="3"/>
  <c r="H14" i="3"/>
  <c r="H12" i="3"/>
  <c r="B10" i="3"/>
  <c r="B11" i="3"/>
  <c r="B14" i="3"/>
  <c r="B12" i="3"/>
  <c r="N6" i="3"/>
  <c r="C10" i="3"/>
  <c r="C11" i="3"/>
  <c r="C14" i="3"/>
  <c r="C12" i="3"/>
  <c r="C8" i="3"/>
  <c r="C9" i="3" s="1"/>
  <c r="E11" i="3"/>
  <c r="E14" i="3"/>
  <c r="E10" i="3"/>
  <c r="E12" i="3"/>
  <c r="F11" i="3"/>
  <c r="F9" i="3"/>
  <c r="F14" i="3"/>
  <c r="F12" i="3"/>
  <c r="N12" i="7" l="1"/>
  <c r="N10" i="7"/>
  <c r="D8" i="3"/>
  <c r="E8" i="3" s="1"/>
  <c r="F8" i="3" s="1"/>
  <c r="G9" i="3" s="1"/>
  <c r="G10" i="3" s="1"/>
  <c r="G12" i="3" s="1"/>
  <c r="N12" i="3"/>
  <c r="B13" i="3"/>
  <c r="N11" i="3"/>
  <c r="N10" i="3"/>
  <c r="L8" i="3"/>
  <c r="M8" i="3"/>
  <c r="M9" i="3" l="1"/>
  <c r="B9" i="3"/>
  <c r="C13" i="3"/>
  <c r="D13" i="3" s="1"/>
  <c r="E13" i="3" s="1"/>
  <c r="F13" i="3" s="1"/>
  <c r="G13" i="3" s="1"/>
  <c r="H13" i="3" s="1"/>
  <c r="I13" i="3" s="1"/>
  <c r="J13" i="3" s="1"/>
  <c r="K13" i="3" s="1"/>
  <c r="L13" i="3" s="1"/>
  <c r="M13" i="3" s="1"/>
  <c r="N13" i="3"/>
  <c r="Q3" i="1" l="1"/>
  <c r="Q2" i="1"/>
  <c r="E4" i="1" l="1"/>
  <c r="E6" i="1" s="1"/>
  <c r="E10" i="1"/>
  <c r="E12" i="1" s="1"/>
  <c r="E11" i="1"/>
  <c r="E14" i="1"/>
  <c r="J4" i="1"/>
  <c r="J6" i="1" s="1"/>
  <c r="I4" i="1"/>
  <c r="I6" i="1" s="1"/>
  <c r="H4" i="1"/>
  <c r="H6" i="1" s="1"/>
  <c r="G4" i="1"/>
  <c r="G6" i="1" s="1"/>
  <c r="F4" i="1"/>
  <c r="F6" i="1" s="1"/>
  <c r="D4" i="1"/>
  <c r="D6" i="1" s="1"/>
  <c r="C4" i="1"/>
  <c r="C6" i="1" s="1"/>
  <c r="B4" i="1"/>
  <c r="B6" i="1" s="1"/>
  <c r="M4" i="1"/>
  <c r="M6" i="1" s="1"/>
  <c r="L4" i="1"/>
  <c r="L6" i="1" s="1"/>
  <c r="K4" i="1"/>
  <c r="K6" i="1" s="1"/>
  <c r="L59" i="1" l="1"/>
  <c r="L60" i="1"/>
  <c r="K14" i="1"/>
  <c r="K12" i="1"/>
  <c r="K11" i="1"/>
  <c r="L14" i="1"/>
  <c r="L9" i="1"/>
  <c r="L8" i="1" s="1"/>
  <c r="L10" i="1"/>
  <c r="L12" i="1" s="1"/>
  <c r="M14" i="1"/>
  <c r="M8" i="1"/>
  <c r="M10" i="1"/>
  <c r="M12" i="1" s="1"/>
  <c r="B10" i="1"/>
  <c r="B12" i="1" s="1"/>
  <c r="B14" i="1"/>
  <c r="N6" i="1"/>
  <c r="L17" i="1" s="1"/>
  <c r="B11" i="1"/>
  <c r="C11" i="1"/>
  <c r="C14" i="1"/>
  <c r="C8" i="1"/>
  <c r="C9" i="1" s="1"/>
  <c r="C10" i="1"/>
  <c r="C12" i="1" s="1"/>
  <c r="D11" i="1"/>
  <c r="D10" i="1"/>
  <c r="D12" i="1" s="1"/>
  <c r="D14" i="1"/>
  <c r="F11" i="1"/>
  <c r="F9" i="1"/>
  <c r="F14" i="1"/>
  <c r="F12" i="1"/>
  <c r="G11" i="1"/>
  <c r="G14" i="1"/>
  <c r="H11" i="1"/>
  <c r="H14" i="1"/>
  <c r="H12" i="1"/>
  <c r="I11" i="1"/>
  <c r="I14" i="1"/>
  <c r="I12" i="1"/>
  <c r="J11" i="1"/>
  <c r="J14" i="1"/>
  <c r="J12" i="1"/>
  <c r="D8" i="1" l="1"/>
  <c r="E8" i="1" s="1"/>
  <c r="M9" i="1"/>
  <c r="B9" i="1"/>
  <c r="B13" i="1"/>
  <c r="N11" i="1"/>
  <c r="E45" i="1" l="1"/>
  <c r="F8" i="1"/>
  <c r="G9" i="1" s="1"/>
  <c r="G10" i="1" s="1"/>
  <c r="C13" i="1"/>
  <c r="D13" i="1" s="1"/>
  <c r="E13" i="1" s="1"/>
  <c r="F13" i="1" s="1"/>
  <c r="G13" i="1" s="1"/>
  <c r="H13" i="1" s="1"/>
  <c r="I13" i="1" s="1"/>
  <c r="J13" i="1" s="1"/>
  <c r="K13" i="1" s="1"/>
  <c r="L13" i="1" s="1"/>
  <c r="M13" i="1" s="1"/>
  <c r="G12" i="1" l="1"/>
  <c r="N12" i="1" s="1"/>
  <c r="N24" i="1" s="1"/>
  <c r="N10" i="1"/>
  <c r="N13" i="1"/>
  <c r="N13" i="7" l="1"/>
</calcChain>
</file>

<file path=xl/sharedStrings.xml><?xml version="1.0" encoding="utf-8"?>
<sst xmlns="http://schemas.openxmlformats.org/spreadsheetml/2006/main" count="566" uniqueCount="182">
  <si>
    <t>O</t>
  </si>
  <si>
    <t>Ş</t>
  </si>
  <si>
    <t>M</t>
  </si>
  <si>
    <t>N</t>
  </si>
  <si>
    <t>H</t>
  </si>
  <si>
    <t>T</t>
  </si>
  <si>
    <t>A</t>
  </si>
  <si>
    <t>E</t>
  </si>
  <si>
    <t>K</t>
  </si>
  <si>
    <t>Yıllık</t>
  </si>
  <si>
    <t>Sıcaklık</t>
  </si>
  <si>
    <t>Annual Heat Index I [C]=</t>
  </si>
  <si>
    <t>Sıcaklık İndisi (I)</t>
  </si>
  <si>
    <t>a=</t>
  </si>
  <si>
    <t>Yağış</t>
  </si>
  <si>
    <t>Depo DEĞİŞİMİ = YAĞIŞ  DÜZELTİLMİŞ PE DEN FAZLA İSE 0 DIR AZ İSE YAĞIŞTAN DÜZELTİLMİŞ PE ÇIKARILIR VE DEPO DEĞİŞİMİNE YAZILIR. EGER YÜZDEN FAZLA İSE 100 DEN  DEPO TOPLAMI ÇIKARILIR  YANİ 100 DEN f 10 hücre deki değer yani depolama çıkarıl</t>
  </si>
  <si>
    <t>YAĞIŞ PE DEN FAZLA İSE DEOPOLAMA 100 DÜR…. DEPOLAMA=100 DEN DEPO DEĞİŞİMİ ÇIKARILIR100-15,9=84,1 GİBİ VEYA 84,1 DEN 59,8 =24,3 GİBİ 24,3-24,3 = 0 ZEMİN REZERVİ O İSEZemin rezervi 0 a ulaştığında, gerçek evapotranspirasyon yağış miktarına eşit olur.</t>
  </si>
  <si>
    <t>Gerçek Evapotransprasyon</t>
  </si>
  <si>
    <t>Su Fazlası</t>
  </si>
  <si>
    <t>Yağış düzeltilmişpe den fazla ise SU FAZLASI=YAĞIŞ - DÜZELTİLMİŞ PE   Yağış düzeltilmiş pe den az ise su fazlası daima 0 dir.</t>
  </si>
  <si>
    <t>Su Noksanı</t>
  </si>
  <si>
    <t>SU NOKSANI =DUZELTİLMİŞPE-GERCEK EVAPATRANSPRASYON</t>
  </si>
  <si>
    <t>Yüzeysel Akış</t>
  </si>
  <si>
    <t>YUZEYSEL AKIŞ= İLK AY YAĞIŞIN YARISI SONRA O YARI İLE DİĞER AY TOPLANIR VE 2 YE BÖLÜNÜR</t>
  </si>
  <si>
    <t>Nemlilik oranı</t>
  </si>
  <si>
    <t>NEMLİLİK ORANI=YAĞIŞ - DÜZELTİLMİŞ PE / DÜZELTİMİŞ PE</t>
  </si>
  <si>
    <t>Düzeltilmiş PE (Etp)</t>
  </si>
  <si>
    <t>gerçek evapatransğosyan= yağıış düzeltilmiş pe den fazla ise gerçek evapotransposyna düzeltilmiş pe ye eşittir. Yağış düzeltilmiş pe den  az ise yağış ile depo değişimi toplamına eşittir.eğer DEPO DEĞİŞİMİ toplamı yuzden fazla ise birikiMİN toplamI 100 de çıkarılır. Zemin rezervi 0 a ulaştığında, gerçek evapotranspirasyon yağış miktarına eşit olur.</t>
  </si>
  <si>
    <t>Düzeltilmemiş PE</t>
  </si>
  <si>
    <t>HAZIR OLAN KODLARDIR BAKIP YAZIYORUZ</t>
  </si>
  <si>
    <t>DÜZELTİLMEMİŞ PE= 16*(10*HER AYIN AYLIK SICAKLIĞI / YILLIK SICAKLIK İNDİSİ ^SABİTA DEĞERİ</t>
  </si>
  <si>
    <t>a=6,75*10^-7*YILLIK SICAKLIK İNDİSİ^3-7,71*10^-5*YILLIK SICAKLIK İNDİSİ^2+1,792*10^-2*YILLIK SICAKLIK İNDİSİ+0,49239</t>
  </si>
  <si>
    <t>SICAKLIK İndisi=AYLIK SICAKLIK DEĞERİ /5)^1,514) -------YILLIK SICAKLIK İNDİSİ ise = 12 ayın toplamıdır.</t>
  </si>
  <si>
    <t>ETP=DÜZELTİLMEMİŞ PE İLE G. ENELEM DÜZELTMESİ CARPILARAK BULUNUR. Yıllık ise 12 ay toplanarak bulunur</t>
  </si>
  <si>
    <t>UZUN YILLAR AYLIK ORTALAMA YAĞIŞI BİZ  GİRİYORUZ  Yıllık toplam= 12 ayın toplamdır.</t>
  </si>
  <si>
    <t>100 den çok</t>
  </si>
  <si>
    <t>60 ila 80</t>
  </si>
  <si>
    <t>40 ila 60</t>
  </si>
  <si>
    <t>20 ila 40</t>
  </si>
  <si>
    <t>0 ila 20</t>
  </si>
  <si>
    <t>-20 ila 0</t>
  </si>
  <si>
    <t>-40 dan küçük</t>
  </si>
  <si>
    <t>D</t>
  </si>
  <si>
    <t>B4</t>
  </si>
  <si>
    <t>B3</t>
  </si>
  <si>
    <t>B2</t>
  </si>
  <si>
    <t>B1</t>
  </si>
  <si>
    <t>C2</t>
  </si>
  <si>
    <t>C1</t>
  </si>
  <si>
    <t>80 ila100</t>
  </si>
  <si>
    <t>-40 ila -20</t>
  </si>
  <si>
    <t>Yağış Tesirlik İndisi(Im)=</t>
  </si>
  <si>
    <t>100*S-60d/n</t>
  </si>
  <si>
    <t>Im</t>
  </si>
  <si>
    <t>C1 B'4 s2 b'4 Yarı Kurak-Az Nemli 4. Derece Mezotermal Su fazlası kış mevsiminde ve çok kuvvetli olan</t>
  </si>
  <si>
    <t>AYLAR</t>
  </si>
  <si>
    <t>BİLANCO ELEMANLARI</t>
  </si>
  <si>
    <t>Zemin Rezervi</t>
  </si>
  <si>
    <t>Zemin Rezerv Değişimİ</t>
  </si>
  <si>
    <t>G. (Enlem Düzeltmesi) 37. Enlem</t>
  </si>
  <si>
    <t>Herhangi bir istasyonun yağış tesirlilik indisi aşağıdaki formü le göre bulunur:
Im= 100s-60d/n
Burada; Im= Yağış tesirlilik indisi
S = Yıllık su fazlası
d Yıllık su noksanı
n = Yıllık potansiyel evapotranspirasyondur.</t>
  </si>
  <si>
    <t>Harf</t>
  </si>
  <si>
    <t>Nemli</t>
  </si>
  <si>
    <t>İklim Özelliği</t>
  </si>
  <si>
    <t>Çok Nemli</t>
  </si>
  <si>
    <t>Yarı Nemli</t>
  </si>
  <si>
    <t>Yarı Kurak Az Nemli</t>
  </si>
  <si>
    <t>Yarı Kurak</t>
  </si>
  <si>
    <t>Tam Kurak</t>
  </si>
  <si>
    <t>İm</t>
  </si>
  <si>
    <t>Sonuc</t>
  </si>
  <si>
    <t>BİLANCO ELEMANI  /  AYLAR</t>
  </si>
  <si>
    <t>Yıllık Etp (mm)</t>
  </si>
  <si>
    <t>1141 ve fazlası</t>
  </si>
  <si>
    <t>A’</t>
  </si>
  <si>
    <t>Megatermal</t>
  </si>
  <si>
    <t>998 – 1140</t>
  </si>
  <si>
    <t>B’4</t>
  </si>
  <si>
    <t>4.Derece Mezotermal</t>
  </si>
  <si>
    <t>856 – 997</t>
  </si>
  <si>
    <t>B’3</t>
  </si>
  <si>
    <t>3.Derece Mezotermal</t>
  </si>
  <si>
    <t>713 – 855</t>
  </si>
  <si>
    <t>B’2</t>
  </si>
  <si>
    <t>2.Derece Mezotermal</t>
  </si>
  <si>
    <t>571 – 712</t>
  </si>
  <si>
    <t>B’1</t>
  </si>
  <si>
    <t>1.Derece Mezotermal</t>
  </si>
  <si>
    <t>428 – 570</t>
  </si>
  <si>
    <t>C’2</t>
  </si>
  <si>
    <t>2.Derece Mikrotermal</t>
  </si>
  <si>
    <t>286 – 427</t>
  </si>
  <si>
    <t>C’1</t>
  </si>
  <si>
    <t>1.Derece Mikrotermal</t>
  </si>
  <si>
    <t>143 – 285</t>
  </si>
  <si>
    <t>D’</t>
  </si>
  <si>
    <t>Tundra</t>
  </si>
  <si>
    <t>142 ve daha az</t>
  </si>
  <si>
    <t>E’</t>
  </si>
  <si>
    <t>Don</t>
  </si>
  <si>
    <t>Kurak iklimler için Nemlilik İndeksi</t>
  </si>
  <si>
    <t>Nemlilik İndeksi (Ih)</t>
  </si>
  <si>
    <t>0 – 10</t>
  </si>
  <si>
    <t>d</t>
  </si>
  <si>
    <t>Su fazlası olmayan veya pek az olan</t>
  </si>
  <si>
    <t>11 – 20</t>
  </si>
  <si>
    <t>s</t>
  </si>
  <si>
    <t>Su fazlası kış mevsiminde ve orta derecede olan</t>
  </si>
  <si>
    <t>w</t>
  </si>
  <si>
    <t>Su fazlası yaz mevsiminde ve orta derecede olan</t>
  </si>
  <si>
    <t>21 ve fazlası</t>
  </si>
  <si>
    <t>s2</t>
  </si>
  <si>
    <t>Su fazlası kış mevsiminde ve çok kuvvetli olan</t>
  </si>
  <si>
    <t>w2</t>
  </si>
  <si>
    <t>Su fazlası yaz mevsiminde ve çok kuvvetli olan</t>
  </si>
  <si>
    <t>Sonuç</t>
  </si>
  <si>
    <t>Ih= 100*260,97/1086,65
Ih=24,02</t>
  </si>
  <si>
    <t>Etp’nin 3 Yaz Ayına Oranı</t>
  </si>
  <si>
    <t>48 ve daha az</t>
  </si>
  <si>
    <t>a</t>
  </si>
  <si>
    <t>48,1 – 51,9</t>
  </si>
  <si>
    <t>b’4</t>
  </si>
  <si>
    <t>52,0 – 56,3</t>
  </si>
  <si>
    <t>b’3</t>
  </si>
  <si>
    <t>56,4 – 61,6</t>
  </si>
  <si>
    <t>b’2</t>
  </si>
  <si>
    <t>61,7 – 68,0</t>
  </si>
  <si>
    <t>b’1</t>
  </si>
  <si>
    <t>68,1 – 76,3</t>
  </si>
  <si>
    <t>c’2</t>
  </si>
  <si>
    <t>76,4 – 88,0</t>
  </si>
  <si>
    <t>c’1</t>
  </si>
  <si>
    <t>88,1 ve daha fazla</t>
  </si>
  <si>
    <t>d’</t>
  </si>
  <si>
    <t>SONUC</t>
  </si>
  <si>
    <t>Uc yaz ayına oran</t>
  </si>
  <si>
    <t>Üç Yaz Ayına Oran=(157,9+204,0+195,3)/1086,65*100
Üç Yaz Ayına Oran=51,28</t>
  </si>
  <si>
    <t>((100*260,97)-(60*542,96))
/1086,65 =-5,96</t>
  </si>
  <si>
    <t>h</t>
  </si>
  <si>
    <t>t</t>
  </si>
  <si>
    <t>ERİNÇ KRİTERİ</t>
  </si>
  <si>
    <t>Vejetasyon</t>
  </si>
  <si>
    <t>&lt;8</t>
  </si>
  <si>
    <t>Çöl</t>
  </si>
  <si>
    <t>Kurak Çölümsü</t>
  </si>
  <si>
    <t>Step</t>
  </si>
  <si>
    <t>15-23</t>
  </si>
  <si>
    <t>23-40</t>
  </si>
  <si>
    <t>Yarı Nemli Park Görünümlü Kuru</t>
  </si>
  <si>
    <t>Orman</t>
  </si>
  <si>
    <t>40-55</t>
  </si>
  <si>
    <t>Nemli Orman</t>
  </si>
  <si>
    <t>55&lt;</t>
  </si>
  <si>
    <t>Çok Nemli Orman</t>
  </si>
  <si>
    <t>8-15</t>
  </si>
  <si>
    <t>Yıllık ort. Sıcaklık</t>
  </si>
  <si>
    <t>Yıllık Toplam Yağış (mm)</t>
  </si>
  <si>
    <t>Erinç Yağış Etkinlik İndisi</t>
  </si>
  <si>
    <t>İndis Değeri</t>
  </si>
  <si>
    <t>Kurak</t>
  </si>
  <si>
    <t>S</t>
  </si>
  <si>
    <t>ORTALAMA</t>
  </si>
  <si>
    <t>Ort. Mak. 
Sıcaklık ( oC)</t>
  </si>
  <si>
    <t>Ort. Yağış 
(mm)</t>
  </si>
  <si>
    <t>erinc</t>
  </si>
  <si>
    <t>De Mortabe</t>
  </si>
  <si>
    <t>&lt; 5</t>
  </si>
  <si>
    <t>Yarı Kurak - Nemli Arası</t>
  </si>
  <si>
    <t>20 - 30</t>
  </si>
  <si>
    <t>30 - 60</t>
  </si>
  <si>
    <t>&gt; 60</t>
  </si>
  <si>
    <t>IDM Değeri</t>
  </si>
  <si>
    <t>5-10</t>
  </si>
  <si>
    <t>10-20</t>
  </si>
  <si>
    <t>Tam kurak</t>
  </si>
  <si>
    <t>Yarı Kurak Nemli Arası</t>
  </si>
  <si>
    <t>Yağış düzeltilmişpe den fazla ise SU FAZLASI=YAĞIŞ - DÜZELTİLMİŞ PE   Yağış düzeltilmiş pe den az ise su fazlası daima 0 dir. İLK SU FAALASI ARALIK AYIDIR</t>
  </si>
  <si>
    <t>((100*260,81)-(60*542,96))
/1086,65 =-5,98</t>
  </si>
  <si>
    <t>Ih= 100*260,81/1086,65
Ih=24,00</t>
  </si>
  <si>
    <t>Yıllık ort. Max.Sıcaklık</t>
  </si>
  <si>
    <t>ERİNC</t>
  </si>
  <si>
    <t>DE MORTANE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</si>
</sst>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5" x14ac:knownFonts="1">
    <font>
      <sz val="11"/>
      <color theme="1"/>
      <name val="Calibri"/>
      <family val="2"/>
      <charset val="162"/>
      <scheme val="minor"/>
    </font>
    <font>
      <b/>
      <sz val="14"/>
      <color theme="1"/>
      <name val="Calibri"/>
      <family val="2"/>
      <charset val="162"/>
      <scheme val="minor"/>
    </font>
    <font>
      <sz val="14"/>
      <color theme="1"/>
      <name val="Roboto"/>
      <charset val="162"/>
    </font>
    <font>
      <b/>
      <sz val="16"/>
      <color theme="1"/>
      <name val="Calibri"/>
      <family val="2"/>
      <charset val="162"/>
      <scheme val="minor"/>
    </font>
    <font>
      <sz val="14"/>
      <color theme="1"/>
      <name val="Calibri"/>
      <family val="2"/>
      <charset val="162"/>
      <scheme val="minor"/>
    </font>
    <font>
      <sz val="16"/>
      <color theme="1"/>
      <name val="Calibri"/>
      <family val="2"/>
      <charset val="162"/>
      <scheme val="minor"/>
    </font>
    <font>
      <b/>
      <sz val="12"/>
      <color theme="1"/>
      <name val="Times New Roman"/>
      <family val="1"/>
      <charset val="162"/>
    </font>
    <font>
      <b/>
      <sz val="12"/>
      <color rgb="FF00B0F0"/>
      <name val="Times New Roman"/>
      <family val="1"/>
      <charset val="162"/>
    </font>
    <font>
      <b/>
      <sz val="12"/>
      <color rgb="FFFF0000"/>
      <name val="Times New Roman"/>
      <family val="1"/>
      <charset val="162"/>
    </font>
    <font>
      <b/>
      <sz val="12"/>
      <color rgb="FFFFC000"/>
      <name val="Times New Roman"/>
      <family val="1"/>
      <charset val="162"/>
    </font>
    <font>
      <b/>
      <sz val="12"/>
      <color rgb="FFFFFF00"/>
      <name val="Times New Roman"/>
      <family val="1"/>
      <charset val="162"/>
    </font>
    <font>
      <b/>
      <sz val="11"/>
      <color theme="1"/>
      <name val="Calibri"/>
      <family val="2"/>
      <charset val="162"/>
      <scheme val="minor"/>
    </font>
    <font>
      <b/>
      <sz val="11"/>
      <color theme="1"/>
      <name val="Times New Roman"/>
      <family val="1"/>
      <charset val="162"/>
    </font>
    <font>
      <b/>
      <sz val="10"/>
      <color theme="1"/>
      <name val="Calibri"/>
      <family val="2"/>
      <charset val="162"/>
      <scheme val="minor"/>
    </font>
    <font>
      <b/>
      <sz val="9"/>
      <color theme="1"/>
      <name val="Calibri"/>
      <family val="2"/>
      <charset val="162"/>
      <scheme val="minor"/>
    </font>
    <font>
      <sz val="12"/>
      <color theme="1"/>
      <name val="Times New Roman"/>
      <family val="1"/>
      <charset val="162"/>
    </font>
    <font>
      <b/>
      <sz val="12"/>
      <name val="Times New Roman"/>
      <family val="1"/>
      <charset val="162"/>
    </font>
    <font>
      <sz val="12"/>
      <name val="Times New Roman"/>
      <family val="1"/>
      <charset val="162"/>
    </font>
    <font>
      <b/>
      <sz val="10"/>
      <color rgb="FF000000"/>
      <name val="Times New Roman"/>
      <family val="1"/>
      <charset val="162"/>
    </font>
    <font>
      <b/>
      <sz val="10.5"/>
      <color theme="1"/>
      <name val="Times New Roman"/>
      <family val="1"/>
      <charset val="162"/>
    </font>
    <font>
      <sz val="9.6"/>
      <color rgb="FF0D0D0D"/>
      <name val="Segoe UI"/>
      <family val="2"/>
      <charset val="162"/>
    </font>
    <font>
      <sz val="9.6"/>
      <color rgb="FF0D0D0D"/>
      <name val="Segoe UI"/>
      <family val="2"/>
      <charset val="162"/>
    </font>
    <font>
      <b/>
      <sz val="9.6"/>
      <color rgb="FF0D0D0D"/>
      <name val="Segoe UI"/>
      <family val="2"/>
      <charset val="162"/>
    </font>
    <font>
      <b/>
      <sz val="12"/>
      <color rgb="FFFF0000"/>
      <name val="Calibri"/>
      <family val="2"/>
      <charset val="162"/>
      <scheme val="minor"/>
    </font>
    <font>
      <b/>
      <sz val="12"/>
      <color rgb="FFFF0000"/>
      <name val="Segoe UI"/>
      <family val="2"/>
      <charset val="162"/>
    </font>
  </fonts>
  <fills count="20">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39997558519241921"/>
        <bgColor indexed="64"/>
      </patternFill>
    </fill>
    <fill>
      <patternFill patternType="solid">
        <fgColor rgb="FF92D050"/>
        <bgColor indexed="64"/>
      </patternFill>
    </fill>
    <fill>
      <patternFill patternType="solid">
        <fgColor rgb="FF7030A0"/>
        <bgColor indexed="64"/>
      </patternFill>
    </fill>
    <fill>
      <patternFill patternType="solid">
        <fgColor theme="0"/>
        <bgColor indexed="64"/>
      </patternFill>
    </fill>
    <fill>
      <patternFill patternType="solid">
        <fgColor rgb="FF6974B7"/>
        <bgColor indexed="64"/>
      </patternFill>
    </fill>
    <fill>
      <patternFill patternType="solid">
        <fgColor rgb="FFFFFFFF"/>
        <bgColor indexed="64"/>
      </patternFill>
    </fill>
    <fill>
      <patternFill patternType="solid">
        <fgColor theme="5" tint="0.39997558519241921"/>
        <bgColor indexed="64"/>
      </patternFill>
    </fill>
    <fill>
      <patternFill patternType="solid">
        <fgColor rgb="FF0070C0"/>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rgb="FFCC3300"/>
        <bgColor indexed="64"/>
      </patternFill>
    </fill>
    <fill>
      <patternFill patternType="solid">
        <fgColor theme="8" tint="0.39997558519241921"/>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right style="medium">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rgb="FFE3E3E3"/>
      </left>
      <right/>
      <top style="medium">
        <color rgb="FFE3E3E3"/>
      </top>
      <bottom style="medium">
        <color rgb="FFE3E3E3"/>
      </bottom>
      <diagonal/>
    </border>
    <border>
      <left style="medium">
        <color rgb="FFE3E3E3"/>
      </left>
      <right/>
      <top/>
      <bottom style="medium">
        <color rgb="FFE3E3E3"/>
      </bottom>
      <diagonal/>
    </border>
    <border>
      <left/>
      <right/>
      <top/>
      <bottom style="medium">
        <color rgb="FFE3E3E3"/>
      </bottom>
      <diagonal/>
    </border>
    <border>
      <left style="medium">
        <color rgb="FFE3E3E3"/>
      </left>
      <right/>
      <top/>
      <bottom/>
      <diagonal/>
    </border>
  </borders>
  <cellStyleXfs count="1">
    <xf numFmtId="0" fontId="0" fillId="0" borderId="0"/>
  </cellStyleXfs>
  <cellXfs count="146">
    <xf numFmtId="0" fontId="0" fillId="0" borderId="0" xfId="0"/>
    <xf numFmtId="0" fontId="2" fillId="0" borderId="0" xfId="0" applyFont="1" applyAlignment="1">
      <alignment horizontal="center" vertical="center"/>
    </xf>
    <xf numFmtId="2" fontId="1" fillId="4" borderId="0" xfId="0" applyNumberFormat="1" applyFont="1" applyFill="1" applyAlignment="1">
      <alignment horizontal="center" vertical="center"/>
    </xf>
    <xf numFmtId="0" fontId="3" fillId="0" borderId="0" xfId="0" applyFont="1" applyAlignment="1">
      <alignment horizontal="center" vertical="center"/>
    </xf>
    <xf numFmtId="2" fontId="3" fillId="5" borderId="0" xfId="0" applyNumberFormat="1" applyFont="1" applyFill="1" applyAlignment="1">
      <alignment horizontal="center" vertical="center"/>
    </xf>
    <xf numFmtId="0" fontId="5" fillId="0" borderId="0" xfId="0" applyFont="1" applyAlignment="1"/>
    <xf numFmtId="0" fontId="6" fillId="0" borderId="2" xfId="0" applyFont="1" applyBorder="1" applyAlignment="1">
      <alignment horizontal="center" vertical="center"/>
    </xf>
    <xf numFmtId="0" fontId="6" fillId="0" borderId="3" xfId="0" applyFont="1" applyBorder="1" applyAlignment="1">
      <alignment horizontal="center" vertical="center"/>
    </xf>
    <xf numFmtId="164" fontId="6" fillId="2" borderId="0" xfId="0" applyNumberFormat="1" applyFont="1" applyFill="1" applyAlignment="1">
      <alignment horizontal="center" vertical="center"/>
    </xf>
    <xf numFmtId="164" fontId="6" fillId="2" borderId="5" xfId="0" applyNumberFormat="1" applyFont="1" applyFill="1" applyBorder="1" applyAlignment="1">
      <alignment horizontal="center" vertical="center"/>
    </xf>
    <xf numFmtId="164" fontId="6" fillId="3" borderId="5" xfId="0" applyNumberFormat="1" applyFont="1" applyFill="1" applyBorder="1" applyAlignment="1">
      <alignment horizontal="center" vertical="center"/>
    </xf>
    <xf numFmtId="164" fontId="6" fillId="6" borderId="5" xfId="0" applyNumberFormat="1" applyFont="1" applyFill="1" applyBorder="1" applyAlignment="1">
      <alignment horizontal="center" vertical="center"/>
    </xf>
    <xf numFmtId="164" fontId="7" fillId="2" borderId="5" xfId="0" applyNumberFormat="1" applyFont="1" applyFill="1" applyBorder="1" applyAlignment="1">
      <alignment horizontal="center" vertical="center"/>
    </xf>
    <xf numFmtId="164" fontId="8" fillId="0" borderId="5" xfId="0" applyNumberFormat="1" applyFont="1" applyBorder="1" applyAlignment="1">
      <alignment horizontal="center" vertical="center" wrapText="1"/>
    </xf>
    <xf numFmtId="164" fontId="8" fillId="8" borderId="5" xfId="0" applyNumberFormat="1" applyFont="1" applyFill="1" applyBorder="1" applyAlignment="1">
      <alignment horizontal="center" vertical="center" wrapText="1"/>
    </xf>
    <xf numFmtId="164" fontId="8" fillId="0" borderId="5" xfId="0" applyNumberFormat="1" applyFont="1" applyBorder="1" applyAlignment="1">
      <alignment horizontal="center" vertical="center"/>
    </xf>
    <xf numFmtId="164" fontId="10" fillId="6" borderId="5" xfId="0" quotePrefix="1" applyNumberFormat="1" applyFont="1" applyFill="1" applyBorder="1" applyAlignment="1">
      <alignment horizontal="center" vertical="center" wrapText="1"/>
    </xf>
    <xf numFmtId="164" fontId="9" fillId="10" borderId="5" xfId="0" quotePrefix="1" applyNumberFormat="1" applyFont="1" applyFill="1" applyBorder="1" applyAlignment="1">
      <alignment horizontal="center" vertical="center" wrapText="1"/>
    </xf>
    <xf numFmtId="164" fontId="7" fillId="10" borderId="5" xfId="0" quotePrefix="1" applyNumberFormat="1" applyFont="1" applyFill="1" applyBorder="1" applyAlignment="1">
      <alignment horizontal="center" vertical="center" wrapText="1"/>
    </xf>
    <xf numFmtId="164" fontId="6" fillId="0" borderId="5" xfId="0" applyNumberFormat="1" applyFont="1" applyBorder="1" applyAlignment="1">
      <alignment horizontal="center" vertical="center"/>
    </xf>
    <xf numFmtId="164" fontId="6" fillId="9" borderId="5" xfId="0" applyNumberFormat="1" applyFont="1" applyFill="1" applyBorder="1" applyAlignment="1">
      <alignment horizontal="center" vertical="center"/>
    </xf>
    <xf numFmtId="0" fontId="6" fillId="0" borderId="1" xfId="0" applyFont="1" applyBorder="1" applyAlignment="1">
      <alignment horizontal="left" vertical="center"/>
    </xf>
    <xf numFmtId="0" fontId="6" fillId="0" borderId="4" xfId="0" applyFont="1" applyBorder="1" applyAlignment="1">
      <alignment horizontal="left" vertical="center"/>
    </xf>
    <xf numFmtId="0" fontId="6" fillId="0" borderId="4" xfId="0" applyFont="1" applyBorder="1" applyAlignment="1">
      <alignment horizontal="left" vertical="center" wrapText="1"/>
    </xf>
    <xf numFmtId="0" fontId="0" fillId="0" borderId="0" xfId="0" applyAlignment="1"/>
    <xf numFmtId="0" fontId="0" fillId="0" borderId="0" xfId="0" applyAlignment="1">
      <alignment vertical="top" wrapText="1"/>
    </xf>
    <xf numFmtId="0" fontId="11" fillId="0" borderId="0" xfId="0" applyFont="1"/>
    <xf numFmtId="2" fontId="6" fillId="3" borderId="5" xfId="0" applyNumberFormat="1" applyFont="1" applyFill="1" applyBorder="1" applyAlignment="1">
      <alignment horizontal="center" vertical="center"/>
    </xf>
    <xf numFmtId="0" fontId="13" fillId="0" borderId="0" xfId="0" applyFont="1" applyAlignment="1">
      <alignment horizontal="center" vertical="center"/>
    </xf>
    <xf numFmtId="2" fontId="6" fillId="2" borderId="5" xfId="0" applyNumberFormat="1" applyFont="1" applyFill="1" applyBorder="1" applyAlignment="1">
      <alignment horizontal="center" vertical="center" wrapText="1"/>
    </xf>
    <xf numFmtId="2" fontId="6" fillId="2" borderId="5" xfId="0" applyNumberFormat="1" applyFont="1" applyFill="1" applyBorder="1" applyAlignment="1">
      <alignment horizontal="center" vertical="center"/>
    </xf>
    <xf numFmtId="2" fontId="15" fillId="3" borderId="6" xfId="0" applyNumberFormat="1" applyFont="1" applyFill="1" applyBorder="1" applyAlignment="1">
      <alignment horizontal="center" vertical="center"/>
    </xf>
    <xf numFmtId="2" fontId="6" fillId="3" borderId="6" xfId="0" applyNumberFormat="1" applyFont="1" applyFill="1" applyBorder="1" applyAlignment="1">
      <alignment horizontal="center" vertical="center"/>
    </xf>
    <xf numFmtId="2" fontId="6" fillId="7" borderId="5" xfId="0" applyNumberFormat="1" applyFont="1" applyFill="1" applyBorder="1" applyAlignment="1">
      <alignment horizontal="center" vertical="center"/>
    </xf>
    <xf numFmtId="2" fontId="8" fillId="0" borderId="5" xfId="0" applyNumberFormat="1" applyFont="1" applyBorder="1" applyAlignment="1">
      <alignment horizontal="center" vertical="center"/>
    </xf>
    <xf numFmtId="164" fontId="9" fillId="10" borderId="5" xfId="0" applyNumberFormat="1" applyFont="1" applyFill="1" applyBorder="1" applyAlignment="1">
      <alignment horizontal="center" vertical="center" wrapText="1"/>
    </xf>
    <xf numFmtId="2" fontId="10" fillId="6" borderId="5" xfId="0" applyNumberFormat="1" applyFont="1" applyFill="1" applyBorder="1" applyAlignment="1">
      <alignment horizontal="center" vertical="center"/>
    </xf>
    <xf numFmtId="2" fontId="6" fillId="11" borderId="5" xfId="0" applyNumberFormat="1" applyFont="1" applyFill="1" applyBorder="1" applyAlignment="1">
      <alignment horizontal="center" vertical="center"/>
    </xf>
    <xf numFmtId="2" fontId="6" fillId="0" borderId="5" xfId="0" applyNumberFormat="1" applyFont="1" applyBorder="1" applyAlignment="1">
      <alignment horizontal="center" vertical="center"/>
    </xf>
    <xf numFmtId="164" fontId="16" fillId="10" borderId="0" xfId="0" applyNumberFormat="1" applyFont="1" applyFill="1" applyAlignment="1">
      <alignment horizontal="center" vertical="center"/>
    </xf>
    <xf numFmtId="164" fontId="16" fillId="10" borderId="5" xfId="0" applyNumberFormat="1" applyFont="1" applyFill="1" applyBorder="1" applyAlignment="1">
      <alignment horizontal="center" vertical="center"/>
    </xf>
    <xf numFmtId="2" fontId="17" fillId="10" borderId="6" xfId="0" applyNumberFormat="1" applyFont="1" applyFill="1" applyBorder="1" applyAlignment="1">
      <alignment horizontal="center" vertical="center"/>
    </xf>
    <xf numFmtId="2" fontId="16" fillId="10" borderId="6" xfId="0" applyNumberFormat="1" applyFont="1" applyFill="1" applyBorder="1" applyAlignment="1">
      <alignment horizontal="center" vertical="center"/>
    </xf>
    <xf numFmtId="2" fontId="16" fillId="10" borderId="5" xfId="0" applyNumberFormat="1" applyFont="1" applyFill="1" applyBorder="1" applyAlignment="1">
      <alignment horizontal="center" vertical="center"/>
    </xf>
    <xf numFmtId="2" fontId="16" fillId="10" borderId="5" xfId="0" applyNumberFormat="1" applyFont="1" applyFill="1" applyBorder="1" applyAlignment="1">
      <alignment horizontal="center" vertical="center" wrapText="1"/>
    </xf>
    <xf numFmtId="164" fontId="16" fillId="10" borderId="5" xfId="0" applyNumberFormat="1" applyFont="1" applyFill="1" applyBorder="1" applyAlignment="1">
      <alignment horizontal="center" vertical="center" wrapText="1"/>
    </xf>
    <xf numFmtId="164" fontId="16" fillId="10" borderId="5" xfId="0" quotePrefix="1" applyNumberFormat="1" applyFont="1" applyFill="1" applyBorder="1" applyAlignment="1">
      <alignment horizontal="center" vertical="center" wrapText="1"/>
    </xf>
    <xf numFmtId="2" fontId="13" fillId="0" borderId="0" xfId="0" quotePrefix="1" applyNumberFormat="1" applyFont="1" applyAlignment="1">
      <alignment horizontal="center" vertical="center"/>
    </xf>
    <xf numFmtId="0" fontId="18" fillId="0" borderId="5" xfId="0" applyFont="1" applyBorder="1" applyAlignment="1">
      <alignment horizontal="center" vertical="center"/>
    </xf>
    <xf numFmtId="0" fontId="18" fillId="0" borderId="5" xfId="0" applyFont="1" applyBorder="1" applyAlignment="1">
      <alignment horizontal="center" vertical="center" wrapText="1"/>
    </xf>
    <xf numFmtId="0" fontId="18" fillId="0" borderId="5" xfId="0" applyFont="1" applyBorder="1" applyAlignment="1">
      <alignment vertical="center"/>
    </xf>
    <xf numFmtId="0" fontId="18" fillId="5" borderId="5" xfId="0" applyFont="1" applyFill="1" applyBorder="1" applyAlignment="1">
      <alignment horizontal="center" vertical="center"/>
    </xf>
    <xf numFmtId="0" fontId="19" fillId="0" borderId="9"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8" xfId="0" applyFont="1" applyBorder="1" applyAlignment="1">
      <alignment vertical="center" wrapText="1"/>
    </xf>
    <xf numFmtId="0" fontId="19" fillId="0" borderId="5" xfId="0" applyFont="1" applyBorder="1" applyAlignment="1">
      <alignment vertical="center" wrapText="1"/>
    </xf>
    <xf numFmtId="0" fontId="19" fillId="5" borderId="5" xfId="0" applyFont="1" applyFill="1" applyBorder="1" applyAlignment="1">
      <alignment vertical="center" wrapText="1"/>
    </xf>
    <xf numFmtId="2" fontId="0" fillId="0" borderId="0" xfId="0" applyNumberFormat="1"/>
    <xf numFmtId="2" fontId="11" fillId="0" borderId="0" xfId="0" applyNumberFormat="1" applyFont="1"/>
    <xf numFmtId="0" fontId="19" fillId="0" borderId="1" xfId="0" applyFont="1" applyBorder="1" applyAlignment="1">
      <alignment vertical="center" wrapText="1"/>
    </xf>
    <xf numFmtId="0" fontId="19" fillId="0" borderId="2" xfId="0" applyFont="1" applyBorder="1" applyAlignment="1">
      <alignment vertical="center" wrapText="1"/>
    </xf>
    <xf numFmtId="0" fontId="19" fillId="0" borderId="4" xfId="0" applyFont="1" applyBorder="1" applyAlignment="1">
      <alignment vertical="center" wrapText="1"/>
    </xf>
    <xf numFmtId="0" fontId="19" fillId="0" borderId="13" xfId="0" applyFont="1" applyBorder="1" applyAlignment="1">
      <alignment vertical="center" wrapText="1"/>
    </xf>
    <xf numFmtId="0" fontId="19" fillId="0" borderId="14" xfId="0" applyFont="1" applyBorder="1" applyAlignment="1">
      <alignment vertical="center" wrapText="1"/>
    </xf>
    <xf numFmtId="0" fontId="19" fillId="5" borderId="13" xfId="0" applyFont="1" applyFill="1" applyBorder="1" applyAlignment="1">
      <alignment vertical="center" wrapText="1"/>
    </xf>
    <xf numFmtId="0" fontId="19" fillId="5" borderId="14" xfId="0" applyFont="1" applyFill="1" applyBorder="1" applyAlignment="1">
      <alignment vertical="center" wrapText="1"/>
    </xf>
    <xf numFmtId="0" fontId="19" fillId="5" borderId="4" xfId="0" applyFont="1" applyFill="1" applyBorder="1" applyAlignment="1">
      <alignment vertical="center" wrapText="1"/>
    </xf>
    <xf numFmtId="0" fontId="19" fillId="0" borderId="15" xfId="0" applyFont="1" applyBorder="1" applyAlignment="1">
      <alignment vertical="center" wrapText="1"/>
    </xf>
    <xf numFmtId="0" fontId="19" fillId="0" borderId="21" xfId="0" applyFont="1" applyBorder="1" applyAlignment="1">
      <alignment vertical="center" wrapText="1"/>
    </xf>
    <xf numFmtId="0" fontId="19" fillId="0" borderId="23" xfId="0" applyFont="1" applyBorder="1" applyAlignment="1">
      <alignment vertical="center" wrapText="1"/>
    </xf>
    <xf numFmtId="0" fontId="19" fillId="0" borderId="7" xfId="0" applyFont="1" applyBorder="1" applyAlignment="1">
      <alignment vertical="center" wrapText="1"/>
    </xf>
    <xf numFmtId="0" fontId="20" fillId="12" borderId="25" xfId="0" applyFont="1" applyFill="1" applyBorder="1" applyAlignment="1">
      <alignment horizontal="center" wrapText="1"/>
    </xf>
    <xf numFmtId="0" fontId="21" fillId="12" borderId="26" xfId="0" applyFont="1" applyFill="1" applyBorder="1" applyAlignment="1">
      <alignment vertical="center" wrapText="1"/>
    </xf>
    <xf numFmtId="17" fontId="21" fillId="12" borderId="26" xfId="0" applyNumberFormat="1" applyFont="1" applyFill="1" applyBorder="1" applyAlignment="1">
      <alignment vertical="center" wrapText="1"/>
    </xf>
    <xf numFmtId="0" fontId="19" fillId="0" borderId="3" xfId="0" applyFont="1" applyBorder="1" applyAlignment="1">
      <alignment vertical="center" wrapText="1"/>
    </xf>
    <xf numFmtId="0" fontId="19" fillId="0" borderId="6" xfId="0" applyFont="1" applyBorder="1" applyAlignment="1">
      <alignment vertical="center" wrapText="1"/>
    </xf>
    <xf numFmtId="0" fontId="20" fillId="12" borderId="1" xfId="0" applyFont="1" applyFill="1" applyBorder="1" applyAlignment="1">
      <alignment horizontal="center" wrapText="1"/>
    </xf>
    <xf numFmtId="0" fontId="20" fillId="12" borderId="3" xfId="0" applyFont="1" applyFill="1" applyBorder="1" applyAlignment="1">
      <alignment horizontal="center" wrapText="1"/>
    </xf>
    <xf numFmtId="16" fontId="21" fillId="12" borderId="26" xfId="0" applyNumberFormat="1" applyFont="1" applyFill="1" applyBorder="1" applyAlignment="1">
      <alignment vertical="center" wrapText="1"/>
    </xf>
    <xf numFmtId="17" fontId="21" fillId="12" borderId="27" xfId="0" applyNumberFormat="1" applyFont="1" applyFill="1" applyBorder="1" applyAlignment="1">
      <alignment vertical="center" wrapText="1"/>
    </xf>
    <xf numFmtId="17" fontId="21" fillId="12" borderId="28" xfId="0" applyNumberFormat="1" applyFont="1" applyFill="1" applyBorder="1" applyAlignment="1">
      <alignment vertical="center" wrapText="1"/>
    </xf>
    <xf numFmtId="0" fontId="22" fillId="12" borderId="1" xfId="0" applyFont="1" applyFill="1" applyBorder="1" applyAlignment="1">
      <alignment horizontal="center" vertical="center" wrapText="1"/>
    </xf>
    <xf numFmtId="0" fontId="11" fillId="0" borderId="4" xfId="0" applyFont="1" applyBorder="1" applyAlignment="1">
      <alignment horizontal="center" vertical="center" wrapText="1"/>
    </xf>
    <xf numFmtId="0" fontId="22" fillId="12" borderId="4" xfId="0" applyFont="1" applyFill="1" applyBorder="1" applyAlignment="1">
      <alignment horizontal="center" vertical="center" wrapText="1"/>
    </xf>
    <xf numFmtId="0" fontId="11" fillId="0" borderId="13" xfId="0" applyFont="1" applyBorder="1" applyAlignment="1">
      <alignment horizontal="center" vertical="center"/>
    </xf>
    <xf numFmtId="2" fontId="21" fillId="12" borderId="6" xfId="0" applyNumberFormat="1" applyFont="1" applyFill="1" applyBorder="1" applyAlignment="1">
      <alignment vertical="center" wrapText="1"/>
    </xf>
    <xf numFmtId="2" fontId="21" fillId="12" borderId="15" xfId="0" applyNumberFormat="1" applyFont="1" applyFill="1" applyBorder="1" applyAlignment="1">
      <alignment vertical="center" wrapText="1"/>
    </xf>
    <xf numFmtId="2" fontId="22" fillId="14" borderId="5" xfId="0" applyNumberFormat="1" applyFont="1" applyFill="1" applyBorder="1" applyAlignment="1">
      <alignment vertical="center" wrapText="1"/>
    </xf>
    <xf numFmtId="2" fontId="22" fillId="6" borderId="5" xfId="0" applyNumberFormat="1" applyFont="1" applyFill="1" applyBorder="1" applyAlignment="1">
      <alignment vertical="center" wrapText="1"/>
    </xf>
    <xf numFmtId="2" fontId="22" fillId="4" borderId="5" xfId="0" applyNumberFormat="1" applyFont="1" applyFill="1" applyBorder="1" applyAlignment="1">
      <alignment vertical="center" wrapText="1"/>
    </xf>
    <xf numFmtId="2" fontId="22" fillId="17" borderId="5" xfId="0" applyNumberFormat="1" applyFont="1" applyFill="1" applyBorder="1" applyAlignment="1">
      <alignment vertical="center" wrapText="1"/>
    </xf>
    <xf numFmtId="2" fontId="22" fillId="15" borderId="5" xfId="0" applyNumberFormat="1" applyFont="1" applyFill="1" applyBorder="1" applyAlignment="1">
      <alignment vertical="center" wrapText="1"/>
    </xf>
    <xf numFmtId="2" fontId="21" fillId="12" borderId="5" xfId="0" applyNumberFormat="1" applyFont="1" applyFill="1" applyBorder="1" applyAlignment="1">
      <alignment horizontal="center" vertical="center" wrapText="1"/>
    </xf>
    <xf numFmtId="0" fontId="22" fillId="12" borderId="2" xfId="0" applyFont="1" applyFill="1" applyBorder="1" applyAlignment="1">
      <alignment horizontal="center" vertical="center" wrapText="1"/>
    </xf>
    <xf numFmtId="0" fontId="22" fillId="12" borderId="3" xfId="0" applyFont="1" applyFill="1" applyBorder="1" applyAlignment="1">
      <alignment horizontal="center" vertical="center" wrapText="1"/>
    </xf>
    <xf numFmtId="2" fontId="22" fillId="13" borderId="6" xfId="0" applyNumberFormat="1" applyFont="1" applyFill="1" applyBorder="1" applyAlignment="1">
      <alignment horizontal="center" vertical="center" wrapText="1"/>
    </xf>
    <xf numFmtId="2" fontId="22" fillId="12" borderId="5" xfId="0" applyNumberFormat="1" applyFont="1" applyFill="1" applyBorder="1" applyAlignment="1">
      <alignment horizontal="center" vertical="center" wrapText="1"/>
    </xf>
    <xf numFmtId="0" fontId="21" fillId="12" borderId="27" xfId="0" applyFont="1" applyFill="1" applyBorder="1" applyAlignment="1">
      <alignment vertical="center" wrapText="1"/>
    </xf>
    <xf numFmtId="16" fontId="21" fillId="12" borderId="28" xfId="0" applyNumberFormat="1" applyFont="1" applyFill="1" applyBorder="1" applyAlignment="1">
      <alignment vertical="center" wrapText="1"/>
    </xf>
    <xf numFmtId="0" fontId="21" fillId="12" borderId="28" xfId="0" applyFont="1" applyFill="1" applyBorder="1" applyAlignment="1">
      <alignment vertical="center" wrapText="1"/>
    </xf>
    <xf numFmtId="2" fontId="21" fillId="12" borderId="4" xfId="0" applyNumberFormat="1" applyFont="1" applyFill="1" applyBorder="1" applyAlignment="1">
      <alignment vertical="center" wrapText="1"/>
    </xf>
    <xf numFmtId="2" fontId="21" fillId="12" borderId="4" xfId="0" quotePrefix="1" applyNumberFormat="1" applyFont="1" applyFill="1" applyBorder="1" applyAlignment="1">
      <alignment vertical="center" wrapText="1"/>
    </xf>
    <xf numFmtId="2" fontId="21" fillId="12" borderId="13" xfId="0" applyNumberFormat="1" applyFont="1" applyFill="1" applyBorder="1" applyAlignment="1">
      <alignment vertical="center" wrapText="1"/>
    </xf>
    <xf numFmtId="2" fontId="22" fillId="16" borderId="5" xfId="0" applyNumberFormat="1" applyFont="1" applyFill="1" applyBorder="1" applyAlignment="1">
      <alignment vertical="center" wrapText="1"/>
    </xf>
    <xf numFmtId="2" fontId="22" fillId="18" borderId="5" xfId="0" applyNumberFormat="1" applyFont="1" applyFill="1" applyBorder="1" applyAlignment="1">
      <alignment vertical="center" wrapText="1"/>
    </xf>
    <xf numFmtId="0" fontId="19" fillId="0" borderId="10" xfId="0" applyFont="1" applyBorder="1" applyAlignment="1">
      <alignment horizontal="center" vertical="center" wrapText="1"/>
    </xf>
    <xf numFmtId="0" fontId="13" fillId="0" borderId="0" xfId="0" applyFont="1" applyAlignment="1">
      <alignment horizontal="center" vertical="center"/>
    </xf>
    <xf numFmtId="164" fontId="8" fillId="4" borderId="5" xfId="0" applyNumberFormat="1" applyFont="1" applyFill="1" applyBorder="1" applyAlignment="1">
      <alignment horizontal="center" vertical="center"/>
    </xf>
    <xf numFmtId="164" fontId="0" fillId="4" borderId="0" xfId="0" applyNumberFormat="1" applyFill="1"/>
    <xf numFmtId="164" fontId="0" fillId="19" borderId="0" xfId="0" applyNumberFormat="1" applyFill="1"/>
    <xf numFmtId="2" fontId="0" fillId="19" borderId="0" xfId="0" applyNumberFormat="1" applyFill="1"/>
    <xf numFmtId="164" fontId="6" fillId="19" borderId="5" xfId="0" applyNumberFormat="1" applyFont="1" applyFill="1" applyBorder="1" applyAlignment="1">
      <alignment horizontal="center" vertical="center"/>
    </xf>
    <xf numFmtId="164" fontId="0" fillId="0" borderId="0" xfId="0" applyNumberFormat="1"/>
    <xf numFmtId="0" fontId="23" fillId="0" borderId="0" xfId="0" applyFont="1" applyAlignment="1">
      <alignment horizontal="center"/>
    </xf>
    <xf numFmtId="0" fontId="24" fillId="12" borderId="26" xfId="0" applyFont="1" applyFill="1" applyBorder="1" applyAlignment="1">
      <alignment horizontal="center" vertical="center" wrapText="1"/>
    </xf>
    <xf numFmtId="0" fontId="19" fillId="0" borderId="5" xfId="0" applyFont="1" applyBorder="1" applyAlignment="1">
      <alignment horizontal="left" vertical="center" wrapText="1"/>
    </xf>
    <xf numFmtId="0" fontId="19" fillId="0" borderId="14" xfId="0" applyFont="1" applyBorder="1" applyAlignment="1">
      <alignment horizontal="left" vertical="center" wrapText="1"/>
    </xf>
    <xf numFmtId="0" fontId="0" fillId="0" borderId="0" xfId="0" applyAlignment="1">
      <alignment horizontal="center"/>
    </xf>
    <xf numFmtId="0" fontId="19" fillId="0" borderId="2" xfId="0" applyFont="1" applyBorder="1" applyAlignment="1">
      <alignment horizontal="center" vertical="center" wrapText="1"/>
    </xf>
    <xf numFmtId="0" fontId="4" fillId="0" borderId="0" xfId="0" applyFont="1" applyAlignment="1">
      <alignment horizontal="center" wrapText="1"/>
    </xf>
    <xf numFmtId="0" fontId="4" fillId="0" borderId="0" xfId="0" applyFont="1" applyAlignment="1">
      <alignment horizontal="center"/>
    </xf>
    <xf numFmtId="0" fontId="14" fillId="0" borderId="0" xfId="0" applyFont="1" applyAlignment="1">
      <alignment horizontal="center" vertical="center"/>
    </xf>
    <xf numFmtId="0" fontId="13" fillId="0" borderId="0" xfId="0" applyFont="1" applyAlignment="1">
      <alignment horizontal="center" vertical="center"/>
    </xf>
    <xf numFmtId="0" fontId="4" fillId="0" borderId="0" xfId="0" applyFont="1" applyAlignment="1">
      <alignment horizontal="center" vertical="top" wrapText="1"/>
    </xf>
    <xf numFmtId="0" fontId="12" fillId="0" borderId="5" xfId="0" applyFont="1" applyBorder="1" applyAlignment="1">
      <alignment horizontal="center" vertical="center" wrapText="1"/>
    </xf>
    <xf numFmtId="0" fontId="12" fillId="0" borderId="5" xfId="0" applyFont="1" applyBorder="1" applyAlignment="1">
      <alignment horizontal="center" vertical="center"/>
    </xf>
    <xf numFmtId="0" fontId="0" fillId="0" borderId="0" xfId="0" applyAlignment="1">
      <alignment horizontal="center" wrapText="1"/>
    </xf>
    <xf numFmtId="0" fontId="19" fillId="0" borderId="10"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8" xfId="0" applyFont="1" applyBorder="1" applyAlignment="1">
      <alignment horizontal="left" vertical="center" wrapText="1"/>
    </xf>
    <xf numFmtId="0" fontId="19" fillId="5" borderId="5" xfId="0" applyFont="1" applyFill="1" applyBorder="1" applyAlignment="1">
      <alignment horizontal="left" vertical="center" wrapText="1"/>
    </xf>
    <xf numFmtId="0" fontId="19" fillId="5" borderId="8" xfId="0" applyFont="1" applyFill="1" applyBorder="1" applyAlignment="1">
      <alignment horizontal="center" vertical="center" wrapText="1"/>
    </xf>
    <xf numFmtId="0" fontId="19" fillId="5" borderId="22" xfId="0" applyFont="1" applyFill="1" applyBorder="1" applyAlignment="1">
      <alignment horizontal="center" vertical="center" wrapText="1"/>
    </xf>
    <xf numFmtId="0" fontId="19" fillId="5" borderId="5" xfId="0" applyFont="1" applyFill="1" applyBorder="1" applyAlignment="1">
      <alignment horizontal="center" vertical="center" wrapText="1"/>
    </xf>
    <xf numFmtId="0" fontId="19" fillId="5" borderId="6" xfId="0" applyFont="1" applyFill="1" applyBorder="1" applyAlignment="1">
      <alignment horizontal="center" vertical="center" wrapText="1"/>
    </xf>
    <xf numFmtId="0" fontId="19" fillId="5" borderId="14" xfId="0" applyFont="1" applyFill="1" applyBorder="1" applyAlignment="1">
      <alignment horizontal="center" vertical="center" wrapText="1"/>
    </xf>
    <xf numFmtId="0" fontId="19" fillId="5" borderId="15" xfId="0" applyFont="1" applyFill="1" applyBorder="1" applyAlignment="1">
      <alignment horizontal="center" vertical="center" wrapText="1"/>
    </xf>
    <xf numFmtId="0" fontId="19" fillId="0" borderId="24" xfId="0" applyFont="1" applyBorder="1" applyAlignment="1">
      <alignment horizontal="center" vertical="center" wrapText="1"/>
    </xf>
    <xf numFmtId="0" fontId="19" fillId="5"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5" borderId="12" xfId="0" applyFont="1" applyFill="1" applyBorder="1" applyAlignment="1">
      <alignment horizontal="center" vertical="center" wrapText="1"/>
    </xf>
    <xf numFmtId="0" fontId="19" fillId="5" borderId="18" xfId="0" applyFont="1" applyFill="1" applyBorder="1" applyAlignment="1">
      <alignment horizontal="center" vertical="center" wrapText="1"/>
    </xf>
    <xf numFmtId="0" fontId="19" fillId="5" borderId="19" xfId="0" applyFont="1" applyFill="1" applyBorder="1" applyAlignment="1">
      <alignment horizontal="center" vertical="center" wrapText="1"/>
    </xf>
    <xf numFmtId="0" fontId="19" fillId="5" borderId="20" xfId="0" applyFont="1" applyFill="1" applyBorder="1" applyAlignment="1">
      <alignment horizontal="center" vertical="center" wrapText="1"/>
    </xf>
    <xf numFmtId="0" fontId="19" fillId="0" borderId="3" xfId="0" applyFont="1" applyBorder="1" applyAlignment="1">
      <alignment horizontal="center" vertical="center" wrapText="1"/>
    </xf>
    <xf numFmtId="0" fontId="19" fillId="0" borderId="5"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3300"/>
      <color rgb="FFB052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tr-TR"/>
        </a:p>
      </c:txPr>
    </c:title>
    <c:autoTitleDeleted val="0"/>
    <c:plotArea>
      <c:layout/>
      <c:lineChart>
        <c:grouping val="standard"/>
        <c:varyColors val="0"/>
        <c:ser>
          <c:idx val="4"/>
          <c:order val="0"/>
          <c:tx>
            <c:strRef>
              <c:f>'KOZAN WORD'!$A$6</c:f>
              <c:strCache>
                <c:ptCount val="1"/>
                <c:pt idx="0">
                  <c:v>Düzeltilmiş PE (Etp)</c:v>
                </c:pt>
              </c:strCache>
            </c:strRef>
          </c:tx>
          <c:spPr>
            <a:ln w="38100"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'KOZAN WORD'!$B$1:$M$1</c:f>
              <c:strCache>
                <c:ptCount val="12"/>
                <c:pt idx="0">
                  <c:v>O</c:v>
                </c:pt>
                <c:pt idx="1">
                  <c:v>Ş</c:v>
                </c:pt>
                <c:pt idx="2">
                  <c:v>M</c:v>
                </c:pt>
                <c:pt idx="3">
                  <c:v>N</c:v>
                </c:pt>
                <c:pt idx="4">
                  <c:v>M</c:v>
                </c:pt>
                <c:pt idx="5">
                  <c:v>H</c:v>
                </c:pt>
                <c:pt idx="6">
                  <c:v>T</c:v>
                </c:pt>
                <c:pt idx="7">
                  <c:v>A</c:v>
                </c:pt>
                <c:pt idx="8">
                  <c:v>E</c:v>
                </c:pt>
                <c:pt idx="9">
                  <c:v>E</c:v>
                </c:pt>
                <c:pt idx="10">
                  <c:v>K</c:v>
                </c:pt>
                <c:pt idx="11">
                  <c:v>A</c:v>
                </c:pt>
              </c:strCache>
            </c:strRef>
          </c:cat>
          <c:val>
            <c:numRef>
              <c:f>'KOZAN WORD'!$B$6:$M$6</c:f>
              <c:numCache>
                <c:formatCode>0.0</c:formatCode>
                <c:ptCount val="12"/>
                <c:pt idx="0">
                  <c:v>13.467098074638686</c:v>
                </c:pt>
                <c:pt idx="1">
                  <c:v>16.236409142314582</c:v>
                </c:pt>
                <c:pt idx="2">
                  <c:v>33.889441439470716</c:v>
                </c:pt>
                <c:pt idx="3">
                  <c:v>62.941163810327865</c:v>
                </c:pt>
                <c:pt idx="4">
                  <c:v>110.70837701266059</c:v>
                </c:pt>
                <c:pt idx="5">
                  <c:v>157.93862690881124</c:v>
                </c:pt>
                <c:pt idx="6">
                  <c:v>204.00134151462024</c:v>
                </c:pt>
                <c:pt idx="7">
                  <c:v>195.30871190375103</c:v>
                </c:pt>
                <c:pt idx="8">
                  <c:v>141.35978828191088</c:v>
                </c:pt>
                <c:pt idx="9">
                  <c:v>92.437963982840273</c:v>
                </c:pt>
                <c:pt idx="10">
                  <c:v>39.626816579739916</c:v>
                </c:pt>
                <c:pt idx="11">
                  <c:v>18.732129784050436</c:v>
                </c:pt>
              </c:numCache>
            </c:numRef>
          </c:val>
          <c:smooth val="0"/>
          <c:extLst>
            <c:ext xmlns:c16="http://schemas.microsoft.com/office/drawing/2014/chart" uri="{C3380CC4-5D6E-409C-BE32-E72D297353CC}">
              <c16:uniqueId val="{0000001D-BCEF-46DF-906B-54680FE25A08}"/>
            </c:ext>
          </c:extLst>
        </c:ser>
        <c:ser>
          <c:idx val="5"/>
          <c:order val="1"/>
          <c:tx>
            <c:strRef>
              <c:f>'KOZAN WORD'!$A$7</c:f>
              <c:strCache>
                <c:ptCount val="1"/>
                <c:pt idx="0">
                  <c:v>Yağış</c:v>
                </c:pt>
              </c:strCache>
            </c:strRef>
          </c:tx>
          <c:spPr>
            <a:ln w="38100"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'KOZAN WORD'!$B$1:$M$1</c:f>
              <c:strCache>
                <c:ptCount val="12"/>
                <c:pt idx="0">
                  <c:v>O</c:v>
                </c:pt>
                <c:pt idx="1">
                  <c:v>Ş</c:v>
                </c:pt>
                <c:pt idx="2">
                  <c:v>M</c:v>
                </c:pt>
                <c:pt idx="3">
                  <c:v>N</c:v>
                </c:pt>
                <c:pt idx="4">
                  <c:v>M</c:v>
                </c:pt>
                <c:pt idx="5">
                  <c:v>H</c:v>
                </c:pt>
                <c:pt idx="6">
                  <c:v>T</c:v>
                </c:pt>
                <c:pt idx="7">
                  <c:v>A</c:v>
                </c:pt>
                <c:pt idx="8">
                  <c:v>E</c:v>
                </c:pt>
                <c:pt idx="9">
                  <c:v>E</c:v>
                </c:pt>
                <c:pt idx="10">
                  <c:v>K</c:v>
                </c:pt>
                <c:pt idx="11">
                  <c:v>A</c:v>
                </c:pt>
              </c:strCache>
            </c:strRef>
          </c:cat>
          <c:val>
            <c:numRef>
              <c:f>'KOZAN WORD'!$B$7:$M$7</c:f>
              <c:numCache>
                <c:formatCode>0.0</c:formatCode>
                <c:ptCount val="12"/>
                <c:pt idx="0">
                  <c:v>104.4</c:v>
                </c:pt>
                <c:pt idx="1">
                  <c:v>80</c:v>
                </c:pt>
                <c:pt idx="2">
                  <c:v>99.7</c:v>
                </c:pt>
                <c:pt idx="3">
                  <c:v>80.2</c:v>
                </c:pt>
                <c:pt idx="4">
                  <c:v>82.5</c:v>
                </c:pt>
                <c:pt idx="5">
                  <c:v>52.5</c:v>
                </c:pt>
                <c:pt idx="6">
                  <c:v>24</c:v>
                </c:pt>
                <c:pt idx="7">
                  <c:v>23.3</c:v>
                </c:pt>
                <c:pt idx="8">
                  <c:v>27.9</c:v>
                </c:pt>
                <c:pt idx="9">
                  <c:v>48.6</c:v>
                </c:pt>
                <c:pt idx="10">
                  <c:v>73.8</c:v>
                </c:pt>
                <c:pt idx="11">
                  <c:v>107.6</c:v>
                </c:pt>
              </c:numCache>
            </c:numRef>
          </c:val>
          <c:smooth val="0"/>
          <c:extLst>
            <c:ext xmlns:c16="http://schemas.microsoft.com/office/drawing/2014/chart" uri="{C3380CC4-5D6E-409C-BE32-E72D297353CC}">
              <c16:uniqueId val="{0000001E-BCEF-46DF-906B-54680FE25A08}"/>
            </c:ext>
          </c:extLst>
        </c:ser>
        <c:ser>
          <c:idx val="6"/>
          <c:order val="2"/>
          <c:tx>
            <c:strRef>
              <c:f>'KOZAN WORD'!$A$6</c:f>
              <c:strCache>
                <c:ptCount val="1"/>
                <c:pt idx="0">
                  <c:v>Düzeltilmiş PE (Etp)</c:v>
                </c:pt>
              </c:strCache>
            </c:strRef>
          </c:tx>
          <c:spPr>
            <a:ln w="38100"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'KOZAN WORD'!$B$1:$M$1</c:f>
              <c:strCache>
                <c:ptCount val="12"/>
                <c:pt idx="0">
                  <c:v>O</c:v>
                </c:pt>
                <c:pt idx="1">
                  <c:v>Ş</c:v>
                </c:pt>
                <c:pt idx="2">
                  <c:v>M</c:v>
                </c:pt>
                <c:pt idx="3">
                  <c:v>N</c:v>
                </c:pt>
                <c:pt idx="4">
                  <c:v>M</c:v>
                </c:pt>
                <c:pt idx="5">
                  <c:v>H</c:v>
                </c:pt>
                <c:pt idx="6">
                  <c:v>T</c:v>
                </c:pt>
                <c:pt idx="7">
                  <c:v>A</c:v>
                </c:pt>
                <c:pt idx="8">
                  <c:v>E</c:v>
                </c:pt>
                <c:pt idx="9">
                  <c:v>E</c:v>
                </c:pt>
                <c:pt idx="10">
                  <c:v>K</c:v>
                </c:pt>
                <c:pt idx="11">
                  <c:v>A</c:v>
                </c:pt>
              </c:strCache>
            </c:strRef>
          </c:cat>
          <c:val>
            <c:numRef>
              <c:f>'KOZAN WORD'!$B$6:$M$6</c:f>
              <c:numCache>
                <c:formatCode>0.0</c:formatCode>
                <c:ptCount val="12"/>
                <c:pt idx="0">
                  <c:v>13.467098074638686</c:v>
                </c:pt>
                <c:pt idx="1">
                  <c:v>16.236409142314582</c:v>
                </c:pt>
                <c:pt idx="2">
                  <c:v>33.889441439470716</c:v>
                </c:pt>
                <c:pt idx="3">
                  <c:v>62.941163810327865</c:v>
                </c:pt>
                <c:pt idx="4">
                  <c:v>110.70837701266059</c:v>
                </c:pt>
                <c:pt idx="5">
                  <c:v>157.93862690881124</c:v>
                </c:pt>
                <c:pt idx="6">
                  <c:v>204.00134151462024</c:v>
                </c:pt>
                <c:pt idx="7">
                  <c:v>195.30871190375103</c:v>
                </c:pt>
                <c:pt idx="8">
                  <c:v>141.35978828191088</c:v>
                </c:pt>
                <c:pt idx="9">
                  <c:v>92.437963982840273</c:v>
                </c:pt>
                <c:pt idx="10">
                  <c:v>39.626816579739916</c:v>
                </c:pt>
                <c:pt idx="11">
                  <c:v>18.732129784050436</c:v>
                </c:pt>
              </c:numCache>
            </c:numRef>
          </c:val>
          <c:smooth val="0"/>
          <c:extLst>
            <c:ext xmlns:c16="http://schemas.microsoft.com/office/drawing/2014/chart" uri="{C3380CC4-5D6E-409C-BE32-E72D297353CC}">
              <c16:uniqueId val="{0000001F-BCEF-46DF-906B-54680FE25A08}"/>
            </c:ext>
          </c:extLst>
        </c:ser>
        <c:ser>
          <c:idx val="7"/>
          <c:order val="3"/>
          <c:tx>
            <c:strRef>
              <c:f>'KOZAN WORD'!$A$7</c:f>
              <c:strCache>
                <c:ptCount val="1"/>
                <c:pt idx="0">
                  <c:v>Yağış</c:v>
                </c:pt>
              </c:strCache>
            </c:strRef>
          </c:tx>
          <c:spPr>
            <a:ln w="38100" cap="rnd">
              <a:solidFill>
                <a:schemeClr val="accent2">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'KOZAN WORD'!$B$1:$M$1</c:f>
              <c:strCache>
                <c:ptCount val="12"/>
                <c:pt idx="0">
                  <c:v>O</c:v>
                </c:pt>
                <c:pt idx="1">
                  <c:v>Ş</c:v>
                </c:pt>
                <c:pt idx="2">
                  <c:v>M</c:v>
                </c:pt>
                <c:pt idx="3">
                  <c:v>N</c:v>
                </c:pt>
                <c:pt idx="4">
                  <c:v>M</c:v>
                </c:pt>
                <c:pt idx="5">
                  <c:v>H</c:v>
                </c:pt>
                <c:pt idx="6">
                  <c:v>T</c:v>
                </c:pt>
                <c:pt idx="7">
                  <c:v>A</c:v>
                </c:pt>
                <c:pt idx="8">
                  <c:v>E</c:v>
                </c:pt>
                <c:pt idx="9">
                  <c:v>E</c:v>
                </c:pt>
                <c:pt idx="10">
                  <c:v>K</c:v>
                </c:pt>
                <c:pt idx="11">
                  <c:v>A</c:v>
                </c:pt>
              </c:strCache>
            </c:strRef>
          </c:cat>
          <c:val>
            <c:numRef>
              <c:f>'KOZAN WORD'!$B$7:$M$7</c:f>
              <c:numCache>
                <c:formatCode>0.0</c:formatCode>
                <c:ptCount val="12"/>
                <c:pt idx="0">
                  <c:v>104.4</c:v>
                </c:pt>
                <c:pt idx="1">
                  <c:v>80</c:v>
                </c:pt>
                <c:pt idx="2">
                  <c:v>99.7</c:v>
                </c:pt>
                <c:pt idx="3">
                  <c:v>80.2</c:v>
                </c:pt>
                <c:pt idx="4">
                  <c:v>82.5</c:v>
                </c:pt>
                <c:pt idx="5">
                  <c:v>52.5</c:v>
                </c:pt>
                <c:pt idx="6">
                  <c:v>24</c:v>
                </c:pt>
                <c:pt idx="7">
                  <c:v>23.3</c:v>
                </c:pt>
                <c:pt idx="8">
                  <c:v>27.9</c:v>
                </c:pt>
                <c:pt idx="9">
                  <c:v>48.6</c:v>
                </c:pt>
                <c:pt idx="10">
                  <c:v>73.8</c:v>
                </c:pt>
                <c:pt idx="11">
                  <c:v>107.6</c:v>
                </c:pt>
              </c:numCache>
            </c:numRef>
          </c:val>
          <c:smooth val="0"/>
          <c:extLst>
            <c:ext xmlns:c16="http://schemas.microsoft.com/office/drawing/2014/chart" uri="{C3380CC4-5D6E-409C-BE32-E72D297353CC}">
              <c16:uniqueId val="{00000020-BCEF-46DF-906B-54680FE25A08}"/>
            </c:ext>
          </c:extLst>
        </c:ser>
        <c:ser>
          <c:idx val="2"/>
          <c:order val="4"/>
          <c:tx>
            <c:strRef>
              <c:f>'KOZAN WORD'!$A$6</c:f>
              <c:strCache>
                <c:ptCount val="1"/>
                <c:pt idx="0">
                  <c:v>Düzeltilmiş PE (Etp)</c:v>
                </c:pt>
              </c:strCache>
            </c:strRef>
          </c:tx>
          <c:spPr>
            <a:ln w="38100"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'KOZAN WORD'!$B$1:$M$1</c:f>
              <c:strCache>
                <c:ptCount val="12"/>
                <c:pt idx="0">
                  <c:v>O</c:v>
                </c:pt>
                <c:pt idx="1">
                  <c:v>Ş</c:v>
                </c:pt>
                <c:pt idx="2">
                  <c:v>M</c:v>
                </c:pt>
                <c:pt idx="3">
                  <c:v>N</c:v>
                </c:pt>
                <c:pt idx="4">
                  <c:v>M</c:v>
                </c:pt>
                <c:pt idx="5">
                  <c:v>H</c:v>
                </c:pt>
                <c:pt idx="6">
                  <c:v>T</c:v>
                </c:pt>
                <c:pt idx="7">
                  <c:v>A</c:v>
                </c:pt>
                <c:pt idx="8">
                  <c:v>E</c:v>
                </c:pt>
                <c:pt idx="9">
                  <c:v>E</c:v>
                </c:pt>
                <c:pt idx="10">
                  <c:v>K</c:v>
                </c:pt>
                <c:pt idx="11">
                  <c:v>A</c:v>
                </c:pt>
              </c:strCache>
            </c:strRef>
          </c:cat>
          <c:val>
            <c:numRef>
              <c:f>'KOZAN WORD'!$B$6:$M$6</c:f>
              <c:numCache>
                <c:formatCode>0.0</c:formatCode>
                <c:ptCount val="12"/>
                <c:pt idx="0">
                  <c:v>13.467098074638686</c:v>
                </c:pt>
                <c:pt idx="1">
                  <c:v>16.236409142314582</c:v>
                </c:pt>
                <c:pt idx="2">
                  <c:v>33.889441439470716</c:v>
                </c:pt>
                <c:pt idx="3">
                  <c:v>62.941163810327865</c:v>
                </c:pt>
                <c:pt idx="4">
                  <c:v>110.70837701266059</c:v>
                </c:pt>
                <c:pt idx="5">
                  <c:v>157.93862690881124</c:v>
                </c:pt>
                <c:pt idx="6">
                  <c:v>204.00134151462024</c:v>
                </c:pt>
                <c:pt idx="7">
                  <c:v>195.30871190375103</c:v>
                </c:pt>
                <c:pt idx="8">
                  <c:v>141.35978828191088</c:v>
                </c:pt>
                <c:pt idx="9">
                  <c:v>92.437963982840273</c:v>
                </c:pt>
                <c:pt idx="10">
                  <c:v>39.626816579739916</c:v>
                </c:pt>
                <c:pt idx="11">
                  <c:v>18.732129784050436</c:v>
                </c:pt>
              </c:numCache>
            </c:numRef>
          </c:val>
          <c:smooth val="0"/>
          <c:extLst>
            <c:ext xmlns:c16="http://schemas.microsoft.com/office/drawing/2014/chart" uri="{C3380CC4-5D6E-409C-BE32-E72D297353CC}">
              <c16:uniqueId val="{00000016-BCEF-46DF-906B-54680FE25A08}"/>
            </c:ext>
          </c:extLst>
        </c:ser>
        <c:ser>
          <c:idx val="3"/>
          <c:order val="5"/>
          <c:tx>
            <c:strRef>
              <c:f>'KOZAN WORD'!$A$7</c:f>
              <c:strCache>
                <c:ptCount val="1"/>
                <c:pt idx="0">
                  <c:v>Yağış</c:v>
                </c:pt>
              </c:strCache>
            </c:strRef>
          </c:tx>
          <c:spPr>
            <a:ln w="38100"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'KOZAN WORD'!$B$1:$M$1</c:f>
              <c:strCache>
                <c:ptCount val="12"/>
                <c:pt idx="0">
                  <c:v>O</c:v>
                </c:pt>
                <c:pt idx="1">
                  <c:v>Ş</c:v>
                </c:pt>
                <c:pt idx="2">
                  <c:v>M</c:v>
                </c:pt>
                <c:pt idx="3">
                  <c:v>N</c:v>
                </c:pt>
                <c:pt idx="4">
                  <c:v>M</c:v>
                </c:pt>
                <c:pt idx="5">
                  <c:v>H</c:v>
                </c:pt>
                <c:pt idx="6">
                  <c:v>T</c:v>
                </c:pt>
                <c:pt idx="7">
                  <c:v>A</c:v>
                </c:pt>
                <c:pt idx="8">
                  <c:v>E</c:v>
                </c:pt>
                <c:pt idx="9">
                  <c:v>E</c:v>
                </c:pt>
                <c:pt idx="10">
                  <c:v>K</c:v>
                </c:pt>
                <c:pt idx="11">
                  <c:v>A</c:v>
                </c:pt>
              </c:strCache>
            </c:strRef>
          </c:cat>
          <c:val>
            <c:numRef>
              <c:f>'KOZAN WORD'!$B$7:$M$7</c:f>
              <c:numCache>
                <c:formatCode>0.0</c:formatCode>
                <c:ptCount val="12"/>
                <c:pt idx="0">
                  <c:v>104.4</c:v>
                </c:pt>
                <c:pt idx="1">
                  <c:v>80</c:v>
                </c:pt>
                <c:pt idx="2">
                  <c:v>99.7</c:v>
                </c:pt>
                <c:pt idx="3">
                  <c:v>80.2</c:v>
                </c:pt>
                <c:pt idx="4">
                  <c:v>82.5</c:v>
                </c:pt>
                <c:pt idx="5">
                  <c:v>52.5</c:v>
                </c:pt>
                <c:pt idx="6">
                  <c:v>24</c:v>
                </c:pt>
                <c:pt idx="7">
                  <c:v>23.3</c:v>
                </c:pt>
                <c:pt idx="8">
                  <c:v>27.9</c:v>
                </c:pt>
                <c:pt idx="9">
                  <c:v>48.6</c:v>
                </c:pt>
                <c:pt idx="10">
                  <c:v>73.8</c:v>
                </c:pt>
                <c:pt idx="11">
                  <c:v>107.6</c:v>
                </c:pt>
              </c:numCache>
            </c:numRef>
          </c:val>
          <c:smooth val="0"/>
          <c:extLst>
            <c:ext xmlns:c16="http://schemas.microsoft.com/office/drawing/2014/chart" uri="{C3380CC4-5D6E-409C-BE32-E72D297353CC}">
              <c16:uniqueId val="{00000018-BCEF-46DF-906B-54680FE25A08}"/>
            </c:ext>
          </c:extLst>
        </c:ser>
        <c:ser>
          <c:idx val="0"/>
          <c:order val="6"/>
          <c:tx>
            <c:strRef>
              <c:f>'KOZAN WORD'!$A$6</c:f>
              <c:strCache>
                <c:ptCount val="1"/>
                <c:pt idx="0">
                  <c:v>Düzeltilmiş PE (Etp)</c:v>
                </c:pt>
              </c:strCache>
            </c:strRef>
          </c:tx>
          <c:spPr>
            <a:ln w="3810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'KOZAN WORD'!$B$1:$M$1</c:f>
              <c:strCache>
                <c:ptCount val="12"/>
                <c:pt idx="0">
                  <c:v>O</c:v>
                </c:pt>
                <c:pt idx="1">
                  <c:v>Ş</c:v>
                </c:pt>
                <c:pt idx="2">
                  <c:v>M</c:v>
                </c:pt>
                <c:pt idx="3">
                  <c:v>N</c:v>
                </c:pt>
                <c:pt idx="4">
                  <c:v>M</c:v>
                </c:pt>
                <c:pt idx="5">
                  <c:v>H</c:v>
                </c:pt>
                <c:pt idx="6">
                  <c:v>T</c:v>
                </c:pt>
                <c:pt idx="7">
                  <c:v>A</c:v>
                </c:pt>
                <c:pt idx="8">
                  <c:v>E</c:v>
                </c:pt>
                <c:pt idx="9">
                  <c:v>E</c:v>
                </c:pt>
                <c:pt idx="10">
                  <c:v>K</c:v>
                </c:pt>
                <c:pt idx="11">
                  <c:v>A</c:v>
                </c:pt>
              </c:strCache>
            </c:strRef>
          </c:cat>
          <c:val>
            <c:numRef>
              <c:f>'KOZAN WORD'!$B$6:$M$6</c:f>
              <c:numCache>
                <c:formatCode>0.0</c:formatCode>
                <c:ptCount val="12"/>
                <c:pt idx="0">
                  <c:v>13.467098074638686</c:v>
                </c:pt>
                <c:pt idx="1">
                  <c:v>16.236409142314582</c:v>
                </c:pt>
                <c:pt idx="2">
                  <c:v>33.889441439470716</c:v>
                </c:pt>
                <c:pt idx="3">
                  <c:v>62.941163810327865</c:v>
                </c:pt>
                <c:pt idx="4">
                  <c:v>110.70837701266059</c:v>
                </c:pt>
                <c:pt idx="5">
                  <c:v>157.93862690881124</c:v>
                </c:pt>
                <c:pt idx="6">
                  <c:v>204.00134151462024</c:v>
                </c:pt>
                <c:pt idx="7">
                  <c:v>195.30871190375103</c:v>
                </c:pt>
                <c:pt idx="8">
                  <c:v>141.35978828191088</c:v>
                </c:pt>
                <c:pt idx="9">
                  <c:v>92.437963982840273</c:v>
                </c:pt>
                <c:pt idx="10">
                  <c:v>39.626816579739916</c:v>
                </c:pt>
                <c:pt idx="11">
                  <c:v>18.732129784050436</c:v>
                </c:pt>
              </c:numCache>
            </c:numRef>
          </c:val>
          <c:smooth val="0"/>
          <c:extLst>
            <c:ext xmlns:c16="http://schemas.microsoft.com/office/drawing/2014/chart" uri="{C3380CC4-5D6E-409C-BE32-E72D297353CC}">
              <c16:uniqueId val="{0000001A-BCEF-46DF-906B-54680FE25A08}"/>
            </c:ext>
          </c:extLst>
        </c:ser>
        <c:ser>
          <c:idx val="1"/>
          <c:order val="7"/>
          <c:tx>
            <c:strRef>
              <c:f>'KOZAN WORD'!$A$7</c:f>
              <c:strCache>
                <c:ptCount val="1"/>
                <c:pt idx="0">
                  <c:v>Yağış</c:v>
                </c:pt>
              </c:strCache>
            </c:strRef>
          </c:tx>
          <c:spPr>
            <a:ln w="3810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'KOZAN WORD'!$B$1:$M$1</c:f>
              <c:strCache>
                <c:ptCount val="12"/>
                <c:pt idx="0">
                  <c:v>O</c:v>
                </c:pt>
                <c:pt idx="1">
                  <c:v>Ş</c:v>
                </c:pt>
                <c:pt idx="2">
                  <c:v>M</c:v>
                </c:pt>
                <c:pt idx="3">
                  <c:v>N</c:v>
                </c:pt>
                <c:pt idx="4">
                  <c:v>M</c:v>
                </c:pt>
                <c:pt idx="5">
                  <c:v>H</c:v>
                </c:pt>
                <c:pt idx="6">
                  <c:v>T</c:v>
                </c:pt>
                <c:pt idx="7">
                  <c:v>A</c:v>
                </c:pt>
                <c:pt idx="8">
                  <c:v>E</c:v>
                </c:pt>
                <c:pt idx="9">
                  <c:v>E</c:v>
                </c:pt>
                <c:pt idx="10">
                  <c:v>K</c:v>
                </c:pt>
                <c:pt idx="11">
                  <c:v>A</c:v>
                </c:pt>
              </c:strCache>
            </c:strRef>
          </c:cat>
          <c:val>
            <c:numRef>
              <c:f>'KOZAN WORD'!$B$7:$M$7</c:f>
              <c:numCache>
                <c:formatCode>0.0</c:formatCode>
                <c:ptCount val="12"/>
                <c:pt idx="0">
                  <c:v>104.4</c:v>
                </c:pt>
                <c:pt idx="1">
                  <c:v>80</c:v>
                </c:pt>
                <c:pt idx="2">
                  <c:v>99.7</c:v>
                </c:pt>
                <c:pt idx="3">
                  <c:v>80.2</c:v>
                </c:pt>
                <c:pt idx="4">
                  <c:v>82.5</c:v>
                </c:pt>
                <c:pt idx="5">
                  <c:v>52.5</c:v>
                </c:pt>
                <c:pt idx="6">
                  <c:v>24</c:v>
                </c:pt>
                <c:pt idx="7">
                  <c:v>23.3</c:v>
                </c:pt>
                <c:pt idx="8">
                  <c:v>27.9</c:v>
                </c:pt>
                <c:pt idx="9">
                  <c:v>48.6</c:v>
                </c:pt>
                <c:pt idx="10">
                  <c:v>73.8</c:v>
                </c:pt>
                <c:pt idx="11">
                  <c:v>107.6</c:v>
                </c:pt>
              </c:numCache>
            </c:numRef>
          </c:val>
          <c:smooth val="0"/>
          <c:extLst>
            <c:ext xmlns:c16="http://schemas.microsoft.com/office/drawing/2014/chart" uri="{C3380CC4-5D6E-409C-BE32-E72D297353CC}">
              <c16:uniqueId val="{0000001C-BCEF-46DF-906B-54680FE25A08}"/>
            </c:ext>
          </c:extLst>
        </c:ser>
        <c:dLbls>
          <c:dLblPos val="ctr"/>
          <c:showLegendKey val="0"/>
          <c:showVal val="1"/>
          <c:showCatName val="0"/>
          <c:showSerName val="0"/>
          <c:showPercent val="0"/>
          <c:showBubbleSize val="0"/>
        </c:dLbls>
        <c:smooth val="0"/>
        <c:axId val="1376505967"/>
        <c:axId val="1255366591"/>
      </c:lineChart>
      <c:catAx>
        <c:axId val="137650596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tr-TR"/>
                  <a:t>AYLAR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tr-TR"/>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tr-TR"/>
          </a:p>
        </c:txPr>
        <c:crossAx val="1255366591"/>
        <c:crosses val="autoZero"/>
        <c:auto val="1"/>
        <c:lblAlgn val="ctr"/>
        <c:lblOffset val="100"/>
        <c:noMultiLvlLbl val="0"/>
      </c:catAx>
      <c:valAx>
        <c:axId val="1255366591"/>
        <c:scaling>
          <c:orientation val="minMax"/>
          <c:max val="22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tr-TR"/>
                  <a:t>YAĞIŞ MM</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tr-TR"/>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76505967"/>
        <c:crosses val="autoZero"/>
        <c:crossBetween val="between"/>
        <c:majorUnit val="20"/>
      </c:valAx>
      <c:spPr>
        <a:noFill/>
        <a:ln>
          <a:noFill/>
        </a:ln>
        <a:effectLst/>
      </c:spPr>
    </c:plotArea>
    <c:legend>
      <c:legendPos val="t"/>
      <c:legendEntry>
        <c:idx val="0"/>
        <c:delete val="1"/>
      </c:legendEntry>
      <c:legendEntry>
        <c:idx val="1"/>
        <c:delete val="1"/>
      </c:legendEntry>
      <c:legendEntry>
        <c:idx val="2"/>
        <c:delete val="1"/>
      </c:legendEntry>
      <c:legendEntry>
        <c:idx val="3"/>
        <c:delete val="1"/>
      </c:legendEntry>
      <c:legendEntry>
        <c:idx val="4"/>
        <c:delete val="1"/>
      </c:legendEntry>
      <c:legendEntry>
        <c:idx val="7"/>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718147073721049E-2"/>
          <c:y val="1.3383332565885404E-2"/>
          <c:w val="0.90304208684440757"/>
          <c:h val="0.80771975871437118"/>
        </c:manualLayout>
      </c:layout>
      <c:lineChart>
        <c:grouping val="standard"/>
        <c:varyColors val="0"/>
        <c:ser>
          <c:idx val="0"/>
          <c:order val="0"/>
          <c:tx>
            <c:strRef>
              <c:f>'KOZAN WORD'!$A$6</c:f>
              <c:strCache>
                <c:ptCount val="1"/>
                <c:pt idx="0">
                  <c:v>Düzeltilmiş PE (Etp)</c:v>
                </c:pt>
              </c:strCache>
            </c:strRef>
          </c:tx>
          <c:spPr>
            <a:ln w="22225"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'KOZAN WORD'!$B$1:$M$1</c:f>
              <c:strCache>
                <c:ptCount val="12"/>
                <c:pt idx="0">
                  <c:v>O</c:v>
                </c:pt>
                <c:pt idx="1">
                  <c:v>Ş</c:v>
                </c:pt>
                <c:pt idx="2">
                  <c:v>M</c:v>
                </c:pt>
                <c:pt idx="3">
                  <c:v>N</c:v>
                </c:pt>
                <c:pt idx="4">
                  <c:v>M</c:v>
                </c:pt>
                <c:pt idx="5">
                  <c:v>H</c:v>
                </c:pt>
                <c:pt idx="6">
                  <c:v>T</c:v>
                </c:pt>
                <c:pt idx="7">
                  <c:v>A</c:v>
                </c:pt>
                <c:pt idx="8">
                  <c:v>E</c:v>
                </c:pt>
                <c:pt idx="9">
                  <c:v>E</c:v>
                </c:pt>
                <c:pt idx="10">
                  <c:v>K</c:v>
                </c:pt>
                <c:pt idx="11">
                  <c:v>A</c:v>
                </c:pt>
              </c:strCache>
            </c:strRef>
          </c:cat>
          <c:val>
            <c:numRef>
              <c:f>'KOZAN WORD'!$B$6:$M$6</c:f>
              <c:numCache>
                <c:formatCode>0.0</c:formatCode>
                <c:ptCount val="12"/>
                <c:pt idx="0">
                  <c:v>13.467098074638686</c:v>
                </c:pt>
                <c:pt idx="1">
                  <c:v>16.236409142314582</c:v>
                </c:pt>
                <c:pt idx="2">
                  <c:v>33.889441439470716</c:v>
                </c:pt>
                <c:pt idx="3">
                  <c:v>62.941163810327865</c:v>
                </c:pt>
                <c:pt idx="4">
                  <c:v>110.70837701266059</c:v>
                </c:pt>
                <c:pt idx="5">
                  <c:v>157.93862690881124</c:v>
                </c:pt>
                <c:pt idx="6">
                  <c:v>204.00134151462024</c:v>
                </c:pt>
                <c:pt idx="7">
                  <c:v>195.30871190375103</c:v>
                </c:pt>
                <c:pt idx="8">
                  <c:v>141.35978828191088</c:v>
                </c:pt>
                <c:pt idx="9">
                  <c:v>92.437963982840273</c:v>
                </c:pt>
                <c:pt idx="10">
                  <c:v>39.626816579739916</c:v>
                </c:pt>
                <c:pt idx="11">
                  <c:v>18.732129784050436</c:v>
                </c:pt>
              </c:numCache>
            </c:numRef>
          </c:val>
          <c:smooth val="0"/>
          <c:extLst>
            <c:ext xmlns:c16="http://schemas.microsoft.com/office/drawing/2014/chart" uri="{C3380CC4-5D6E-409C-BE32-E72D297353CC}">
              <c16:uniqueId val="{00000000-0D83-4B80-BCDD-56CD19196E8A}"/>
            </c:ext>
          </c:extLst>
        </c:ser>
        <c:ser>
          <c:idx val="1"/>
          <c:order val="1"/>
          <c:tx>
            <c:strRef>
              <c:f>'KOZAN WORD'!$A$7</c:f>
              <c:strCache>
                <c:ptCount val="1"/>
                <c:pt idx="0">
                  <c:v>Yağış</c:v>
                </c:pt>
              </c:strCache>
            </c:strRef>
          </c:tx>
          <c:spPr>
            <a:ln w="22225"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'KOZAN WORD'!$B$1:$M$1</c:f>
              <c:strCache>
                <c:ptCount val="12"/>
                <c:pt idx="0">
                  <c:v>O</c:v>
                </c:pt>
                <c:pt idx="1">
                  <c:v>Ş</c:v>
                </c:pt>
                <c:pt idx="2">
                  <c:v>M</c:v>
                </c:pt>
                <c:pt idx="3">
                  <c:v>N</c:v>
                </c:pt>
                <c:pt idx="4">
                  <c:v>M</c:v>
                </c:pt>
                <c:pt idx="5">
                  <c:v>H</c:v>
                </c:pt>
                <c:pt idx="6">
                  <c:v>T</c:v>
                </c:pt>
                <c:pt idx="7">
                  <c:v>A</c:v>
                </c:pt>
                <c:pt idx="8">
                  <c:v>E</c:v>
                </c:pt>
                <c:pt idx="9">
                  <c:v>E</c:v>
                </c:pt>
                <c:pt idx="10">
                  <c:v>K</c:v>
                </c:pt>
                <c:pt idx="11">
                  <c:v>A</c:v>
                </c:pt>
              </c:strCache>
            </c:strRef>
          </c:cat>
          <c:val>
            <c:numRef>
              <c:f>'KOZAN WORD'!$B$7:$M$7</c:f>
              <c:numCache>
                <c:formatCode>0.0</c:formatCode>
                <c:ptCount val="12"/>
                <c:pt idx="0">
                  <c:v>104.4</c:v>
                </c:pt>
                <c:pt idx="1">
                  <c:v>80</c:v>
                </c:pt>
                <c:pt idx="2">
                  <c:v>99.7</c:v>
                </c:pt>
                <c:pt idx="3">
                  <c:v>80.2</c:v>
                </c:pt>
                <c:pt idx="4">
                  <c:v>82.5</c:v>
                </c:pt>
                <c:pt idx="5">
                  <c:v>52.5</c:v>
                </c:pt>
                <c:pt idx="6">
                  <c:v>24</c:v>
                </c:pt>
                <c:pt idx="7">
                  <c:v>23.3</c:v>
                </c:pt>
                <c:pt idx="8">
                  <c:v>27.9</c:v>
                </c:pt>
                <c:pt idx="9">
                  <c:v>48.6</c:v>
                </c:pt>
                <c:pt idx="10">
                  <c:v>73.8</c:v>
                </c:pt>
                <c:pt idx="11">
                  <c:v>107.6</c:v>
                </c:pt>
              </c:numCache>
            </c:numRef>
          </c:val>
          <c:smooth val="0"/>
          <c:extLst>
            <c:ext xmlns:c16="http://schemas.microsoft.com/office/drawing/2014/chart" uri="{C3380CC4-5D6E-409C-BE32-E72D297353CC}">
              <c16:uniqueId val="{00000001-0D83-4B80-BCDD-56CD19196E8A}"/>
            </c:ext>
          </c:extLst>
        </c:ser>
        <c:dLbls>
          <c:dLblPos val="ctr"/>
          <c:showLegendKey val="0"/>
          <c:showVal val="1"/>
          <c:showCatName val="0"/>
          <c:showSerName val="0"/>
          <c:showPercent val="0"/>
          <c:showBubbleSize val="0"/>
        </c:dLbls>
        <c:marker val="1"/>
        <c:smooth val="0"/>
        <c:axId val="1210568032"/>
        <c:axId val="1210580096"/>
      </c:lineChart>
      <c:catAx>
        <c:axId val="1210568032"/>
        <c:scaling>
          <c:orientation val="minMax"/>
        </c:scaling>
        <c:delete val="0"/>
        <c:axPos val="b"/>
        <c:majorGridlines>
          <c:spPr>
            <a:ln w="12700">
              <a:solidFill>
                <a:schemeClr val="bg1">
                  <a:lumMod val="65000"/>
                </a:schemeClr>
              </a:solidFill>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tr-TR"/>
                  <a:t>AYLAR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tr-TR"/>
            </a:p>
          </c:txPr>
        </c:title>
        <c:numFmt formatCode="General" sourceLinked="1"/>
        <c:majorTickMark val="none"/>
        <c:minorTickMark val="none"/>
        <c:tickLblPos val="nextTo"/>
        <c:spPr>
          <a:solidFill>
            <a:schemeClr val="bg1"/>
          </a:solidFill>
          <a:ln w="127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tr-TR"/>
          </a:p>
        </c:txPr>
        <c:crossAx val="1210580096"/>
        <c:crosses val="autoZero"/>
        <c:auto val="1"/>
        <c:lblAlgn val="ctr"/>
        <c:lblOffset val="100"/>
        <c:noMultiLvlLbl val="0"/>
      </c:catAx>
      <c:valAx>
        <c:axId val="1210580096"/>
        <c:scaling>
          <c:orientation val="minMax"/>
          <c:max val="210"/>
          <c:min val="0"/>
        </c:scaling>
        <c:delete val="0"/>
        <c:axPos val="l"/>
        <c:majorGridlines>
          <c:spPr>
            <a:ln w="12700">
              <a:solidFill>
                <a:schemeClr val="bg1">
                  <a:lumMod val="50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tr-TR"/>
                  <a:t>YAĞIŞ (mm)</a:t>
                </a:r>
                <a:r>
                  <a:rPr lang="tr-TR" baseline="0"/>
                  <a:t> ve Etp (mm)</a:t>
                </a:r>
                <a:endParaRPr lang="tr-T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tr-TR"/>
            </a:p>
          </c:txPr>
        </c:title>
        <c:numFmt formatCode="0.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tr-TR"/>
          </a:p>
        </c:txPr>
        <c:crossAx val="1210568032"/>
        <c:crosses val="autoZero"/>
        <c:crossBetween val="between"/>
        <c:majorUnit val="20"/>
      </c:valAx>
      <c:spPr>
        <a:solidFill>
          <a:schemeClr val="bg1"/>
        </a:solidFill>
        <a:ln w="12700">
          <a:solidFill>
            <a:schemeClr val="tx1"/>
          </a:solid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tr-TR"/>
        </a:p>
      </c:txPr>
    </c:legend>
    <c:plotVisOnly val="1"/>
    <c:dispBlanksAs val="gap"/>
    <c:showDLblsOverMax val="0"/>
  </c:chart>
  <c:spPr>
    <a:solidFill>
      <a:schemeClr val="lt1"/>
    </a:solidFill>
    <a:ln w="12700" cap="flat" cmpd="sng" algn="ctr">
      <a:solidFill>
        <a:schemeClr val="tx1"/>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129541</xdr:colOff>
      <xdr:row>45</xdr:row>
      <xdr:rowOff>160021</xdr:rowOff>
    </xdr:from>
    <xdr:to>
      <xdr:col>3</xdr:col>
      <xdr:colOff>708661</xdr:colOff>
      <xdr:row>48</xdr:row>
      <xdr:rowOff>251879</xdr:rowOff>
    </xdr:to>
    <xdr:pic>
      <xdr:nvPicPr>
        <xdr:cNvPr id="2" name="Resim 1"/>
        <xdr:cNvPicPr>
          <a:picLocks noChangeAspect="1"/>
        </xdr:cNvPicPr>
      </xdr:nvPicPr>
      <xdr:blipFill>
        <a:blip xmlns:r="http://schemas.openxmlformats.org/officeDocument/2006/relationships" r:embed="rId1"/>
        <a:stretch>
          <a:fillRect/>
        </a:stretch>
      </xdr:blipFill>
      <xdr:spPr>
        <a:xfrm>
          <a:off x="3627121" y="12755881"/>
          <a:ext cx="1524000" cy="11586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129541</xdr:colOff>
      <xdr:row>45</xdr:row>
      <xdr:rowOff>160021</xdr:rowOff>
    </xdr:from>
    <xdr:to>
      <xdr:col>3</xdr:col>
      <xdr:colOff>708661</xdr:colOff>
      <xdr:row>52</xdr:row>
      <xdr:rowOff>38519</xdr:rowOff>
    </xdr:to>
    <xdr:pic>
      <xdr:nvPicPr>
        <xdr:cNvPr id="2" name="Resim 1"/>
        <xdr:cNvPicPr>
          <a:picLocks noChangeAspect="1"/>
        </xdr:cNvPicPr>
      </xdr:nvPicPr>
      <xdr:blipFill>
        <a:blip xmlns:r="http://schemas.openxmlformats.org/officeDocument/2006/relationships" r:embed="rId1"/>
        <a:stretch>
          <a:fillRect/>
        </a:stretch>
      </xdr:blipFill>
      <xdr:spPr>
        <a:xfrm>
          <a:off x="3627121" y="12915901"/>
          <a:ext cx="1524000" cy="1158658"/>
        </a:xfrm>
        <a:prstGeom prst="rect">
          <a:avLst/>
        </a:prstGeom>
      </xdr:spPr>
    </xdr:pic>
    <xdr:clientData/>
  </xdr:twoCellAnchor>
  <xdr:twoCellAnchor editAs="oneCell">
    <xdr:from>
      <xdr:col>15</xdr:col>
      <xdr:colOff>739141</xdr:colOff>
      <xdr:row>18</xdr:row>
      <xdr:rowOff>38101</xdr:rowOff>
    </xdr:from>
    <xdr:to>
      <xdr:col>16</xdr:col>
      <xdr:colOff>618835</xdr:colOff>
      <xdr:row>20</xdr:row>
      <xdr:rowOff>223795</xdr:rowOff>
    </xdr:to>
    <xdr:pic>
      <xdr:nvPicPr>
        <xdr:cNvPr id="3" name="Resim 2"/>
        <xdr:cNvPicPr>
          <a:picLocks noChangeAspect="1"/>
        </xdr:cNvPicPr>
      </xdr:nvPicPr>
      <xdr:blipFill>
        <a:blip xmlns:r="http://schemas.openxmlformats.org/officeDocument/2006/relationships" r:embed="rId2"/>
        <a:stretch>
          <a:fillRect/>
        </a:stretch>
      </xdr:blipFill>
      <xdr:spPr>
        <a:xfrm>
          <a:off x="16520161" y="5143501"/>
          <a:ext cx="1815174" cy="66575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396240</xdr:colOff>
      <xdr:row>45</xdr:row>
      <xdr:rowOff>175260</xdr:rowOff>
    </xdr:from>
    <xdr:to>
      <xdr:col>13</xdr:col>
      <xdr:colOff>213360</xdr:colOff>
      <xdr:row>76</xdr:row>
      <xdr:rowOff>144780</xdr:rowOff>
    </xdr:to>
    <xdr:graphicFrame macro="">
      <xdr:nvGraphicFramePr>
        <xdr:cNvPr id="3" name="Grafik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1661160</xdr:colOff>
      <xdr:row>16</xdr:row>
      <xdr:rowOff>99060</xdr:rowOff>
    </xdr:from>
    <xdr:to>
      <xdr:col>13</xdr:col>
      <xdr:colOff>518160</xdr:colOff>
      <xdr:row>36</xdr:row>
      <xdr:rowOff>38100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14"/>
  <sheetViews>
    <sheetView topLeftCell="A40" zoomScale="70" zoomScaleNormal="70" workbookViewId="0">
      <selection sqref="A1:XFD1048576"/>
    </sheetView>
  </sheetViews>
  <sheetFormatPr defaultRowHeight="14.4" x14ac:dyDescent="0.3"/>
  <cols>
    <col min="1" max="1" width="37.21875" customWidth="1"/>
    <col min="2" max="15" width="13.77734375" customWidth="1"/>
    <col min="16" max="16" width="28.21875" customWidth="1"/>
    <col min="17" max="17" width="18.21875" customWidth="1"/>
  </cols>
  <sheetData>
    <row r="1" spans="1:30" ht="25.05" customHeight="1" x14ac:dyDescent="0.3">
      <c r="A1" s="21" t="s">
        <v>56</v>
      </c>
      <c r="B1" s="6" t="s">
        <v>0</v>
      </c>
      <c r="C1" s="6" t="s">
        <v>1</v>
      </c>
      <c r="D1" s="6" t="s">
        <v>2</v>
      </c>
      <c r="E1" s="6" t="s">
        <v>3</v>
      </c>
      <c r="F1" s="6" t="s">
        <v>2</v>
      </c>
      <c r="G1" s="6" t="s">
        <v>4</v>
      </c>
      <c r="H1" s="6" t="s">
        <v>5</v>
      </c>
      <c r="I1" s="6" t="s">
        <v>6</v>
      </c>
      <c r="J1" s="6" t="s">
        <v>7</v>
      </c>
      <c r="K1" s="6" t="s">
        <v>7</v>
      </c>
      <c r="L1" s="6" t="s">
        <v>8</v>
      </c>
      <c r="M1" s="6" t="s">
        <v>6</v>
      </c>
      <c r="N1" s="7" t="s">
        <v>9</v>
      </c>
    </row>
    <row r="2" spans="1:30" ht="25.05" customHeight="1" x14ac:dyDescent="0.3">
      <c r="A2" s="22" t="s">
        <v>10</v>
      </c>
      <c r="B2" s="8">
        <v>9.9</v>
      </c>
      <c r="C2" s="9">
        <v>10.9</v>
      </c>
      <c r="D2" s="9">
        <v>13.9</v>
      </c>
      <c r="E2" s="9">
        <v>17.899999999999999</v>
      </c>
      <c r="F2" s="9">
        <v>22.1</v>
      </c>
      <c r="G2" s="9">
        <v>25.9</v>
      </c>
      <c r="H2" s="9">
        <v>28.9</v>
      </c>
      <c r="I2" s="9">
        <v>29.2</v>
      </c>
      <c r="J2" s="9">
        <v>26.7</v>
      </c>
      <c r="K2" s="9">
        <v>22.6</v>
      </c>
      <c r="L2" s="9">
        <v>16.3</v>
      </c>
      <c r="M2" s="9">
        <v>11.7</v>
      </c>
      <c r="N2" s="31">
        <f>AVERAGE(B2:M2)</f>
        <v>19.666666666666664</v>
      </c>
      <c r="P2" s="1" t="s">
        <v>11</v>
      </c>
      <c r="Q2" s="2">
        <f>SUM(B3:M3)</f>
        <v>99.978391961937177</v>
      </c>
      <c r="R2" s="117" t="s">
        <v>32</v>
      </c>
      <c r="S2" s="117"/>
      <c r="T2" s="117"/>
      <c r="U2" s="117"/>
      <c r="V2" s="117"/>
      <c r="W2" s="117"/>
      <c r="X2" s="117"/>
      <c r="Y2" s="117"/>
      <c r="Z2" s="117"/>
      <c r="AA2" s="117"/>
      <c r="AB2" s="117"/>
      <c r="AC2" s="117"/>
    </row>
    <row r="3" spans="1:30" ht="25.05" customHeight="1" x14ac:dyDescent="0.3">
      <c r="A3" s="22" t="s">
        <v>12</v>
      </c>
      <c r="B3" s="10">
        <f>(B2/5)^1.514</f>
        <v>2.8128793062611521</v>
      </c>
      <c r="C3" s="10">
        <f t="shared" ref="C3:M3" si="0">(C2/5)^1.514</f>
        <v>3.25404182939713</v>
      </c>
      <c r="D3" s="10">
        <f t="shared" si="0"/>
        <v>4.7020129513184337</v>
      </c>
      <c r="E3" s="10">
        <f t="shared" si="0"/>
        <v>6.8957086257667397</v>
      </c>
      <c r="F3" s="10">
        <f t="shared" si="0"/>
        <v>9.487882896261981</v>
      </c>
      <c r="G3" s="10">
        <f t="shared" si="0"/>
        <v>12.064109106456289</v>
      </c>
      <c r="H3" s="10">
        <f t="shared" si="0"/>
        <v>14.24159880885369</v>
      </c>
      <c r="I3" s="10">
        <f t="shared" si="0"/>
        <v>14.466019644680422</v>
      </c>
      <c r="J3" s="10">
        <f t="shared" si="0"/>
        <v>12.632737245830853</v>
      </c>
      <c r="K3" s="10">
        <f t="shared" si="0"/>
        <v>9.8147578762764844</v>
      </c>
      <c r="L3" s="10">
        <f t="shared" si="0"/>
        <v>5.9842736733141182</v>
      </c>
      <c r="M3" s="10">
        <f t="shared" si="0"/>
        <v>3.6223699975198791</v>
      </c>
      <c r="N3" s="32">
        <f>SUM(B3:M3)</f>
        <v>99.978391961937177</v>
      </c>
      <c r="P3" s="3" t="s">
        <v>13</v>
      </c>
      <c r="Q3" s="4">
        <f>6.75*10^-7*N3^3-7.71*10^-5*N3^2+1.792*10^-2*N3+0.49239</f>
        <v>2.1878984756774371</v>
      </c>
      <c r="R3" s="117" t="s">
        <v>31</v>
      </c>
      <c r="S3" s="117"/>
      <c r="T3" s="117"/>
      <c r="U3" s="117"/>
      <c r="V3" s="117"/>
      <c r="W3" s="117"/>
      <c r="X3" s="117"/>
      <c r="Y3" s="117"/>
      <c r="Z3" s="117"/>
      <c r="AA3" s="117"/>
      <c r="AB3" s="117"/>
      <c r="AC3" s="117"/>
      <c r="AD3" s="117"/>
    </row>
    <row r="4" spans="1:30" ht="25.05" customHeight="1" x14ac:dyDescent="0.3">
      <c r="A4" s="23" t="s">
        <v>28</v>
      </c>
      <c r="B4" s="10">
        <f>16*(10*B2/$Q$2)^$Q$3</f>
        <v>15.659416365858938</v>
      </c>
      <c r="C4" s="10">
        <f>16*(10*C2/$Q$2)^$Q$3</f>
        <v>19.329058502755455</v>
      </c>
      <c r="D4" s="10">
        <f>16*(10*D2/$Q$2)^$Q$3</f>
        <v>32.902370329583221</v>
      </c>
      <c r="E4" s="10">
        <f t="shared" ref="E4" si="1">16*(10*E2/$Q$2)^$Q$3</f>
        <v>57.219239827570782</v>
      </c>
      <c r="F4" s="10">
        <f t="shared" ref="F4:M4" si="2">16*(10*F2/$Q$2)^$Q$3</f>
        <v>90.744571321852945</v>
      </c>
      <c r="G4" s="10">
        <f t="shared" si="2"/>
        <v>128.40538773074084</v>
      </c>
      <c r="H4" s="10">
        <f t="shared" si="2"/>
        <v>163.20107321169618</v>
      </c>
      <c r="I4" s="10">
        <f t="shared" si="2"/>
        <v>166.93052299465901</v>
      </c>
      <c r="J4" s="10">
        <f t="shared" si="2"/>
        <v>137.24251289505909</v>
      </c>
      <c r="K4" s="10">
        <f t="shared" si="2"/>
        <v>95.296870085402347</v>
      </c>
      <c r="L4" s="10">
        <f t="shared" si="2"/>
        <v>46.619784211458729</v>
      </c>
      <c r="M4" s="10">
        <f t="shared" si="2"/>
        <v>22.568831065121007</v>
      </c>
      <c r="N4" s="27"/>
      <c r="P4" t="s">
        <v>30</v>
      </c>
    </row>
    <row r="5" spans="1:30" ht="25.05" customHeight="1" x14ac:dyDescent="0.3">
      <c r="A5" s="22" t="s">
        <v>59</v>
      </c>
      <c r="B5" s="29">
        <v>0.86</v>
      </c>
      <c r="C5" s="29">
        <v>0.84</v>
      </c>
      <c r="D5" s="29">
        <v>1.03</v>
      </c>
      <c r="E5" s="30">
        <v>1.1000000000000001</v>
      </c>
      <c r="F5" s="30">
        <v>1.22</v>
      </c>
      <c r="G5" s="30">
        <v>1.23</v>
      </c>
      <c r="H5" s="30">
        <v>1.25</v>
      </c>
      <c r="I5" s="30">
        <v>1.17</v>
      </c>
      <c r="J5" s="30">
        <v>1.03</v>
      </c>
      <c r="K5" s="30">
        <v>0.97</v>
      </c>
      <c r="L5" s="30">
        <v>0.85</v>
      </c>
      <c r="M5" s="30">
        <v>0.83</v>
      </c>
      <c r="N5" s="27"/>
      <c r="P5" t="s">
        <v>29</v>
      </c>
    </row>
    <row r="6" spans="1:30" ht="25.05" customHeight="1" x14ac:dyDescent="0.3">
      <c r="A6" s="23" t="s">
        <v>26</v>
      </c>
      <c r="B6" s="11">
        <f>B4*B5</f>
        <v>13.467098074638686</v>
      </c>
      <c r="C6" s="11">
        <f>C4*C5</f>
        <v>16.236409142314582</v>
      </c>
      <c r="D6" s="11">
        <f t="shared" ref="D6:M6" si="3">D4*D5</f>
        <v>33.889441439470716</v>
      </c>
      <c r="E6" s="11">
        <f t="shared" si="3"/>
        <v>62.941163810327865</v>
      </c>
      <c r="F6" s="10">
        <f t="shared" si="3"/>
        <v>110.70837701266059</v>
      </c>
      <c r="G6" s="10">
        <f t="shared" si="3"/>
        <v>157.93862690881124</v>
      </c>
      <c r="H6" s="10">
        <f t="shared" si="3"/>
        <v>204.00134151462024</v>
      </c>
      <c r="I6" s="10">
        <f t="shared" si="3"/>
        <v>195.30871190375103</v>
      </c>
      <c r="J6" s="10">
        <f t="shared" si="3"/>
        <v>141.35978828191088</v>
      </c>
      <c r="K6" s="10">
        <f t="shared" si="3"/>
        <v>92.437963982840273</v>
      </c>
      <c r="L6" s="11">
        <f t="shared" si="3"/>
        <v>39.626816579739916</v>
      </c>
      <c r="M6" s="11">
        <f t="shared" si="3"/>
        <v>18.732129784050436</v>
      </c>
      <c r="N6" s="27">
        <f>SUM(B6:M6)</f>
        <v>1086.6478684351364</v>
      </c>
      <c r="P6" t="s">
        <v>33</v>
      </c>
    </row>
    <row r="7" spans="1:30" ht="25.05" customHeight="1" x14ac:dyDescent="0.3">
      <c r="A7" s="22" t="s">
        <v>14</v>
      </c>
      <c r="B7" s="9">
        <v>104.4</v>
      </c>
      <c r="C7" s="9">
        <v>80</v>
      </c>
      <c r="D7" s="9">
        <v>99.7</v>
      </c>
      <c r="E7" s="9">
        <v>80.2</v>
      </c>
      <c r="F7" s="9">
        <v>82.5</v>
      </c>
      <c r="G7" s="9">
        <v>52.5</v>
      </c>
      <c r="H7" s="12">
        <v>24</v>
      </c>
      <c r="I7" s="12">
        <v>23.3</v>
      </c>
      <c r="J7" s="12">
        <v>27.9</v>
      </c>
      <c r="K7" s="12">
        <v>48.6</v>
      </c>
      <c r="L7" s="9">
        <v>73.8</v>
      </c>
      <c r="M7" s="9">
        <v>107.6</v>
      </c>
      <c r="N7" s="33">
        <f>SUM(B7:M7)</f>
        <v>804.49999999999989</v>
      </c>
      <c r="P7" t="s">
        <v>34</v>
      </c>
    </row>
    <row r="8" spans="1:30" ht="25.05" customHeight="1" x14ac:dyDescent="0.3">
      <c r="A8" s="22" t="s">
        <v>57</v>
      </c>
      <c r="B8" s="15">
        <v>100</v>
      </c>
      <c r="C8" s="15">
        <f>IF((C7-C6)+B8&gt;100, 100, (C7-C6)+B8)</f>
        <v>100</v>
      </c>
      <c r="D8" s="15">
        <f t="shared" ref="D8" si="4">IF((D7-D6)+C8&gt;100, 100, (D7-D6)+C8)</f>
        <v>100</v>
      </c>
      <c r="E8" s="15">
        <f>IF((E7-E6)+D8&gt;100, 100, (E7-E6)+D8)</f>
        <v>100</v>
      </c>
      <c r="F8" s="15">
        <f>IF((F7-F6)+E8&gt;100, 100, (F7-F6)+E8)</f>
        <v>71.791622987339409</v>
      </c>
      <c r="G8" s="15">
        <v>0</v>
      </c>
      <c r="H8" s="15">
        <v>0</v>
      </c>
      <c r="I8" s="15">
        <v>0</v>
      </c>
      <c r="J8" s="15">
        <v>0</v>
      </c>
      <c r="K8" s="15">
        <v>0</v>
      </c>
      <c r="L8" s="15">
        <f>L9</f>
        <v>34.173183420260081</v>
      </c>
      <c r="M8" s="15">
        <f>IF((M7-M6+L9)&gt;100, 100, (M7-M6+L9))</f>
        <v>100</v>
      </c>
      <c r="N8" s="34"/>
      <c r="P8" t="s">
        <v>16</v>
      </c>
    </row>
    <row r="9" spans="1:30" ht="25.05" customHeight="1" x14ac:dyDescent="0.3">
      <c r="A9" s="23" t="s">
        <v>58</v>
      </c>
      <c r="B9" s="13">
        <f>B8-M8</f>
        <v>0</v>
      </c>
      <c r="C9" s="13">
        <f>C8-B8</f>
        <v>0</v>
      </c>
      <c r="D9" s="13">
        <v>0</v>
      </c>
      <c r="E9" s="13">
        <v>0</v>
      </c>
      <c r="F9" s="13">
        <f>F7-F6</f>
        <v>-28.208377012660591</v>
      </c>
      <c r="G9" s="14">
        <f>F8</f>
        <v>71.791622987339409</v>
      </c>
      <c r="H9" s="14">
        <v>0</v>
      </c>
      <c r="I9" s="14">
        <v>0</v>
      </c>
      <c r="J9" s="14">
        <v>0</v>
      </c>
      <c r="K9" s="13">
        <v>0</v>
      </c>
      <c r="L9" s="13">
        <f>L7-L6</f>
        <v>34.173183420260081</v>
      </c>
      <c r="M9" s="35">
        <f>M8-L8</f>
        <v>65.826816579739926</v>
      </c>
      <c r="N9" s="34"/>
      <c r="P9" t="s">
        <v>15</v>
      </c>
    </row>
    <row r="10" spans="1:30" ht="25.05" customHeight="1" x14ac:dyDescent="0.3">
      <c r="A10" s="22" t="s">
        <v>17</v>
      </c>
      <c r="B10" s="16">
        <f>IF(B7&gt;B6, B6,)</f>
        <v>13.467098074638686</v>
      </c>
      <c r="C10" s="16">
        <f>IF(C7&gt;C6, C6,)</f>
        <v>16.236409142314582</v>
      </c>
      <c r="D10" s="16">
        <f>IF(D7&gt;D6, D6,)</f>
        <v>33.889441439470716</v>
      </c>
      <c r="E10" s="16">
        <f>IF(E7&gt;E6, E6,)</f>
        <v>62.941163810327865</v>
      </c>
      <c r="F10" s="17">
        <v>110.7</v>
      </c>
      <c r="G10" s="17">
        <f>G9+G7</f>
        <v>124.29162298733941</v>
      </c>
      <c r="H10" s="18">
        <f>IF(H9=0,H7)</f>
        <v>24</v>
      </c>
      <c r="I10" s="18">
        <f t="shared" ref="I10:K10" si="5">IF(I9=0,I7)</f>
        <v>23.3</v>
      </c>
      <c r="J10" s="18">
        <f t="shared" si="5"/>
        <v>27.9</v>
      </c>
      <c r="K10" s="18">
        <f t="shared" si="5"/>
        <v>48.6</v>
      </c>
      <c r="L10" s="16">
        <f>IF(L7&gt;L6, L6,)</f>
        <v>39.626816579739916</v>
      </c>
      <c r="M10" s="16">
        <f>IF(M7&gt;M6, M6,)</f>
        <v>18.732129784050436</v>
      </c>
      <c r="N10" s="36">
        <f>SUM(B10:M10)</f>
        <v>543.68468181788171</v>
      </c>
      <c r="P10" s="126" t="s">
        <v>27</v>
      </c>
      <c r="Q10" s="117"/>
      <c r="R10" s="117"/>
      <c r="S10" s="117"/>
      <c r="T10" s="117"/>
      <c r="U10" s="117"/>
      <c r="V10" s="117"/>
    </row>
    <row r="11" spans="1:30" ht="25.05" customHeight="1" x14ac:dyDescent="0.3">
      <c r="A11" s="22" t="s">
        <v>18</v>
      </c>
      <c r="B11" s="19">
        <f t="shared" ref="B11:K11" si="6">IF(B7&gt;B6,(B7-B6),0)</f>
        <v>90.932901925361321</v>
      </c>
      <c r="C11" s="19">
        <f t="shared" si="6"/>
        <v>63.763590857685415</v>
      </c>
      <c r="D11" s="19">
        <f t="shared" si="6"/>
        <v>65.810558560529287</v>
      </c>
      <c r="E11" s="19">
        <f t="shared" si="6"/>
        <v>17.258836189672138</v>
      </c>
      <c r="F11" s="19">
        <f t="shared" si="6"/>
        <v>0</v>
      </c>
      <c r="G11" s="19">
        <f t="shared" si="6"/>
        <v>0</v>
      </c>
      <c r="H11" s="19">
        <f t="shared" si="6"/>
        <v>0</v>
      </c>
      <c r="I11" s="19">
        <f t="shared" si="6"/>
        <v>0</v>
      </c>
      <c r="J11" s="19">
        <f t="shared" si="6"/>
        <v>0</v>
      </c>
      <c r="K11" s="19">
        <f t="shared" si="6"/>
        <v>0</v>
      </c>
      <c r="L11" s="19">
        <v>0</v>
      </c>
      <c r="M11" s="20">
        <v>23.2</v>
      </c>
      <c r="N11" s="37">
        <f>SUM(B11:M11)</f>
        <v>260.96588753324812</v>
      </c>
      <c r="P11" s="126" t="s">
        <v>19</v>
      </c>
      <c r="Q11" s="126"/>
      <c r="R11" s="126"/>
      <c r="S11" s="126"/>
      <c r="T11" s="126"/>
      <c r="U11" s="126"/>
      <c r="V11" s="126"/>
      <c r="W11" s="126"/>
    </row>
    <row r="12" spans="1:30" ht="25.05" customHeight="1" x14ac:dyDescent="0.3">
      <c r="A12" s="22" t="s">
        <v>20</v>
      </c>
      <c r="B12" s="27">
        <f>B6-B10</f>
        <v>0</v>
      </c>
      <c r="C12" s="27">
        <f t="shared" ref="C12:M12" si="7">C6-C10</f>
        <v>0</v>
      </c>
      <c r="D12" s="27">
        <f t="shared" si="7"/>
        <v>0</v>
      </c>
      <c r="E12" s="27">
        <f t="shared" si="7"/>
        <v>0</v>
      </c>
      <c r="F12" s="27">
        <f t="shared" si="7"/>
        <v>8.3770126605884343E-3</v>
      </c>
      <c r="G12" s="27">
        <f t="shared" si="7"/>
        <v>33.647003921471835</v>
      </c>
      <c r="H12" s="27">
        <f t="shared" si="7"/>
        <v>180.00134151462024</v>
      </c>
      <c r="I12" s="27">
        <f t="shared" si="7"/>
        <v>172.00871190375102</v>
      </c>
      <c r="J12" s="27">
        <f t="shared" si="7"/>
        <v>113.45978828191087</v>
      </c>
      <c r="K12" s="27">
        <f t="shared" si="7"/>
        <v>43.837963982840272</v>
      </c>
      <c r="L12" s="27">
        <f t="shared" si="7"/>
        <v>0</v>
      </c>
      <c r="M12" s="27">
        <f t="shared" si="7"/>
        <v>0</v>
      </c>
      <c r="N12" s="38">
        <f>SUM(B12:M12)</f>
        <v>542.96318661725479</v>
      </c>
      <c r="P12" t="s">
        <v>21</v>
      </c>
    </row>
    <row r="13" spans="1:30" ht="25.05" customHeight="1" x14ac:dyDescent="0.3">
      <c r="A13" s="22" t="s">
        <v>22</v>
      </c>
      <c r="B13" s="10">
        <f>B11/2</f>
        <v>45.466450962680661</v>
      </c>
      <c r="C13" s="10">
        <f>(B13+C11)/2</f>
        <v>54.615020910183034</v>
      </c>
      <c r="D13" s="10">
        <f>(C13+D11)/2</f>
        <v>60.212789735356161</v>
      </c>
      <c r="E13" s="10">
        <f>(D13+E11)/2</f>
        <v>38.735812962514146</v>
      </c>
      <c r="F13" s="10">
        <f>(E13+F11)/2</f>
        <v>19.367906481257073</v>
      </c>
      <c r="G13" s="10">
        <f t="shared" ref="G13:M13" si="8">(F13+G11)/2</f>
        <v>9.6839532406285365</v>
      </c>
      <c r="H13" s="10">
        <f t="shared" si="8"/>
        <v>4.8419766203142682</v>
      </c>
      <c r="I13" s="10">
        <f t="shared" si="8"/>
        <v>2.4209883101571341</v>
      </c>
      <c r="J13" s="10">
        <f t="shared" si="8"/>
        <v>1.2104941550785671</v>
      </c>
      <c r="K13" s="10">
        <f t="shared" si="8"/>
        <v>0.60524707753928353</v>
      </c>
      <c r="L13" s="10">
        <f t="shared" si="8"/>
        <v>0.30262353876964176</v>
      </c>
      <c r="M13" s="10">
        <f t="shared" si="8"/>
        <v>11.75131176938482</v>
      </c>
      <c r="N13" s="38">
        <f>SUM(B13:M13)</f>
        <v>249.21457576386328</v>
      </c>
      <c r="P13" t="s">
        <v>23</v>
      </c>
    </row>
    <row r="14" spans="1:30" ht="25.05" customHeight="1" x14ac:dyDescent="0.3">
      <c r="A14" s="22" t="s">
        <v>24</v>
      </c>
      <c r="B14" s="10">
        <f>(B7-B6)/B6</f>
        <v>6.7522269030331534</v>
      </c>
      <c r="C14" s="10">
        <f t="shared" ref="C14:M14" si="9">(C7-C6)/C6</f>
        <v>3.9271978365898454</v>
      </c>
      <c r="D14" s="10">
        <f t="shared" si="9"/>
        <v>1.9419192457943655</v>
      </c>
      <c r="E14" s="10">
        <f t="shared" si="9"/>
        <v>0.27420586377591222</v>
      </c>
      <c r="F14" s="10">
        <f t="shared" si="9"/>
        <v>-0.25479893910317813</v>
      </c>
      <c r="G14" s="10">
        <f t="shared" si="9"/>
        <v>-0.6675923994811489</v>
      </c>
      <c r="H14" s="10">
        <f t="shared" si="9"/>
        <v>-0.88235371482456659</v>
      </c>
      <c r="I14" s="10">
        <f t="shared" si="9"/>
        <v>-0.88070168620290556</v>
      </c>
      <c r="J14" s="10">
        <f t="shared" si="9"/>
        <v>-0.80263128334374967</v>
      </c>
      <c r="K14" s="10">
        <f t="shared" si="9"/>
        <v>-0.47424198991421029</v>
      </c>
      <c r="L14" s="10">
        <f t="shared" si="9"/>
        <v>0.86237518856692297</v>
      </c>
      <c r="M14" s="10">
        <f t="shared" si="9"/>
        <v>4.7441412824086102</v>
      </c>
      <c r="N14" s="38"/>
      <c r="P14" t="s">
        <v>25</v>
      </c>
    </row>
    <row r="17" spans="1:14" x14ac:dyDescent="0.3">
      <c r="K17" t="s">
        <v>135</v>
      </c>
      <c r="L17">
        <f>(G6+H6+I6)/N6</f>
        <v>0.51281440521267208</v>
      </c>
    </row>
    <row r="19" spans="1:14" ht="18" x14ac:dyDescent="0.35">
      <c r="A19" s="119"/>
      <c r="B19" s="120"/>
      <c r="C19" s="120"/>
      <c r="D19" s="120"/>
      <c r="E19" s="120"/>
      <c r="F19" s="120"/>
      <c r="G19" s="120"/>
      <c r="H19" s="25"/>
    </row>
    <row r="20" spans="1:14" ht="19.95" customHeight="1" x14ac:dyDescent="0.3">
      <c r="A20" s="123" t="s">
        <v>60</v>
      </c>
      <c r="B20" s="123"/>
      <c r="C20" s="123"/>
      <c r="D20" s="123"/>
      <c r="E20" s="25"/>
      <c r="F20" s="48" t="s">
        <v>69</v>
      </c>
      <c r="G20" s="49" t="s">
        <v>63</v>
      </c>
      <c r="H20" s="48" t="s">
        <v>61</v>
      </c>
      <c r="I20" s="124" t="s">
        <v>70</v>
      </c>
      <c r="J20" s="124"/>
      <c r="K20" s="24"/>
      <c r="L20" s="24"/>
      <c r="M20" s="24"/>
    </row>
    <row r="21" spans="1:14" ht="19.95" customHeight="1" x14ac:dyDescent="0.3">
      <c r="A21" s="123"/>
      <c r="B21" s="123"/>
      <c r="C21" s="123"/>
      <c r="D21" s="123"/>
      <c r="E21" s="25"/>
      <c r="F21" s="50" t="s">
        <v>35</v>
      </c>
      <c r="G21" s="49" t="s">
        <v>64</v>
      </c>
      <c r="H21" s="48" t="s">
        <v>6</v>
      </c>
      <c r="I21" s="124" t="s">
        <v>137</v>
      </c>
      <c r="J21" s="124"/>
      <c r="K21" s="24"/>
      <c r="L21" s="24"/>
      <c r="M21" s="24"/>
    </row>
    <row r="22" spans="1:14" ht="19.95" customHeight="1" x14ac:dyDescent="0.3">
      <c r="A22" s="123"/>
      <c r="B22" s="123"/>
      <c r="C22" s="123"/>
      <c r="D22" s="123"/>
      <c r="E22" s="25"/>
      <c r="F22" s="48" t="s">
        <v>49</v>
      </c>
      <c r="G22" s="49" t="s">
        <v>62</v>
      </c>
      <c r="H22" s="48" t="s">
        <v>43</v>
      </c>
      <c r="I22" s="124"/>
      <c r="J22" s="124"/>
      <c r="K22" s="24"/>
      <c r="L22" s="24"/>
      <c r="M22" s="24"/>
    </row>
    <row r="23" spans="1:14" ht="19.95" customHeight="1" x14ac:dyDescent="0.3">
      <c r="A23" s="123"/>
      <c r="B23" s="123"/>
      <c r="C23" s="123"/>
      <c r="D23" s="123"/>
      <c r="E23" s="25"/>
      <c r="F23" s="48" t="s">
        <v>36</v>
      </c>
      <c r="G23" s="49" t="s">
        <v>62</v>
      </c>
      <c r="H23" s="48" t="s">
        <v>44</v>
      </c>
      <c r="I23" s="124"/>
      <c r="J23" s="124"/>
      <c r="K23" s="24"/>
      <c r="L23" s="121" t="s">
        <v>51</v>
      </c>
      <c r="M23" s="121"/>
      <c r="N23" s="28" t="s">
        <v>52</v>
      </c>
    </row>
    <row r="24" spans="1:14" ht="19.95" customHeight="1" x14ac:dyDescent="0.3">
      <c r="A24" s="123"/>
      <c r="B24" s="123"/>
      <c r="C24" s="123"/>
      <c r="D24" s="123"/>
      <c r="E24" s="25"/>
      <c r="F24" s="48" t="s">
        <v>37</v>
      </c>
      <c r="G24" s="49" t="s">
        <v>62</v>
      </c>
      <c r="H24" s="48" t="s">
        <v>45</v>
      </c>
      <c r="I24" s="124"/>
      <c r="J24" s="124"/>
      <c r="K24" s="24"/>
      <c r="L24" s="122" t="s">
        <v>53</v>
      </c>
      <c r="M24" s="122"/>
      <c r="N24" s="47">
        <f>((100*N11)-(60*N12))/N6</f>
        <v>-5.9643999054118115</v>
      </c>
    </row>
    <row r="25" spans="1:14" ht="19.95" customHeight="1" x14ac:dyDescent="0.3">
      <c r="A25" s="123"/>
      <c r="B25" s="123"/>
      <c r="C25" s="123"/>
      <c r="D25" s="123"/>
      <c r="E25" s="25"/>
      <c r="F25" s="48" t="s">
        <v>38</v>
      </c>
      <c r="G25" s="48" t="s">
        <v>62</v>
      </c>
      <c r="H25" s="48" t="s">
        <v>46</v>
      </c>
      <c r="I25" s="124"/>
      <c r="J25" s="124"/>
      <c r="K25" s="24"/>
      <c r="L25" s="24"/>
      <c r="M25" s="24"/>
      <c r="N25" s="26" t="s">
        <v>48</v>
      </c>
    </row>
    <row r="26" spans="1:14" ht="19.95" customHeight="1" x14ac:dyDescent="0.3">
      <c r="A26" s="123"/>
      <c r="B26" s="123"/>
      <c r="C26" s="123"/>
      <c r="D26" s="123"/>
      <c r="E26" s="25"/>
      <c r="F26" s="48" t="s">
        <v>39</v>
      </c>
      <c r="G26" s="48" t="s">
        <v>65</v>
      </c>
      <c r="H26" s="48" t="s">
        <v>47</v>
      </c>
      <c r="I26" s="124"/>
      <c r="J26" s="124"/>
    </row>
    <row r="27" spans="1:14" ht="19.95" customHeight="1" x14ac:dyDescent="0.3">
      <c r="A27" s="123"/>
      <c r="B27" s="123"/>
      <c r="C27" s="123"/>
      <c r="D27" s="123"/>
      <c r="E27" s="25"/>
      <c r="F27" s="51" t="s">
        <v>40</v>
      </c>
      <c r="G27" s="51" t="s">
        <v>66</v>
      </c>
      <c r="H27" s="51" t="s">
        <v>48</v>
      </c>
      <c r="I27" s="125" t="s">
        <v>48</v>
      </c>
      <c r="J27" s="125"/>
      <c r="N27" t="s">
        <v>54</v>
      </c>
    </row>
    <row r="28" spans="1:14" ht="19.95" customHeight="1" x14ac:dyDescent="0.3">
      <c r="A28" s="123"/>
      <c r="B28" s="123"/>
      <c r="C28" s="123"/>
      <c r="D28" s="123"/>
      <c r="E28" s="25"/>
      <c r="F28" s="48" t="s">
        <v>50</v>
      </c>
      <c r="G28" s="48" t="s">
        <v>67</v>
      </c>
      <c r="H28" s="48" t="s">
        <v>42</v>
      </c>
      <c r="I28" s="125"/>
      <c r="J28" s="125"/>
    </row>
    <row r="29" spans="1:14" ht="19.95" customHeight="1" x14ac:dyDescent="0.3">
      <c r="A29" s="25"/>
      <c r="B29" s="25"/>
      <c r="C29" s="25"/>
      <c r="D29" s="25"/>
      <c r="E29" s="25"/>
      <c r="F29" s="48" t="s">
        <v>41</v>
      </c>
      <c r="G29" s="48" t="s">
        <v>68</v>
      </c>
      <c r="H29" s="48" t="s">
        <v>7</v>
      </c>
      <c r="I29" s="125"/>
      <c r="J29" s="125"/>
    </row>
    <row r="30" spans="1:14" ht="19.95" customHeight="1" x14ac:dyDescent="0.3">
      <c r="A30" s="25"/>
      <c r="B30" s="25"/>
      <c r="C30" s="25"/>
      <c r="D30" s="25"/>
      <c r="E30" s="25"/>
      <c r="F30" s="25"/>
      <c r="G30" s="25"/>
      <c r="H30" s="25"/>
    </row>
    <row r="31" spans="1:14" ht="19.95" customHeight="1" thickBot="1" x14ac:dyDescent="0.35">
      <c r="A31" s="25"/>
      <c r="B31" s="25"/>
      <c r="C31" s="25"/>
      <c r="D31" s="25"/>
      <c r="E31" s="25"/>
      <c r="F31" s="25"/>
      <c r="G31" s="25"/>
      <c r="H31" s="25"/>
    </row>
    <row r="32" spans="1:14" ht="39" customHeight="1" thickBot="1" x14ac:dyDescent="0.35">
      <c r="A32" s="25"/>
      <c r="B32" s="25"/>
      <c r="C32" s="25"/>
      <c r="D32" s="25"/>
      <c r="E32" s="25"/>
      <c r="F32" s="52" t="s">
        <v>72</v>
      </c>
      <c r="G32" s="53" t="s">
        <v>61</v>
      </c>
      <c r="H32" s="127" t="s">
        <v>63</v>
      </c>
      <c r="I32" s="128"/>
    </row>
    <row r="33" spans="3:13" ht="24" customHeight="1" x14ac:dyDescent="0.3">
      <c r="F33" s="54" t="s">
        <v>73</v>
      </c>
      <c r="G33" s="54" t="s">
        <v>74</v>
      </c>
      <c r="H33" s="129" t="s">
        <v>75</v>
      </c>
      <c r="I33" s="129"/>
    </row>
    <row r="34" spans="3:13" ht="24" customHeight="1" x14ac:dyDescent="0.3">
      <c r="F34" s="56" t="s">
        <v>76</v>
      </c>
      <c r="G34" s="56" t="s">
        <v>77</v>
      </c>
      <c r="H34" s="130" t="s">
        <v>78</v>
      </c>
      <c r="I34" s="130"/>
    </row>
    <row r="35" spans="3:13" ht="24" customHeight="1" x14ac:dyDescent="0.3">
      <c r="F35" s="55" t="s">
        <v>79</v>
      </c>
      <c r="G35" s="55" t="s">
        <v>80</v>
      </c>
      <c r="H35" s="115" t="s">
        <v>81</v>
      </c>
      <c r="I35" s="115"/>
    </row>
    <row r="36" spans="3:13" ht="24" customHeight="1" x14ac:dyDescent="0.3">
      <c r="F36" s="55" t="s">
        <v>82</v>
      </c>
      <c r="G36" s="55" t="s">
        <v>83</v>
      </c>
      <c r="H36" s="115" t="s">
        <v>84</v>
      </c>
      <c r="I36" s="115"/>
    </row>
    <row r="37" spans="3:13" ht="24" customHeight="1" x14ac:dyDescent="0.3">
      <c r="F37" s="55" t="s">
        <v>85</v>
      </c>
      <c r="G37" s="55" t="s">
        <v>86</v>
      </c>
      <c r="H37" s="115" t="s">
        <v>87</v>
      </c>
      <c r="I37" s="115"/>
    </row>
    <row r="38" spans="3:13" ht="24" customHeight="1" x14ac:dyDescent="0.3">
      <c r="F38" s="55" t="s">
        <v>88</v>
      </c>
      <c r="G38" s="55" t="s">
        <v>89</v>
      </c>
      <c r="H38" s="115" t="s">
        <v>90</v>
      </c>
      <c r="I38" s="115"/>
    </row>
    <row r="39" spans="3:13" ht="24" customHeight="1" x14ac:dyDescent="0.3">
      <c r="F39" s="55" t="s">
        <v>91</v>
      </c>
      <c r="G39" s="55" t="s">
        <v>92</v>
      </c>
      <c r="H39" s="115" t="s">
        <v>93</v>
      </c>
      <c r="I39" s="115"/>
    </row>
    <row r="40" spans="3:13" ht="24" customHeight="1" x14ac:dyDescent="0.3">
      <c r="F40" s="55" t="s">
        <v>94</v>
      </c>
      <c r="G40" s="55" t="s">
        <v>95</v>
      </c>
      <c r="H40" s="115" t="s">
        <v>96</v>
      </c>
      <c r="I40" s="115"/>
    </row>
    <row r="41" spans="3:13" ht="24" customHeight="1" x14ac:dyDescent="0.3">
      <c r="F41" s="55" t="s">
        <v>97</v>
      </c>
      <c r="G41" s="55" t="s">
        <v>98</v>
      </c>
      <c r="H41" s="115" t="s">
        <v>99</v>
      </c>
      <c r="I41" s="115"/>
    </row>
    <row r="42" spans="3:13" ht="19.95" customHeight="1" x14ac:dyDescent="0.3"/>
    <row r="43" spans="3:13" ht="24" customHeight="1" x14ac:dyDescent="0.3"/>
    <row r="44" spans="3:13" ht="24" customHeight="1" x14ac:dyDescent="0.3"/>
    <row r="45" spans="3:13" ht="24" customHeight="1" thickBot="1" x14ac:dyDescent="0.35">
      <c r="C45" s="117" t="s">
        <v>100</v>
      </c>
      <c r="D45" s="117"/>
      <c r="E45" s="58">
        <f>(100*N11)/N6</f>
        <v>24.015681170852595</v>
      </c>
    </row>
    <row r="46" spans="3:13" ht="36" customHeight="1" x14ac:dyDescent="0.3">
      <c r="F46" s="59" t="s">
        <v>101</v>
      </c>
      <c r="G46" s="60" t="s">
        <v>61</v>
      </c>
      <c r="H46" s="118" t="s">
        <v>63</v>
      </c>
      <c r="I46" s="118"/>
      <c r="J46" s="118"/>
      <c r="K46" s="118"/>
      <c r="L46" s="118" t="s">
        <v>115</v>
      </c>
      <c r="M46" s="144"/>
    </row>
    <row r="47" spans="3:13" ht="24" customHeight="1" x14ac:dyDescent="0.3">
      <c r="F47" s="61" t="s">
        <v>102</v>
      </c>
      <c r="G47" s="55" t="s">
        <v>103</v>
      </c>
      <c r="H47" s="145" t="s">
        <v>104</v>
      </c>
      <c r="I47" s="145"/>
      <c r="J47" s="145"/>
      <c r="K47" s="145"/>
      <c r="L47" s="138" t="s">
        <v>116</v>
      </c>
      <c r="M47" s="139"/>
    </row>
    <row r="48" spans="3:13" ht="24" customHeight="1" x14ac:dyDescent="0.3">
      <c r="F48" s="61" t="s">
        <v>105</v>
      </c>
      <c r="G48" s="55" t="s">
        <v>106</v>
      </c>
      <c r="H48" s="145" t="s">
        <v>107</v>
      </c>
      <c r="I48" s="145"/>
      <c r="J48" s="145"/>
      <c r="K48" s="145"/>
      <c r="L48" s="140"/>
      <c r="M48" s="141"/>
    </row>
    <row r="49" spans="6:14" ht="24" customHeight="1" x14ac:dyDescent="0.3">
      <c r="F49" s="61" t="s">
        <v>105</v>
      </c>
      <c r="G49" s="55" t="s">
        <v>108</v>
      </c>
      <c r="H49" s="145" t="s">
        <v>109</v>
      </c>
      <c r="I49" s="145"/>
      <c r="J49" s="145"/>
      <c r="K49" s="145"/>
      <c r="L49" s="140"/>
      <c r="M49" s="141"/>
    </row>
    <row r="50" spans="6:14" ht="24" customHeight="1" x14ac:dyDescent="0.3">
      <c r="F50" s="61" t="s">
        <v>110</v>
      </c>
      <c r="G50" s="55" t="s">
        <v>111</v>
      </c>
      <c r="H50" s="145" t="s">
        <v>112</v>
      </c>
      <c r="I50" s="145"/>
      <c r="J50" s="145"/>
      <c r="K50" s="145"/>
      <c r="L50" s="140"/>
      <c r="M50" s="141"/>
    </row>
    <row r="51" spans="6:14" ht="24" customHeight="1" thickBot="1" x14ac:dyDescent="0.35">
      <c r="F51" s="64" t="s">
        <v>110</v>
      </c>
      <c r="G51" s="65" t="s">
        <v>113</v>
      </c>
      <c r="H51" s="135" t="s">
        <v>114</v>
      </c>
      <c r="I51" s="135"/>
      <c r="J51" s="135"/>
      <c r="K51" s="135"/>
      <c r="L51" s="142"/>
      <c r="M51" s="143"/>
    </row>
    <row r="52" spans="6:14" ht="24" customHeight="1" thickBot="1" x14ac:dyDescent="0.35">
      <c r="F52" s="64" t="s">
        <v>110</v>
      </c>
      <c r="G52" s="65" t="s">
        <v>113</v>
      </c>
      <c r="H52" s="135" t="s">
        <v>114</v>
      </c>
      <c r="I52" s="135"/>
      <c r="J52" s="135"/>
      <c r="K52" s="135"/>
      <c r="L52" s="63"/>
      <c r="M52" s="67"/>
    </row>
    <row r="53" spans="6:14" ht="24" customHeight="1" x14ac:dyDescent="0.3"/>
    <row r="54" spans="6:14" ht="24" customHeight="1" x14ac:dyDescent="0.3"/>
    <row r="55" spans="6:14" ht="24" customHeight="1" thickBot="1" x14ac:dyDescent="0.35"/>
    <row r="56" spans="6:14" ht="39.6" customHeight="1" thickBot="1" x14ac:dyDescent="0.35">
      <c r="F56" s="69" t="s">
        <v>117</v>
      </c>
      <c r="G56" s="70" t="s">
        <v>61</v>
      </c>
      <c r="H56" s="137" t="s">
        <v>134</v>
      </c>
      <c r="I56" s="127"/>
      <c r="J56" s="128"/>
      <c r="L56" t="s">
        <v>138</v>
      </c>
      <c r="M56" t="s">
        <v>139</v>
      </c>
      <c r="N56" t="s">
        <v>119</v>
      </c>
    </row>
    <row r="57" spans="6:14" ht="24" customHeight="1" x14ac:dyDescent="0.3">
      <c r="F57" s="68" t="s">
        <v>118</v>
      </c>
      <c r="G57" s="54" t="s">
        <v>119</v>
      </c>
      <c r="H57" s="131" t="s">
        <v>136</v>
      </c>
      <c r="I57" s="131"/>
      <c r="J57" s="132"/>
      <c r="L57">
        <v>157.9</v>
      </c>
      <c r="M57">
        <v>204</v>
      </c>
      <c r="N57">
        <v>195.3</v>
      </c>
    </row>
    <row r="58" spans="6:14" ht="24" customHeight="1" x14ac:dyDescent="0.3">
      <c r="F58" s="66" t="s">
        <v>120</v>
      </c>
      <c r="G58" s="56" t="s">
        <v>121</v>
      </c>
      <c r="H58" s="133"/>
      <c r="I58" s="133"/>
      <c r="J58" s="134"/>
    </row>
    <row r="59" spans="6:14" ht="24" customHeight="1" x14ac:dyDescent="0.3">
      <c r="F59" s="61" t="s">
        <v>122</v>
      </c>
      <c r="G59" s="55" t="s">
        <v>123</v>
      </c>
      <c r="H59" s="133"/>
      <c r="I59" s="133"/>
      <c r="J59" s="134"/>
      <c r="L59" s="57">
        <f>(G6+H6+I6)/1086.65*100</f>
        <v>51.281339927960467</v>
      </c>
    </row>
    <row r="60" spans="6:14" ht="24" customHeight="1" x14ac:dyDescent="0.3">
      <c r="F60" s="61" t="s">
        <v>124</v>
      </c>
      <c r="G60" s="55" t="s">
        <v>125</v>
      </c>
      <c r="H60" s="133"/>
      <c r="I60" s="133"/>
      <c r="J60" s="134"/>
      <c r="L60" s="57">
        <f>(((G6+H6+I6)/1086.65)*100)</f>
        <v>51.281339927960467</v>
      </c>
    </row>
    <row r="61" spans="6:14" ht="24" customHeight="1" x14ac:dyDescent="0.3">
      <c r="F61" s="61" t="s">
        <v>126</v>
      </c>
      <c r="G61" s="55" t="s">
        <v>127</v>
      </c>
      <c r="H61" s="133"/>
      <c r="I61" s="133"/>
      <c r="J61" s="134"/>
    </row>
    <row r="62" spans="6:14" ht="24" customHeight="1" x14ac:dyDescent="0.3">
      <c r="F62" s="61" t="s">
        <v>128</v>
      </c>
      <c r="G62" s="55" t="s">
        <v>129</v>
      </c>
      <c r="H62" s="133"/>
      <c r="I62" s="133"/>
      <c r="J62" s="134"/>
    </row>
    <row r="63" spans="6:14" ht="24" customHeight="1" x14ac:dyDescent="0.3">
      <c r="F63" s="61" t="s">
        <v>130</v>
      </c>
      <c r="G63" s="55" t="s">
        <v>131</v>
      </c>
      <c r="H63" s="133"/>
      <c r="I63" s="133"/>
      <c r="J63" s="134"/>
    </row>
    <row r="64" spans="6:14" ht="24" customHeight="1" thickBot="1" x14ac:dyDescent="0.35">
      <c r="F64" s="62" t="s">
        <v>132</v>
      </c>
      <c r="G64" s="63" t="s">
        <v>133</v>
      </c>
      <c r="H64" s="135"/>
      <c r="I64" s="135"/>
      <c r="J64" s="136"/>
    </row>
    <row r="65" spans="1:16" ht="24" customHeight="1" x14ac:dyDescent="0.3"/>
    <row r="66" spans="1:16" ht="24" customHeight="1" thickBot="1" x14ac:dyDescent="0.35">
      <c r="F66" s="117" t="s">
        <v>140</v>
      </c>
      <c r="G66" s="117"/>
      <c r="H66" s="117"/>
      <c r="I66" s="117"/>
      <c r="J66" s="117"/>
    </row>
    <row r="67" spans="1:16" ht="24" customHeight="1" x14ac:dyDescent="0.3">
      <c r="F67" s="59" t="s">
        <v>53</v>
      </c>
      <c r="G67" s="118" t="s">
        <v>63</v>
      </c>
      <c r="H67" s="118"/>
      <c r="I67" s="74" t="s">
        <v>141</v>
      </c>
      <c r="K67" t="s">
        <v>155</v>
      </c>
      <c r="L67">
        <v>31.98</v>
      </c>
    </row>
    <row r="68" spans="1:16" ht="24" customHeight="1" x14ac:dyDescent="0.3">
      <c r="F68" s="61" t="s">
        <v>142</v>
      </c>
      <c r="G68" s="115" t="s">
        <v>68</v>
      </c>
      <c r="H68" s="115"/>
      <c r="I68" s="75" t="s">
        <v>143</v>
      </c>
      <c r="K68" t="s">
        <v>156</v>
      </c>
    </row>
    <row r="69" spans="1:16" ht="24" customHeight="1" x14ac:dyDescent="0.3">
      <c r="F69" s="61" t="s">
        <v>154</v>
      </c>
      <c r="G69" s="115" t="s">
        <v>144</v>
      </c>
      <c r="H69" s="115"/>
      <c r="I69" s="75" t="s">
        <v>145</v>
      </c>
    </row>
    <row r="70" spans="1:16" ht="24" customHeight="1" x14ac:dyDescent="0.3">
      <c r="F70" s="61" t="s">
        <v>146</v>
      </c>
      <c r="G70" s="115" t="s">
        <v>67</v>
      </c>
      <c r="H70" s="115"/>
      <c r="I70" s="75" t="s">
        <v>145</v>
      </c>
      <c r="K70" t="s">
        <v>157</v>
      </c>
    </row>
    <row r="71" spans="1:16" ht="24" customHeight="1" thickBot="1" x14ac:dyDescent="0.35">
      <c r="F71" s="61" t="s">
        <v>147</v>
      </c>
      <c r="G71" s="115" t="s">
        <v>148</v>
      </c>
      <c r="H71" s="115"/>
      <c r="I71" s="75" t="s">
        <v>149</v>
      </c>
      <c r="N71" s="73"/>
      <c r="O71" s="73"/>
      <c r="P71" s="73"/>
    </row>
    <row r="72" spans="1:16" ht="24" customHeight="1" thickBot="1" x14ac:dyDescent="0.35">
      <c r="F72" s="61" t="s">
        <v>150</v>
      </c>
      <c r="G72" s="115" t="s">
        <v>62</v>
      </c>
      <c r="H72" s="115"/>
      <c r="I72" s="75" t="s">
        <v>151</v>
      </c>
      <c r="N72" s="73"/>
      <c r="O72" s="73"/>
      <c r="P72" s="73"/>
    </row>
    <row r="73" spans="1:16" ht="24" customHeight="1" thickBot="1" x14ac:dyDescent="0.35">
      <c r="F73" s="62" t="s">
        <v>152</v>
      </c>
      <c r="G73" s="116" t="s">
        <v>64</v>
      </c>
      <c r="H73" s="116"/>
      <c r="I73" s="67" t="s">
        <v>153</v>
      </c>
      <c r="N73" s="73"/>
      <c r="O73" s="73"/>
      <c r="P73" s="73"/>
    </row>
    <row r="74" spans="1:16" ht="24" customHeight="1" thickBot="1" x14ac:dyDescent="0.35">
      <c r="N74" s="73"/>
      <c r="O74" s="73"/>
      <c r="P74" s="73"/>
    </row>
    <row r="75" spans="1:16" ht="24" customHeight="1" thickBot="1" x14ac:dyDescent="0.35">
      <c r="N75" s="80"/>
      <c r="O75" s="80"/>
      <c r="P75" s="73"/>
    </row>
    <row r="76" spans="1:16" ht="30" customHeight="1" thickBot="1" x14ac:dyDescent="0.35">
      <c r="B76" s="81" t="s">
        <v>55</v>
      </c>
      <c r="C76" s="93" t="s">
        <v>0</v>
      </c>
      <c r="D76" s="93" t="s">
        <v>160</v>
      </c>
      <c r="E76" s="93" t="s">
        <v>2</v>
      </c>
      <c r="F76" s="93" t="s">
        <v>3</v>
      </c>
      <c r="G76" s="93" t="s">
        <v>2</v>
      </c>
      <c r="H76" s="93" t="s">
        <v>4</v>
      </c>
      <c r="I76" s="93" t="s">
        <v>5</v>
      </c>
      <c r="J76" s="93" t="s">
        <v>6</v>
      </c>
      <c r="K76" s="93" t="s">
        <v>7</v>
      </c>
      <c r="L76" s="93" t="s">
        <v>7</v>
      </c>
      <c r="M76" s="93" t="s">
        <v>8</v>
      </c>
      <c r="N76" s="93" t="s">
        <v>6</v>
      </c>
      <c r="O76" s="94" t="s">
        <v>161</v>
      </c>
      <c r="P76" s="79"/>
    </row>
    <row r="77" spans="1:16" ht="30" customHeight="1" thickBot="1" x14ac:dyDescent="0.35">
      <c r="A77" s="71"/>
      <c r="B77" s="82" t="s">
        <v>162</v>
      </c>
      <c r="C77" s="92">
        <v>19.713636363636365</v>
      </c>
      <c r="D77" s="92">
        <v>22.111363636363642</v>
      </c>
      <c r="E77" s="92">
        <v>26.799999999999997</v>
      </c>
      <c r="F77" s="92">
        <v>32.250000000000007</v>
      </c>
      <c r="G77" s="92">
        <v>36.668181818181829</v>
      </c>
      <c r="H77" s="92">
        <v>39.331818181818178</v>
      </c>
      <c r="I77" s="92">
        <v>40.634090909090929</v>
      </c>
      <c r="J77" s="92">
        <v>41.088636363636368</v>
      </c>
      <c r="K77" s="92">
        <v>38.925000000000004</v>
      </c>
      <c r="L77" s="92">
        <v>35.420454545454533</v>
      </c>
      <c r="M77" s="92">
        <v>28.695454545454542</v>
      </c>
      <c r="N77" s="92">
        <v>22.179545454545455</v>
      </c>
      <c r="O77" s="92">
        <v>31.984848484848488</v>
      </c>
      <c r="P77" s="79"/>
    </row>
    <row r="78" spans="1:16" ht="30" customHeight="1" thickBot="1" x14ac:dyDescent="0.35">
      <c r="A78" s="72" t="s">
        <v>164</v>
      </c>
      <c r="B78" s="83" t="s">
        <v>163</v>
      </c>
      <c r="C78" s="92">
        <v>104.4</v>
      </c>
      <c r="D78" s="92">
        <v>80</v>
      </c>
      <c r="E78" s="92">
        <v>99.7</v>
      </c>
      <c r="F78" s="92">
        <v>80.2</v>
      </c>
      <c r="G78" s="92">
        <v>82.5</v>
      </c>
      <c r="H78" s="92">
        <v>52.5</v>
      </c>
      <c r="I78" s="92">
        <v>24</v>
      </c>
      <c r="J78" s="92">
        <v>23.3</v>
      </c>
      <c r="K78" s="92">
        <v>27.9</v>
      </c>
      <c r="L78" s="92">
        <v>48.6</v>
      </c>
      <c r="M78" s="92">
        <v>73.8</v>
      </c>
      <c r="N78" s="92">
        <v>107.6</v>
      </c>
      <c r="O78" s="92">
        <v>804.49999999999989</v>
      </c>
      <c r="P78" s="79"/>
    </row>
    <row r="79" spans="1:16" ht="30" customHeight="1" thickBot="1" x14ac:dyDescent="0.35">
      <c r="A79" s="72"/>
      <c r="B79" s="83" t="s">
        <v>158</v>
      </c>
      <c r="C79" s="96">
        <f>(12*C78)/C77</f>
        <v>63.54991929905465</v>
      </c>
      <c r="D79" s="96">
        <f t="shared" ref="D79:N79" si="10">(12*D78)/D77</f>
        <v>43.41658957755164</v>
      </c>
      <c r="E79" s="96">
        <f t="shared" si="10"/>
        <v>44.641791044776127</v>
      </c>
      <c r="F79" s="96">
        <f t="shared" si="10"/>
        <v>29.841860465116277</v>
      </c>
      <c r="G79" s="96">
        <f t="shared" si="10"/>
        <v>26.998884343622155</v>
      </c>
      <c r="H79" s="96">
        <f t="shared" si="10"/>
        <v>16.017566162024732</v>
      </c>
      <c r="I79" s="96">
        <f t="shared" si="10"/>
        <v>7.087644722859217</v>
      </c>
      <c r="J79" s="96">
        <f t="shared" si="10"/>
        <v>6.8048011505061119</v>
      </c>
      <c r="K79" s="96">
        <f t="shared" si="10"/>
        <v>8.6011560693641602</v>
      </c>
      <c r="L79" s="96">
        <f t="shared" si="10"/>
        <v>16.465062560154003</v>
      </c>
      <c r="M79" s="96">
        <f t="shared" si="10"/>
        <v>30.862030730239191</v>
      </c>
      <c r="N79" s="96">
        <f t="shared" si="10"/>
        <v>58.215800799262212</v>
      </c>
      <c r="O79" s="95">
        <f>O78/O77</f>
        <v>25.15253434391283</v>
      </c>
      <c r="P79" s="79"/>
    </row>
    <row r="80" spans="1:16" ht="48.6" customHeight="1" thickBot="1" x14ac:dyDescent="0.35">
      <c r="A80" s="72"/>
      <c r="B80" s="84" t="s">
        <v>63</v>
      </c>
      <c r="C80" s="87" t="s">
        <v>64</v>
      </c>
      <c r="D80" s="88" t="s">
        <v>62</v>
      </c>
      <c r="E80" s="88" t="s">
        <v>62</v>
      </c>
      <c r="F80" s="91" t="s">
        <v>65</v>
      </c>
      <c r="G80" s="91" t="s">
        <v>65</v>
      </c>
      <c r="H80" s="103" t="s">
        <v>67</v>
      </c>
      <c r="I80" s="90" t="s">
        <v>68</v>
      </c>
      <c r="J80" s="90" t="s">
        <v>174</v>
      </c>
      <c r="K80" s="89" t="s">
        <v>144</v>
      </c>
      <c r="L80" s="103" t="s">
        <v>67</v>
      </c>
      <c r="M80" s="91" t="s">
        <v>65</v>
      </c>
      <c r="N80" s="87" t="s">
        <v>64</v>
      </c>
      <c r="O80" s="87" t="s">
        <v>65</v>
      </c>
      <c r="P80" s="79"/>
    </row>
    <row r="81" spans="1:16" ht="24" customHeight="1" thickBot="1" x14ac:dyDescent="0.35">
      <c r="A81" s="72"/>
      <c r="B81" s="72"/>
      <c r="C81" s="72"/>
      <c r="D81" s="72"/>
      <c r="E81" s="72"/>
      <c r="F81" s="72"/>
      <c r="G81" s="72"/>
      <c r="H81" s="72"/>
      <c r="I81" s="72"/>
      <c r="J81" s="72"/>
      <c r="K81" s="72"/>
      <c r="L81" s="72"/>
      <c r="M81" s="72"/>
      <c r="N81" s="73"/>
      <c r="O81" s="73"/>
      <c r="P81" s="73"/>
    </row>
    <row r="82" spans="1:16" ht="24" customHeight="1" thickBot="1" x14ac:dyDescent="0.35">
      <c r="A82" s="72"/>
      <c r="B82" s="72"/>
      <c r="C82" s="72"/>
      <c r="D82" s="78"/>
    </row>
    <row r="83" spans="1:16" ht="24" customHeight="1" thickBot="1" x14ac:dyDescent="0.35">
      <c r="A83" s="72"/>
      <c r="B83" s="98"/>
      <c r="C83" s="99"/>
      <c r="D83" s="72"/>
    </row>
    <row r="84" spans="1:16" ht="24" customHeight="1" thickBot="1" x14ac:dyDescent="0.35">
      <c r="A84" s="72"/>
      <c r="B84" s="76" t="s">
        <v>171</v>
      </c>
      <c r="C84" s="77" t="s">
        <v>63</v>
      </c>
      <c r="D84" s="97"/>
    </row>
    <row r="85" spans="1:16" ht="24" customHeight="1" x14ac:dyDescent="0.3">
      <c r="B85" s="100" t="s">
        <v>166</v>
      </c>
      <c r="C85" s="85" t="s">
        <v>159</v>
      </c>
    </row>
    <row r="86" spans="1:16" ht="24" customHeight="1" x14ac:dyDescent="0.3">
      <c r="A86" t="s">
        <v>165</v>
      </c>
      <c r="B86" s="101" t="s">
        <v>172</v>
      </c>
      <c r="C86" s="85" t="s">
        <v>67</v>
      </c>
      <c r="I86">
        <v>212.28</v>
      </c>
    </row>
    <row r="87" spans="1:16" ht="24" customHeight="1" x14ac:dyDescent="0.3">
      <c r="B87" s="101" t="s">
        <v>173</v>
      </c>
      <c r="C87" s="85" t="s">
        <v>167</v>
      </c>
      <c r="F87">
        <v>1629.6</v>
      </c>
      <c r="G87">
        <v>22.3</v>
      </c>
      <c r="I87">
        <v>58.8</v>
      </c>
    </row>
    <row r="88" spans="1:16" ht="24" customHeight="1" x14ac:dyDescent="0.3">
      <c r="B88" s="100" t="s">
        <v>168</v>
      </c>
      <c r="C88" s="85" t="s">
        <v>65</v>
      </c>
    </row>
    <row r="89" spans="1:16" ht="24" customHeight="1" x14ac:dyDescent="0.3">
      <c r="B89" s="100" t="s">
        <v>169</v>
      </c>
      <c r="C89" s="85" t="s">
        <v>62</v>
      </c>
    </row>
    <row r="90" spans="1:16" ht="24" customHeight="1" thickBot="1" x14ac:dyDescent="0.35">
      <c r="B90" s="102" t="s">
        <v>170</v>
      </c>
      <c r="C90" s="86" t="s">
        <v>64</v>
      </c>
    </row>
    <row r="91" spans="1:16" ht="24" customHeight="1" thickBot="1" x14ac:dyDescent="0.35"/>
    <row r="92" spans="1:16" ht="30" customHeight="1" x14ac:dyDescent="0.3">
      <c r="C92" s="81" t="s">
        <v>55</v>
      </c>
      <c r="D92" s="93" t="s">
        <v>0</v>
      </c>
      <c r="E92" s="93" t="s">
        <v>160</v>
      </c>
      <c r="F92" s="93" t="s">
        <v>2</v>
      </c>
      <c r="G92" s="93" t="s">
        <v>3</v>
      </c>
      <c r="H92" s="93" t="s">
        <v>2</v>
      </c>
      <c r="I92" s="93" t="s">
        <v>4</v>
      </c>
      <c r="J92" s="93" t="s">
        <v>5</v>
      </c>
      <c r="K92" s="93" t="s">
        <v>6</v>
      </c>
      <c r="L92" s="93" t="s">
        <v>7</v>
      </c>
      <c r="M92" s="93" t="s">
        <v>7</v>
      </c>
      <c r="N92" s="93" t="s">
        <v>8</v>
      </c>
      <c r="O92" s="93" t="s">
        <v>6</v>
      </c>
      <c r="P92" s="94" t="s">
        <v>161</v>
      </c>
    </row>
    <row r="93" spans="1:16" ht="30" customHeight="1" x14ac:dyDescent="0.3">
      <c r="C93" s="82" t="s">
        <v>162</v>
      </c>
      <c r="D93" s="92">
        <v>19.713636363636365</v>
      </c>
      <c r="E93" s="92">
        <v>22.111363636363642</v>
      </c>
      <c r="F93" s="92">
        <v>26.799999999999997</v>
      </c>
      <c r="G93" s="92">
        <v>32.250000000000007</v>
      </c>
      <c r="H93" s="92">
        <v>36.668181818181829</v>
      </c>
      <c r="I93" s="92">
        <v>39.331818181818178</v>
      </c>
      <c r="J93" s="92">
        <v>40.634090909090929</v>
      </c>
      <c r="K93" s="92">
        <v>41.088636363636368</v>
      </c>
      <c r="L93" s="92">
        <v>38.925000000000004</v>
      </c>
      <c r="M93" s="92">
        <v>35.420454545454533</v>
      </c>
      <c r="N93" s="92">
        <v>28.695454545454542</v>
      </c>
      <c r="O93" s="92">
        <v>22.179545454545455</v>
      </c>
      <c r="P93" s="92">
        <v>31.984848484848488</v>
      </c>
    </row>
    <row r="94" spans="1:16" ht="30" customHeight="1" x14ac:dyDescent="0.3">
      <c r="C94" s="83" t="s">
        <v>163</v>
      </c>
      <c r="D94" s="92">
        <v>104.4</v>
      </c>
      <c r="E94" s="92">
        <v>80</v>
      </c>
      <c r="F94" s="92">
        <v>99.7</v>
      </c>
      <c r="G94" s="92">
        <v>80.2</v>
      </c>
      <c r="H94" s="92">
        <v>82.5</v>
      </c>
      <c r="I94" s="92">
        <v>52.5</v>
      </c>
      <c r="J94" s="92">
        <v>24</v>
      </c>
      <c r="K94" s="92">
        <v>23.3</v>
      </c>
      <c r="L94" s="92">
        <v>27.9</v>
      </c>
      <c r="M94" s="92">
        <v>48.6</v>
      </c>
      <c r="N94" s="92">
        <v>73.8</v>
      </c>
      <c r="O94" s="92">
        <v>107.6</v>
      </c>
      <c r="P94" s="92">
        <v>804.49999999999989</v>
      </c>
    </row>
    <row r="95" spans="1:16" ht="30" customHeight="1" x14ac:dyDescent="0.3">
      <c r="C95" s="83" t="s">
        <v>158</v>
      </c>
      <c r="D95" s="96">
        <f>(12*D94)/(D93+10)</f>
        <v>42.162459843965124</v>
      </c>
      <c r="E95" s="96">
        <f t="shared" ref="E95:O95" si="11">(12*E94)/(E93+10)</f>
        <v>29.895958666572295</v>
      </c>
      <c r="F95" s="96">
        <f t="shared" si="11"/>
        <v>32.510869565217398</v>
      </c>
      <c r="G95" s="96">
        <f t="shared" si="11"/>
        <v>22.778698224852068</v>
      </c>
      <c r="H95" s="96">
        <f t="shared" si="11"/>
        <v>21.213596961137622</v>
      </c>
      <c r="I95" s="96">
        <f t="shared" si="11"/>
        <v>12.770662489634203</v>
      </c>
      <c r="J95" s="96">
        <f t="shared" si="11"/>
        <v>5.687867498541225</v>
      </c>
      <c r="K95" s="96">
        <f t="shared" si="11"/>
        <v>5.4728413185639928</v>
      </c>
      <c r="L95" s="96">
        <f t="shared" si="11"/>
        <v>6.843127235564638</v>
      </c>
      <c r="M95" s="96">
        <f t="shared" si="11"/>
        <v>12.840030022516892</v>
      </c>
      <c r="N95" s="96">
        <f t="shared" si="11"/>
        <v>22.886409021496537</v>
      </c>
      <c r="O95" s="96">
        <f t="shared" si="11"/>
        <v>40.124867575393736</v>
      </c>
      <c r="P95" s="95">
        <f>P94/(P93+10)</f>
        <v>19.161674485745216</v>
      </c>
    </row>
    <row r="96" spans="1:16" ht="30" customHeight="1" thickBot="1" x14ac:dyDescent="0.35">
      <c r="C96" s="84" t="s">
        <v>63</v>
      </c>
      <c r="D96" s="88" t="s">
        <v>62</v>
      </c>
      <c r="E96" s="91" t="s">
        <v>65</v>
      </c>
      <c r="F96" s="88" t="s">
        <v>62</v>
      </c>
      <c r="G96" s="91" t="s">
        <v>65</v>
      </c>
      <c r="H96" s="91" t="s">
        <v>65</v>
      </c>
      <c r="I96" s="89" t="s">
        <v>175</v>
      </c>
      <c r="J96" s="104" t="s">
        <v>67</v>
      </c>
      <c r="K96" s="104" t="s">
        <v>67</v>
      </c>
      <c r="L96" s="104" t="s">
        <v>67</v>
      </c>
      <c r="M96" s="89" t="s">
        <v>175</v>
      </c>
      <c r="N96" s="91" t="s">
        <v>65</v>
      </c>
      <c r="O96" s="88" t="s">
        <v>62</v>
      </c>
      <c r="P96" s="89" t="s">
        <v>175</v>
      </c>
    </row>
    <row r="97" ht="30" customHeight="1" x14ac:dyDescent="0.3"/>
    <row r="98" ht="30" customHeight="1" x14ac:dyDescent="0.3"/>
    <row r="99" ht="30" customHeight="1" x14ac:dyDescent="0.3"/>
    <row r="100" ht="30" customHeight="1" x14ac:dyDescent="0.3"/>
    <row r="101" ht="30" customHeight="1" x14ac:dyDescent="0.3"/>
    <row r="102" ht="30" customHeight="1" x14ac:dyDescent="0.3"/>
    <row r="103" ht="30" customHeight="1" x14ac:dyDescent="0.3"/>
    <row r="104" ht="30" customHeight="1" x14ac:dyDescent="0.3"/>
    <row r="105" ht="30" customHeight="1" x14ac:dyDescent="0.3"/>
    <row r="106" ht="30" customHeight="1" x14ac:dyDescent="0.3"/>
    <row r="107" ht="24" customHeight="1" x14ac:dyDescent="0.3"/>
    <row r="108" ht="24" customHeight="1" x14ac:dyDescent="0.3"/>
    <row r="109" ht="24" customHeight="1" x14ac:dyDescent="0.3"/>
    <row r="110" ht="24" customHeight="1" x14ac:dyDescent="0.3"/>
    <row r="111" ht="24" customHeight="1" x14ac:dyDescent="0.3"/>
    <row r="112" ht="24" customHeight="1" x14ac:dyDescent="0.3"/>
    <row r="113" ht="24" customHeight="1" x14ac:dyDescent="0.3"/>
    <row r="114" ht="24" customHeight="1" x14ac:dyDescent="0.3"/>
    <row r="115" ht="24" customHeight="1" x14ac:dyDescent="0.3"/>
    <row r="116" ht="24" customHeight="1" x14ac:dyDescent="0.3"/>
    <row r="117" ht="24" customHeight="1" x14ac:dyDescent="0.3"/>
    <row r="118" ht="24" customHeight="1" x14ac:dyDescent="0.3"/>
    <row r="119" ht="24" customHeight="1" x14ac:dyDescent="0.3"/>
    <row r="120" ht="24" customHeight="1" x14ac:dyDescent="0.3"/>
    <row r="121" ht="24" customHeight="1" x14ac:dyDescent="0.3"/>
    <row r="122" ht="24" customHeight="1" x14ac:dyDescent="0.3"/>
    <row r="123" ht="24" customHeight="1" x14ac:dyDescent="0.3"/>
    <row r="124" ht="24" customHeight="1" x14ac:dyDescent="0.3"/>
    <row r="125" ht="24" customHeight="1" x14ac:dyDescent="0.3"/>
    <row r="126" ht="24" customHeight="1" x14ac:dyDescent="0.3"/>
    <row r="127" ht="24" customHeight="1" x14ac:dyDescent="0.3"/>
    <row r="128" ht="24" customHeight="1" x14ac:dyDescent="0.3"/>
    <row r="129" ht="24" customHeight="1" x14ac:dyDescent="0.3"/>
    <row r="130" ht="24" customHeight="1" x14ac:dyDescent="0.3"/>
    <row r="131" ht="24" customHeight="1" x14ac:dyDescent="0.3"/>
    <row r="132" ht="24" customHeight="1" x14ac:dyDescent="0.3"/>
    <row r="133" ht="24" customHeight="1" x14ac:dyDescent="0.3"/>
    <row r="134" ht="24" customHeight="1" x14ac:dyDescent="0.3"/>
    <row r="135" ht="24" customHeight="1" x14ac:dyDescent="0.3"/>
    <row r="136" ht="24" customHeight="1" x14ac:dyDescent="0.3"/>
    <row r="137" ht="24" customHeight="1" x14ac:dyDescent="0.3"/>
    <row r="138" ht="24" customHeight="1" x14ac:dyDescent="0.3"/>
    <row r="139" ht="24" customHeight="1" x14ac:dyDescent="0.3"/>
    <row r="140" ht="24" customHeight="1" x14ac:dyDescent="0.3"/>
    <row r="141" ht="24" customHeight="1" x14ac:dyDescent="0.3"/>
    <row r="142" ht="24" customHeight="1" x14ac:dyDescent="0.3"/>
    <row r="143" ht="24" customHeight="1" x14ac:dyDescent="0.3"/>
    <row r="144" ht="24" customHeight="1" x14ac:dyDescent="0.3"/>
    <row r="145" ht="24" customHeight="1" x14ac:dyDescent="0.3"/>
    <row r="146" ht="24" customHeight="1" x14ac:dyDescent="0.3"/>
    <row r="147" ht="24" customHeight="1" x14ac:dyDescent="0.3"/>
    <row r="148" ht="24" customHeight="1" x14ac:dyDescent="0.3"/>
    <row r="149" ht="24" customHeight="1" x14ac:dyDescent="0.3"/>
    <row r="150" ht="24" customHeight="1" x14ac:dyDescent="0.3"/>
    <row r="151" ht="24" customHeight="1" x14ac:dyDescent="0.3"/>
    <row r="152" ht="24" customHeight="1" x14ac:dyDescent="0.3"/>
    <row r="153" ht="24" customHeight="1" x14ac:dyDescent="0.3"/>
    <row r="154" ht="24" customHeight="1" x14ac:dyDescent="0.3"/>
    <row r="155" ht="24" customHeight="1" x14ac:dyDescent="0.3"/>
    <row r="156" ht="24" customHeight="1" x14ac:dyDescent="0.3"/>
    <row r="157" ht="24" customHeight="1" x14ac:dyDescent="0.3"/>
    <row r="158" ht="24" customHeight="1" x14ac:dyDescent="0.3"/>
    <row r="159" ht="24" customHeight="1" x14ac:dyDescent="0.3"/>
    <row r="160" ht="24" customHeight="1" x14ac:dyDescent="0.3"/>
    <row r="161" ht="24" customHeight="1" x14ac:dyDescent="0.3"/>
    <row r="162" ht="24" customHeight="1" x14ac:dyDescent="0.3"/>
    <row r="163" ht="24" customHeight="1" x14ac:dyDescent="0.3"/>
    <row r="164" ht="24" customHeight="1" x14ac:dyDescent="0.3"/>
    <row r="165" ht="24" customHeight="1" x14ac:dyDescent="0.3"/>
    <row r="166" ht="24" customHeight="1" x14ac:dyDescent="0.3"/>
    <row r="167" ht="24" customHeight="1" x14ac:dyDescent="0.3"/>
    <row r="168" ht="24" customHeight="1" x14ac:dyDescent="0.3"/>
    <row r="169" ht="24" customHeight="1" x14ac:dyDescent="0.3"/>
    <row r="170" ht="24" customHeight="1" x14ac:dyDescent="0.3"/>
    <row r="171" ht="24" customHeight="1" x14ac:dyDescent="0.3"/>
    <row r="172" ht="24" customHeight="1" x14ac:dyDescent="0.3"/>
    <row r="173" ht="24" customHeight="1" x14ac:dyDescent="0.3"/>
    <row r="174" ht="24" customHeight="1" x14ac:dyDescent="0.3"/>
    <row r="175" ht="24" customHeight="1" x14ac:dyDescent="0.3"/>
    <row r="176" ht="24" customHeight="1" x14ac:dyDescent="0.3"/>
    <row r="177" ht="24" customHeight="1" x14ac:dyDescent="0.3"/>
    <row r="178" ht="24" customHeight="1" x14ac:dyDescent="0.3"/>
    <row r="179" ht="24" customHeight="1" x14ac:dyDescent="0.3"/>
    <row r="180" ht="24" customHeight="1" x14ac:dyDescent="0.3"/>
    <row r="181" ht="24" customHeight="1" x14ac:dyDescent="0.3"/>
    <row r="182" ht="24" customHeight="1" x14ac:dyDescent="0.3"/>
    <row r="183" ht="24" customHeight="1" x14ac:dyDescent="0.3"/>
    <row r="184" ht="24" customHeight="1" x14ac:dyDescent="0.3"/>
    <row r="185" ht="24" customHeight="1" x14ac:dyDescent="0.3"/>
    <row r="186" ht="24" customHeight="1" x14ac:dyDescent="0.3"/>
    <row r="187" ht="24" customHeight="1" x14ac:dyDescent="0.3"/>
    <row r="188" ht="24" customHeight="1" x14ac:dyDescent="0.3"/>
    <row r="189" ht="24" customHeight="1" x14ac:dyDescent="0.3"/>
    <row r="190" ht="24" customHeight="1" x14ac:dyDescent="0.3"/>
    <row r="191" ht="24" customHeight="1" x14ac:dyDescent="0.3"/>
    <row r="192" ht="24" customHeight="1" x14ac:dyDescent="0.3"/>
    <row r="193" ht="24" customHeight="1" x14ac:dyDescent="0.3"/>
    <row r="194" ht="24" customHeight="1" x14ac:dyDescent="0.3"/>
    <row r="195" ht="24" customHeight="1" x14ac:dyDescent="0.3"/>
    <row r="196" ht="24" customHeight="1" x14ac:dyDescent="0.3"/>
    <row r="197" ht="24" customHeight="1" x14ac:dyDescent="0.3"/>
    <row r="198" ht="24" customHeight="1" x14ac:dyDescent="0.3"/>
    <row r="199" ht="24" customHeight="1" x14ac:dyDescent="0.3"/>
    <row r="200" ht="24" customHeight="1" x14ac:dyDescent="0.3"/>
    <row r="201" ht="24" customHeight="1" x14ac:dyDescent="0.3"/>
    <row r="202" ht="24" customHeight="1" x14ac:dyDescent="0.3"/>
    <row r="203" ht="24" customHeight="1" x14ac:dyDescent="0.3"/>
    <row r="204" ht="24" customHeight="1" x14ac:dyDescent="0.3"/>
    <row r="205" ht="24" customHeight="1" x14ac:dyDescent="0.3"/>
    <row r="206" ht="24" customHeight="1" x14ac:dyDescent="0.3"/>
    <row r="207" ht="24" customHeight="1" x14ac:dyDescent="0.3"/>
    <row r="208" ht="24" customHeight="1" x14ac:dyDescent="0.3"/>
    <row r="209" ht="24" customHeight="1" x14ac:dyDescent="0.3"/>
    <row r="210" ht="24" customHeight="1" x14ac:dyDescent="0.3"/>
    <row r="211" ht="24" customHeight="1" x14ac:dyDescent="0.3"/>
    <row r="212" ht="24" customHeight="1" x14ac:dyDescent="0.3"/>
    <row r="213" ht="24" customHeight="1" x14ac:dyDescent="0.3"/>
    <row r="214" ht="24" customHeight="1" x14ac:dyDescent="0.3"/>
  </sheetData>
  <mergeCells count="41">
    <mergeCell ref="H57:J64"/>
    <mergeCell ref="H56:J56"/>
    <mergeCell ref="L47:M51"/>
    <mergeCell ref="L46:M46"/>
    <mergeCell ref="H46:K46"/>
    <mergeCell ref="H47:K47"/>
    <mergeCell ref="H48:K48"/>
    <mergeCell ref="H49:K49"/>
    <mergeCell ref="H50:K50"/>
    <mergeCell ref="H52:K52"/>
    <mergeCell ref="H51:K51"/>
    <mergeCell ref="H38:I38"/>
    <mergeCell ref="H39:I39"/>
    <mergeCell ref="H40:I40"/>
    <mergeCell ref="H41:I41"/>
    <mergeCell ref="C45:D45"/>
    <mergeCell ref="H33:I33"/>
    <mergeCell ref="H34:I34"/>
    <mergeCell ref="H35:I35"/>
    <mergeCell ref="H36:I36"/>
    <mergeCell ref="H37:I37"/>
    <mergeCell ref="R2:AC2"/>
    <mergeCell ref="P10:V10"/>
    <mergeCell ref="P11:W11"/>
    <mergeCell ref="R3:AD3"/>
    <mergeCell ref="H32:I32"/>
    <mergeCell ref="A19:G19"/>
    <mergeCell ref="L23:M23"/>
    <mergeCell ref="L24:M24"/>
    <mergeCell ref="A20:D28"/>
    <mergeCell ref="I20:J20"/>
    <mergeCell ref="I21:J26"/>
    <mergeCell ref="I27:J29"/>
    <mergeCell ref="G71:H71"/>
    <mergeCell ref="G72:H72"/>
    <mergeCell ref="G73:H73"/>
    <mergeCell ref="F66:J66"/>
    <mergeCell ref="G67:H67"/>
    <mergeCell ref="G68:H68"/>
    <mergeCell ref="G69:H69"/>
    <mergeCell ref="G70:H70"/>
  </mergeCells>
  <pageMargins left="0.7" right="0.7" top="0.75" bottom="0.75" header="0.3" footer="0.3"/>
  <pageSetup paperSize="9" orientation="portrait" r:id="rId1"/>
  <ignoredErrors>
    <ignoredError sqref="F69 B87" twoDigitTextYear="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14"/>
  <sheetViews>
    <sheetView tabSelected="1" topLeftCell="A7" zoomScale="85" zoomScaleNormal="85" workbookViewId="0">
      <selection activeCell="D73" sqref="D73"/>
    </sheetView>
  </sheetViews>
  <sheetFormatPr defaultRowHeight="14.4" x14ac:dyDescent="0.3"/>
  <cols>
    <col min="1" max="1" width="37.21875" customWidth="1"/>
    <col min="2" max="15" width="13.77734375" customWidth="1"/>
    <col min="16" max="16" width="28.21875" customWidth="1"/>
    <col min="17" max="17" width="18.21875" customWidth="1"/>
  </cols>
  <sheetData>
    <row r="1" spans="1:30" ht="25.05" customHeight="1" x14ac:dyDescent="0.3">
      <c r="A1" s="21" t="s">
        <v>56</v>
      </c>
      <c r="B1" s="6" t="s">
        <v>0</v>
      </c>
      <c r="C1" s="6" t="s">
        <v>1</v>
      </c>
      <c r="D1" s="6" t="s">
        <v>2</v>
      </c>
      <c r="E1" s="6" t="s">
        <v>3</v>
      </c>
      <c r="F1" s="6" t="s">
        <v>2</v>
      </c>
      <c r="G1" s="6" t="s">
        <v>4</v>
      </c>
      <c r="H1" s="6" t="s">
        <v>5</v>
      </c>
      <c r="I1" s="6" t="s">
        <v>6</v>
      </c>
      <c r="J1" s="6" t="s">
        <v>7</v>
      </c>
      <c r="K1" s="6" t="s">
        <v>7</v>
      </c>
      <c r="L1" s="6" t="s">
        <v>8</v>
      </c>
      <c r="M1" s="6" t="s">
        <v>6</v>
      </c>
      <c r="N1" s="7" t="s">
        <v>9</v>
      </c>
    </row>
    <row r="2" spans="1:30" ht="25.05" customHeight="1" x14ac:dyDescent="0.3">
      <c r="A2" s="22" t="s">
        <v>10</v>
      </c>
      <c r="B2" s="8">
        <v>9.9</v>
      </c>
      <c r="C2" s="9">
        <v>10.9</v>
      </c>
      <c r="D2" s="9">
        <v>13.9</v>
      </c>
      <c r="E2" s="9">
        <v>17.899999999999999</v>
      </c>
      <c r="F2" s="9">
        <v>22.1</v>
      </c>
      <c r="G2" s="9">
        <v>25.9</v>
      </c>
      <c r="H2" s="9">
        <v>28.9</v>
      </c>
      <c r="I2" s="9">
        <v>29.2</v>
      </c>
      <c r="J2" s="9">
        <v>26.7</v>
      </c>
      <c r="K2" s="9">
        <v>22.6</v>
      </c>
      <c r="L2" s="9">
        <v>16.3</v>
      </c>
      <c r="M2" s="9">
        <v>11.7</v>
      </c>
      <c r="N2" s="31">
        <f>AVERAGE(B2:M2)</f>
        <v>19.666666666666664</v>
      </c>
      <c r="P2" s="1" t="s">
        <v>11</v>
      </c>
      <c r="Q2" s="2">
        <f>SUM(B3:M3)</f>
        <v>99.978391961937177</v>
      </c>
      <c r="R2" s="117" t="s">
        <v>32</v>
      </c>
      <c r="S2" s="117"/>
      <c r="T2" s="117"/>
      <c r="U2" s="117"/>
      <c r="V2" s="117"/>
      <c r="W2" s="117"/>
      <c r="X2" s="117"/>
      <c r="Y2" s="117"/>
      <c r="Z2" s="117"/>
      <c r="AA2" s="117"/>
      <c r="AB2" s="117"/>
      <c r="AC2" s="117"/>
    </row>
    <row r="3" spans="1:30" ht="25.05" customHeight="1" x14ac:dyDescent="0.3">
      <c r="A3" s="22" t="s">
        <v>12</v>
      </c>
      <c r="B3" s="10">
        <f>+(B2/5)^1.514</f>
        <v>2.8128793062611521</v>
      </c>
      <c r="C3" s="10">
        <f t="shared" ref="C3:M3" si="0">+(C2/5)^1.514</f>
        <v>3.25404182939713</v>
      </c>
      <c r="D3" s="10">
        <f t="shared" si="0"/>
        <v>4.7020129513184337</v>
      </c>
      <c r="E3" s="10">
        <f t="shared" si="0"/>
        <v>6.8957086257667397</v>
      </c>
      <c r="F3" s="10">
        <f t="shared" si="0"/>
        <v>9.487882896261981</v>
      </c>
      <c r="G3" s="10">
        <f t="shared" si="0"/>
        <v>12.064109106456289</v>
      </c>
      <c r="H3" s="10">
        <f t="shared" si="0"/>
        <v>14.24159880885369</v>
      </c>
      <c r="I3" s="10">
        <f t="shared" si="0"/>
        <v>14.466019644680422</v>
      </c>
      <c r="J3" s="10">
        <f t="shared" si="0"/>
        <v>12.632737245830853</v>
      </c>
      <c r="K3" s="10">
        <f t="shared" si="0"/>
        <v>9.8147578762764844</v>
      </c>
      <c r="L3" s="10">
        <f t="shared" si="0"/>
        <v>5.9842736733141182</v>
      </c>
      <c r="M3" s="10">
        <f t="shared" si="0"/>
        <v>3.6223699975198791</v>
      </c>
      <c r="N3" s="32">
        <f>SUM(B3:M3)</f>
        <v>99.978391961937177</v>
      </c>
      <c r="P3" s="3" t="s">
        <v>13</v>
      </c>
      <c r="Q3" s="4">
        <f>6.75*10^-7*N3^3-7.71*10^-5*N3^2+1.792*10^-2*N3+0.49239</f>
        <v>2.1878984756774371</v>
      </c>
      <c r="R3" s="117" t="s">
        <v>31</v>
      </c>
      <c r="S3" s="117"/>
      <c r="T3" s="117"/>
      <c r="U3" s="117"/>
      <c r="V3" s="117"/>
      <c r="W3" s="117"/>
      <c r="X3" s="117"/>
      <c r="Y3" s="117"/>
      <c r="Z3" s="117"/>
      <c r="AA3" s="117"/>
      <c r="AB3" s="117"/>
      <c r="AC3" s="117"/>
      <c r="AD3" s="117"/>
    </row>
    <row r="4" spans="1:30" ht="25.05" customHeight="1" x14ac:dyDescent="0.3">
      <c r="A4" s="23" t="s">
        <v>28</v>
      </c>
      <c r="B4" s="10">
        <f>16*(10*B2/$Q$2)^$Q$3</f>
        <v>15.659416365858938</v>
      </c>
      <c r="C4" s="10">
        <f>16*(10*C2/$Q$2)^$Q$3</f>
        <v>19.329058502755455</v>
      </c>
      <c r="D4" s="10">
        <f>16*(10*D2/$Q$2)^$Q$3</f>
        <v>32.902370329583221</v>
      </c>
      <c r="E4" s="10">
        <f t="shared" ref="E4:M4" si="1">16*(10*E2/$Q$2)^$Q$3</f>
        <v>57.219239827570782</v>
      </c>
      <c r="F4" s="10">
        <f t="shared" si="1"/>
        <v>90.744571321852945</v>
      </c>
      <c r="G4" s="10">
        <f t="shared" si="1"/>
        <v>128.40538773074084</v>
      </c>
      <c r="H4" s="10">
        <f t="shared" si="1"/>
        <v>163.20107321169618</v>
      </c>
      <c r="I4" s="10">
        <f t="shared" si="1"/>
        <v>166.93052299465901</v>
      </c>
      <c r="J4" s="10">
        <f t="shared" si="1"/>
        <v>137.24251289505909</v>
      </c>
      <c r="K4" s="10">
        <f t="shared" si="1"/>
        <v>95.296870085402347</v>
      </c>
      <c r="L4" s="10">
        <f t="shared" si="1"/>
        <v>46.619784211458729</v>
      </c>
      <c r="M4" s="10">
        <f t="shared" si="1"/>
        <v>22.568831065121007</v>
      </c>
      <c r="N4" s="27"/>
      <c r="P4" t="s">
        <v>30</v>
      </c>
    </row>
    <row r="5" spans="1:30" ht="25.05" customHeight="1" x14ac:dyDescent="0.3">
      <c r="A5" s="22" t="s">
        <v>59</v>
      </c>
      <c r="B5" s="29">
        <v>0.86</v>
      </c>
      <c r="C5" s="29">
        <v>0.84</v>
      </c>
      <c r="D5" s="29">
        <v>1.03</v>
      </c>
      <c r="E5" s="30">
        <v>1.1000000000000001</v>
      </c>
      <c r="F5" s="30">
        <v>1.22</v>
      </c>
      <c r="G5" s="30">
        <v>1.23</v>
      </c>
      <c r="H5" s="30">
        <v>1.25</v>
      </c>
      <c r="I5" s="30">
        <v>1.17</v>
      </c>
      <c r="J5" s="30">
        <v>1.03</v>
      </c>
      <c r="K5" s="30">
        <v>0.97</v>
      </c>
      <c r="L5" s="30">
        <v>0.85</v>
      </c>
      <c r="M5" s="30">
        <v>0.83</v>
      </c>
      <c r="N5" s="27"/>
      <c r="P5" t="s">
        <v>29</v>
      </c>
    </row>
    <row r="6" spans="1:30" ht="25.05" customHeight="1" x14ac:dyDescent="0.3">
      <c r="A6" s="23" t="s">
        <v>26</v>
      </c>
      <c r="B6" s="11">
        <f>B4*B5</f>
        <v>13.467098074638686</v>
      </c>
      <c r="C6" s="11">
        <f>C4*C5</f>
        <v>16.236409142314582</v>
      </c>
      <c r="D6" s="11">
        <f t="shared" ref="D6:M6" si="2">D4*D5</f>
        <v>33.889441439470716</v>
      </c>
      <c r="E6" s="11">
        <f t="shared" si="2"/>
        <v>62.941163810327865</v>
      </c>
      <c r="F6" s="10">
        <f>F4*F5</f>
        <v>110.70837701266059</v>
      </c>
      <c r="G6" s="10">
        <f>G4*G5</f>
        <v>157.93862690881124</v>
      </c>
      <c r="H6" s="10">
        <f>H4*H5</f>
        <v>204.00134151462024</v>
      </c>
      <c r="I6" s="10">
        <f t="shared" si="2"/>
        <v>195.30871190375103</v>
      </c>
      <c r="J6" s="10">
        <f t="shared" si="2"/>
        <v>141.35978828191088</v>
      </c>
      <c r="K6" s="10">
        <f t="shared" si="2"/>
        <v>92.437963982840273</v>
      </c>
      <c r="L6" s="11">
        <f t="shared" si="2"/>
        <v>39.626816579739916</v>
      </c>
      <c r="M6" s="11">
        <f t="shared" si="2"/>
        <v>18.732129784050436</v>
      </c>
      <c r="N6" s="27">
        <f>SUM(B6:M6)</f>
        <v>1086.6478684351364</v>
      </c>
      <c r="P6" t="s">
        <v>33</v>
      </c>
    </row>
    <row r="7" spans="1:30" ht="25.05" customHeight="1" x14ac:dyDescent="0.3">
      <c r="A7" s="22" t="s">
        <v>14</v>
      </c>
      <c r="B7" s="9">
        <v>104.4</v>
      </c>
      <c r="C7" s="9">
        <v>80</v>
      </c>
      <c r="D7" s="9">
        <v>99.7</v>
      </c>
      <c r="E7" s="9">
        <v>80.2</v>
      </c>
      <c r="F7" s="9">
        <v>82.5</v>
      </c>
      <c r="G7" s="9">
        <v>52.5</v>
      </c>
      <c r="H7" s="12">
        <v>24</v>
      </c>
      <c r="I7" s="12">
        <v>23.3</v>
      </c>
      <c r="J7" s="12">
        <v>27.9</v>
      </c>
      <c r="K7" s="12">
        <v>48.6</v>
      </c>
      <c r="L7" s="9">
        <v>73.8</v>
      </c>
      <c r="M7" s="9">
        <v>107.6</v>
      </c>
      <c r="N7" s="33">
        <f>SUM(B7:M7)</f>
        <v>804.49999999999989</v>
      </c>
      <c r="P7" t="s">
        <v>34</v>
      </c>
    </row>
    <row r="8" spans="1:30" ht="25.05" customHeight="1" x14ac:dyDescent="0.3">
      <c r="A8" s="22" t="s">
        <v>57</v>
      </c>
      <c r="B8" s="15">
        <v>100</v>
      </c>
      <c r="C8" s="15">
        <f>IF((C7-C6)+B8&gt;100, 100, (C7-C6)+B8)</f>
        <v>100</v>
      </c>
      <c r="D8" s="15">
        <f t="shared" ref="D8" si="3">IF((D7-D6)+C8&gt;100, 100, (D7-D6)+C8)</f>
        <v>100</v>
      </c>
      <c r="E8" s="15">
        <f>IF((E7-E6)+D8&gt;100, 100, (E7-E6)+D8)</f>
        <v>100</v>
      </c>
      <c r="F8" s="15">
        <f>IF((F7-F6)+E8&gt;100, 100, (F7-F6)+E8)</f>
        <v>71.791622987339409</v>
      </c>
      <c r="G8" s="15">
        <v>0</v>
      </c>
      <c r="H8" s="15">
        <v>0</v>
      </c>
      <c r="I8" s="15">
        <v>0</v>
      </c>
      <c r="J8" s="15">
        <v>0</v>
      </c>
      <c r="K8" s="15">
        <v>0</v>
      </c>
      <c r="L8" s="15">
        <f>L9</f>
        <v>34.173183420260081</v>
      </c>
      <c r="M8" s="15">
        <f>IF((M7-M6+L9)&gt;100, 100, (M7-M6+L9))</f>
        <v>100</v>
      </c>
      <c r="N8" s="34"/>
      <c r="P8" t="s">
        <v>16</v>
      </c>
    </row>
    <row r="9" spans="1:30" ht="25.05" customHeight="1" x14ac:dyDescent="0.3">
      <c r="A9" s="23" t="s">
        <v>58</v>
      </c>
      <c r="B9" s="13">
        <f>B8-M8</f>
        <v>0</v>
      </c>
      <c r="C9" s="13">
        <f>C8-B8</f>
        <v>0</v>
      </c>
      <c r="D9" s="13">
        <v>0</v>
      </c>
      <c r="E9" s="13">
        <v>0</v>
      </c>
      <c r="F9" s="13">
        <f>F6-F7</f>
        <v>28.208377012660591</v>
      </c>
      <c r="G9" s="14">
        <f>F8</f>
        <v>71.791622987339409</v>
      </c>
      <c r="H9" s="14">
        <v>0</v>
      </c>
      <c r="I9" s="14">
        <v>0</v>
      </c>
      <c r="J9" s="14">
        <v>0</v>
      </c>
      <c r="K9" s="13">
        <v>0</v>
      </c>
      <c r="L9" s="13">
        <f>L7-L6</f>
        <v>34.173183420260081</v>
      </c>
      <c r="M9" s="35">
        <f>O16</f>
        <v>65.826816579739926</v>
      </c>
      <c r="N9" s="34"/>
      <c r="P9" t="s">
        <v>15</v>
      </c>
    </row>
    <row r="10" spans="1:30" ht="25.05" customHeight="1" x14ac:dyDescent="0.3">
      <c r="A10" s="22" t="s">
        <v>17</v>
      </c>
      <c r="B10" s="16">
        <f>IF(B7&gt;B6, B6,)</f>
        <v>13.467098074638686</v>
      </c>
      <c r="C10" s="16">
        <f>IF(C7&gt;C6, C6,)</f>
        <v>16.236409142314582</v>
      </c>
      <c r="D10" s="16">
        <f>IF(D7&gt;D6, D6,)</f>
        <v>33.889441439470716</v>
      </c>
      <c r="E10" s="16">
        <f>IF(E7&gt;E6, E6,)</f>
        <v>62.941163810327865</v>
      </c>
      <c r="F10" s="17">
        <v>110.7</v>
      </c>
      <c r="G10" s="17">
        <f>G9+G7</f>
        <v>124.29162298733941</v>
      </c>
      <c r="H10" s="18">
        <f>IF(H9=0,H7)</f>
        <v>24</v>
      </c>
      <c r="I10" s="18">
        <f t="shared" ref="I10:K10" si="4">IF(I9=0,I7)</f>
        <v>23.3</v>
      </c>
      <c r="J10" s="18">
        <f t="shared" si="4"/>
        <v>27.9</v>
      </c>
      <c r="K10" s="18">
        <f t="shared" si="4"/>
        <v>48.6</v>
      </c>
      <c r="L10" s="16">
        <f>IF(L7&gt;L6, L6,)</f>
        <v>39.626816579739916</v>
      </c>
      <c r="M10" s="16">
        <f>IF(M7&gt;M6, M6,)</f>
        <v>18.732129784050436</v>
      </c>
      <c r="N10" s="36">
        <f>SUM(B10:M10)</f>
        <v>543.68468181788171</v>
      </c>
      <c r="P10" s="126" t="s">
        <v>27</v>
      </c>
      <c r="Q10" s="117"/>
      <c r="R10" s="117"/>
      <c r="S10" s="117"/>
      <c r="T10" s="117"/>
      <c r="U10" s="117"/>
      <c r="V10" s="117"/>
    </row>
    <row r="11" spans="1:30" ht="25.05" customHeight="1" x14ac:dyDescent="0.3">
      <c r="A11" s="22" t="s">
        <v>18</v>
      </c>
      <c r="B11" s="19">
        <f>IF(B7&gt;B6,(B7-B6),0)</f>
        <v>90.932901925361321</v>
      </c>
      <c r="C11" s="19">
        <f>IF(C7&gt;C6,(C7-C6),0)</f>
        <v>63.763590857685415</v>
      </c>
      <c r="D11" s="19">
        <f>IF(D7&gt;D6,(D7-D6),0)</f>
        <v>65.810558560529287</v>
      </c>
      <c r="E11" s="19">
        <f>IF(E7&gt;E6,(E7-E6),0)</f>
        <v>17.258836189672138</v>
      </c>
      <c r="F11" s="19">
        <f>IF(F7&gt;F6,(F7-F6),0)</f>
        <v>0</v>
      </c>
      <c r="G11" s="19">
        <f t="shared" ref="G11:K11" si="5">IF(G7&gt;G6,(G7-G6),0)</f>
        <v>0</v>
      </c>
      <c r="H11" s="19">
        <f t="shared" si="5"/>
        <v>0</v>
      </c>
      <c r="I11" s="19">
        <f t="shared" si="5"/>
        <v>0</v>
      </c>
      <c r="J11" s="19">
        <f t="shared" si="5"/>
        <v>0</v>
      </c>
      <c r="K11" s="19">
        <f t="shared" si="5"/>
        <v>0</v>
      </c>
      <c r="L11" s="19">
        <v>0</v>
      </c>
      <c r="M11" s="111">
        <f>IF((M16+L9)&gt;100, (M16+L9)-100, "")</f>
        <v>23.041053636209625</v>
      </c>
      <c r="N11" s="37">
        <f>SUM(B11:M11)</f>
        <v>260.80694116945779</v>
      </c>
      <c r="P11" s="126" t="s">
        <v>176</v>
      </c>
      <c r="Q11" s="126"/>
      <c r="R11" s="126"/>
      <c r="S11" s="126"/>
      <c r="T11" s="126"/>
      <c r="U11" s="126"/>
      <c r="V11" s="126"/>
      <c r="W11" s="126"/>
    </row>
    <row r="12" spans="1:30" ht="25.05" customHeight="1" x14ac:dyDescent="0.3">
      <c r="A12" s="22" t="s">
        <v>20</v>
      </c>
      <c r="B12" s="10">
        <f>B6-B10</f>
        <v>0</v>
      </c>
      <c r="C12" s="10">
        <f t="shared" ref="C12:M12" si="6">C6-C10</f>
        <v>0</v>
      </c>
      <c r="D12" s="10">
        <f t="shared" si="6"/>
        <v>0</v>
      </c>
      <c r="E12" s="10">
        <f t="shared" si="6"/>
        <v>0</v>
      </c>
      <c r="F12" s="10">
        <f>F6-F10</f>
        <v>8.3770126605884343E-3</v>
      </c>
      <c r="G12" s="107">
        <f>G6-G10</f>
        <v>33.647003921471835</v>
      </c>
      <c r="H12" s="10">
        <f>H6-H10</f>
        <v>180.00134151462024</v>
      </c>
      <c r="I12" s="10">
        <f t="shared" si="6"/>
        <v>172.00871190375102</v>
      </c>
      <c r="J12" s="10">
        <f t="shared" si="6"/>
        <v>113.45978828191087</v>
      </c>
      <c r="K12" s="10">
        <f>K6-K10</f>
        <v>43.837963982840272</v>
      </c>
      <c r="L12" s="10">
        <f t="shared" si="6"/>
        <v>0</v>
      </c>
      <c r="M12" s="10">
        <f t="shared" si="6"/>
        <v>0</v>
      </c>
      <c r="N12" s="38">
        <f>SUM(B12:M12)</f>
        <v>542.96318661725479</v>
      </c>
      <c r="P12" t="s">
        <v>21</v>
      </c>
    </row>
    <row r="13" spans="1:30" ht="25.05" customHeight="1" x14ac:dyDescent="0.3">
      <c r="A13" s="22" t="s">
        <v>22</v>
      </c>
      <c r="B13" s="10">
        <f>(M13+B11)/2</f>
        <v>51.226714371733067</v>
      </c>
      <c r="C13" s="10">
        <f>(B13+C11)/2</f>
        <v>57.495152614709241</v>
      </c>
      <c r="D13" s="10">
        <f>(C13+D11)/2</f>
        <v>61.652855587619264</v>
      </c>
      <c r="E13" s="10">
        <f>(D13+E11)/2</f>
        <v>39.455845888645698</v>
      </c>
      <c r="F13" s="10">
        <f>(E13+F11)/2</f>
        <v>19.727922944322849</v>
      </c>
      <c r="G13" s="10">
        <f t="shared" ref="G13:K13" si="7">(F13+G11)/2</f>
        <v>9.8639614721614244</v>
      </c>
      <c r="H13" s="10">
        <f t="shared" si="7"/>
        <v>4.9319807360807122</v>
      </c>
      <c r="I13" s="10">
        <f t="shared" si="7"/>
        <v>2.4659903680403561</v>
      </c>
      <c r="J13" s="10">
        <f t="shared" si="7"/>
        <v>1.232995184020178</v>
      </c>
      <c r="K13" s="10">
        <f t="shared" si="7"/>
        <v>0.61649759201008902</v>
      </c>
      <c r="L13" s="10">
        <f>(K13+L11)/2</f>
        <v>0.30824879600504451</v>
      </c>
      <c r="M13" s="10">
        <f>M11/2</f>
        <v>11.520526818104813</v>
      </c>
      <c r="N13" s="38">
        <f>SUM(B13:M13)</f>
        <v>260.49869237345274</v>
      </c>
      <c r="P13" t="s">
        <v>23</v>
      </c>
    </row>
    <row r="14" spans="1:30" ht="25.05" customHeight="1" x14ac:dyDescent="0.3">
      <c r="A14" s="22" t="s">
        <v>24</v>
      </c>
      <c r="B14" s="10">
        <f>(B7-B6)/B6</f>
        <v>6.7522269030331534</v>
      </c>
      <c r="C14" s="10">
        <f t="shared" ref="C14:M14" si="8">(C7-C6)/C6</f>
        <v>3.9271978365898454</v>
      </c>
      <c r="D14" s="10">
        <f t="shared" si="8"/>
        <v>1.9419192457943655</v>
      </c>
      <c r="E14" s="10">
        <f>(E7-E6)/E6</f>
        <v>0.27420586377591222</v>
      </c>
      <c r="F14" s="10">
        <f>(F7-F6)/F6</f>
        <v>-0.25479893910317813</v>
      </c>
      <c r="G14" s="10">
        <f t="shared" si="8"/>
        <v>-0.6675923994811489</v>
      </c>
      <c r="H14" s="10">
        <f t="shared" si="8"/>
        <v>-0.88235371482456659</v>
      </c>
      <c r="I14" s="10">
        <f t="shared" si="8"/>
        <v>-0.88070168620290556</v>
      </c>
      <c r="J14" s="10">
        <f t="shared" si="8"/>
        <v>-0.80263128334374967</v>
      </c>
      <c r="K14" s="10">
        <f t="shared" si="8"/>
        <v>-0.47424198991421029</v>
      </c>
      <c r="L14" s="10">
        <f t="shared" si="8"/>
        <v>0.86237518856692297</v>
      </c>
      <c r="M14" s="10">
        <f t="shared" si="8"/>
        <v>4.7441412824086102</v>
      </c>
      <c r="N14" s="38"/>
      <c r="P14" t="s">
        <v>25</v>
      </c>
    </row>
    <row r="16" spans="1:30" ht="30" customHeight="1" x14ac:dyDescent="0.3">
      <c r="G16" s="108">
        <f>G6-G7</f>
        <v>105.43862690881124</v>
      </c>
      <c r="H16" s="108">
        <f>G16-G9</f>
        <v>33.647003921471835</v>
      </c>
      <c r="M16" s="109">
        <f>M7-M6</f>
        <v>88.867870215949551</v>
      </c>
      <c r="N16" s="110">
        <f>M16+L9</f>
        <v>123.04105363620963</v>
      </c>
      <c r="O16" s="109">
        <f>100-L9</f>
        <v>65.826816579739926</v>
      </c>
    </row>
    <row r="17" spans="1:14" ht="35.4" customHeight="1" x14ac:dyDescent="0.3">
      <c r="G17" s="112">
        <f>G6-G10</f>
        <v>33.647003921471835</v>
      </c>
      <c r="K17" t="s">
        <v>135</v>
      </c>
      <c r="L17">
        <f>(G6+H6+I6)/N6</f>
        <v>0.51281440521267208</v>
      </c>
    </row>
    <row r="19" spans="1:14" ht="18" x14ac:dyDescent="0.35">
      <c r="A19" s="119"/>
      <c r="B19" s="120"/>
      <c r="C19" s="120"/>
      <c r="D19" s="120"/>
      <c r="E19" s="120"/>
      <c r="F19" s="120"/>
      <c r="G19" s="120"/>
      <c r="H19" s="25"/>
    </row>
    <row r="20" spans="1:14" ht="19.95" customHeight="1" x14ac:dyDescent="0.3">
      <c r="A20" s="123" t="s">
        <v>60</v>
      </c>
      <c r="B20" s="123"/>
      <c r="C20" s="123"/>
      <c r="D20" s="123"/>
      <c r="E20" s="25"/>
      <c r="F20" s="48" t="s">
        <v>69</v>
      </c>
      <c r="G20" s="49" t="s">
        <v>63</v>
      </c>
      <c r="H20" s="48" t="s">
        <v>61</v>
      </c>
      <c r="I20" s="124" t="s">
        <v>70</v>
      </c>
      <c r="J20" s="124"/>
      <c r="K20" s="24"/>
      <c r="L20" s="24"/>
      <c r="M20" s="24"/>
    </row>
    <row r="21" spans="1:14" ht="19.95" customHeight="1" x14ac:dyDescent="0.3">
      <c r="A21" s="123"/>
      <c r="B21" s="123"/>
      <c r="C21" s="123"/>
      <c r="D21" s="123"/>
      <c r="E21" s="25"/>
      <c r="F21" s="50" t="s">
        <v>35</v>
      </c>
      <c r="G21" s="49" t="s">
        <v>64</v>
      </c>
      <c r="H21" s="48" t="s">
        <v>6</v>
      </c>
      <c r="I21" s="124" t="s">
        <v>177</v>
      </c>
      <c r="J21" s="124"/>
      <c r="K21" s="24"/>
      <c r="L21" s="24"/>
      <c r="M21" s="24"/>
    </row>
    <row r="22" spans="1:14" ht="19.95" customHeight="1" x14ac:dyDescent="0.3">
      <c r="A22" s="123"/>
      <c r="B22" s="123"/>
      <c r="C22" s="123"/>
      <c r="D22" s="123"/>
      <c r="E22" s="25"/>
      <c r="F22" s="48" t="s">
        <v>49</v>
      </c>
      <c r="G22" s="49" t="s">
        <v>62</v>
      </c>
      <c r="H22" s="48" t="s">
        <v>43</v>
      </c>
      <c r="I22" s="124"/>
      <c r="J22" s="124"/>
      <c r="K22" s="24"/>
      <c r="L22" s="24"/>
      <c r="M22" s="24"/>
    </row>
    <row r="23" spans="1:14" ht="19.95" customHeight="1" x14ac:dyDescent="0.3">
      <c r="A23" s="123"/>
      <c r="B23" s="123"/>
      <c r="C23" s="123"/>
      <c r="D23" s="123"/>
      <c r="E23" s="25"/>
      <c r="F23" s="48" t="s">
        <v>36</v>
      </c>
      <c r="G23" s="49" t="s">
        <v>62</v>
      </c>
      <c r="H23" s="48" t="s">
        <v>44</v>
      </c>
      <c r="I23" s="124"/>
      <c r="J23" s="124"/>
      <c r="K23" s="24"/>
      <c r="L23" s="121" t="s">
        <v>51</v>
      </c>
      <c r="M23" s="121"/>
      <c r="N23" s="106" t="s">
        <v>52</v>
      </c>
    </row>
    <row r="24" spans="1:14" ht="19.95" customHeight="1" x14ac:dyDescent="0.3">
      <c r="A24" s="123"/>
      <c r="B24" s="123"/>
      <c r="C24" s="123"/>
      <c r="D24" s="123"/>
      <c r="E24" s="25"/>
      <c r="F24" s="48" t="s">
        <v>37</v>
      </c>
      <c r="G24" s="49" t="s">
        <v>62</v>
      </c>
      <c r="H24" s="48" t="s">
        <v>45</v>
      </c>
      <c r="I24" s="124"/>
      <c r="J24" s="124"/>
      <c r="K24" s="24"/>
      <c r="L24" s="122" t="s">
        <v>53</v>
      </c>
      <c r="M24" s="122"/>
      <c r="N24" s="47">
        <f>((100*N11)-(60*N12))/N6</f>
        <v>-5.9790271244408464</v>
      </c>
    </row>
    <row r="25" spans="1:14" ht="19.95" customHeight="1" x14ac:dyDescent="0.3">
      <c r="A25" s="123"/>
      <c r="B25" s="123"/>
      <c r="C25" s="123"/>
      <c r="D25" s="123"/>
      <c r="E25" s="25"/>
      <c r="F25" s="48" t="s">
        <v>38</v>
      </c>
      <c r="G25" s="48" t="s">
        <v>62</v>
      </c>
      <c r="H25" s="48" t="s">
        <v>46</v>
      </c>
      <c r="I25" s="124"/>
      <c r="J25" s="124"/>
      <c r="K25" s="24"/>
      <c r="L25" s="24"/>
      <c r="M25" s="24"/>
      <c r="N25" s="26" t="s">
        <v>48</v>
      </c>
    </row>
    <row r="26" spans="1:14" ht="19.95" customHeight="1" x14ac:dyDescent="0.3">
      <c r="A26" s="123"/>
      <c r="B26" s="123"/>
      <c r="C26" s="123"/>
      <c r="D26" s="123"/>
      <c r="E26" s="25"/>
      <c r="F26" s="48" t="s">
        <v>39</v>
      </c>
      <c r="G26" s="48" t="s">
        <v>65</v>
      </c>
      <c r="H26" s="48" t="s">
        <v>47</v>
      </c>
      <c r="I26" s="124"/>
      <c r="J26" s="124"/>
    </row>
    <row r="27" spans="1:14" ht="19.95" customHeight="1" x14ac:dyDescent="0.3">
      <c r="A27" s="123"/>
      <c r="B27" s="123"/>
      <c r="C27" s="123"/>
      <c r="D27" s="123"/>
      <c r="E27" s="25"/>
      <c r="F27" s="51" t="s">
        <v>40</v>
      </c>
      <c r="G27" s="51" t="s">
        <v>66</v>
      </c>
      <c r="H27" s="51" t="s">
        <v>48</v>
      </c>
      <c r="I27" s="125" t="s">
        <v>48</v>
      </c>
      <c r="J27" s="125"/>
      <c r="N27" t="s">
        <v>54</v>
      </c>
    </row>
    <row r="28" spans="1:14" ht="19.95" customHeight="1" x14ac:dyDescent="0.3">
      <c r="A28" s="123"/>
      <c r="B28" s="123"/>
      <c r="C28" s="123"/>
      <c r="D28" s="123"/>
      <c r="E28" s="25"/>
      <c r="F28" s="48" t="s">
        <v>50</v>
      </c>
      <c r="G28" s="48" t="s">
        <v>67</v>
      </c>
      <c r="H28" s="48" t="s">
        <v>42</v>
      </c>
      <c r="I28" s="125"/>
      <c r="J28" s="125"/>
    </row>
    <row r="29" spans="1:14" ht="19.95" customHeight="1" x14ac:dyDescent="0.3">
      <c r="A29" s="25"/>
      <c r="B29" s="25"/>
      <c r="C29" s="25"/>
      <c r="D29" s="25"/>
      <c r="E29" s="25"/>
      <c r="F29" s="48" t="s">
        <v>41</v>
      </c>
      <c r="G29" s="48" t="s">
        <v>68</v>
      </c>
      <c r="H29" s="48" t="s">
        <v>7</v>
      </c>
      <c r="I29" s="125"/>
      <c r="J29" s="125"/>
    </row>
    <row r="30" spans="1:14" ht="19.95" customHeight="1" x14ac:dyDescent="0.3">
      <c r="A30" s="25"/>
      <c r="B30" s="25"/>
      <c r="C30" s="25"/>
      <c r="D30" s="25"/>
      <c r="E30" s="25"/>
      <c r="F30" s="25"/>
      <c r="G30" s="25"/>
      <c r="H30" s="25"/>
    </row>
    <row r="31" spans="1:14" ht="19.95" customHeight="1" thickBot="1" x14ac:dyDescent="0.35">
      <c r="A31" s="25"/>
      <c r="B31" s="25"/>
      <c r="C31" s="25"/>
      <c r="D31" s="25"/>
      <c r="E31" s="25"/>
      <c r="F31" s="25"/>
      <c r="G31" s="25"/>
      <c r="H31" s="25"/>
    </row>
    <row r="32" spans="1:14" ht="39" customHeight="1" thickBot="1" x14ac:dyDescent="0.35">
      <c r="A32" s="25"/>
      <c r="B32" s="25"/>
      <c r="C32" s="25"/>
      <c r="D32" s="25"/>
      <c r="E32" s="25"/>
      <c r="F32" s="52" t="s">
        <v>72</v>
      </c>
      <c r="G32" s="105" t="s">
        <v>61</v>
      </c>
      <c r="H32" s="127" t="s">
        <v>63</v>
      </c>
      <c r="I32" s="128"/>
    </row>
    <row r="33" spans="3:13" ht="24" customHeight="1" x14ac:dyDescent="0.3">
      <c r="F33" s="54" t="s">
        <v>73</v>
      </c>
      <c r="G33" s="54" t="s">
        <v>74</v>
      </c>
      <c r="H33" s="129" t="s">
        <v>75</v>
      </c>
      <c r="I33" s="129"/>
    </row>
    <row r="34" spans="3:13" ht="24" customHeight="1" x14ac:dyDescent="0.3">
      <c r="F34" s="56" t="s">
        <v>76</v>
      </c>
      <c r="G34" s="56" t="s">
        <v>77</v>
      </c>
      <c r="H34" s="130" t="s">
        <v>78</v>
      </c>
      <c r="I34" s="130"/>
    </row>
    <row r="35" spans="3:13" ht="24" customHeight="1" x14ac:dyDescent="0.3">
      <c r="F35" s="55" t="s">
        <v>79</v>
      </c>
      <c r="G35" s="55" t="s">
        <v>80</v>
      </c>
      <c r="H35" s="115" t="s">
        <v>81</v>
      </c>
      <c r="I35" s="115"/>
    </row>
    <row r="36" spans="3:13" ht="24" customHeight="1" x14ac:dyDescent="0.3">
      <c r="F36" s="55" t="s">
        <v>82</v>
      </c>
      <c r="G36" s="55" t="s">
        <v>83</v>
      </c>
      <c r="H36" s="115" t="s">
        <v>84</v>
      </c>
      <c r="I36" s="115"/>
    </row>
    <row r="37" spans="3:13" ht="24" customHeight="1" x14ac:dyDescent="0.3">
      <c r="F37" s="55" t="s">
        <v>85</v>
      </c>
      <c r="G37" s="55" t="s">
        <v>86</v>
      </c>
      <c r="H37" s="115" t="s">
        <v>87</v>
      </c>
      <c r="I37" s="115"/>
    </row>
    <row r="38" spans="3:13" ht="24" customHeight="1" x14ac:dyDescent="0.3">
      <c r="F38" s="55" t="s">
        <v>88</v>
      </c>
      <c r="G38" s="55" t="s">
        <v>89</v>
      </c>
      <c r="H38" s="115" t="s">
        <v>90</v>
      </c>
      <c r="I38" s="115"/>
    </row>
    <row r="39" spans="3:13" ht="24" customHeight="1" x14ac:dyDescent="0.3">
      <c r="F39" s="55" t="s">
        <v>91</v>
      </c>
      <c r="G39" s="55" t="s">
        <v>92</v>
      </c>
      <c r="H39" s="115" t="s">
        <v>93</v>
      </c>
      <c r="I39" s="115"/>
    </row>
    <row r="40" spans="3:13" ht="24" customHeight="1" x14ac:dyDescent="0.3">
      <c r="F40" s="55" t="s">
        <v>94</v>
      </c>
      <c r="G40" s="55" t="s">
        <v>95</v>
      </c>
      <c r="H40" s="115" t="s">
        <v>96</v>
      </c>
      <c r="I40" s="115"/>
    </row>
    <row r="41" spans="3:13" ht="24" customHeight="1" x14ac:dyDescent="0.3">
      <c r="F41" s="55" t="s">
        <v>97</v>
      </c>
      <c r="G41" s="55" t="s">
        <v>98</v>
      </c>
      <c r="H41" s="115" t="s">
        <v>99</v>
      </c>
      <c r="I41" s="115"/>
    </row>
    <row r="42" spans="3:13" ht="19.95" customHeight="1" x14ac:dyDescent="0.3"/>
    <row r="43" spans="3:13" ht="24" customHeight="1" x14ac:dyDescent="0.3"/>
    <row r="44" spans="3:13" ht="24" customHeight="1" x14ac:dyDescent="0.3"/>
    <row r="45" spans="3:13" ht="24" customHeight="1" thickBot="1" x14ac:dyDescent="0.35">
      <c r="C45" s="117" t="s">
        <v>100</v>
      </c>
      <c r="D45" s="117"/>
      <c r="E45" s="58">
        <f>(100*N11)/N6</f>
        <v>24.001053951823561</v>
      </c>
    </row>
    <row r="46" spans="3:13" ht="36" customHeight="1" x14ac:dyDescent="0.3">
      <c r="F46" s="59" t="s">
        <v>101</v>
      </c>
      <c r="G46" s="60" t="s">
        <v>61</v>
      </c>
      <c r="H46" s="118" t="s">
        <v>63</v>
      </c>
      <c r="I46" s="118"/>
      <c r="J46" s="118"/>
      <c r="K46" s="118"/>
      <c r="L46" s="118" t="s">
        <v>115</v>
      </c>
      <c r="M46" s="144"/>
    </row>
    <row r="47" spans="3:13" ht="24" customHeight="1" x14ac:dyDescent="0.3">
      <c r="F47" s="61" t="s">
        <v>102</v>
      </c>
      <c r="G47" s="55" t="s">
        <v>103</v>
      </c>
      <c r="H47" s="145" t="s">
        <v>104</v>
      </c>
      <c r="I47" s="145"/>
      <c r="J47" s="145"/>
      <c r="K47" s="145"/>
      <c r="L47" s="138" t="s">
        <v>178</v>
      </c>
      <c r="M47" s="139"/>
    </row>
    <row r="48" spans="3:13" ht="24" customHeight="1" x14ac:dyDescent="0.3">
      <c r="F48" s="61" t="s">
        <v>105</v>
      </c>
      <c r="G48" s="55" t="s">
        <v>106</v>
      </c>
      <c r="H48" s="145" t="s">
        <v>107</v>
      </c>
      <c r="I48" s="145"/>
      <c r="J48" s="145"/>
      <c r="K48" s="145"/>
      <c r="L48" s="140"/>
      <c r="M48" s="141"/>
    </row>
    <row r="49" spans="6:14" ht="24" customHeight="1" x14ac:dyDescent="0.3">
      <c r="F49" s="61" t="s">
        <v>105</v>
      </c>
      <c r="G49" s="55" t="s">
        <v>108</v>
      </c>
      <c r="H49" s="145" t="s">
        <v>109</v>
      </c>
      <c r="I49" s="145"/>
      <c r="J49" s="145"/>
      <c r="K49" s="145"/>
      <c r="L49" s="140"/>
      <c r="M49" s="141"/>
    </row>
    <row r="50" spans="6:14" ht="24" customHeight="1" x14ac:dyDescent="0.3">
      <c r="F50" s="61" t="s">
        <v>110</v>
      </c>
      <c r="G50" s="55" t="s">
        <v>111</v>
      </c>
      <c r="H50" s="145" t="s">
        <v>112</v>
      </c>
      <c r="I50" s="145"/>
      <c r="J50" s="145"/>
      <c r="K50" s="145"/>
      <c r="L50" s="140"/>
      <c r="M50" s="141"/>
    </row>
    <row r="51" spans="6:14" ht="24" customHeight="1" thickBot="1" x14ac:dyDescent="0.35">
      <c r="F51" s="64" t="s">
        <v>110</v>
      </c>
      <c r="G51" s="65" t="s">
        <v>113</v>
      </c>
      <c r="H51" s="135" t="s">
        <v>114</v>
      </c>
      <c r="I51" s="135"/>
      <c r="J51" s="135"/>
      <c r="K51" s="135"/>
      <c r="L51" s="142"/>
      <c r="M51" s="143"/>
    </row>
    <row r="52" spans="6:14" ht="24" customHeight="1" thickBot="1" x14ac:dyDescent="0.35">
      <c r="F52" s="64" t="s">
        <v>110</v>
      </c>
      <c r="G52" s="65" t="s">
        <v>113</v>
      </c>
      <c r="H52" s="135" t="s">
        <v>114</v>
      </c>
      <c r="I52" s="135"/>
      <c r="J52" s="135"/>
      <c r="K52" s="135"/>
      <c r="L52" s="63"/>
      <c r="M52" s="67"/>
    </row>
    <row r="53" spans="6:14" ht="24" customHeight="1" x14ac:dyDescent="0.3"/>
    <row r="54" spans="6:14" ht="24" customHeight="1" x14ac:dyDescent="0.3"/>
    <row r="55" spans="6:14" ht="24" customHeight="1" thickBot="1" x14ac:dyDescent="0.35"/>
    <row r="56" spans="6:14" ht="39.6" customHeight="1" thickBot="1" x14ac:dyDescent="0.35">
      <c r="F56" s="69" t="s">
        <v>117</v>
      </c>
      <c r="G56" s="70" t="s">
        <v>61</v>
      </c>
      <c r="H56" s="137" t="s">
        <v>134</v>
      </c>
      <c r="I56" s="127"/>
      <c r="J56" s="128"/>
      <c r="L56" t="s">
        <v>138</v>
      </c>
      <c r="M56" t="s">
        <v>139</v>
      </c>
      <c r="N56" t="s">
        <v>119</v>
      </c>
    </row>
    <row r="57" spans="6:14" ht="24" customHeight="1" x14ac:dyDescent="0.3">
      <c r="F57" s="68" t="s">
        <v>118</v>
      </c>
      <c r="G57" s="54" t="s">
        <v>119</v>
      </c>
      <c r="H57" s="131" t="s">
        <v>136</v>
      </c>
      <c r="I57" s="131"/>
      <c r="J57" s="132"/>
      <c r="L57">
        <v>157.9</v>
      </c>
      <c r="M57">
        <v>204</v>
      </c>
      <c r="N57">
        <v>195.3</v>
      </c>
    </row>
    <row r="58" spans="6:14" ht="24" customHeight="1" x14ac:dyDescent="0.3">
      <c r="F58" s="66" t="s">
        <v>120</v>
      </c>
      <c r="G58" s="56" t="s">
        <v>121</v>
      </c>
      <c r="H58" s="133"/>
      <c r="I58" s="133"/>
      <c r="J58" s="134"/>
    </row>
    <row r="59" spans="6:14" ht="24" customHeight="1" x14ac:dyDescent="0.3">
      <c r="F59" s="61" t="s">
        <v>122</v>
      </c>
      <c r="G59" s="55" t="s">
        <v>123</v>
      </c>
      <c r="H59" s="133"/>
      <c r="I59" s="133"/>
      <c r="J59" s="134"/>
      <c r="L59" s="57">
        <f>(G6+H6+I6)/1086.65*100</f>
        <v>51.281339927960467</v>
      </c>
    </row>
    <row r="60" spans="6:14" ht="24" customHeight="1" x14ac:dyDescent="0.3">
      <c r="F60" s="61" t="s">
        <v>124</v>
      </c>
      <c r="G60" s="55" t="s">
        <v>125</v>
      </c>
      <c r="H60" s="133"/>
      <c r="I60" s="133"/>
      <c r="J60" s="134"/>
      <c r="L60" s="57">
        <f>(((G6+H6+I6)/1086.65)*100)</f>
        <v>51.281339927960467</v>
      </c>
    </row>
    <row r="61" spans="6:14" ht="24" customHeight="1" x14ac:dyDescent="0.3">
      <c r="F61" s="61" t="s">
        <v>126</v>
      </c>
      <c r="G61" s="55" t="s">
        <v>127</v>
      </c>
      <c r="H61" s="133"/>
      <c r="I61" s="133"/>
      <c r="J61" s="134"/>
    </row>
    <row r="62" spans="6:14" ht="24" customHeight="1" x14ac:dyDescent="0.3">
      <c r="F62" s="61" t="s">
        <v>128</v>
      </c>
      <c r="G62" s="55" t="s">
        <v>129</v>
      </c>
      <c r="H62" s="133"/>
      <c r="I62" s="133"/>
      <c r="J62" s="134"/>
    </row>
    <row r="63" spans="6:14" ht="24" customHeight="1" x14ac:dyDescent="0.3">
      <c r="F63" s="61" t="s">
        <v>130</v>
      </c>
      <c r="G63" s="55" t="s">
        <v>131</v>
      </c>
      <c r="H63" s="133"/>
      <c r="I63" s="133"/>
      <c r="J63" s="134"/>
    </row>
    <row r="64" spans="6:14" ht="24" customHeight="1" thickBot="1" x14ac:dyDescent="0.35">
      <c r="F64" s="62" t="s">
        <v>132</v>
      </c>
      <c r="G64" s="63" t="s">
        <v>133</v>
      </c>
      <c r="H64" s="135"/>
      <c r="I64" s="135"/>
      <c r="J64" s="136"/>
    </row>
    <row r="65" spans="1:16" ht="24" customHeight="1" x14ac:dyDescent="0.3"/>
    <row r="66" spans="1:16" ht="24" customHeight="1" thickBot="1" x14ac:dyDescent="0.35">
      <c r="F66" s="117" t="s">
        <v>140</v>
      </c>
      <c r="G66" s="117"/>
      <c r="H66" s="117"/>
      <c r="I66" s="117"/>
      <c r="J66" s="117"/>
    </row>
    <row r="67" spans="1:16" ht="24" customHeight="1" x14ac:dyDescent="0.3">
      <c r="F67" s="59" t="s">
        <v>53</v>
      </c>
      <c r="G67" s="118" t="s">
        <v>63</v>
      </c>
      <c r="H67" s="118"/>
      <c r="I67" s="74" t="s">
        <v>141</v>
      </c>
      <c r="K67" t="s">
        <v>179</v>
      </c>
      <c r="L67">
        <v>31.98</v>
      </c>
    </row>
    <row r="68" spans="1:16" ht="24" customHeight="1" x14ac:dyDescent="0.3">
      <c r="F68" s="61" t="s">
        <v>142</v>
      </c>
      <c r="G68" s="115" t="s">
        <v>68</v>
      </c>
      <c r="H68" s="115"/>
      <c r="I68" s="75" t="s">
        <v>143</v>
      </c>
      <c r="K68" t="s">
        <v>156</v>
      </c>
    </row>
    <row r="69" spans="1:16" ht="24" customHeight="1" x14ac:dyDescent="0.3">
      <c r="F69" s="61" t="s">
        <v>154</v>
      </c>
      <c r="G69" s="115" t="s">
        <v>144</v>
      </c>
      <c r="H69" s="115"/>
      <c r="I69" s="75" t="s">
        <v>145</v>
      </c>
    </row>
    <row r="70" spans="1:16" ht="24" customHeight="1" x14ac:dyDescent="0.3">
      <c r="F70" s="61" t="s">
        <v>146</v>
      </c>
      <c r="G70" s="115" t="s">
        <v>67</v>
      </c>
      <c r="H70" s="115"/>
      <c r="I70" s="75" t="s">
        <v>145</v>
      </c>
      <c r="K70" t="s">
        <v>157</v>
      </c>
    </row>
    <row r="71" spans="1:16" ht="24" customHeight="1" thickBot="1" x14ac:dyDescent="0.35">
      <c r="F71" s="61" t="s">
        <v>147</v>
      </c>
      <c r="G71" s="115" t="s">
        <v>148</v>
      </c>
      <c r="H71" s="115"/>
      <c r="I71" s="75" t="s">
        <v>149</v>
      </c>
      <c r="N71" s="73"/>
      <c r="O71" s="73"/>
      <c r="P71" s="73"/>
    </row>
    <row r="72" spans="1:16" ht="24" customHeight="1" thickBot="1" x14ac:dyDescent="0.35">
      <c r="F72" s="61" t="s">
        <v>150</v>
      </c>
      <c r="G72" s="115" t="s">
        <v>62</v>
      </c>
      <c r="H72" s="115"/>
      <c r="I72" s="75" t="s">
        <v>151</v>
      </c>
      <c r="N72" s="73"/>
      <c r="O72" s="73"/>
      <c r="P72" s="73"/>
    </row>
    <row r="73" spans="1:16" ht="24" customHeight="1" thickBot="1" x14ac:dyDescent="0.35">
      <c r="F73" s="62" t="s">
        <v>152</v>
      </c>
      <c r="G73" s="116" t="s">
        <v>64</v>
      </c>
      <c r="H73" s="116"/>
      <c r="I73" s="67" t="s">
        <v>153</v>
      </c>
      <c r="N73" s="73"/>
      <c r="O73" s="73"/>
      <c r="P73" s="73"/>
    </row>
    <row r="74" spans="1:16" ht="24" customHeight="1" thickBot="1" x14ac:dyDescent="0.35">
      <c r="N74" s="73"/>
      <c r="O74" s="73"/>
      <c r="P74" s="73"/>
    </row>
    <row r="75" spans="1:16" ht="24" customHeight="1" thickBot="1" x14ac:dyDescent="0.35">
      <c r="N75" s="80"/>
      <c r="O75" s="80"/>
      <c r="P75" s="73"/>
    </row>
    <row r="76" spans="1:16" ht="30" customHeight="1" thickBot="1" x14ac:dyDescent="0.35">
      <c r="B76" s="81" t="s">
        <v>55</v>
      </c>
      <c r="C76" s="93" t="s">
        <v>0</v>
      </c>
      <c r="D76" s="93" t="s">
        <v>160</v>
      </c>
      <c r="E76" s="93" t="s">
        <v>2</v>
      </c>
      <c r="F76" s="93" t="s">
        <v>3</v>
      </c>
      <c r="G76" s="93" t="s">
        <v>2</v>
      </c>
      <c r="H76" s="93" t="s">
        <v>4</v>
      </c>
      <c r="I76" s="93" t="s">
        <v>5</v>
      </c>
      <c r="J76" s="93" t="s">
        <v>6</v>
      </c>
      <c r="K76" s="93" t="s">
        <v>7</v>
      </c>
      <c r="L76" s="93" t="s">
        <v>7</v>
      </c>
      <c r="M76" s="93" t="s">
        <v>8</v>
      </c>
      <c r="N76" s="93" t="s">
        <v>6</v>
      </c>
      <c r="O76" s="94" t="s">
        <v>161</v>
      </c>
      <c r="P76" s="79"/>
    </row>
    <row r="77" spans="1:16" ht="30" customHeight="1" thickBot="1" x14ac:dyDescent="0.35">
      <c r="A77" s="71"/>
      <c r="B77" s="82" t="s">
        <v>162</v>
      </c>
      <c r="C77" s="92">
        <v>19.713636363636365</v>
      </c>
      <c r="D77" s="92">
        <v>22.111363636363642</v>
      </c>
      <c r="E77" s="92">
        <v>26.799999999999997</v>
      </c>
      <c r="F77" s="92">
        <v>32.250000000000007</v>
      </c>
      <c r="G77" s="92">
        <v>36.668181818181829</v>
      </c>
      <c r="H77" s="92">
        <v>39.331818181818178</v>
      </c>
      <c r="I77" s="92">
        <v>40.634090909090929</v>
      </c>
      <c r="J77" s="92">
        <v>41.088636363636368</v>
      </c>
      <c r="K77" s="92">
        <v>38.925000000000004</v>
      </c>
      <c r="L77" s="92">
        <v>35.420454545454533</v>
      </c>
      <c r="M77" s="92">
        <v>28.695454545454542</v>
      </c>
      <c r="N77" s="92">
        <v>22.179545454545455</v>
      </c>
      <c r="O77" s="92">
        <v>31.984848484848488</v>
      </c>
      <c r="P77" s="79"/>
    </row>
    <row r="78" spans="1:16" ht="30" customHeight="1" thickBot="1" x14ac:dyDescent="0.35">
      <c r="A78" s="114" t="s">
        <v>180</v>
      </c>
      <c r="B78" s="83" t="s">
        <v>163</v>
      </c>
      <c r="C78" s="92">
        <v>104.4</v>
      </c>
      <c r="D78" s="92">
        <v>80</v>
      </c>
      <c r="E78" s="92">
        <v>99.7</v>
      </c>
      <c r="F78" s="92">
        <v>80.2</v>
      </c>
      <c r="G78" s="92">
        <v>82.5</v>
      </c>
      <c r="H78" s="92">
        <v>52.5</v>
      </c>
      <c r="I78" s="92">
        <v>24</v>
      </c>
      <c r="J78" s="92">
        <v>23.3</v>
      </c>
      <c r="K78" s="92">
        <v>27.9</v>
      </c>
      <c r="L78" s="92">
        <v>48.6</v>
      </c>
      <c r="M78" s="92">
        <v>73.8</v>
      </c>
      <c r="N78" s="92">
        <v>107.6</v>
      </c>
      <c r="O78" s="92">
        <v>804.49999999999989</v>
      </c>
      <c r="P78" s="79"/>
    </row>
    <row r="79" spans="1:16" ht="30" customHeight="1" thickBot="1" x14ac:dyDescent="0.35">
      <c r="A79" s="72"/>
      <c r="B79" s="83" t="s">
        <v>158</v>
      </c>
      <c r="C79" s="96">
        <f>(12*C78)/C77</f>
        <v>63.54991929905465</v>
      </c>
      <c r="D79" s="96">
        <f t="shared" ref="D79:N79" si="9">(12*D78)/D77</f>
        <v>43.41658957755164</v>
      </c>
      <c r="E79" s="96">
        <f t="shared" si="9"/>
        <v>44.641791044776127</v>
      </c>
      <c r="F79" s="96">
        <f t="shared" si="9"/>
        <v>29.841860465116277</v>
      </c>
      <c r="G79" s="96">
        <f t="shared" si="9"/>
        <v>26.998884343622155</v>
      </c>
      <c r="H79" s="96">
        <f t="shared" si="9"/>
        <v>16.017566162024732</v>
      </c>
      <c r="I79" s="96">
        <f t="shared" si="9"/>
        <v>7.087644722859217</v>
      </c>
      <c r="J79" s="96">
        <f t="shared" si="9"/>
        <v>6.8048011505061119</v>
      </c>
      <c r="K79" s="96">
        <f t="shared" si="9"/>
        <v>8.6011560693641602</v>
      </c>
      <c r="L79" s="96">
        <f t="shared" si="9"/>
        <v>16.465062560154003</v>
      </c>
      <c r="M79" s="96">
        <f t="shared" si="9"/>
        <v>30.862030730239191</v>
      </c>
      <c r="N79" s="96">
        <f t="shared" si="9"/>
        <v>58.215800799262212</v>
      </c>
      <c r="O79" s="95">
        <f>O78/O77</f>
        <v>25.15253434391283</v>
      </c>
      <c r="P79" s="79"/>
    </row>
    <row r="80" spans="1:16" ht="48.6" customHeight="1" thickBot="1" x14ac:dyDescent="0.35">
      <c r="A80" s="72"/>
      <c r="B80" s="84" t="s">
        <v>63</v>
      </c>
      <c r="C80" s="87" t="s">
        <v>64</v>
      </c>
      <c r="D80" s="88" t="s">
        <v>62</v>
      </c>
      <c r="E80" s="88" t="s">
        <v>62</v>
      </c>
      <c r="F80" s="91" t="s">
        <v>65</v>
      </c>
      <c r="G80" s="91" t="s">
        <v>65</v>
      </c>
      <c r="H80" s="103" t="s">
        <v>67</v>
      </c>
      <c r="I80" s="90" t="s">
        <v>68</v>
      </c>
      <c r="J80" s="90" t="s">
        <v>174</v>
      </c>
      <c r="K80" s="89" t="s">
        <v>144</v>
      </c>
      <c r="L80" s="103" t="s">
        <v>67</v>
      </c>
      <c r="M80" s="91" t="s">
        <v>65</v>
      </c>
      <c r="N80" s="87" t="s">
        <v>64</v>
      </c>
      <c r="O80" s="87" t="s">
        <v>65</v>
      </c>
      <c r="P80" s="79"/>
    </row>
    <row r="81" spans="1:16" ht="24" customHeight="1" thickBot="1" x14ac:dyDescent="0.35">
      <c r="A81" s="72"/>
      <c r="B81" s="72"/>
      <c r="C81" s="72"/>
      <c r="D81" s="72"/>
      <c r="E81" s="72"/>
      <c r="F81" s="72"/>
      <c r="G81" s="72"/>
      <c r="H81" s="72"/>
      <c r="I81" s="72"/>
      <c r="J81" s="72"/>
      <c r="K81" s="72"/>
      <c r="L81" s="72"/>
      <c r="M81" s="72"/>
      <c r="N81" s="73"/>
      <c r="O81" s="73"/>
      <c r="P81" s="73"/>
    </row>
    <row r="82" spans="1:16" ht="24" customHeight="1" thickBot="1" x14ac:dyDescent="0.35">
      <c r="A82" s="72"/>
      <c r="B82" s="72"/>
      <c r="C82" s="72"/>
      <c r="D82" s="78"/>
    </row>
    <row r="83" spans="1:16" ht="24" customHeight="1" thickBot="1" x14ac:dyDescent="0.35">
      <c r="A83" s="72"/>
      <c r="B83" s="98"/>
      <c r="C83" s="99"/>
      <c r="D83" s="72"/>
    </row>
    <row r="84" spans="1:16" ht="24" customHeight="1" thickBot="1" x14ac:dyDescent="0.35">
      <c r="A84" s="72"/>
      <c r="B84" s="76" t="s">
        <v>171</v>
      </c>
      <c r="C84" s="77" t="s">
        <v>63</v>
      </c>
      <c r="D84" s="97"/>
    </row>
    <row r="85" spans="1:16" ht="24" customHeight="1" x14ac:dyDescent="0.3">
      <c r="B85" s="100" t="s">
        <v>166</v>
      </c>
      <c r="C85" s="85" t="s">
        <v>159</v>
      </c>
    </row>
    <row r="86" spans="1:16" ht="24" customHeight="1" x14ac:dyDescent="0.3">
      <c r="A86" s="113" t="s">
        <v>181</v>
      </c>
      <c r="B86" s="101" t="s">
        <v>172</v>
      </c>
      <c r="C86" s="85" t="s">
        <v>67</v>
      </c>
      <c r="I86">
        <v>212.28</v>
      </c>
    </row>
    <row r="87" spans="1:16" ht="24" customHeight="1" x14ac:dyDescent="0.3">
      <c r="B87" s="101" t="s">
        <v>173</v>
      </c>
      <c r="C87" s="85" t="s">
        <v>167</v>
      </c>
      <c r="F87">
        <v>1629.6</v>
      </c>
      <c r="G87">
        <v>22.3</v>
      </c>
      <c r="I87">
        <v>58.8</v>
      </c>
    </row>
    <row r="88" spans="1:16" ht="24" customHeight="1" x14ac:dyDescent="0.3">
      <c r="B88" s="100" t="s">
        <v>168</v>
      </c>
      <c r="C88" s="85" t="s">
        <v>65</v>
      </c>
    </row>
    <row r="89" spans="1:16" ht="24" customHeight="1" x14ac:dyDescent="0.3">
      <c r="B89" s="100" t="s">
        <v>169</v>
      </c>
      <c r="C89" s="85" t="s">
        <v>62</v>
      </c>
    </row>
    <row r="90" spans="1:16" ht="24" customHeight="1" thickBot="1" x14ac:dyDescent="0.35">
      <c r="B90" s="102" t="s">
        <v>170</v>
      </c>
      <c r="C90" s="86" t="s">
        <v>64</v>
      </c>
    </row>
    <row r="91" spans="1:16" ht="24" customHeight="1" thickBot="1" x14ac:dyDescent="0.35"/>
    <row r="92" spans="1:16" ht="30" customHeight="1" x14ac:dyDescent="0.3">
      <c r="C92" s="81" t="s">
        <v>55</v>
      </c>
      <c r="D92" s="93" t="s">
        <v>0</v>
      </c>
      <c r="E92" s="93" t="s">
        <v>160</v>
      </c>
      <c r="F92" s="93" t="s">
        <v>2</v>
      </c>
      <c r="G92" s="93" t="s">
        <v>3</v>
      </c>
      <c r="H92" s="93" t="s">
        <v>2</v>
      </c>
      <c r="I92" s="93" t="s">
        <v>4</v>
      </c>
      <c r="J92" s="93" t="s">
        <v>5</v>
      </c>
      <c r="K92" s="93" t="s">
        <v>6</v>
      </c>
      <c r="L92" s="93" t="s">
        <v>7</v>
      </c>
      <c r="M92" s="93" t="s">
        <v>7</v>
      </c>
      <c r="N92" s="93" t="s">
        <v>8</v>
      </c>
      <c r="O92" s="93" t="s">
        <v>6</v>
      </c>
      <c r="P92" s="94" t="s">
        <v>161</v>
      </c>
    </row>
    <row r="93" spans="1:16" ht="30" customHeight="1" x14ac:dyDescent="0.3">
      <c r="C93" s="82" t="s">
        <v>162</v>
      </c>
      <c r="D93" s="92">
        <v>19.713636363636365</v>
      </c>
      <c r="E93" s="92">
        <v>22.111363636363642</v>
      </c>
      <c r="F93" s="92">
        <v>26.799999999999997</v>
      </c>
      <c r="G93" s="92">
        <v>32.250000000000007</v>
      </c>
      <c r="H93" s="92">
        <v>36.668181818181829</v>
      </c>
      <c r="I93" s="92">
        <v>39.331818181818178</v>
      </c>
      <c r="J93" s="92">
        <v>40.634090909090929</v>
      </c>
      <c r="K93" s="92">
        <v>41.088636363636368</v>
      </c>
      <c r="L93" s="92">
        <v>38.925000000000004</v>
      </c>
      <c r="M93" s="92">
        <v>35.420454545454533</v>
      </c>
      <c r="N93" s="92">
        <v>28.695454545454542</v>
      </c>
      <c r="O93" s="92">
        <v>22.179545454545455</v>
      </c>
      <c r="P93" s="92">
        <v>31.984848484848488</v>
      </c>
    </row>
    <row r="94" spans="1:16" ht="30" customHeight="1" x14ac:dyDescent="0.3">
      <c r="C94" s="83" t="s">
        <v>163</v>
      </c>
      <c r="D94" s="92">
        <v>104.4</v>
      </c>
      <c r="E94" s="92">
        <v>80</v>
      </c>
      <c r="F94" s="92">
        <v>99.7</v>
      </c>
      <c r="G94" s="92">
        <v>80.2</v>
      </c>
      <c r="H94" s="92">
        <v>82.5</v>
      </c>
      <c r="I94" s="92">
        <v>52.5</v>
      </c>
      <c r="J94" s="92">
        <v>24</v>
      </c>
      <c r="K94" s="92">
        <v>23.3</v>
      </c>
      <c r="L94" s="92">
        <v>27.9</v>
      </c>
      <c r="M94" s="92">
        <v>48.6</v>
      </c>
      <c r="N94" s="92">
        <v>73.8</v>
      </c>
      <c r="O94" s="92">
        <v>107.6</v>
      </c>
      <c r="P94" s="92">
        <v>804.49999999999989</v>
      </c>
    </row>
    <row r="95" spans="1:16" ht="30" customHeight="1" x14ac:dyDescent="0.3">
      <c r="C95" s="83" t="s">
        <v>158</v>
      </c>
      <c r="D95" s="96">
        <f>(12*D94)/(D93+10)</f>
        <v>42.162459843965124</v>
      </c>
      <c r="E95" s="96">
        <f t="shared" ref="E95:O95" si="10">(12*E94)/(E93+10)</f>
        <v>29.895958666572295</v>
      </c>
      <c r="F95" s="96">
        <f t="shared" si="10"/>
        <v>32.510869565217398</v>
      </c>
      <c r="G95" s="96">
        <f t="shared" si="10"/>
        <v>22.778698224852068</v>
      </c>
      <c r="H95" s="96">
        <f t="shared" si="10"/>
        <v>21.213596961137622</v>
      </c>
      <c r="I95" s="96">
        <f t="shared" si="10"/>
        <v>12.770662489634203</v>
      </c>
      <c r="J95" s="96">
        <f t="shared" si="10"/>
        <v>5.687867498541225</v>
      </c>
      <c r="K95" s="96">
        <f t="shared" si="10"/>
        <v>5.4728413185639928</v>
      </c>
      <c r="L95" s="96">
        <f t="shared" si="10"/>
        <v>6.843127235564638</v>
      </c>
      <c r="M95" s="96">
        <f t="shared" si="10"/>
        <v>12.840030022516892</v>
      </c>
      <c r="N95" s="96">
        <f t="shared" si="10"/>
        <v>22.886409021496537</v>
      </c>
      <c r="O95" s="96">
        <f t="shared" si="10"/>
        <v>40.124867575393736</v>
      </c>
      <c r="P95" s="95">
        <f>P94/(P93+10)</f>
        <v>19.161674485745216</v>
      </c>
    </row>
    <row r="96" spans="1:16" ht="30" customHeight="1" thickBot="1" x14ac:dyDescent="0.35">
      <c r="C96" s="84" t="s">
        <v>63</v>
      </c>
      <c r="D96" s="88" t="s">
        <v>62</v>
      </c>
      <c r="E96" s="91" t="s">
        <v>65</v>
      </c>
      <c r="F96" s="88" t="s">
        <v>62</v>
      </c>
      <c r="G96" s="91" t="s">
        <v>65</v>
      </c>
      <c r="H96" s="91" t="s">
        <v>65</v>
      </c>
      <c r="I96" s="89" t="s">
        <v>175</v>
      </c>
      <c r="J96" s="104" t="s">
        <v>67</v>
      </c>
      <c r="K96" s="104" t="s">
        <v>67</v>
      </c>
      <c r="L96" s="104" t="s">
        <v>67</v>
      </c>
      <c r="M96" s="89" t="s">
        <v>175</v>
      </c>
      <c r="N96" s="91" t="s">
        <v>65</v>
      </c>
      <c r="O96" s="88" t="s">
        <v>62</v>
      </c>
      <c r="P96" s="89" t="s">
        <v>175</v>
      </c>
    </row>
    <row r="97" ht="30" customHeight="1" x14ac:dyDescent="0.3"/>
    <row r="98" ht="30" customHeight="1" x14ac:dyDescent="0.3"/>
    <row r="99" ht="30" customHeight="1" x14ac:dyDescent="0.3"/>
    <row r="100" ht="30" customHeight="1" x14ac:dyDescent="0.3"/>
    <row r="101" ht="30" customHeight="1" x14ac:dyDescent="0.3"/>
    <row r="102" ht="30" customHeight="1" x14ac:dyDescent="0.3"/>
    <row r="103" ht="30" customHeight="1" x14ac:dyDescent="0.3"/>
    <row r="104" ht="30" customHeight="1" x14ac:dyDescent="0.3"/>
    <row r="105" ht="30" customHeight="1" x14ac:dyDescent="0.3"/>
    <row r="106" ht="30" customHeight="1" x14ac:dyDescent="0.3"/>
    <row r="107" ht="24" customHeight="1" x14ac:dyDescent="0.3"/>
    <row r="108" ht="24" customHeight="1" x14ac:dyDescent="0.3"/>
    <row r="109" ht="24" customHeight="1" x14ac:dyDescent="0.3"/>
    <row r="110" ht="24" customHeight="1" x14ac:dyDescent="0.3"/>
    <row r="111" ht="24" customHeight="1" x14ac:dyDescent="0.3"/>
    <row r="112" ht="24" customHeight="1" x14ac:dyDescent="0.3"/>
    <row r="113" ht="24" customHeight="1" x14ac:dyDescent="0.3"/>
    <row r="114" ht="24" customHeight="1" x14ac:dyDescent="0.3"/>
    <row r="115" ht="24" customHeight="1" x14ac:dyDescent="0.3"/>
    <row r="116" ht="24" customHeight="1" x14ac:dyDescent="0.3"/>
    <row r="117" ht="24" customHeight="1" x14ac:dyDescent="0.3"/>
    <row r="118" ht="24" customHeight="1" x14ac:dyDescent="0.3"/>
    <row r="119" ht="24" customHeight="1" x14ac:dyDescent="0.3"/>
    <row r="120" ht="24" customHeight="1" x14ac:dyDescent="0.3"/>
    <row r="121" ht="24" customHeight="1" x14ac:dyDescent="0.3"/>
    <row r="122" ht="24" customHeight="1" x14ac:dyDescent="0.3"/>
    <row r="123" ht="24" customHeight="1" x14ac:dyDescent="0.3"/>
    <row r="124" ht="24" customHeight="1" x14ac:dyDescent="0.3"/>
    <row r="125" ht="24" customHeight="1" x14ac:dyDescent="0.3"/>
    <row r="126" ht="24" customHeight="1" x14ac:dyDescent="0.3"/>
    <row r="127" ht="24" customHeight="1" x14ac:dyDescent="0.3"/>
    <row r="128" ht="24" customHeight="1" x14ac:dyDescent="0.3"/>
    <row r="129" ht="24" customHeight="1" x14ac:dyDescent="0.3"/>
    <row r="130" ht="24" customHeight="1" x14ac:dyDescent="0.3"/>
    <row r="131" ht="24" customHeight="1" x14ac:dyDescent="0.3"/>
    <row r="132" ht="24" customHeight="1" x14ac:dyDescent="0.3"/>
    <row r="133" ht="24" customHeight="1" x14ac:dyDescent="0.3"/>
    <row r="134" ht="24" customHeight="1" x14ac:dyDescent="0.3"/>
    <row r="135" ht="24" customHeight="1" x14ac:dyDescent="0.3"/>
    <row r="136" ht="24" customHeight="1" x14ac:dyDescent="0.3"/>
    <row r="137" ht="24" customHeight="1" x14ac:dyDescent="0.3"/>
    <row r="138" ht="24" customHeight="1" x14ac:dyDescent="0.3"/>
    <row r="139" ht="24" customHeight="1" x14ac:dyDescent="0.3"/>
    <row r="140" ht="24" customHeight="1" x14ac:dyDescent="0.3"/>
    <row r="141" ht="24" customHeight="1" x14ac:dyDescent="0.3"/>
    <row r="142" ht="24" customHeight="1" x14ac:dyDescent="0.3"/>
    <row r="143" ht="24" customHeight="1" x14ac:dyDescent="0.3"/>
    <row r="144" ht="24" customHeight="1" x14ac:dyDescent="0.3"/>
    <row r="145" ht="24" customHeight="1" x14ac:dyDescent="0.3"/>
    <row r="146" ht="24" customHeight="1" x14ac:dyDescent="0.3"/>
    <row r="147" ht="24" customHeight="1" x14ac:dyDescent="0.3"/>
    <row r="148" ht="24" customHeight="1" x14ac:dyDescent="0.3"/>
    <row r="149" ht="24" customHeight="1" x14ac:dyDescent="0.3"/>
    <row r="150" ht="24" customHeight="1" x14ac:dyDescent="0.3"/>
    <row r="151" ht="24" customHeight="1" x14ac:dyDescent="0.3"/>
    <row r="152" ht="24" customHeight="1" x14ac:dyDescent="0.3"/>
    <row r="153" ht="24" customHeight="1" x14ac:dyDescent="0.3"/>
    <row r="154" ht="24" customHeight="1" x14ac:dyDescent="0.3"/>
    <row r="155" ht="24" customHeight="1" x14ac:dyDescent="0.3"/>
    <row r="156" ht="24" customHeight="1" x14ac:dyDescent="0.3"/>
    <row r="157" ht="24" customHeight="1" x14ac:dyDescent="0.3"/>
    <row r="158" ht="24" customHeight="1" x14ac:dyDescent="0.3"/>
    <row r="159" ht="24" customHeight="1" x14ac:dyDescent="0.3"/>
    <row r="160" ht="24" customHeight="1" x14ac:dyDescent="0.3"/>
    <row r="161" ht="24" customHeight="1" x14ac:dyDescent="0.3"/>
    <row r="162" ht="24" customHeight="1" x14ac:dyDescent="0.3"/>
    <row r="163" ht="24" customHeight="1" x14ac:dyDescent="0.3"/>
    <row r="164" ht="24" customHeight="1" x14ac:dyDescent="0.3"/>
    <row r="165" ht="24" customHeight="1" x14ac:dyDescent="0.3"/>
    <row r="166" ht="24" customHeight="1" x14ac:dyDescent="0.3"/>
    <row r="167" ht="24" customHeight="1" x14ac:dyDescent="0.3"/>
    <row r="168" ht="24" customHeight="1" x14ac:dyDescent="0.3"/>
    <row r="169" ht="24" customHeight="1" x14ac:dyDescent="0.3"/>
    <row r="170" ht="24" customHeight="1" x14ac:dyDescent="0.3"/>
    <row r="171" ht="24" customHeight="1" x14ac:dyDescent="0.3"/>
    <row r="172" ht="24" customHeight="1" x14ac:dyDescent="0.3"/>
    <row r="173" ht="24" customHeight="1" x14ac:dyDescent="0.3"/>
    <row r="174" ht="24" customHeight="1" x14ac:dyDescent="0.3"/>
    <row r="175" ht="24" customHeight="1" x14ac:dyDescent="0.3"/>
    <row r="176" ht="24" customHeight="1" x14ac:dyDescent="0.3"/>
    <row r="177" ht="24" customHeight="1" x14ac:dyDescent="0.3"/>
    <row r="178" ht="24" customHeight="1" x14ac:dyDescent="0.3"/>
    <row r="179" ht="24" customHeight="1" x14ac:dyDescent="0.3"/>
    <row r="180" ht="24" customHeight="1" x14ac:dyDescent="0.3"/>
    <row r="181" ht="24" customHeight="1" x14ac:dyDescent="0.3"/>
    <row r="182" ht="24" customHeight="1" x14ac:dyDescent="0.3"/>
    <row r="183" ht="24" customHeight="1" x14ac:dyDescent="0.3"/>
    <row r="184" ht="24" customHeight="1" x14ac:dyDescent="0.3"/>
    <row r="185" ht="24" customHeight="1" x14ac:dyDescent="0.3"/>
    <row r="186" ht="24" customHeight="1" x14ac:dyDescent="0.3"/>
    <row r="187" ht="24" customHeight="1" x14ac:dyDescent="0.3"/>
    <row r="188" ht="24" customHeight="1" x14ac:dyDescent="0.3"/>
    <row r="189" ht="24" customHeight="1" x14ac:dyDescent="0.3"/>
    <row r="190" ht="24" customHeight="1" x14ac:dyDescent="0.3"/>
    <row r="191" ht="24" customHeight="1" x14ac:dyDescent="0.3"/>
    <row r="192" ht="24" customHeight="1" x14ac:dyDescent="0.3"/>
    <row r="193" ht="24" customHeight="1" x14ac:dyDescent="0.3"/>
    <row r="194" ht="24" customHeight="1" x14ac:dyDescent="0.3"/>
    <row r="195" ht="24" customHeight="1" x14ac:dyDescent="0.3"/>
    <row r="196" ht="24" customHeight="1" x14ac:dyDescent="0.3"/>
    <row r="197" ht="24" customHeight="1" x14ac:dyDescent="0.3"/>
    <row r="198" ht="24" customHeight="1" x14ac:dyDescent="0.3"/>
    <row r="199" ht="24" customHeight="1" x14ac:dyDescent="0.3"/>
    <row r="200" ht="24" customHeight="1" x14ac:dyDescent="0.3"/>
    <row r="201" ht="24" customHeight="1" x14ac:dyDescent="0.3"/>
    <row r="202" ht="24" customHeight="1" x14ac:dyDescent="0.3"/>
    <row r="203" ht="24" customHeight="1" x14ac:dyDescent="0.3"/>
    <row r="204" ht="24" customHeight="1" x14ac:dyDescent="0.3"/>
    <row r="205" ht="24" customHeight="1" x14ac:dyDescent="0.3"/>
    <row r="206" ht="24" customHeight="1" x14ac:dyDescent="0.3"/>
    <row r="207" ht="24" customHeight="1" x14ac:dyDescent="0.3"/>
    <row r="208" ht="24" customHeight="1" x14ac:dyDescent="0.3"/>
    <row r="209" ht="24" customHeight="1" x14ac:dyDescent="0.3"/>
    <row r="210" ht="24" customHeight="1" x14ac:dyDescent="0.3"/>
    <row r="211" ht="24" customHeight="1" x14ac:dyDescent="0.3"/>
    <row r="212" ht="24" customHeight="1" x14ac:dyDescent="0.3"/>
    <row r="213" ht="24" customHeight="1" x14ac:dyDescent="0.3"/>
    <row r="214" ht="24" customHeight="1" x14ac:dyDescent="0.3"/>
  </sheetData>
  <mergeCells count="41">
    <mergeCell ref="G69:H69"/>
    <mergeCell ref="G70:H70"/>
    <mergeCell ref="G71:H71"/>
    <mergeCell ref="G72:H72"/>
    <mergeCell ref="G73:H73"/>
    <mergeCell ref="G68:H68"/>
    <mergeCell ref="H46:K46"/>
    <mergeCell ref="L46:M46"/>
    <mergeCell ref="H47:K47"/>
    <mergeCell ref="L47:M51"/>
    <mergeCell ref="H48:K48"/>
    <mergeCell ref="H49:K49"/>
    <mergeCell ref="H50:K50"/>
    <mergeCell ref="H51:K51"/>
    <mergeCell ref="H52:K52"/>
    <mergeCell ref="H56:J56"/>
    <mergeCell ref="H57:J64"/>
    <mergeCell ref="F66:J66"/>
    <mergeCell ref="G67:H67"/>
    <mergeCell ref="A19:G19"/>
    <mergeCell ref="C45:D45"/>
    <mergeCell ref="I27:J29"/>
    <mergeCell ref="H32:I32"/>
    <mergeCell ref="H33:I33"/>
    <mergeCell ref="H34:I34"/>
    <mergeCell ref="H35:I35"/>
    <mergeCell ref="H36:I36"/>
    <mergeCell ref="A20:D28"/>
    <mergeCell ref="I20:J20"/>
    <mergeCell ref="I21:J26"/>
    <mergeCell ref="H37:I37"/>
    <mergeCell ref="H38:I38"/>
    <mergeCell ref="H39:I39"/>
    <mergeCell ref="H40:I40"/>
    <mergeCell ref="H41:I41"/>
    <mergeCell ref="L23:M23"/>
    <mergeCell ref="L24:M24"/>
    <mergeCell ref="R2:AC2"/>
    <mergeCell ref="R3:AD3"/>
    <mergeCell ref="P10:V10"/>
    <mergeCell ref="P11:W1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zoomScaleNormal="100" workbookViewId="0">
      <selection activeCell="C15" sqref="C15"/>
    </sheetView>
  </sheetViews>
  <sheetFormatPr defaultRowHeight="14.4" x14ac:dyDescent="0.3"/>
  <cols>
    <col min="1" max="1" width="35.33203125" customWidth="1"/>
    <col min="2" max="13" width="9" customWidth="1"/>
    <col min="14" max="14" width="13.77734375" customWidth="1"/>
    <col min="16" max="16" width="28.21875" customWidth="1"/>
    <col min="17" max="17" width="18.21875" customWidth="1"/>
  </cols>
  <sheetData>
    <row r="1" spans="1:30" ht="25.05" customHeight="1" x14ac:dyDescent="0.3">
      <c r="A1" s="21" t="s">
        <v>71</v>
      </c>
      <c r="B1" s="6" t="s">
        <v>0</v>
      </c>
      <c r="C1" s="6" t="s">
        <v>1</v>
      </c>
      <c r="D1" s="6" t="s">
        <v>2</v>
      </c>
      <c r="E1" s="6" t="s">
        <v>3</v>
      </c>
      <c r="F1" s="6" t="s">
        <v>2</v>
      </c>
      <c r="G1" s="6" t="s">
        <v>4</v>
      </c>
      <c r="H1" s="6" t="s">
        <v>5</v>
      </c>
      <c r="I1" s="6" t="s">
        <v>6</v>
      </c>
      <c r="J1" s="6" t="s">
        <v>7</v>
      </c>
      <c r="K1" s="6" t="s">
        <v>7</v>
      </c>
      <c r="L1" s="6" t="s">
        <v>8</v>
      </c>
      <c r="M1" s="6" t="s">
        <v>6</v>
      </c>
      <c r="N1" s="7" t="s">
        <v>9</v>
      </c>
    </row>
    <row r="2" spans="1:30" ht="25.05" customHeight="1" x14ac:dyDescent="0.3">
      <c r="A2" s="22" t="s">
        <v>10</v>
      </c>
      <c r="B2" s="39">
        <v>9.9</v>
      </c>
      <c r="C2" s="40">
        <v>10.9</v>
      </c>
      <c r="D2" s="40">
        <v>13.9</v>
      </c>
      <c r="E2" s="40">
        <v>17.899999999999999</v>
      </c>
      <c r="F2" s="40">
        <v>22.1</v>
      </c>
      <c r="G2" s="40">
        <v>25.9</v>
      </c>
      <c r="H2" s="40">
        <v>28.9</v>
      </c>
      <c r="I2" s="40">
        <v>29.2</v>
      </c>
      <c r="J2" s="40">
        <v>26.7</v>
      </c>
      <c r="K2" s="40">
        <v>22.6</v>
      </c>
      <c r="L2" s="40">
        <v>16.3</v>
      </c>
      <c r="M2" s="40">
        <v>11.7</v>
      </c>
      <c r="N2" s="41">
        <f>AVERAGE(B2:M2)</f>
        <v>19.666666666666664</v>
      </c>
      <c r="P2" s="1" t="s">
        <v>11</v>
      </c>
      <c r="Q2" s="2">
        <f>SUM(B3:M3)</f>
        <v>99.978391961937177</v>
      </c>
      <c r="R2" s="117" t="s">
        <v>32</v>
      </c>
      <c r="S2" s="117"/>
      <c r="T2" s="117"/>
      <c r="U2" s="117"/>
      <c r="V2" s="117"/>
      <c r="W2" s="117"/>
      <c r="X2" s="117"/>
      <c r="Y2" s="117"/>
      <c r="Z2" s="117"/>
      <c r="AA2" s="117"/>
      <c r="AB2" s="117"/>
      <c r="AC2" s="117"/>
    </row>
    <row r="3" spans="1:30" ht="25.05" customHeight="1" x14ac:dyDescent="0.3">
      <c r="A3" s="22" t="s">
        <v>12</v>
      </c>
      <c r="B3" s="40">
        <f>(B2/5)^1.514</f>
        <v>2.8128793062611521</v>
      </c>
      <c r="C3" s="40">
        <f t="shared" ref="C3:M3" si="0">(C2/5)^1.514</f>
        <v>3.25404182939713</v>
      </c>
      <c r="D3" s="40">
        <f t="shared" si="0"/>
        <v>4.7020129513184337</v>
      </c>
      <c r="E3" s="40">
        <f t="shared" si="0"/>
        <v>6.8957086257667397</v>
      </c>
      <c r="F3" s="40">
        <f t="shared" si="0"/>
        <v>9.487882896261981</v>
      </c>
      <c r="G3" s="40">
        <f t="shared" si="0"/>
        <v>12.064109106456289</v>
      </c>
      <c r="H3" s="40">
        <f t="shared" si="0"/>
        <v>14.24159880885369</v>
      </c>
      <c r="I3" s="40">
        <f t="shared" si="0"/>
        <v>14.466019644680422</v>
      </c>
      <c r="J3" s="40">
        <f t="shared" si="0"/>
        <v>12.632737245830853</v>
      </c>
      <c r="K3" s="40">
        <f t="shared" si="0"/>
        <v>9.8147578762764844</v>
      </c>
      <c r="L3" s="40">
        <f t="shared" si="0"/>
        <v>5.9842736733141182</v>
      </c>
      <c r="M3" s="40">
        <f t="shared" si="0"/>
        <v>3.6223699975198791</v>
      </c>
      <c r="N3" s="42">
        <f>SUM(B3:M3)</f>
        <v>99.978391961937177</v>
      </c>
      <c r="P3" s="3" t="s">
        <v>13</v>
      </c>
      <c r="Q3" s="4">
        <f>6.75*10^-7*N3^3-7.71*10^-5*N3^2+1.792*10^-2*N3+0.49239</f>
        <v>2.1878984756774371</v>
      </c>
      <c r="R3" s="117" t="s">
        <v>31</v>
      </c>
      <c r="S3" s="117"/>
      <c r="T3" s="117"/>
      <c r="U3" s="117"/>
      <c r="V3" s="117"/>
      <c r="W3" s="117"/>
      <c r="X3" s="117"/>
      <c r="Y3" s="117"/>
      <c r="Z3" s="117"/>
      <c r="AA3" s="117"/>
      <c r="AB3" s="117"/>
      <c r="AC3" s="117"/>
      <c r="AD3" s="117"/>
    </row>
    <row r="4" spans="1:30" ht="25.05" customHeight="1" x14ac:dyDescent="0.3">
      <c r="A4" s="23" t="s">
        <v>28</v>
      </c>
      <c r="B4" s="40">
        <f>16*(10*B2/$Q$2)^$Q$3</f>
        <v>15.659416365858938</v>
      </c>
      <c r="C4" s="40">
        <f t="shared" ref="C4:M4" si="1">16*(10*C2/$Q$2)^$Q$3</f>
        <v>19.329058502755455</v>
      </c>
      <c r="D4" s="40">
        <f t="shared" si="1"/>
        <v>32.902370329583221</v>
      </c>
      <c r="E4" s="40">
        <f t="shared" si="1"/>
        <v>57.219239827570782</v>
      </c>
      <c r="F4" s="40">
        <f t="shared" si="1"/>
        <v>90.744571321852945</v>
      </c>
      <c r="G4" s="40">
        <f t="shared" si="1"/>
        <v>128.40538773074084</v>
      </c>
      <c r="H4" s="40">
        <f t="shared" si="1"/>
        <v>163.20107321169618</v>
      </c>
      <c r="I4" s="40">
        <f t="shared" si="1"/>
        <v>166.93052299465901</v>
      </c>
      <c r="J4" s="40">
        <f t="shared" si="1"/>
        <v>137.24251289505909</v>
      </c>
      <c r="K4" s="40">
        <f t="shared" si="1"/>
        <v>95.296870085402347</v>
      </c>
      <c r="L4" s="40">
        <f t="shared" si="1"/>
        <v>46.619784211458729</v>
      </c>
      <c r="M4" s="40">
        <f t="shared" si="1"/>
        <v>22.568831065121007</v>
      </c>
      <c r="N4" s="43"/>
      <c r="P4" t="s">
        <v>30</v>
      </c>
    </row>
    <row r="5" spans="1:30" ht="25.05" customHeight="1" x14ac:dyDescent="0.3">
      <c r="A5" s="22" t="s">
        <v>59</v>
      </c>
      <c r="B5" s="44">
        <v>0.86</v>
      </c>
      <c r="C5" s="44">
        <v>0.84</v>
      </c>
      <c r="D5" s="44">
        <v>1.03</v>
      </c>
      <c r="E5" s="43">
        <v>1.1000000000000001</v>
      </c>
      <c r="F5" s="43">
        <v>1.22</v>
      </c>
      <c r="G5" s="43">
        <v>1.23</v>
      </c>
      <c r="H5" s="43">
        <v>1.25</v>
      </c>
      <c r="I5" s="43">
        <v>1.17</v>
      </c>
      <c r="J5" s="43">
        <v>1.03</v>
      </c>
      <c r="K5" s="43">
        <v>0.97</v>
      </c>
      <c r="L5" s="43">
        <v>0.85</v>
      </c>
      <c r="M5" s="43">
        <v>0.83</v>
      </c>
      <c r="N5" s="43"/>
      <c r="P5" t="s">
        <v>29</v>
      </c>
    </row>
    <row r="6" spans="1:30" ht="25.05" customHeight="1" x14ac:dyDescent="0.3">
      <c r="A6" s="23" t="s">
        <v>26</v>
      </c>
      <c r="B6" s="40">
        <f>B4*B5</f>
        <v>13.467098074638686</v>
      </c>
      <c r="C6" s="40">
        <f>C4*C5</f>
        <v>16.236409142314582</v>
      </c>
      <c r="D6" s="40">
        <f t="shared" ref="D6:M6" si="2">D4*D5</f>
        <v>33.889441439470716</v>
      </c>
      <c r="E6" s="40">
        <f t="shared" si="2"/>
        <v>62.941163810327865</v>
      </c>
      <c r="F6" s="40">
        <f t="shared" si="2"/>
        <v>110.70837701266059</v>
      </c>
      <c r="G6" s="40">
        <f t="shared" si="2"/>
        <v>157.93862690881124</v>
      </c>
      <c r="H6" s="40">
        <f t="shared" si="2"/>
        <v>204.00134151462024</v>
      </c>
      <c r="I6" s="40">
        <f t="shared" si="2"/>
        <v>195.30871190375103</v>
      </c>
      <c r="J6" s="40">
        <f t="shared" si="2"/>
        <v>141.35978828191088</v>
      </c>
      <c r="K6" s="40">
        <f t="shared" si="2"/>
        <v>92.437963982840273</v>
      </c>
      <c r="L6" s="40">
        <f t="shared" si="2"/>
        <v>39.626816579739916</v>
      </c>
      <c r="M6" s="40">
        <f t="shared" si="2"/>
        <v>18.732129784050436</v>
      </c>
      <c r="N6" s="43">
        <f>SUM(B6:M6)</f>
        <v>1086.6478684351364</v>
      </c>
      <c r="P6" t="s">
        <v>33</v>
      </c>
    </row>
    <row r="7" spans="1:30" ht="25.05" customHeight="1" x14ac:dyDescent="0.3">
      <c r="A7" s="22" t="s">
        <v>14</v>
      </c>
      <c r="B7" s="40">
        <v>104.4</v>
      </c>
      <c r="C7" s="40">
        <v>80</v>
      </c>
      <c r="D7" s="40">
        <v>99.7</v>
      </c>
      <c r="E7" s="40">
        <v>80.2</v>
      </c>
      <c r="F7" s="40">
        <v>82.5</v>
      </c>
      <c r="G7" s="40">
        <v>52.5</v>
      </c>
      <c r="H7" s="40">
        <v>24</v>
      </c>
      <c r="I7" s="40">
        <v>23.3</v>
      </c>
      <c r="J7" s="40">
        <v>27.9</v>
      </c>
      <c r="K7" s="40">
        <v>48.6</v>
      </c>
      <c r="L7" s="40">
        <v>73.8</v>
      </c>
      <c r="M7" s="40">
        <v>107.6</v>
      </c>
      <c r="N7" s="43">
        <f>SUM(B7:M7)</f>
        <v>804.49999999999989</v>
      </c>
      <c r="P7" t="s">
        <v>34</v>
      </c>
    </row>
    <row r="8" spans="1:30" ht="25.05" customHeight="1" x14ac:dyDescent="0.3">
      <c r="A8" s="22" t="s">
        <v>57</v>
      </c>
      <c r="B8" s="40">
        <v>100</v>
      </c>
      <c r="C8" s="40">
        <f>IF((C7-C6)+B8&gt;100, 100, (C7-C6)+B8)</f>
        <v>100</v>
      </c>
      <c r="D8" s="40">
        <f t="shared" ref="D8:E8" si="3">IF((D7-D6)+C8&gt;100, 100, (D7-D6)+C8)</f>
        <v>100</v>
      </c>
      <c r="E8" s="40">
        <f t="shared" si="3"/>
        <v>100</v>
      </c>
      <c r="F8" s="40">
        <f>IF((F7-F6)+E8&gt;100, 100, (F7-F6)+E8)</f>
        <v>71.791622987339409</v>
      </c>
      <c r="G8" s="40">
        <v>0</v>
      </c>
      <c r="H8" s="40">
        <v>0</v>
      </c>
      <c r="I8" s="40">
        <v>0</v>
      </c>
      <c r="J8" s="40">
        <v>0</v>
      </c>
      <c r="K8" s="40">
        <v>0</v>
      </c>
      <c r="L8" s="40">
        <f>L9</f>
        <v>34.173183420260081</v>
      </c>
      <c r="M8" s="40">
        <f>IF((M7-M6+L9)&gt;100, 100, (M7-M6+L9))</f>
        <v>100</v>
      </c>
      <c r="N8" s="43"/>
      <c r="P8" t="s">
        <v>16</v>
      </c>
    </row>
    <row r="9" spans="1:30" ht="25.05" customHeight="1" x14ac:dyDescent="0.3">
      <c r="A9" s="23" t="s">
        <v>58</v>
      </c>
      <c r="B9" s="45">
        <f>B8-M8</f>
        <v>0</v>
      </c>
      <c r="C9" s="45">
        <f>C8-B8</f>
        <v>0</v>
      </c>
      <c r="D9" s="45">
        <v>0</v>
      </c>
      <c r="E9" s="45">
        <v>0</v>
      </c>
      <c r="F9" s="45">
        <f>F7-F6</f>
        <v>-28.208377012660591</v>
      </c>
      <c r="G9" s="45">
        <f>F8</f>
        <v>71.791622987339409</v>
      </c>
      <c r="H9" s="45">
        <v>0</v>
      </c>
      <c r="I9" s="45">
        <v>0</v>
      </c>
      <c r="J9" s="45">
        <v>0</v>
      </c>
      <c r="K9" s="45">
        <v>0</v>
      </c>
      <c r="L9" s="45">
        <f>L7-L6</f>
        <v>34.173183420260081</v>
      </c>
      <c r="M9" s="45">
        <f>M8-L8</f>
        <v>65.826816579739926</v>
      </c>
      <c r="N9" s="43"/>
      <c r="P9" t="s">
        <v>15</v>
      </c>
    </row>
    <row r="10" spans="1:30" ht="25.05" customHeight="1" x14ac:dyDescent="0.3">
      <c r="A10" s="22" t="s">
        <v>17</v>
      </c>
      <c r="B10" s="46">
        <f>IF(B7&gt;B6, B6,)</f>
        <v>13.467098074638686</v>
      </c>
      <c r="C10" s="46">
        <f>IF(C7&gt;C6, C6,)</f>
        <v>16.236409142314582</v>
      </c>
      <c r="D10" s="46">
        <f>IF(D7&gt;D6, D6,)</f>
        <v>33.889441439470716</v>
      </c>
      <c r="E10" s="46">
        <f>IF(E7&gt;E6, E6,)</f>
        <v>62.941163810327865</v>
      </c>
      <c r="F10" s="46">
        <v>110.7</v>
      </c>
      <c r="G10" s="46">
        <f>G9+G7</f>
        <v>124.29162298733941</v>
      </c>
      <c r="H10" s="46">
        <f>IF(H9=0,H7)</f>
        <v>24</v>
      </c>
      <c r="I10" s="46">
        <f t="shared" ref="I10:K10" si="4">IF(I9=0,I7)</f>
        <v>23.3</v>
      </c>
      <c r="J10" s="46">
        <f t="shared" si="4"/>
        <v>27.9</v>
      </c>
      <c r="K10" s="46">
        <f t="shared" si="4"/>
        <v>48.6</v>
      </c>
      <c r="L10" s="46">
        <f>IF(L7&gt;L6, L6,)</f>
        <v>39.626816579739916</v>
      </c>
      <c r="M10" s="46">
        <f>IF(M7&gt;M6, M6,)</f>
        <v>18.732129784050436</v>
      </c>
      <c r="N10" s="43">
        <f>SUM(B10:M10)</f>
        <v>543.68468181788171</v>
      </c>
      <c r="P10" s="126" t="s">
        <v>27</v>
      </c>
      <c r="Q10" s="117"/>
      <c r="R10" s="117"/>
      <c r="S10" s="117"/>
      <c r="T10" s="117"/>
      <c r="U10" s="117"/>
      <c r="V10" s="117"/>
    </row>
    <row r="11" spans="1:30" ht="25.05" customHeight="1" x14ac:dyDescent="0.3">
      <c r="A11" s="22" t="s">
        <v>18</v>
      </c>
      <c r="B11" s="40">
        <f t="shared" ref="B11:K11" si="5">IF(B7&gt;B6,(B7-B6),0)</f>
        <v>90.932901925361321</v>
      </c>
      <c r="C11" s="40">
        <f t="shared" si="5"/>
        <v>63.763590857685415</v>
      </c>
      <c r="D11" s="40">
        <f t="shared" si="5"/>
        <v>65.810558560529287</v>
      </c>
      <c r="E11" s="40">
        <f t="shared" si="5"/>
        <v>17.258836189672138</v>
      </c>
      <c r="F11" s="40">
        <f t="shared" si="5"/>
        <v>0</v>
      </c>
      <c r="G11" s="40">
        <f t="shared" si="5"/>
        <v>0</v>
      </c>
      <c r="H11" s="40">
        <f t="shared" si="5"/>
        <v>0</v>
      </c>
      <c r="I11" s="40">
        <f t="shared" si="5"/>
        <v>0</v>
      </c>
      <c r="J11" s="40">
        <f t="shared" si="5"/>
        <v>0</v>
      </c>
      <c r="K11" s="40">
        <f t="shared" si="5"/>
        <v>0</v>
      </c>
      <c r="L11" s="40">
        <v>0</v>
      </c>
      <c r="M11" s="40">
        <v>23.2</v>
      </c>
      <c r="N11" s="43">
        <f>SUM(B11:M11)</f>
        <v>260.96588753324812</v>
      </c>
      <c r="P11" s="126" t="s">
        <v>19</v>
      </c>
      <c r="Q11" s="126"/>
      <c r="R11" s="126"/>
      <c r="S11" s="126"/>
      <c r="T11" s="126"/>
      <c r="U11" s="126"/>
      <c r="V11" s="126"/>
      <c r="W11" s="126"/>
    </row>
    <row r="12" spans="1:30" ht="25.05" customHeight="1" x14ac:dyDescent="0.3">
      <c r="A12" s="22" t="s">
        <v>20</v>
      </c>
      <c r="B12" s="43">
        <f>B6-B10</f>
        <v>0</v>
      </c>
      <c r="C12" s="43">
        <f t="shared" ref="C12:M12" si="6">C6-C10</f>
        <v>0</v>
      </c>
      <c r="D12" s="43">
        <f t="shared" si="6"/>
        <v>0</v>
      </c>
      <c r="E12" s="43">
        <f t="shared" si="6"/>
        <v>0</v>
      </c>
      <c r="F12" s="43">
        <f t="shared" si="6"/>
        <v>8.3770126605884343E-3</v>
      </c>
      <c r="G12" s="43">
        <f t="shared" si="6"/>
        <v>33.647003921471835</v>
      </c>
      <c r="H12" s="43">
        <f t="shared" si="6"/>
        <v>180.00134151462024</v>
      </c>
      <c r="I12" s="43">
        <f t="shared" si="6"/>
        <v>172.00871190375102</v>
      </c>
      <c r="J12" s="43">
        <f t="shared" si="6"/>
        <v>113.45978828191087</v>
      </c>
      <c r="K12" s="43">
        <f t="shared" si="6"/>
        <v>43.837963982840272</v>
      </c>
      <c r="L12" s="43">
        <f t="shared" si="6"/>
        <v>0</v>
      </c>
      <c r="M12" s="43">
        <f t="shared" si="6"/>
        <v>0</v>
      </c>
      <c r="N12" s="43">
        <f>SUM(B12:M12)</f>
        <v>542.96318661725479</v>
      </c>
      <c r="P12" t="s">
        <v>21</v>
      </c>
    </row>
    <row r="13" spans="1:30" ht="25.05" customHeight="1" x14ac:dyDescent="0.3">
      <c r="A13" s="22" t="s">
        <v>22</v>
      </c>
      <c r="B13" s="40">
        <f>B11/2</f>
        <v>45.466450962680661</v>
      </c>
      <c r="C13" s="40">
        <f>(B13+C11)/2</f>
        <v>54.615020910183034</v>
      </c>
      <c r="D13" s="40">
        <f>(C13+D11)/2</f>
        <v>60.212789735356161</v>
      </c>
      <c r="E13" s="40">
        <f>(D13+E11)/2</f>
        <v>38.735812962514146</v>
      </c>
      <c r="F13" s="40">
        <f t="shared" ref="F13:M13" si="7">(E13+F11)/2</f>
        <v>19.367906481257073</v>
      </c>
      <c r="G13" s="40">
        <f t="shared" si="7"/>
        <v>9.6839532406285365</v>
      </c>
      <c r="H13" s="40">
        <f t="shared" si="7"/>
        <v>4.8419766203142682</v>
      </c>
      <c r="I13" s="40">
        <f t="shared" si="7"/>
        <v>2.4209883101571341</v>
      </c>
      <c r="J13" s="40">
        <f t="shared" si="7"/>
        <v>1.2104941550785671</v>
      </c>
      <c r="K13" s="40">
        <f t="shared" si="7"/>
        <v>0.60524707753928353</v>
      </c>
      <c r="L13" s="40">
        <f t="shared" si="7"/>
        <v>0.30262353876964176</v>
      </c>
      <c r="M13" s="40">
        <f t="shared" si="7"/>
        <v>11.75131176938482</v>
      </c>
      <c r="N13" s="43">
        <f>SUM(B13:M13)</f>
        <v>249.21457576386328</v>
      </c>
      <c r="P13" t="s">
        <v>23</v>
      </c>
    </row>
    <row r="14" spans="1:30" ht="25.05" customHeight="1" x14ac:dyDescent="0.3">
      <c r="A14" s="22" t="s">
        <v>24</v>
      </c>
      <c r="B14" s="40">
        <f>(B7-B6)/B6</f>
        <v>6.7522269030331534</v>
      </c>
      <c r="C14" s="40">
        <f t="shared" ref="C14:M14" si="8">(C7-C6)/C6</f>
        <v>3.9271978365898454</v>
      </c>
      <c r="D14" s="40">
        <f t="shared" si="8"/>
        <v>1.9419192457943655</v>
      </c>
      <c r="E14" s="40">
        <f t="shared" si="8"/>
        <v>0.27420586377591222</v>
      </c>
      <c r="F14" s="40">
        <f t="shared" si="8"/>
        <v>-0.25479893910317813</v>
      </c>
      <c r="G14" s="40">
        <f t="shared" si="8"/>
        <v>-0.6675923994811489</v>
      </c>
      <c r="H14" s="40">
        <f t="shared" si="8"/>
        <v>-0.88235371482456659</v>
      </c>
      <c r="I14" s="40">
        <f t="shared" si="8"/>
        <v>-0.88070168620290556</v>
      </c>
      <c r="J14" s="40">
        <f t="shared" si="8"/>
        <v>-0.80263128334374967</v>
      </c>
      <c r="K14" s="40">
        <f t="shared" si="8"/>
        <v>-0.47424198991421029</v>
      </c>
      <c r="L14" s="40">
        <f t="shared" si="8"/>
        <v>0.86237518856692297</v>
      </c>
      <c r="M14" s="40">
        <f t="shared" si="8"/>
        <v>4.7441412824086102</v>
      </c>
      <c r="N14" s="43"/>
      <c r="P14" t="s">
        <v>25</v>
      </c>
    </row>
    <row r="19" spans="1:9" ht="18" x14ac:dyDescent="0.35">
      <c r="A19" s="119"/>
      <c r="B19" s="120"/>
      <c r="C19" s="120"/>
      <c r="D19" s="120"/>
      <c r="E19" s="120"/>
      <c r="F19" s="120"/>
      <c r="G19" s="120"/>
    </row>
    <row r="21" spans="1:9" ht="21" x14ac:dyDescent="0.4">
      <c r="A21" s="5"/>
      <c r="B21" s="5"/>
      <c r="C21" s="5"/>
      <c r="D21" s="5"/>
      <c r="E21" s="5"/>
      <c r="F21" s="5"/>
      <c r="G21" s="5"/>
      <c r="H21" s="5"/>
      <c r="I21" s="5"/>
    </row>
    <row r="22" spans="1:9" ht="63" customHeight="1" x14ac:dyDescent="0.3"/>
    <row r="23" spans="1:9" ht="37.799999999999997" customHeight="1" x14ac:dyDescent="0.3">
      <c r="A23" s="126"/>
      <c r="B23" s="126"/>
      <c r="C23" s="126"/>
      <c r="D23" s="126"/>
      <c r="E23" s="126"/>
      <c r="F23" s="126"/>
      <c r="G23" s="126"/>
      <c r="H23" s="126"/>
    </row>
    <row r="24" spans="1:9" ht="30" customHeight="1" x14ac:dyDescent="0.3"/>
    <row r="26" spans="1:9" ht="43.8" customHeight="1" x14ac:dyDescent="0.3"/>
  </sheetData>
  <mergeCells count="6">
    <mergeCell ref="A23:H23"/>
    <mergeCell ref="R2:AC2"/>
    <mergeCell ref="R3:AD3"/>
    <mergeCell ref="P10:V10"/>
    <mergeCell ref="P11:W11"/>
    <mergeCell ref="A19:G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KOZAN SU BİLANCOSU</vt:lpstr>
      <vt:lpstr>en son yapılan hintli</vt:lpstr>
      <vt:lpstr>KOZAN 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vlayt</dc:creator>
  <cp:lastModifiedBy>vlayt</cp:lastModifiedBy>
  <dcterms:created xsi:type="dcterms:W3CDTF">2024-02-17T21:59:31Z</dcterms:created>
  <dcterms:modified xsi:type="dcterms:W3CDTF">2024-06-09T19:11:23Z</dcterms:modified>
</cp:coreProperties>
</file>