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q\Documents\Galactic Conquest\"/>
    </mc:Choice>
  </mc:AlternateContent>
  <xr:revisionPtr revIDLastSave="0" documentId="13_ncr:1_{9AD4F37E-E9A0-4DBD-97F6-8237E8BAB1D4}" xr6:coauthVersionLast="47" xr6:coauthVersionMax="47" xr10:uidLastSave="{00000000-0000-0000-0000-000000000000}"/>
  <bookViews>
    <workbookView xWindow="-108" yWindow="-108" windowWidth="23256" windowHeight="12576" tabRatio="580" activeTab="4" xr2:uid="{0B4EC88A-707B-416F-9467-8000255B1450}"/>
  </bookViews>
  <sheets>
    <sheet name="Selection Bias" sheetId="1" r:id="rId1"/>
    <sheet name="Base Stats" sheetId="2" r:id="rId2"/>
    <sheet name="Tech Types" sheetId="3" r:id="rId3"/>
    <sheet name="Defence Modified Stats" sheetId="4" r:id="rId4"/>
    <sheet name="Attack Modified Stats " sheetId="5" r:id="rId5"/>
    <sheet name="Resul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B1" i="7"/>
  <c r="K4" i="2"/>
  <c r="B13" i="5"/>
  <c r="B12" i="5"/>
  <c r="B11" i="5"/>
  <c r="B10" i="5"/>
  <c r="B9" i="5"/>
  <c r="B13" i="4"/>
  <c r="C8" i="5"/>
  <c r="C8" i="4"/>
  <c r="B12" i="4"/>
  <c r="B11" i="4"/>
  <c r="B10" i="4"/>
  <c r="B9" i="4"/>
  <c r="C7" i="5"/>
  <c r="C6" i="5"/>
  <c r="C5" i="5"/>
  <c r="C4" i="5"/>
  <c r="J3" i="5"/>
  <c r="I3" i="5"/>
  <c r="H3" i="5"/>
  <c r="G3" i="5"/>
  <c r="F3" i="5"/>
  <c r="E3" i="5"/>
  <c r="D3" i="5"/>
  <c r="C3" i="5"/>
  <c r="C5" i="4"/>
  <c r="C6" i="4"/>
  <c r="C7" i="4"/>
  <c r="C4" i="4"/>
  <c r="G3" i="4"/>
  <c r="H3" i="4"/>
  <c r="I3" i="4"/>
  <c r="J3" i="4"/>
  <c r="D3" i="4"/>
  <c r="E3" i="4"/>
  <c r="F3" i="4"/>
  <c r="C3" i="4"/>
  <c r="O7" i="2"/>
  <c r="N7" i="2"/>
  <c r="M7" i="2"/>
  <c r="L7" i="2"/>
  <c r="K7" i="2"/>
  <c r="O6" i="2"/>
  <c r="N6" i="2"/>
  <c r="M6" i="2"/>
  <c r="L6" i="2"/>
  <c r="K6" i="2"/>
  <c r="O5" i="2"/>
  <c r="N5" i="2"/>
  <c r="M5" i="2"/>
  <c r="L5" i="2"/>
  <c r="K5" i="2"/>
  <c r="O4" i="2"/>
  <c r="N4" i="2"/>
  <c r="M4" i="2"/>
  <c r="L4" i="2"/>
  <c r="O3" i="2"/>
  <c r="N3" i="2"/>
  <c r="M3" i="2"/>
  <c r="L3" i="2"/>
  <c r="K3" i="2"/>
  <c r="I8" i="5" l="1"/>
  <c r="J8" i="4"/>
  <c r="D8" i="5"/>
  <c r="J8" i="5"/>
  <c r="F8" i="5"/>
  <c r="G8" i="5"/>
  <c r="E8" i="5"/>
  <c r="H8" i="5"/>
  <c r="F8" i="4"/>
  <c r="G8" i="4"/>
  <c r="H8" i="4"/>
  <c r="D8" i="4"/>
  <c r="M1" i="7" s="1"/>
  <c r="I8" i="4"/>
  <c r="E8" i="4"/>
  <c r="E7" i="5"/>
  <c r="E4" i="5"/>
  <c r="H7" i="5"/>
  <c r="I4" i="5"/>
  <c r="E6" i="5"/>
  <c r="I7" i="5"/>
  <c r="F4" i="5"/>
  <c r="J5" i="5"/>
  <c r="F7" i="5"/>
  <c r="G4" i="5"/>
  <c r="H4" i="5"/>
  <c r="J4" i="5"/>
  <c r="F6" i="5"/>
  <c r="J7" i="5"/>
  <c r="G6" i="5"/>
  <c r="D5" i="5"/>
  <c r="H6" i="5"/>
  <c r="E5" i="5"/>
  <c r="I6" i="5"/>
  <c r="G7" i="5"/>
  <c r="F5" i="5"/>
  <c r="J6" i="5"/>
  <c r="D6" i="5"/>
  <c r="G5" i="5"/>
  <c r="D4" i="5"/>
  <c r="E5" i="7" s="1"/>
  <c r="H5" i="5"/>
  <c r="D7" i="5"/>
  <c r="I5" i="5"/>
  <c r="J6" i="4"/>
  <c r="D7" i="4"/>
  <c r="K1" i="7" s="1"/>
  <c r="E7" i="4"/>
  <c r="F7" i="4"/>
  <c r="G7" i="4"/>
  <c r="H7" i="4"/>
  <c r="I7" i="4"/>
  <c r="J7" i="4"/>
  <c r="D6" i="4"/>
  <c r="I1" i="7" s="1"/>
  <c r="E6" i="4"/>
  <c r="F6" i="4"/>
  <c r="G6" i="4"/>
  <c r="H6" i="4"/>
  <c r="I6" i="4"/>
  <c r="J4" i="4"/>
  <c r="D5" i="4"/>
  <c r="G1" i="7" s="1"/>
  <c r="E5" i="4"/>
  <c r="F5" i="4"/>
  <c r="H5" i="4"/>
  <c r="I5" i="4"/>
  <c r="G5" i="4"/>
  <c r="J5" i="4"/>
  <c r="G4" i="4"/>
  <c r="D4" i="4"/>
  <c r="E1" i="7" s="1"/>
  <c r="E4" i="4"/>
  <c r="F4" i="4"/>
  <c r="H4" i="4"/>
  <c r="I4" i="4"/>
  <c r="H12" i="4" l="1"/>
  <c r="K5" i="7"/>
  <c r="H10" i="4"/>
  <c r="G5" i="7"/>
  <c r="H13" i="4"/>
  <c r="M5" i="7"/>
  <c r="H11" i="4"/>
  <c r="I5" i="7"/>
  <c r="F12" i="5"/>
  <c r="H12" i="5"/>
  <c r="D12" i="5"/>
  <c r="E12" i="5"/>
  <c r="G12" i="5"/>
  <c r="D9" i="5"/>
  <c r="F9" i="5"/>
  <c r="H9" i="5"/>
  <c r="G9" i="5"/>
  <c r="E9" i="5"/>
  <c r="H11" i="5"/>
  <c r="D11" i="5"/>
  <c r="E11" i="5"/>
  <c r="G11" i="5"/>
  <c r="F11" i="5"/>
  <c r="H10" i="5"/>
  <c r="F10" i="5"/>
  <c r="E10" i="5"/>
  <c r="G10" i="5"/>
  <c r="D10" i="5"/>
  <c r="F13" i="5"/>
  <c r="H13" i="5"/>
  <c r="E13" i="5"/>
  <c r="G13" i="5"/>
  <c r="D13" i="5"/>
  <c r="G9" i="4"/>
  <c r="H9" i="4"/>
  <c r="D10" i="4"/>
  <c r="E10" i="4"/>
  <c r="F10" i="4"/>
  <c r="G10" i="4"/>
  <c r="F12" i="4"/>
  <c r="G12" i="4"/>
  <c r="D12" i="4"/>
  <c r="E12" i="4"/>
  <c r="D13" i="4"/>
  <c r="E13" i="4"/>
  <c r="F13" i="4"/>
  <c r="G13" i="4"/>
  <c r="E11" i="4"/>
  <c r="D11" i="4"/>
  <c r="F11" i="4"/>
  <c r="G11" i="4"/>
  <c r="J16" i="5"/>
  <c r="J17" i="5" s="1"/>
  <c r="E9" i="4"/>
  <c r="F9" i="4"/>
  <c r="D9" i="4"/>
  <c r="I16" i="5"/>
  <c r="I17" i="5" s="1"/>
  <c r="I16" i="4"/>
  <c r="I17" i="4" s="1"/>
  <c r="J16" i="4"/>
  <c r="J17" i="4" s="1"/>
  <c r="D16" i="5" l="1"/>
  <c r="D17" i="5" s="1"/>
  <c r="E16" i="5"/>
  <c r="E17" i="5" s="1"/>
  <c r="F16" i="5"/>
  <c r="F17" i="5" s="1"/>
  <c r="G16" i="5"/>
  <c r="G17" i="5" s="1"/>
  <c r="H16" i="5"/>
  <c r="H17" i="5" s="1"/>
  <c r="G16" i="4"/>
  <c r="G17" i="4" s="1"/>
  <c r="H16" i="4"/>
  <c r="H17" i="4" s="1"/>
  <c r="D16" i="4"/>
  <c r="D17" i="4" s="1"/>
  <c r="F16" i="4"/>
  <c r="F17" i="4" s="1"/>
  <c r="E16" i="4"/>
  <c r="E17" i="4" s="1"/>
  <c r="F3" i="7" l="1"/>
  <c r="I3" i="7"/>
</calcChain>
</file>

<file path=xl/sharedStrings.xml><?xml version="1.0" encoding="utf-8"?>
<sst xmlns="http://schemas.openxmlformats.org/spreadsheetml/2006/main" count="134" uniqueCount="74">
  <si>
    <t>Selected Ships</t>
  </si>
  <si>
    <t>Ship Types</t>
  </si>
  <si>
    <t>Fighters</t>
  </si>
  <si>
    <t>Small</t>
  </si>
  <si>
    <t>Medium</t>
  </si>
  <si>
    <t>Large</t>
  </si>
  <si>
    <t>Giant</t>
  </si>
  <si>
    <t>Health</t>
  </si>
  <si>
    <t>Damage</t>
  </si>
  <si>
    <t>Name</t>
  </si>
  <si>
    <t>#of slots</t>
  </si>
  <si>
    <t>Tech Slots(Different weapons will take different space and give different numbers of dice and damage modifiers)</t>
  </si>
  <si>
    <t>ship type</t>
  </si>
  <si>
    <t>n#Attacks from x axis  defeat one of ship Type y axis</t>
  </si>
  <si>
    <t>Targeting Computer</t>
  </si>
  <si>
    <t>Health Bonus</t>
  </si>
  <si>
    <t>Damage Bonus</t>
  </si>
  <si>
    <t>Evasion Bonus</t>
  </si>
  <si>
    <t>Sheilds</t>
  </si>
  <si>
    <t>Kinetics</t>
  </si>
  <si>
    <t>Manuv Thrusters</t>
  </si>
  <si>
    <t>Planet Cracker</t>
  </si>
  <si>
    <t>Enemy Evasion Malus</t>
  </si>
  <si>
    <t>Tractor Beam</t>
  </si>
  <si>
    <t>Energy Weapon</t>
  </si>
  <si>
    <t>Breaching Shuttles</t>
  </si>
  <si>
    <t>Infiltration</t>
  </si>
  <si>
    <t>Security</t>
  </si>
  <si>
    <t>Evasion</t>
  </si>
  <si>
    <t>Point Defence</t>
  </si>
  <si>
    <t>Sentient  Computer</t>
  </si>
  <si>
    <t>Angry Sentient Comp</t>
  </si>
  <si>
    <t>Armor</t>
  </si>
  <si>
    <t>Missles</t>
  </si>
  <si>
    <t>Strike Attempt added</t>
  </si>
  <si>
    <t>Dumb Beam</t>
  </si>
  <si>
    <t>Initiative Bonus</t>
  </si>
  <si>
    <t>cloaking device</t>
  </si>
  <si>
    <t>plasma thrower</t>
  </si>
  <si>
    <t>Enemy Damage Malus</t>
  </si>
  <si>
    <t>Enemy Health Malus</t>
  </si>
  <si>
    <t>Defender</t>
  </si>
  <si>
    <t>Ship Type</t>
  </si>
  <si>
    <t>Initiative</t>
  </si>
  <si>
    <t>None</t>
  </si>
  <si>
    <t>Tech Slots</t>
  </si>
  <si>
    <t>Strike Attempts</t>
  </si>
  <si>
    <t>Tech 1</t>
  </si>
  <si>
    <t>Tech 2</t>
  </si>
  <si>
    <t>Tech 3</t>
  </si>
  <si>
    <t>Tech 4</t>
  </si>
  <si>
    <t>ETech1</t>
  </si>
  <si>
    <t>ETech2</t>
  </si>
  <si>
    <t>ETech3</t>
  </si>
  <si>
    <t>ETech4</t>
  </si>
  <si>
    <t>Enviroment</t>
  </si>
  <si>
    <t>Sum</t>
  </si>
  <si>
    <t>Attacker</t>
  </si>
  <si>
    <t>Enemy Infultration Malus</t>
  </si>
  <si>
    <t>Enemy Security Malus</t>
  </si>
  <si>
    <t>Leader</t>
  </si>
  <si>
    <t>Eleader</t>
  </si>
  <si>
    <t>Sleepy Joe</t>
  </si>
  <si>
    <t>Sum &gt; 0 (except Infultration and Initiiative)</t>
  </si>
  <si>
    <t>ship</t>
  </si>
  <si>
    <t>with</t>
  </si>
  <si>
    <t>Commanded by</t>
  </si>
  <si>
    <t>and</t>
  </si>
  <si>
    <t>will be</t>
  </si>
  <si>
    <t>destroyed by</t>
  </si>
  <si>
    <t>ships</t>
  </si>
  <si>
    <t>by</t>
  </si>
  <si>
    <t>attempts by</t>
  </si>
  <si>
    <t>attempts and infiltrated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</si>
</sst>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%;\-0%;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3" xfId="0" applyFill="1" applyBorder="1"/>
    <xf numFmtId="0" fontId="0" fillId="2" borderId="4" xfId="0" applyFill="1" applyBorder="1"/>
    <xf numFmtId="0" fontId="0" fillId="6" borderId="2" xfId="0" applyFill="1" applyBorder="1"/>
    <xf numFmtId="0" fontId="0" fillId="7" borderId="1" xfId="0" applyNumberFormat="1" applyFill="1" applyBorder="1"/>
    <xf numFmtId="164" fontId="0" fillId="7" borderId="1" xfId="1" applyNumberFormat="1" applyFont="1" applyFill="1" applyBorder="1"/>
    <xf numFmtId="0" fontId="0" fillId="7" borderId="1" xfId="0" applyFill="1" applyBorder="1"/>
    <xf numFmtId="0" fontId="0" fillId="2" borderId="1" xfId="1" applyNumberFormat="1" applyFont="1" applyFill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0" fontId="0" fillId="3" borderId="0" xfId="0" applyFill="1"/>
    <xf numFmtId="0" fontId="0" fillId="3" borderId="4" xfId="0" applyFill="1" applyBorder="1"/>
    <xf numFmtId="0" fontId="0" fillId="8" borderId="1" xfId="0" applyFill="1" applyBorder="1"/>
    <xf numFmtId="0" fontId="0" fillId="3" borderId="1" xfId="1" applyNumberFormat="1" applyFont="1" applyFill="1" applyBorder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0" fontId="0" fillId="9" borderId="1" xfId="0" applyFill="1" applyBorder="1"/>
    <xf numFmtId="0" fontId="0" fillId="2" borderId="5" xfId="0" applyFill="1" applyBorder="1"/>
    <xf numFmtId="0" fontId="0" fillId="8" borderId="6" xfId="0" applyFill="1" applyBorder="1"/>
    <xf numFmtId="0" fontId="0" fillId="10" borderId="1" xfId="0" applyFill="1" applyBorder="1"/>
    <xf numFmtId="0" fontId="0" fillId="11" borderId="0" xfId="1" applyNumberFormat="1" applyFont="1" applyFill="1"/>
    <xf numFmtId="0" fontId="0" fillId="11" borderId="0" xfId="0" applyFill="1"/>
    <xf numFmtId="0" fontId="0" fillId="9" borderId="1" xfId="1" applyNumberFormat="1" applyFont="1" applyFill="1" applyBorder="1"/>
    <xf numFmtId="0" fontId="0" fillId="9" borderId="1" xfId="0" applyNumberFormat="1" applyFill="1" applyBorder="1"/>
    <xf numFmtId="164" fontId="0" fillId="12" borderId="1" xfId="0" applyNumberFormat="1" applyFill="1" applyBorder="1"/>
    <xf numFmtId="0" fontId="0" fillId="12" borderId="1" xfId="0" applyFill="1" applyBorder="1"/>
    <xf numFmtId="0" fontId="0" fillId="5" borderId="1" xfId="1" applyNumberFormat="1" applyFont="1" applyFill="1" applyBorder="1"/>
    <xf numFmtId="164" fontId="0" fillId="5" borderId="1" xfId="0" applyNumberFormat="1" applyFill="1" applyBorder="1"/>
    <xf numFmtId="0" fontId="0" fillId="5" borderId="1" xfId="0" applyNumberFormat="1" applyFill="1" applyBorder="1"/>
    <xf numFmtId="9" fontId="0" fillId="9" borderId="1" xfId="1" applyFont="1" applyFill="1" applyBorder="1"/>
  </cellXfs>
  <cellStyles count="2">
    <cellStyle name="Normal" xfId="0" builtinId="0"/>
    <cellStyle name="Per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94AA-F0FA-4F2D-BBB5-580F88DF769E}">
  <dimension ref="A1"/>
  <sheetViews>
    <sheetView zoomScale="138" zoomScaleNormal="138" workbookViewId="0"/>
  </sheetViews>
  <sheetFormatPr defaultRowHeight="14.4" x14ac:dyDescent="0.3"/>
  <cols>
    <col min="1" max="1" width="12.6640625" customWidth="1"/>
  </cols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B2E0-6E86-4C40-B6A6-01898FE434E6}">
  <dimension ref="A1:O7"/>
  <sheetViews>
    <sheetView topLeftCell="C1" zoomScale="180" zoomScaleNormal="180" workbookViewId="0">
      <selection activeCell="K3" sqref="K3"/>
    </sheetView>
  </sheetViews>
  <sheetFormatPr defaultRowHeight="14.4" x14ac:dyDescent="0.3"/>
  <cols>
    <col min="1" max="1" width="9.6640625" customWidth="1"/>
    <col min="2" max="2" width="8.6640625" customWidth="1"/>
    <col min="3" max="3" width="14.44140625" style="1" customWidth="1"/>
    <col min="6" max="6" width="9.21875" customWidth="1"/>
    <col min="8" max="9" width="13.5546875" customWidth="1"/>
    <col min="11" max="11" width="7.33203125" customWidth="1"/>
    <col min="12" max="12" width="5.5546875" customWidth="1"/>
    <col min="13" max="13" width="7.5546875" customWidth="1"/>
    <col min="14" max="14" width="5.21875" customWidth="1"/>
    <col min="15" max="15" width="5.44140625" customWidth="1"/>
  </cols>
  <sheetData>
    <row r="1" spans="1:15" x14ac:dyDescent="0.3">
      <c r="K1" t="s">
        <v>13</v>
      </c>
    </row>
    <row r="2" spans="1:15" x14ac:dyDescent="0.3">
      <c r="A2" t="s">
        <v>1</v>
      </c>
      <c r="B2" t="s">
        <v>11</v>
      </c>
      <c r="C2" s="1" t="s">
        <v>28</v>
      </c>
      <c r="D2" t="s">
        <v>8</v>
      </c>
      <c r="E2" t="s">
        <v>7</v>
      </c>
      <c r="F2" t="s">
        <v>26</v>
      </c>
      <c r="G2" t="s">
        <v>27</v>
      </c>
      <c r="H2" t="s">
        <v>36</v>
      </c>
      <c r="I2" t="s">
        <v>46</v>
      </c>
      <c r="J2" t="s">
        <v>12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</row>
    <row r="3" spans="1:15" x14ac:dyDescent="0.3">
      <c r="A3" t="s">
        <v>2</v>
      </c>
      <c r="B3">
        <v>1</v>
      </c>
      <c r="C3" s="1">
        <v>0.7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 t="s">
        <v>2</v>
      </c>
      <c r="K3" s="2">
        <f>_xlfn.CEILING.MATH(E3/D3)/(1-C3)</f>
        <v>3.333333333333333</v>
      </c>
      <c r="L3" s="2">
        <f>_xlfn.CEILING.MATH(E3/D4)/(1-C3)</f>
        <v>3.333333333333333</v>
      </c>
      <c r="M3" s="2">
        <f>_xlfn.CEILING.MATH(E3/D5)/(1-C3)</f>
        <v>3.333333333333333</v>
      </c>
      <c r="N3" s="2">
        <f>_xlfn.CEILING.MATH(E3/D3)/(1-C3)</f>
        <v>3.333333333333333</v>
      </c>
      <c r="O3" s="2">
        <f>_xlfn.CEILING.MATH(E3/D3)/(1-C3)</f>
        <v>3.333333333333333</v>
      </c>
    </row>
    <row r="4" spans="1:15" x14ac:dyDescent="0.3">
      <c r="A4" t="s">
        <v>3</v>
      </c>
      <c r="B4">
        <v>1</v>
      </c>
      <c r="C4" s="1">
        <v>0.5</v>
      </c>
      <c r="D4">
        <v>10</v>
      </c>
      <c r="E4">
        <v>30</v>
      </c>
      <c r="F4">
        <v>0</v>
      </c>
      <c r="G4">
        <v>3</v>
      </c>
      <c r="H4">
        <v>0</v>
      </c>
      <c r="I4">
        <v>0</v>
      </c>
      <c r="J4" t="s">
        <v>3</v>
      </c>
      <c r="K4" s="2">
        <f>_xlfn.CEILING.MATH(E4/D3)/(1-C4)</f>
        <v>60</v>
      </c>
      <c r="L4" s="2">
        <f>_xlfn.CEILING.MATH(E4/D4)/(1-C4)</f>
        <v>6</v>
      </c>
      <c r="M4" s="2">
        <f>_xlfn.CEILING.MATH(E4/D5)/(1-C4)</f>
        <v>4</v>
      </c>
      <c r="N4" s="2">
        <f>_xlfn.CEILING.MATH(E4/D6)/(1-C4)</f>
        <v>2</v>
      </c>
      <c r="O4" s="2">
        <f>_xlfn.CEILING.MATH(E4/D7)/(1-C4)</f>
        <v>2</v>
      </c>
    </row>
    <row r="5" spans="1:15" x14ac:dyDescent="0.3">
      <c r="A5" t="s">
        <v>4</v>
      </c>
      <c r="B5">
        <v>2</v>
      </c>
      <c r="C5" s="1">
        <v>0.3</v>
      </c>
      <c r="D5">
        <v>20</v>
      </c>
      <c r="E5">
        <v>60</v>
      </c>
      <c r="F5">
        <v>0</v>
      </c>
      <c r="G5">
        <v>6</v>
      </c>
      <c r="H5">
        <v>0</v>
      </c>
      <c r="I5">
        <v>0</v>
      </c>
      <c r="J5" t="s">
        <v>4</v>
      </c>
      <c r="K5" s="2">
        <f>_xlfn.CEILING.MATH(E5/D3)/(1-C5)</f>
        <v>85.714285714285722</v>
      </c>
      <c r="L5" s="2">
        <f>_xlfn.CEILING.MATH(E5/D4)/(1-C5)</f>
        <v>8.5714285714285712</v>
      </c>
      <c r="M5" s="2">
        <f>_xlfn.CEILING.MATH(E5/D5)/(1-C5)</f>
        <v>4.2857142857142856</v>
      </c>
      <c r="N5" s="2">
        <f>_xlfn.CEILING.MATH(E5/D6)/(1-C5)</f>
        <v>2.8571428571428572</v>
      </c>
      <c r="O5" s="2">
        <f>_xlfn.CEILING.MATH(E5/D7)/(1-C5)</f>
        <v>1.4285714285714286</v>
      </c>
    </row>
    <row r="6" spans="1:15" x14ac:dyDescent="0.3">
      <c r="A6" t="s">
        <v>5</v>
      </c>
      <c r="B6">
        <v>3</v>
      </c>
      <c r="C6" s="1">
        <v>0.1</v>
      </c>
      <c r="D6">
        <v>50</v>
      </c>
      <c r="E6">
        <v>120</v>
      </c>
      <c r="F6">
        <v>0</v>
      </c>
      <c r="G6">
        <v>12</v>
      </c>
      <c r="H6">
        <v>0</v>
      </c>
      <c r="I6">
        <v>0</v>
      </c>
      <c r="J6" t="s">
        <v>5</v>
      </c>
      <c r="K6" s="2">
        <f>_xlfn.CEILING.MATH(E6/D3)/(1-C6)</f>
        <v>133.33333333333334</v>
      </c>
      <c r="L6" s="2">
        <f>_xlfn.CEILING.MATH(E6/D4)/(1-C6)</f>
        <v>13.333333333333332</v>
      </c>
      <c r="M6" s="2">
        <f>_xlfn.CEILING.MATH(E6/D5)/(1-C6)</f>
        <v>6.6666666666666661</v>
      </c>
      <c r="N6" s="2">
        <f>_xlfn.CEILING.MATH(E6/D6)/(1-C6)</f>
        <v>3.333333333333333</v>
      </c>
      <c r="O6" s="2">
        <f>_xlfn.CEILING.MATH(E6/D7)/(1-C6)</f>
        <v>2.2222222222222223</v>
      </c>
    </row>
    <row r="7" spans="1:15" x14ac:dyDescent="0.3">
      <c r="A7" t="s">
        <v>6</v>
      </c>
      <c r="B7">
        <v>4</v>
      </c>
      <c r="C7" s="1">
        <v>0</v>
      </c>
      <c r="D7">
        <v>100</v>
      </c>
      <c r="E7">
        <v>300</v>
      </c>
      <c r="F7">
        <v>0</v>
      </c>
      <c r="G7">
        <v>30</v>
      </c>
      <c r="H7">
        <v>0</v>
      </c>
      <c r="I7">
        <v>0</v>
      </c>
      <c r="J7" t="s">
        <v>6</v>
      </c>
      <c r="K7" s="2">
        <f>_xlfn.CEILING.MATH(E7/D3)/(1-C7)</f>
        <v>300</v>
      </c>
      <c r="L7" s="2">
        <f>_xlfn.CEILING.MATH(E7/D4)/(1-C7)</f>
        <v>30</v>
      </c>
      <c r="M7" s="2">
        <f>_xlfn.CEILING.MATH(E7/D5)/(1-C7)</f>
        <v>15</v>
      </c>
      <c r="N7" s="2">
        <f>_xlfn.CEILING.MATH(E7/D6)/(1-C7)</f>
        <v>6</v>
      </c>
      <c r="O7" s="2">
        <f>_xlfn.CEILING.MATH(E7/D7)/(1-C7)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D409-22B5-4E1A-8622-592CFA782241}">
  <dimension ref="A1:N19"/>
  <sheetViews>
    <sheetView topLeftCell="E1" zoomScale="140" zoomScaleNormal="140" workbookViewId="0">
      <selection activeCell="A13" sqref="A13"/>
    </sheetView>
  </sheetViews>
  <sheetFormatPr defaultRowHeight="14.4" x14ac:dyDescent="0.3"/>
  <cols>
    <col min="1" max="1" width="18.109375" customWidth="1"/>
    <col min="2" max="2" width="7.6640625" customWidth="1"/>
    <col min="3" max="3" width="11.77734375" style="4" customWidth="1"/>
    <col min="4" max="4" width="17.44140625" style="4" customWidth="1"/>
    <col min="5" max="5" width="13" style="4" customWidth="1"/>
    <col min="6" max="6" width="19" style="4" customWidth="1"/>
    <col min="7" max="7" width="12.109375" style="5" customWidth="1"/>
    <col min="8" max="8" width="19" customWidth="1"/>
    <col min="9" max="9" width="10.44140625" customWidth="1"/>
    <col min="10" max="10" width="15.77734375" customWidth="1"/>
    <col min="11" max="11" width="8.21875" customWidth="1"/>
    <col min="12" max="12" width="16.88671875" customWidth="1"/>
    <col min="13" max="13" width="14" customWidth="1"/>
    <col min="14" max="14" width="18" customWidth="1"/>
  </cols>
  <sheetData>
    <row r="1" spans="1:14" x14ac:dyDescent="0.3">
      <c r="A1" t="s">
        <v>9</v>
      </c>
      <c r="B1" t="s">
        <v>10</v>
      </c>
      <c r="C1" s="4" t="s">
        <v>15</v>
      </c>
      <c r="D1" s="4" t="s">
        <v>40</v>
      </c>
      <c r="E1" s="4" t="s">
        <v>16</v>
      </c>
      <c r="F1" s="4" t="s">
        <v>39</v>
      </c>
      <c r="G1" s="4" t="s">
        <v>17</v>
      </c>
      <c r="H1" s="4" t="s">
        <v>22</v>
      </c>
      <c r="I1" s="3" t="s">
        <v>26</v>
      </c>
      <c r="J1" s="3" t="s">
        <v>58</v>
      </c>
      <c r="K1" t="s">
        <v>27</v>
      </c>
      <c r="L1" t="s">
        <v>59</v>
      </c>
      <c r="M1" t="s">
        <v>36</v>
      </c>
      <c r="N1" t="s">
        <v>34</v>
      </c>
    </row>
    <row r="2" spans="1:14" x14ac:dyDescent="0.3">
      <c r="A2" t="s">
        <v>44</v>
      </c>
      <c r="B2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3">
        <v>0</v>
      </c>
      <c r="J2" s="3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14</v>
      </c>
      <c r="B3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3">
        <v>0</v>
      </c>
      <c r="J3" s="3">
        <v>0</v>
      </c>
      <c r="K3" s="3">
        <v>0</v>
      </c>
      <c r="L3" s="3">
        <v>0</v>
      </c>
      <c r="M3" s="3">
        <v>1</v>
      </c>
      <c r="N3">
        <v>1</v>
      </c>
    </row>
    <row r="4" spans="1:14" x14ac:dyDescent="0.3">
      <c r="A4" t="s">
        <v>18</v>
      </c>
      <c r="B4">
        <v>1</v>
      </c>
      <c r="C4" s="4">
        <v>0.5</v>
      </c>
      <c r="D4" s="4">
        <v>0</v>
      </c>
      <c r="E4" s="4">
        <v>0</v>
      </c>
      <c r="F4" s="4">
        <v>-0.1</v>
      </c>
      <c r="G4" s="4">
        <v>0</v>
      </c>
      <c r="H4" s="4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>
        <v>0</v>
      </c>
    </row>
    <row r="5" spans="1:14" x14ac:dyDescent="0.3">
      <c r="A5" t="s">
        <v>19</v>
      </c>
      <c r="B5">
        <v>1</v>
      </c>
      <c r="C5" s="4">
        <v>0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>
        <v>1</v>
      </c>
    </row>
    <row r="6" spans="1:14" x14ac:dyDescent="0.3">
      <c r="A6" t="s">
        <v>20</v>
      </c>
      <c r="B6">
        <v>1</v>
      </c>
      <c r="C6" s="4">
        <v>0</v>
      </c>
      <c r="D6" s="4">
        <v>0</v>
      </c>
      <c r="E6" s="4">
        <v>0</v>
      </c>
      <c r="F6" s="4">
        <v>0</v>
      </c>
      <c r="G6" s="4">
        <v>0.05</v>
      </c>
      <c r="H6" s="4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>
        <v>0</v>
      </c>
    </row>
    <row r="7" spans="1:14" x14ac:dyDescent="0.3">
      <c r="A7" t="s">
        <v>21</v>
      </c>
      <c r="B7">
        <v>4</v>
      </c>
      <c r="C7" s="4">
        <v>0</v>
      </c>
      <c r="D7" s="4">
        <v>0</v>
      </c>
      <c r="E7" s="4">
        <v>5</v>
      </c>
      <c r="F7" s="4">
        <v>0</v>
      </c>
      <c r="G7" s="4">
        <v>0</v>
      </c>
      <c r="H7" s="4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>
        <v>1</v>
      </c>
    </row>
    <row r="8" spans="1:14" x14ac:dyDescent="0.3">
      <c r="A8" t="s">
        <v>23</v>
      </c>
      <c r="B8">
        <v>1</v>
      </c>
      <c r="C8" s="4">
        <v>0</v>
      </c>
      <c r="D8" s="4">
        <v>0</v>
      </c>
      <c r="E8" s="4">
        <v>0</v>
      </c>
      <c r="F8" s="4">
        <v>-0.1</v>
      </c>
      <c r="G8" s="4">
        <v>0</v>
      </c>
      <c r="H8" s="5">
        <v>-0.1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3">
      <c r="A9" t="s">
        <v>24</v>
      </c>
      <c r="B9">
        <v>1</v>
      </c>
      <c r="C9" s="4">
        <v>0</v>
      </c>
      <c r="D9" s="4">
        <v>0</v>
      </c>
      <c r="E9" s="4">
        <v>0.5</v>
      </c>
      <c r="F9" s="4">
        <v>0</v>
      </c>
      <c r="G9" s="4">
        <v>0</v>
      </c>
      <c r="H9" s="5">
        <v>-0.1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1</v>
      </c>
    </row>
    <row r="10" spans="1:14" x14ac:dyDescent="0.3">
      <c r="A10" t="s">
        <v>25</v>
      </c>
      <c r="B10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5">
        <v>0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</row>
    <row r="11" spans="1:14" x14ac:dyDescent="0.3">
      <c r="A11" t="s">
        <v>29</v>
      </c>
      <c r="B11">
        <v>1</v>
      </c>
      <c r="C11" s="4">
        <v>0</v>
      </c>
      <c r="D11" s="4">
        <v>0</v>
      </c>
      <c r="E11" s="4">
        <v>0.2</v>
      </c>
      <c r="F11" s="4">
        <v>-0.1</v>
      </c>
      <c r="G11" s="4">
        <v>0.2</v>
      </c>
      <c r="H11" s="5">
        <v>0</v>
      </c>
      <c r="I11" s="3">
        <v>0</v>
      </c>
      <c r="J11" s="3">
        <v>0</v>
      </c>
      <c r="K11" s="3">
        <v>5</v>
      </c>
      <c r="L11" s="3">
        <v>0</v>
      </c>
      <c r="M11" s="3">
        <v>0</v>
      </c>
      <c r="N11" s="3">
        <v>0</v>
      </c>
    </row>
    <row r="12" spans="1:14" x14ac:dyDescent="0.3">
      <c r="A12" t="s">
        <v>30</v>
      </c>
      <c r="B12">
        <v>1</v>
      </c>
      <c r="C12" s="4">
        <v>0</v>
      </c>
      <c r="D12" s="4">
        <v>0</v>
      </c>
      <c r="E12" s="4">
        <v>0</v>
      </c>
      <c r="F12" s="4">
        <v>-0.1</v>
      </c>
      <c r="G12" s="4">
        <v>0.1</v>
      </c>
      <c r="H12" s="5">
        <v>-0.1</v>
      </c>
      <c r="I12" s="3">
        <v>3</v>
      </c>
      <c r="J12" s="3">
        <v>-1</v>
      </c>
      <c r="K12" s="3">
        <v>10</v>
      </c>
      <c r="L12" s="3">
        <v>-1</v>
      </c>
      <c r="M12" s="3">
        <v>2</v>
      </c>
      <c r="N12" s="3">
        <v>0</v>
      </c>
    </row>
    <row r="13" spans="1:14" x14ac:dyDescent="0.3">
      <c r="A13" t="s">
        <v>31</v>
      </c>
      <c r="B13">
        <v>1</v>
      </c>
      <c r="C13" s="4">
        <v>-0.1</v>
      </c>
      <c r="D13" s="4">
        <v>0</v>
      </c>
      <c r="E13" s="4">
        <v>-0.1</v>
      </c>
      <c r="F13" s="4">
        <v>0.1</v>
      </c>
      <c r="G13" s="4">
        <v>-0.1</v>
      </c>
      <c r="H13" s="5">
        <v>0</v>
      </c>
      <c r="I13" s="3">
        <v>0</v>
      </c>
      <c r="J13" s="3">
        <v>2</v>
      </c>
      <c r="K13" s="3">
        <v>-5</v>
      </c>
      <c r="L13" s="3">
        <v>1</v>
      </c>
      <c r="M13" s="3">
        <v>-1</v>
      </c>
      <c r="N13" s="3">
        <v>-1</v>
      </c>
    </row>
    <row r="14" spans="1:14" x14ac:dyDescent="0.3">
      <c r="A14" t="s">
        <v>32</v>
      </c>
      <c r="B14">
        <v>1</v>
      </c>
      <c r="C14" s="4">
        <v>1</v>
      </c>
      <c r="D14" s="4">
        <v>0</v>
      </c>
      <c r="E14" s="4">
        <v>0</v>
      </c>
      <c r="F14" s="4">
        <v>-0.1</v>
      </c>
      <c r="G14" s="4">
        <v>-0.1</v>
      </c>
      <c r="H14" s="5">
        <v>0</v>
      </c>
      <c r="I14" s="3">
        <v>0</v>
      </c>
      <c r="J14" s="3">
        <v>-1</v>
      </c>
      <c r="K14" s="3">
        <v>10</v>
      </c>
      <c r="L14" s="3">
        <v>0</v>
      </c>
      <c r="M14" s="3">
        <v>0</v>
      </c>
      <c r="N14" s="3">
        <v>0</v>
      </c>
    </row>
    <row r="15" spans="1:14" x14ac:dyDescent="0.3">
      <c r="A15" t="s">
        <v>33</v>
      </c>
      <c r="B15">
        <v>1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5">
        <v>-0.2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1</v>
      </c>
    </row>
    <row r="16" spans="1:14" x14ac:dyDescent="0.3">
      <c r="A16" t="s">
        <v>35</v>
      </c>
      <c r="B16">
        <v>2</v>
      </c>
      <c r="C16" s="4">
        <v>-0.1</v>
      </c>
      <c r="D16" s="4">
        <v>-0.1</v>
      </c>
      <c r="E16" s="4">
        <v>0.1</v>
      </c>
      <c r="F16" s="4">
        <v>0.1</v>
      </c>
      <c r="G16" s="4">
        <v>-0.1</v>
      </c>
      <c r="H16" s="5">
        <v>-0.1</v>
      </c>
      <c r="I16" s="3">
        <v>3</v>
      </c>
      <c r="J16" s="3">
        <v>0</v>
      </c>
      <c r="K16" s="3">
        <v>-3</v>
      </c>
      <c r="L16" s="3">
        <v>-2</v>
      </c>
      <c r="M16" s="3">
        <v>-1</v>
      </c>
      <c r="N16" s="3">
        <v>1</v>
      </c>
    </row>
    <row r="17" spans="1:14" x14ac:dyDescent="0.3">
      <c r="A17" t="s">
        <v>37</v>
      </c>
      <c r="B17">
        <v>1</v>
      </c>
      <c r="C17" s="4">
        <v>0</v>
      </c>
      <c r="D17" s="4">
        <v>0</v>
      </c>
      <c r="E17" s="4">
        <v>0</v>
      </c>
      <c r="F17" s="4">
        <v>0</v>
      </c>
      <c r="G17" s="4">
        <v>0.2</v>
      </c>
      <c r="H17" s="5">
        <v>-0.2</v>
      </c>
      <c r="I17" s="3">
        <v>0</v>
      </c>
      <c r="J17" s="3">
        <v>-2</v>
      </c>
      <c r="K17" s="3">
        <v>10</v>
      </c>
      <c r="L17" s="3">
        <v>0</v>
      </c>
      <c r="M17" s="3">
        <v>2</v>
      </c>
      <c r="N17" s="3">
        <v>1</v>
      </c>
    </row>
    <row r="18" spans="1:14" x14ac:dyDescent="0.3">
      <c r="A18" t="s">
        <v>38</v>
      </c>
      <c r="B18">
        <v>1</v>
      </c>
      <c r="C18" s="4">
        <v>0</v>
      </c>
      <c r="D18" s="4">
        <v>0</v>
      </c>
      <c r="E18" s="4">
        <v>0.5</v>
      </c>
      <c r="F18" s="4">
        <v>0</v>
      </c>
      <c r="G18" s="4">
        <v>-0.1</v>
      </c>
      <c r="H18" s="5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2</v>
      </c>
    </row>
    <row r="19" spans="1:14" x14ac:dyDescent="0.3">
      <c r="A19" t="s">
        <v>62</v>
      </c>
      <c r="B19">
        <v>0</v>
      </c>
      <c r="C19" s="4">
        <v>-0.1</v>
      </c>
      <c r="D19" s="4">
        <v>0</v>
      </c>
      <c r="E19" s="4">
        <v>0</v>
      </c>
      <c r="F19" s="4">
        <v>0</v>
      </c>
      <c r="G19" s="5">
        <v>0</v>
      </c>
      <c r="H19" s="5">
        <v>0</v>
      </c>
      <c r="I19" s="3">
        <v>3</v>
      </c>
      <c r="J19" s="3">
        <v>1</v>
      </c>
      <c r="K19" s="3">
        <v>3</v>
      </c>
      <c r="L19" s="3">
        <v>0</v>
      </c>
      <c r="M19" s="3">
        <v>-1</v>
      </c>
      <c r="N19" s="3">
        <v>1</v>
      </c>
    </row>
  </sheetData>
  <conditionalFormatting sqref="G19:G1048576 H1:H19">
    <cfRule type="cellIs" dxfId="12" priority="10" operator="lessThan">
      <formula>0</formula>
    </cfRule>
  </conditionalFormatting>
  <conditionalFormatting sqref="H3:H10 N11 G19:G1048576 H13:H19">
    <cfRule type="cellIs" dxfId="11" priority="12" operator="greaterThan">
      <formula>0</formula>
    </cfRule>
  </conditionalFormatting>
  <conditionalFormatting sqref="I3:M18 M19:M1048576 G1:G18 E20:F1048576 E1:E19 C1:C1048576 K19 N1:N19 I19">
    <cfRule type="cellIs" dxfId="10" priority="14" operator="lessThan">
      <formula>0</formula>
    </cfRule>
  </conditionalFormatting>
  <conditionalFormatting sqref="M19:M1048576 I3:N18 G3:G18 E20:F1048576 E3:E19 C3:C1048576 K19 N19 I19">
    <cfRule type="cellIs" dxfId="9" priority="15" operator="greaterThan">
      <formula>0</formula>
    </cfRule>
  </conditionalFormatting>
  <conditionalFormatting sqref="N11">
    <cfRule type="cellIs" dxfId="8" priority="11" operator="lessThan">
      <formula>0</formula>
    </cfRule>
  </conditionalFormatting>
  <conditionalFormatting sqref="F3:F1048576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D3:D1048576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J2:J104857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2:L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6475-6F96-417C-B1B9-FDF0085A1872}">
  <dimension ref="A1:N17"/>
  <sheetViews>
    <sheetView zoomScale="180" zoomScaleNormal="180" workbookViewId="0">
      <selection activeCell="D14" sqref="D14"/>
    </sheetView>
  </sheetViews>
  <sheetFormatPr defaultRowHeight="14.4" x14ac:dyDescent="0.3"/>
  <cols>
    <col min="1" max="1" width="10.33203125" customWidth="1"/>
    <col min="2" max="2" width="17" customWidth="1"/>
    <col min="3" max="3" width="9.109375" style="3" customWidth="1"/>
    <col min="4" max="4" width="8.33203125" style="5" customWidth="1"/>
    <col min="5" max="5" width="8.109375" customWidth="1"/>
    <col min="6" max="6" width="8.77734375" customWidth="1"/>
    <col min="7" max="7" width="9.21875" customWidth="1"/>
    <col min="8" max="8" width="8" customWidth="1"/>
    <col min="9" max="9" width="8.33203125" customWidth="1"/>
    <col min="10" max="10" width="13" customWidth="1"/>
    <col min="11" max="11" width="5.21875" customWidth="1"/>
    <col min="12" max="12" width="5.44140625" customWidth="1"/>
  </cols>
  <sheetData>
    <row r="1" spans="1:14" x14ac:dyDescent="0.3">
      <c r="A1" s="10" t="s">
        <v>41</v>
      </c>
    </row>
    <row r="2" spans="1:14" ht="15" thickBot="1" x14ac:dyDescent="0.35">
      <c r="A2" t="s">
        <v>42</v>
      </c>
      <c r="C2" s="15" t="s">
        <v>45</v>
      </c>
      <c r="D2" s="16" t="s">
        <v>28</v>
      </c>
      <c r="E2" s="17" t="s">
        <v>8</v>
      </c>
      <c r="F2" s="17" t="s">
        <v>7</v>
      </c>
      <c r="G2" s="17" t="s">
        <v>26</v>
      </c>
      <c r="H2" s="17" t="s">
        <v>27</v>
      </c>
      <c r="I2" s="17" t="s">
        <v>43</v>
      </c>
      <c r="J2" s="17" t="s">
        <v>46</v>
      </c>
      <c r="K2" s="6"/>
      <c r="L2" s="6"/>
      <c r="M2" s="6"/>
      <c r="N2" s="6"/>
    </row>
    <row r="3" spans="1:14" ht="15" thickBot="1" x14ac:dyDescent="0.35">
      <c r="A3" s="14" t="s">
        <v>4</v>
      </c>
      <c r="C3" s="15">
        <f>_xlfn.XLOOKUP($A$3,'Base Stats'!$A$3:$A$7,'Base Stats'!B3:B7)</f>
        <v>2</v>
      </c>
      <c r="D3" s="16">
        <f>_xlfn.XLOOKUP($A$3,'Base Stats'!$A$3:$A$7,'Base Stats'!C3:C7)</f>
        <v>0.3</v>
      </c>
      <c r="E3" s="17">
        <f>_xlfn.XLOOKUP($A$3,'Base Stats'!$A$3:$A$7,'Base Stats'!D3:D7)</f>
        <v>20</v>
      </c>
      <c r="F3" s="17">
        <f>_xlfn.XLOOKUP($A$3,'Base Stats'!$A$3:$A$7,'Base Stats'!E3:E7)</f>
        <v>60</v>
      </c>
      <c r="G3" s="17">
        <f>_xlfn.XLOOKUP($A$3,'Base Stats'!$A$3:$A$7,'Base Stats'!F3:F7)</f>
        <v>0</v>
      </c>
      <c r="H3" s="17">
        <f>_xlfn.XLOOKUP($A$3,'Base Stats'!$A$3:$A$7,'Base Stats'!G3:G7)</f>
        <v>6</v>
      </c>
      <c r="I3" s="17">
        <f>_xlfn.XLOOKUP($A$3,'Base Stats'!$A$3:$A$7,'Base Stats'!H3:H7)</f>
        <v>0</v>
      </c>
      <c r="J3" s="17">
        <f>_xlfn.XLOOKUP($A$3,'Base Stats'!$A$3:$A$7,'Base Stats'!I3:I7)</f>
        <v>0</v>
      </c>
      <c r="K3" s="6"/>
      <c r="L3" s="6"/>
      <c r="M3" s="6"/>
      <c r="N3" s="6"/>
    </row>
    <row r="4" spans="1:14" x14ac:dyDescent="0.3">
      <c r="A4" s="13" t="s">
        <v>60</v>
      </c>
      <c r="B4" s="11" t="s">
        <v>62</v>
      </c>
      <c r="C4" s="18">
        <f>_xlfn.XLOOKUP(B4,'Tech Types'!A:A,'Tech Types'!B:B)</f>
        <v>0</v>
      </c>
      <c r="D4" s="19">
        <f>IF(C4&lt;=C3,_xlfn.XLOOKUP(B4,'Tech Types'!A:A,'Tech Types'!G:G),"NO TECH")</f>
        <v>0</v>
      </c>
      <c r="E4" s="20">
        <f>IF(C4&lt;=C3,_xlfn.XLOOKUP(B4,'Tech Types'!A:A,'Tech Types'!E:E),"NO TECH")</f>
        <v>0</v>
      </c>
      <c r="F4" s="20">
        <f>IF(C4&lt;=C3,_xlfn.XLOOKUP(B4,'Tech Types'!A:A,'Tech Types'!C:C),"NO TECH")</f>
        <v>-0.1</v>
      </c>
      <c r="G4" s="7">
        <f>IF(C4&lt;=C3,_xlfn.XLOOKUP(B4,'Tech Types'!A:A,'Tech Types'!I:I),"NO TECH")</f>
        <v>3</v>
      </c>
      <c r="H4" s="7">
        <f>IF(C4&lt;=C3,_xlfn.XLOOKUP(B4,'Tech Types'!A:A,'Tech Types'!K:K),"NO TECH")</f>
        <v>3</v>
      </c>
      <c r="I4" s="7">
        <f>IF(C4&lt;=C3,_xlfn.XLOOKUP(B4,'Tech Types'!A:A,'Tech Types'!M:M),"NO TECH")</f>
        <v>-1</v>
      </c>
      <c r="J4" s="7">
        <f>IF(C4&lt;=C3,_xlfn.XLOOKUP(B4,'Tech Types'!A:A,'Tech Types'!N:N),"NO TECH")</f>
        <v>1</v>
      </c>
      <c r="K4" s="6"/>
      <c r="L4" s="6"/>
      <c r="M4" s="6"/>
      <c r="N4" s="6"/>
    </row>
    <row r="5" spans="1:14" x14ac:dyDescent="0.3">
      <c r="A5" s="13" t="s">
        <v>47</v>
      </c>
      <c r="B5" s="11" t="s">
        <v>18</v>
      </c>
      <c r="C5" s="18">
        <f>_xlfn.XLOOKUP(B5,'Tech Types'!A:A,'Tech Types'!B:B)</f>
        <v>1</v>
      </c>
      <c r="D5" s="19">
        <f>IF(C3&gt;=C4+C5,_xlfn.XLOOKUP(B5,'Tech Types'!A:A,'Tech Types'!G:G),"NO TECH")</f>
        <v>0</v>
      </c>
      <c r="E5" s="20">
        <f>IF(C3&gt;=C4+C5,_xlfn.XLOOKUP(B5,'Tech Types'!A:A,'Tech Types'!E:E),"NO TECH")</f>
        <v>0</v>
      </c>
      <c r="F5" s="20">
        <f>IF(C3&gt;=C4+C5,_xlfn.XLOOKUP(B5,'Tech Types'!A:A,'Tech Types'!C:C),"NO TECH")</f>
        <v>0.5</v>
      </c>
      <c r="G5" s="7">
        <f>IF(C3&gt;=C4+C5,_xlfn.XLOOKUP(B5,'Tech Types'!A:A,'Tech Types'!I:I),"NO TECH")</f>
        <v>0</v>
      </c>
      <c r="H5" s="7">
        <f>IF(C3&gt;=C4+C5,_xlfn.XLOOKUP(B5,'Tech Types'!A:A,'Tech Types'!K:K),"NO TECH")</f>
        <v>0</v>
      </c>
      <c r="I5" s="7">
        <f>IF(C3&gt;=C4+C5,_xlfn.XLOOKUP(B5,'Tech Types'!A:A,'Tech Types'!M:M),"NO TECH")</f>
        <v>0</v>
      </c>
      <c r="J5" s="7">
        <f>IF(C3&gt;=C4+C5,_xlfn.XLOOKUP(B5,'Tech Types'!A:A,'Tech Types'!N:N),"NO TECH")</f>
        <v>0</v>
      </c>
      <c r="K5" s="6"/>
      <c r="L5" s="6"/>
      <c r="M5" s="6"/>
      <c r="N5" s="6"/>
    </row>
    <row r="6" spans="1:14" x14ac:dyDescent="0.3">
      <c r="A6" s="7" t="s">
        <v>48</v>
      </c>
      <c r="B6" s="11" t="s">
        <v>14</v>
      </c>
      <c r="C6" s="18">
        <f>_xlfn.XLOOKUP(B6,'Tech Types'!A:A,'Tech Types'!B:B)</f>
        <v>1</v>
      </c>
      <c r="D6" s="19">
        <f>IF(C3&gt;=C5+C6+C4,_xlfn.XLOOKUP(B6,'Tech Types'!A:A,'Tech Types'!G:G),"NO TECH")</f>
        <v>0</v>
      </c>
      <c r="E6" s="20">
        <f>IF(C3&gt;=C5+C6+C4,_xlfn.XLOOKUP(B6,'Tech Types'!A:A,'Tech Types'!E:E),"NO TECH")</f>
        <v>0</v>
      </c>
      <c r="F6" s="20">
        <f>IF(C3&gt;=C5+C6+C4,_xlfn.XLOOKUP(B6,'Tech Types'!A:A,'Tech Types'!C:C),"NO TECH")</f>
        <v>0</v>
      </c>
      <c r="G6" s="7">
        <f>IF(C3&gt;=C5+C6+C4,_xlfn.XLOOKUP(B6,'Tech Types'!A:A,'Tech Types'!I:I),"NO TECH")</f>
        <v>0</v>
      </c>
      <c r="H6" s="7">
        <f>IF(C3&gt;=C5+C6+C4,_xlfn.XLOOKUP(B6,'Tech Types'!A:A,'Tech Types'!K:K),"NO TECH")</f>
        <v>0</v>
      </c>
      <c r="I6" s="7">
        <f>IF(C3&gt;=C5+C6+C4,_xlfn.XLOOKUP(B6,'Tech Types'!A:A,'Tech Types'!M:M),"NO TECH")</f>
        <v>1</v>
      </c>
      <c r="J6" s="7">
        <f>IF(C3&gt;=C5+C6+C4,_xlfn.XLOOKUP(B6,'Tech Types'!A:A,'Tech Types'!N:N),"NO TECH")</f>
        <v>1</v>
      </c>
      <c r="K6" s="6"/>
      <c r="L6" s="6"/>
      <c r="M6" s="6"/>
      <c r="N6" s="6"/>
    </row>
    <row r="7" spans="1:14" x14ac:dyDescent="0.3">
      <c r="A7" s="7" t="s">
        <v>49</v>
      </c>
      <c r="B7" s="11" t="s">
        <v>30</v>
      </c>
      <c r="C7" s="18">
        <f>_xlfn.XLOOKUP(B7,'Tech Types'!A:A,'Tech Types'!B:B)</f>
        <v>1</v>
      </c>
      <c r="D7" s="19" t="str">
        <f>IF(C3&gt;=C5+C6+C4+C7,_xlfn.XLOOKUP(B7,'Tech Types'!A:A,'Tech Types'!G:G),"NO TECH")</f>
        <v>NO TECH</v>
      </c>
      <c r="E7" s="20" t="str">
        <f>IF(C3&gt;=C5+C6+C4+C7,_xlfn.XLOOKUP(B7,'Tech Types'!A:A,'Tech Types'!E:E),"NO TECH")</f>
        <v>NO TECH</v>
      </c>
      <c r="F7" s="20" t="str">
        <f>IF(C3&gt;=C5+C6+C4+C7,_xlfn.XLOOKUP(B7,'Tech Types'!A:A,'Tech Types'!C:C),"NO TECH")</f>
        <v>NO TECH</v>
      </c>
      <c r="G7" s="7" t="str">
        <f>IF(C3&gt;=C5+C6+C4+C7,_xlfn.XLOOKUP(B7,'Tech Types'!A:A,'Tech Types'!I:I),"NO TECH")</f>
        <v>NO TECH</v>
      </c>
      <c r="H7" s="7" t="str">
        <f>IF(C3&gt;=C5+C6+C4+C7,_xlfn.XLOOKUP(B7,'Tech Types'!A:A,'Tech Types'!K:K),"NO TECH")</f>
        <v>NO TECH</v>
      </c>
      <c r="I7" s="7" t="str">
        <f>IF(C3&gt;=C5+C6+C4+C7,_xlfn.XLOOKUP(B7,'Tech Types'!A:A,'Tech Types'!M:M),"NO TECH")</f>
        <v>NO TECH</v>
      </c>
      <c r="J7" s="7" t="str">
        <f>IF(C3&gt;=C5+C6+C4+C7,_xlfn.XLOOKUP(B7,'Tech Types'!A:A,'Tech Types'!N:N),"NO TECH")</f>
        <v>NO TECH</v>
      </c>
      <c r="K7" s="6"/>
      <c r="L7" s="6"/>
      <c r="M7" s="6"/>
      <c r="N7" s="6"/>
    </row>
    <row r="8" spans="1:14" x14ac:dyDescent="0.3">
      <c r="A8" s="7" t="s">
        <v>50</v>
      </c>
      <c r="B8" s="11" t="s">
        <v>29</v>
      </c>
      <c r="C8" s="18">
        <f>_xlfn.XLOOKUP(B8,'Tech Types'!A:A,'Tech Types'!B:B)</f>
        <v>1</v>
      </c>
      <c r="D8" s="19" t="str">
        <f>IF(C3&gt;=C5+C6+C4+C7+C8,_xlfn.XLOOKUP(B8,'Tech Types'!A:A,'Tech Types'!G:G),"NO TECH")</f>
        <v>NO TECH</v>
      </c>
      <c r="E8" s="20" t="str">
        <f>IF(C3&gt;=C5+C6+C4+C7+C8,_xlfn.XLOOKUP(B8,'Tech Types'!A:A,'Tech Types'!E:E),"NO TECH")</f>
        <v>NO TECH</v>
      </c>
      <c r="F8" s="20" t="str">
        <f>IF(C3&gt;=C5+C6+C4+C7+C8,_xlfn.XLOOKUP(B8,'Tech Types'!A:A,'Tech Types'!C:C),"NO TECH")</f>
        <v>NO TECH</v>
      </c>
      <c r="G8" s="7" t="str">
        <f>IF(C3&gt;=C5+C6+C4+C7+C8,_xlfn.XLOOKUP(B8,'Tech Types'!A:A,'Tech Types'!I:I),"NO TECH")</f>
        <v>NO TECH</v>
      </c>
      <c r="H8" s="7" t="str">
        <f>IF(C3&gt;=C5+C6+C4+C7+C8,_xlfn.XLOOKUP(B8,'Tech Types'!A:A,'Tech Types'!K:K),"NO TECH")</f>
        <v>NO TECH</v>
      </c>
      <c r="I8" s="7" t="str">
        <f>IF(C3&gt;=C5+C6+C4+C7+C8,_xlfn.XLOOKUP(B8,'Tech Types'!A:A,'Tech Types'!M:M),"NO TECH")</f>
        <v>NO TECH</v>
      </c>
      <c r="J8" s="7" t="str">
        <f>IF(C3&gt;=C5+C6+C4+C7+C8,_xlfn.XLOOKUP(B8,'Tech Types'!A:A,'Tech Types'!N:N),"NO TECH")</f>
        <v>NO TECH</v>
      </c>
    </row>
    <row r="9" spans="1:14" x14ac:dyDescent="0.3">
      <c r="A9" s="8" t="s">
        <v>61</v>
      </c>
      <c r="B9" s="27" t="str">
        <f>'Attack Modified Stats '!B4</f>
        <v>None</v>
      </c>
      <c r="C9" s="31"/>
      <c r="D9" s="35">
        <f>IF('Attack Modified Stats '!D4&lt;&gt;"NO TECH",_xlfn.XLOOKUP('Defence Modified Stats'!B9,'Tech Types'!A:A,'Tech Types'!H:H),"NO TECH")</f>
        <v>0</v>
      </c>
      <c r="E9" s="35">
        <f>IF('Attack Modified Stats '!D4&lt;&gt;"NO TECH",_xlfn.XLOOKUP('Defence Modified Stats'!B9,'Tech Types'!A:A,'Tech Types'!F:F),"NO TECH")</f>
        <v>0</v>
      </c>
      <c r="F9" s="35">
        <f>IF('Attack Modified Stats '!D4&lt;&gt;"NO TECH",_xlfn.XLOOKUP('Defence Modified Stats'!B9,'Tech Types'!A:A,'Tech Types'!D:D),"NO TECH")</f>
        <v>0</v>
      </c>
      <c r="G9" s="36">
        <f>IF('Attack Modified Stats '!D4&lt;&gt;"NO TECH",_xlfn.XLOOKUP('Defence Modified Stats'!B9,'Tech Types'!A:A,'Tech Types'!J:J),"NO TECH")</f>
        <v>0</v>
      </c>
      <c r="H9" s="36">
        <f>IF('Attack Modified Stats '!D4&lt;&gt;"NO TECH",_xlfn.XLOOKUP('Defence Modified Stats'!B9,'Tech Types'!A:A,'Tech Types'!L:L),"NO TECH")</f>
        <v>0</v>
      </c>
      <c r="I9" s="32"/>
      <c r="J9" s="32"/>
    </row>
    <row r="10" spans="1:14" x14ac:dyDescent="0.3">
      <c r="A10" s="8" t="s">
        <v>51</v>
      </c>
      <c r="B10" s="27" t="str">
        <f>'Attack Modified Stats '!B5</f>
        <v>Kinetics</v>
      </c>
      <c r="C10" s="31"/>
      <c r="D10" s="35">
        <f>IF('Attack Modified Stats '!D5&lt;&gt;"NO TECH",_xlfn.XLOOKUP('Defence Modified Stats'!B10,'Tech Types'!A:A,'Tech Types'!H:H),"NO TECH")</f>
        <v>0</v>
      </c>
      <c r="E10" s="35">
        <f>IF('Attack Modified Stats '!D5&lt;&gt;"NO TECH",_xlfn.XLOOKUP('Defence Modified Stats'!B10,'Tech Types'!A:A,'Tech Types'!F:F),"NO TECH")</f>
        <v>0</v>
      </c>
      <c r="F10" s="35">
        <f>IF('Attack Modified Stats '!D5&lt;&gt;"NO TECH",_xlfn.XLOOKUP('Defence Modified Stats'!B10,'Tech Types'!A:A,'Tech Types'!D:D),"NO TECH")</f>
        <v>0</v>
      </c>
      <c r="G10" s="36">
        <f>IF('Attack Modified Stats '!D5&lt;&gt;"NO TECH",_xlfn.XLOOKUP('Defence Modified Stats'!B10,'Tech Types'!A:A,'Tech Types'!J:J),"NO TECH")</f>
        <v>0</v>
      </c>
      <c r="H10" s="36">
        <f>IF('Attack Modified Stats '!D5&lt;&gt;"NO TECH",_xlfn.XLOOKUP('Defence Modified Stats'!B10,'Tech Types'!A:A,'Tech Types'!L:L),"NO TECH")</f>
        <v>0</v>
      </c>
      <c r="I10" s="32"/>
      <c r="J10" s="32"/>
    </row>
    <row r="11" spans="1:14" x14ac:dyDescent="0.3">
      <c r="A11" s="8" t="s">
        <v>52</v>
      </c>
      <c r="B11" s="27" t="str">
        <f>'Attack Modified Stats '!B6</f>
        <v>Sheilds</v>
      </c>
      <c r="C11" s="31"/>
      <c r="D11" s="35">
        <f>IF('Attack Modified Stats '!D6&lt;&gt;"NO TECH",_xlfn.XLOOKUP('Defence Modified Stats'!B11,'Tech Types'!A:A,'Tech Types'!H:H),"NO TECH")</f>
        <v>0</v>
      </c>
      <c r="E11" s="35">
        <f>IF('Attack Modified Stats '!D6&lt;&gt;"NO TECH",_xlfn.XLOOKUP('Defence Modified Stats'!B11,'Tech Types'!A:A,'Tech Types'!F:F),"NO TECH")</f>
        <v>-0.1</v>
      </c>
      <c r="F11" s="35">
        <f>IF('Attack Modified Stats '!D6&lt;&gt;"NO TECH",_xlfn.XLOOKUP('Defence Modified Stats'!B11,'Tech Types'!A:A,'Tech Types'!D:D),"NO TECH")</f>
        <v>0</v>
      </c>
      <c r="G11" s="36">
        <f>IF('Attack Modified Stats '!D6&lt;&gt;"NO TECH",_xlfn.XLOOKUP('Defence Modified Stats'!B11,'Tech Types'!A:A,'Tech Types'!J:J),"NO TECH")</f>
        <v>0</v>
      </c>
      <c r="H11" s="36">
        <f>IF('Attack Modified Stats '!D6&lt;&gt;"NO TECH",_xlfn.XLOOKUP('Defence Modified Stats'!B11,'Tech Types'!A:A,'Tech Types'!L:L),"NO TECH")</f>
        <v>0</v>
      </c>
      <c r="I11" s="32"/>
      <c r="J11" s="32"/>
    </row>
    <row r="12" spans="1:14" x14ac:dyDescent="0.3">
      <c r="A12" s="8" t="s">
        <v>53</v>
      </c>
      <c r="B12" s="27" t="str">
        <f>'Attack Modified Stats '!B7</f>
        <v>Point Defence</v>
      </c>
      <c r="C12" s="31"/>
      <c r="D12" s="35" t="str">
        <f>IF('Attack Modified Stats '!D7&lt;&gt;"NO TECH",_xlfn.XLOOKUP('Defence Modified Stats'!B12,'Tech Types'!A:A,'Tech Types'!H:H),"NO TECH")</f>
        <v>NO TECH</v>
      </c>
      <c r="E12" s="35" t="str">
        <f>IF('Attack Modified Stats '!D7&lt;&gt;"NO TECH",_xlfn.XLOOKUP('Defence Modified Stats'!B12,'Tech Types'!A:A,'Tech Types'!F:F),"NO TECH")</f>
        <v>NO TECH</v>
      </c>
      <c r="F12" s="35" t="str">
        <f>IF('Attack Modified Stats '!D7&lt;&gt;"NO TECH",_xlfn.XLOOKUP('Defence Modified Stats'!B12,'Tech Types'!A:A,'Tech Types'!D:D),"NO TECH")</f>
        <v>NO TECH</v>
      </c>
      <c r="G12" s="36" t="str">
        <f>IF('Attack Modified Stats '!D7&lt;&gt;"NO TECH",_xlfn.XLOOKUP('Defence Modified Stats'!B12,'Tech Types'!A:A,'Tech Types'!J:J),"NO TECH")</f>
        <v>NO TECH</v>
      </c>
      <c r="H12" s="36" t="str">
        <f>IF('Attack Modified Stats '!D7&lt;&gt;"NO TECH",_xlfn.XLOOKUP('Defence Modified Stats'!B12,'Tech Types'!A:A,'Tech Types'!L:L),"NO TECH")</f>
        <v>NO TECH</v>
      </c>
      <c r="I12" s="32"/>
      <c r="J12" s="32"/>
    </row>
    <row r="13" spans="1:14" x14ac:dyDescent="0.3">
      <c r="A13" s="8" t="s">
        <v>54</v>
      </c>
      <c r="B13" s="27" t="str">
        <f>'Attack Modified Stats '!B8</f>
        <v>Missles</v>
      </c>
      <c r="C13" s="31"/>
      <c r="D13" s="35" t="str">
        <f>IF('Attack Modified Stats '!D8&lt;&gt;"NO TECH",_xlfn.XLOOKUP('Defence Modified Stats'!B13,'Tech Types'!A:A,'Tech Types'!H:H),"NO TECH")</f>
        <v>NO TECH</v>
      </c>
      <c r="E13" s="35" t="str">
        <f>IF('Attack Modified Stats '!D8&lt;&gt;"NO TECH",_xlfn.XLOOKUP('Defence Modified Stats'!B13,'Tech Types'!A:A,'Tech Types'!F:F),"NO TECH")</f>
        <v>NO TECH</v>
      </c>
      <c r="F13" s="35" t="str">
        <f>IF('Attack Modified Stats '!D8&lt;&gt;"NO TECH",_xlfn.XLOOKUP('Defence Modified Stats'!B13,'Tech Types'!A:A,'Tech Types'!D:D),"NO TECH")</f>
        <v>NO TECH</v>
      </c>
      <c r="G13" s="36" t="str">
        <f>IF('Attack Modified Stats '!D8&lt;&gt;"NO TECH",_xlfn.XLOOKUP('Defence Modified Stats'!B13,'Tech Types'!A:A,'Tech Types'!J:J),"NO TECH")</f>
        <v>NO TECH</v>
      </c>
      <c r="H13" s="36" t="str">
        <f>IF('Attack Modified Stats '!D8&lt;&gt;"NO TECH",_xlfn.XLOOKUP('Defence Modified Stats'!B13,'Tech Types'!A:A,'Tech Types'!L:L),"NO TECH")</f>
        <v>NO TECH</v>
      </c>
      <c r="I13" s="32"/>
      <c r="J13" s="32"/>
    </row>
    <row r="14" spans="1:14" x14ac:dyDescent="0.3">
      <c r="A14" s="9" t="s">
        <v>55</v>
      </c>
      <c r="E14" s="5"/>
    </row>
    <row r="16" spans="1:14" x14ac:dyDescent="0.3">
      <c r="A16" t="s">
        <v>56</v>
      </c>
      <c r="D16" s="5">
        <f>SUM(D3:D14)</f>
        <v>0.3</v>
      </c>
      <c r="E16">
        <f>E3*(1+SUM(E4:E14))</f>
        <v>18</v>
      </c>
      <c r="F16">
        <f>F3*(1+SUM(F4:F14))</f>
        <v>84</v>
      </c>
      <c r="G16">
        <f>SUM(G3:G14)</f>
        <v>3</v>
      </c>
      <c r="H16">
        <f>SUM(H3:H14)</f>
        <v>9</v>
      </c>
      <c r="I16">
        <f>SUM(I3:I14)</f>
        <v>0</v>
      </c>
      <c r="J16">
        <f>SUM(J3:J14)</f>
        <v>2</v>
      </c>
    </row>
    <row r="17" spans="1:10" x14ac:dyDescent="0.3">
      <c r="A17" s="11" t="s">
        <v>63</v>
      </c>
      <c r="B17" s="11"/>
      <c r="C17" s="37"/>
      <c r="D17" s="38">
        <f>IF(D16&lt;0,0,D16)</f>
        <v>0.3</v>
      </c>
      <c r="E17" s="39">
        <f t="shared" ref="E17:J17" si="0">IF(E16&lt;0,0,E16)</f>
        <v>18</v>
      </c>
      <c r="F17" s="39">
        <f t="shared" si="0"/>
        <v>84</v>
      </c>
      <c r="G17" s="39">
        <f>G16</f>
        <v>3</v>
      </c>
      <c r="H17" s="39">
        <f t="shared" si="0"/>
        <v>9</v>
      </c>
      <c r="I17" s="39">
        <f>I16</f>
        <v>0</v>
      </c>
      <c r="J17" s="39">
        <f t="shared" si="0"/>
        <v>2</v>
      </c>
    </row>
  </sheetData>
  <phoneticPr fontId="2" type="noConversion"/>
  <pageMargins left="0.7" right="0.7" top="0.75" bottom="0.75" header="0.3" footer="0.3"/>
  <ignoredErrors>
    <ignoredError sqref="D6:J6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E82CC3F-3F31-40D4-8017-391B9D53ABE6}">
          <x14:formula1>
            <xm:f>'Base Stats'!$A$3:$A$7</xm:f>
          </x14:formula1>
          <xm:sqref>A3</xm:sqref>
        </x14:dataValidation>
        <x14:dataValidation type="list" allowBlank="1" showInputMessage="1" showErrorMessage="1" xr:uid="{DDB8D12A-030F-4398-9142-D00179F0D78D}">
          <x14:formula1>
            <xm:f>'Tech Types'!$A:$A</xm:f>
          </x14:formula1>
          <xm:sqref>B4:B8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2B90-DB10-4CCB-AFEA-6C3DAAD94204}">
  <dimension ref="A1:N17"/>
  <sheetViews>
    <sheetView tabSelected="1" zoomScale="180" zoomScaleNormal="180" workbookViewId="0">
      <selection activeCell="K9" sqref="K9"/>
    </sheetView>
  </sheetViews>
  <sheetFormatPr defaultRowHeight="14.4" x14ac:dyDescent="0.3"/>
  <cols>
    <col min="1" max="1" width="10.33203125" customWidth="1"/>
    <col min="2" max="2" width="17" customWidth="1"/>
    <col min="3" max="3" width="9.109375" style="3" customWidth="1"/>
    <col min="4" max="4" width="8.33203125" style="5" customWidth="1"/>
    <col min="5" max="5" width="8.109375" customWidth="1"/>
    <col min="6" max="6" width="8.33203125" customWidth="1"/>
    <col min="7" max="7" width="8.77734375" customWidth="1"/>
    <col min="8" max="8" width="8" customWidth="1"/>
    <col min="9" max="9" width="8.33203125" customWidth="1"/>
    <col min="10" max="10" width="13" customWidth="1"/>
    <col min="11" max="11" width="5.21875" customWidth="1"/>
    <col min="12" max="12" width="5.44140625" customWidth="1"/>
  </cols>
  <sheetData>
    <row r="1" spans="1:14" x14ac:dyDescent="0.3">
      <c r="A1" s="21" t="s">
        <v>57</v>
      </c>
    </row>
    <row r="2" spans="1:14" ht="15" thickBot="1" x14ac:dyDescent="0.35">
      <c r="A2" t="s">
        <v>42</v>
      </c>
      <c r="C2" s="15" t="s">
        <v>45</v>
      </c>
      <c r="D2" s="16" t="s">
        <v>28</v>
      </c>
      <c r="E2" s="17" t="s">
        <v>8</v>
      </c>
      <c r="F2" s="17" t="s">
        <v>7</v>
      </c>
      <c r="G2" s="17" t="s">
        <v>26</v>
      </c>
      <c r="H2" s="17" t="s">
        <v>27</v>
      </c>
      <c r="I2" s="17" t="s">
        <v>43</v>
      </c>
      <c r="J2" s="17" t="s">
        <v>46</v>
      </c>
      <c r="K2" s="6"/>
      <c r="L2" s="6"/>
      <c r="M2" s="6"/>
      <c r="N2" s="6"/>
    </row>
    <row r="3" spans="1:14" x14ac:dyDescent="0.3">
      <c r="A3" s="12" t="s">
        <v>4</v>
      </c>
      <c r="C3" s="15">
        <f>_xlfn.XLOOKUP($A$3,'Base Stats'!$A$3:$A$7,'Base Stats'!B3:B7)</f>
        <v>2</v>
      </c>
      <c r="D3" s="16">
        <f>_xlfn.XLOOKUP($A$3,'Base Stats'!$A$3:$A$7,'Base Stats'!C3:C7)</f>
        <v>0.3</v>
      </c>
      <c r="E3" s="17">
        <f>_xlfn.XLOOKUP($A$3,'Base Stats'!$A$3:$A$7,'Base Stats'!D3:D7)</f>
        <v>20</v>
      </c>
      <c r="F3" s="17">
        <f>_xlfn.XLOOKUP($A$3,'Base Stats'!$A$3:$A$7,'Base Stats'!E3:E7)</f>
        <v>60</v>
      </c>
      <c r="G3" s="17">
        <f>_xlfn.XLOOKUP($A$3,'Base Stats'!$A$3:$A$7,'Base Stats'!F3:F7)</f>
        <v>0</v>
      </c>
      <c r="H3" s="17">
        <f>_xlfn.XLOOKUP($A$3,'Base Stats'!$A$3:$A$7,'Base Stats'!G3:G7)</f>
        <v>6</v>
      </c>
      <c r="I3" s="17">
        <f>_xlfn.XLOOKUP($A$3,'Base Stats'!$A$3:$A$7,'Base Stats'!H3:H7)</f>
        <v>0</v>
      </c>
      <c r="J3" s="17">
        <f>_xlfn.XLOOKUP($A$3,'Base Stats'!$A$3:$A$7,'Base Stats'!I3:I7)</f>
        <v>0</v>
      </c>
      <c r="K3" s="6"/>
      <c r="L3" s="6"/>
      <c r="M3" s="6"/>
      <c r="N3" s="6"/>
    </row>
    <row r="4" spans="1:14" x14ac:dyDescent="0.3">
      <c r="A4" s="8" t="s">
        <v>60</v>
      </c>
      <c r="B4" s="23" t="s">
        <v>44</v>
      </c>
      <c r="C4" s="24">
        <f>_xlfn.XLOOKUP(B4,'Tech Types'!A:A,'Tech Types'!B:B)</f>
        <v>0</v>
      </c>
      <c r="D4" s="25">
        <f>IF(C4&lt;=C3,_xlfn.XLOOKUP(B4,'Tech Types'!A:A,'Tech Types'!G:G),"NO TECH")</f>
        <v>0</v>
      </c>
      <c r="E4" s="26">
        <f>IF(C4&lt;=C3,_xlfn.XLOOKUP(B4,'Tech Types'!A:A,'Tech Types'!E:E),"NO TECH")</f>
        <v>0</v>
      </c>
      <c r="F4" s="26">
        <f>IF(C4&lt;=C3,_xlfn.XLOOKUP(B4,'Tech Types'!A:A,'Tech Types'!C:C),"NO TECH")</f>
        <v>0</v>
      </c>
      <c r="G4" s="8">
        <f>IF(C4&lt;=C3,_xlfn.XLOOKUP(B4,'Tech Types'!A:A,'Tech Types'!I:I),"NO TECH")</f>
        <v>0</v>
      </c>
      <c r="H4" s="8">
        <f>IF(C4&lt;=C3,_xlfn.XLOOKUP(B4,'Tech Types'!A:A,'Tech Types'!K:K),"NO TECH")</f>
        <v>0</v>
      </c>
      <c r="I4" s="8">
        <f>IF(C4&lt;=C3,_xlfn.XLOOKUP(B4,'Tech Types'!A:A,'Tech Types'!M:M),"NO TECH")</f>
        <v>0</v>
      </c>
      <c r="J4" s="8">
        <f>IF(C4&lt;=C3,_xlfn.XLOOKUP(B4,'Tech Types'!A:A,'Tech Types'!N:N),"NO TECH")</f>
        <v>0</v>
      </c>
      <c r="K4" s="6"/>
      <c r="L4" s="6"/>
      <c r="M4" s="6"/>
      <c r="N4" s="6"/>
    </row>
    <row r="5" spans="1:14" x14ac:dyDescent="0.3">
      <c r="A5" s="22" t="s">
        <v>47</v>
      </c>
      <c r="B5" s="23" t="s">
        <v>19</v>
      </c>
      <c r="C5" s="24">
        <f>_xlfn.XLOOKUP(B5,'Tech Types'!A:A,'Tech Types'!B:B)</f>
        <v>1</v>
      </c>
      <c r="D5" s="25">
        <f>IF(C3&gt;=C4+C5,_xlfn.XLOOKUP(B5,'Tech Types'!A:A,'Tech Types'!G:G),"NO TECH")</f>
        <v>0</v>
      </c>
      <c r="E5" s="26">
        <f>IF(C3&gt;=C4+C5,_xlfn.XLOOKUP(B5,'Tech Types'!A:A,'Tech Types'!E:E),"NO TECH")</f>
        <v>1</v>
      </c>
      <c r="F5" s="26">
        <f>IF(C3&gt;=C4+C5,_xlfn.XLOOKUP(B5,'Tech Types'!A:A,'Tech Types'!C:C),"NO TECH")</f>
        <v>0</v>
      </c>
      <c r="G5" s="8">
        <f>IF(C3&gt;=C4+C5,_xlfn.XLOOKUP(B5,'Tech Types'!A:A,'Tech Types'!I:I),"NO TECH")</f>
        <v>0</v>
      </c>
      <c r="H5" s="8">
        <f>IF(C3&gt;=C4+C5,_xlfn.XLOOKUP(B5,'Tech Types'!A:A,'Tech Types'!K:K),"NO TECH")</f>
        <v>0</v>
      </c>
      <c r="I5" s="8">
        <f>IF(C3&gt;=C4+C5,_xlfn.XLOOKUP(B5,'Tech Types'!A:A,'Tech Types'!M:M),"NO TECH")</f>
        <v>0</v>
      </c>
      <c r="J5" s="8">
        <f>IF(C3&gt;=C4+C5,_xlfn.XLOOKUP(B5,'Tech Types'!A:A,'Tech Types'!N:N),"NO TECH")</f>
        <v>1</v>
      </c>
      <c r="K5" s="6"/>
      <c r="L5" s="6"/>
      <c r="M5" s="6"/>
      <c r="N5" s="6"/>
    </row>
    <row r="6" spans="1:14" x14ac:dyDescent="0.3">
      <c r="A6" s="8" t="s">
        <v>48</v>
      </c>
      <c r="B6" s="23" t="s">
        <v>18</v>
      </c>
      <c r="C6" s="24">
        <f>_xlfn.XLOOKUP(B6,'Tech Types'!A:A,'Tech Types'!B:B)</f>
        <v>1</v>
      </c>
      <c r="D6" s="25">
        <f>IF(C3&gt;=C5+C6+C4,_xlfn.XLOOKUP(B6,'Tech Types'!A:A,'Tech Types'!G:G),"NO TECH")</f>
        <v>0</v>
      </c>
      <c r="E6" s="26">
        <f>IF(C3&gt;=C5+C6+C4,_xlfn.XLOOKUP(B6,'Tech Types'!A:A,'Tech Types'!E:E),"NO TECH")</f>
        <v>0</v>
      </c>
      <c r="F6" s="26">
        <f>IF(C3&gt;=C5+C6+C4,_xlfn.XLOOKUP(B6,'Tech Types'!A:A,'Tech Types'!C:C),"NO TECH")</f>
        <v>0.5</v>
      </c>
      <c r="G6" s="8">
        <f>IF(C3&gt;=C5+C6+C4,_xlfn.XLOOKUP(B6,'Tech Types'!A:A,'Tech Types'!I:I),"NO TECH")</f>
        <v>0</v>
      </c>
      <c r="H6" s="8">
        <f>IF(C3&gt;=C5+C6+C4,_xlfn.XLOOKUP(B6,'Tech Types'!A:A,'Tech Types'!K:K),"NO TECH")</f>
        <v>0</v>
      </c>
      <c r="I6" s="8">
        <f>IF(C3&gt;=C5+C6+C4,_xlfn.XLOOKUP(B6,'Tech Types'!A:A,'Tech Types'!M:M),"NO TECH")</f>
        <v>0</v>
      </c>
      <c r="J6" s="8">
        <f>IF(C3&gt;=C5+C6+C4,_xlfn.XLOOKUP(B6,'Tech Types'!A:A,'Tech Types'!N:N),"NO TECH")</f>
        <v>0</v>
      </c>
      <c r="K6" s="6"/>
      <c r="L6" s="6"/>
      <c r="M6" s="6"/>
      <c r="N6" s="6"/>
    </row>
    <row r="7" spans="1:14" x14ac:dyDescent="0.3">
      <c r="A7" s="8" t="s">
        <v>49</v>
      </c>
      <c r="B7" s="23" t="s">
        <v>29</v>
      </c>
      <c r="C7" s="24">
        <f>_xlfn.XLOOKUP(B7,'Tech Types'!A:A,'Tech Types'!B:B)</f>
        <v>1</v>
      </c>
      <c r="D7" s="25" t="str">
        <f>IF(C3&gt;=C5+C6+C4+C7,_xlfn.XLOOKUP(B7,'Tech Types'!A:A,'Tech Types'!G:G),"NO TECH")</f>
        <v>NO TECH</v>
      </c>
      <c r="E7" s="26" t="str">
        <f>IF(C3&gt;=C5+C6+C4+C7,_xlfn.XLOOKUP(B7,'Tech Types'!A:A,'Tech Types'!E:E),"NO TECH")</f>
        <v>NO TECH</v>
      </c>
      <c r="F7" s="26" t="str">
        <f>IF(C3&gt;=C5+C6+C4+C7,_xlfn.XLOOKUP(B7,'Tech Types'!A:A,'Tech Types'!C:C),"NO TECH")</f>
        <v>NO TECH</v>
      </c>
      <c r="G7" s="8" t="str">
        <f>IF(C3&gt;=C5+C6+C4+C7,_xlfn.XLOOKUP(B7,'Tech Types'!A:A,'Tech Types'!I:I),"NO TECH")</f>
        <v>NO TECH</v>
      </c>
      <c r="H7" s="8" t="str">
        <f>IF(C3&gt;=C5+C6+C4+C7,_xlfn.XLOOKUP(B7,'Tech Types'!A:A,'Tech Types'!K:K),"NO TECH")</f>
        <v>NO TECH</v>
      </c>
      <c r="I7" s="8" t="str">
        <f>IF(C3&gt;=C5+C6+C4+C7,_xlfn.XLOOKUP(B7,'Tech Types'!A:A,'Tech Types'!M:M),"NO TECH")</f>
        <v>NO TECH</v>
      </c>
      <c r="J7" s="8" t="str">
        <f>IF(C3&gt;=C5+C6+C4+C7,_xlfn.XLOOKUP(B7,'Tech Types'!A:A,'Tech Types'!N:N),"NO TECH")</f>
        <v>NO TECH</v>
      </c>
      <c r="K7" s="6"/>
      <c r="L7" s="6"/>
      <c r="M7" s="6"/>
      <c r="N7" s="6"/>
    </row>
    <row r="8" spans="1:14" x14ac:dyDescent="0.3">
      <c r="A8" s="8" t="s">
        <v>50</v>
      </c>
      <c r="B8" s="29" t="s">
        <v>33</v>
      </c>
      <c r="C8" s="24">
        <f>_xlfn.XLOOKUP(B8,'Tech Types'!A:A,'Tech Types'!B:B)</f>
        <v>1</v>
      </c>
      <c r="D8" s="25" t="str">
        <f>IF(C3&gt;=C5+C6+C4+C7+C8,_xlfn.XLOOKUP(B8,'Tech Types'!A:A,'Tech Types'!G:G),"NO TECH")</f>
        <v>NO TECH</v>
      </c>
      <c r="E8" s="26" t="str">
        <f>IF(C3&gt;=C5+C6+C4+C7+C8,_xlfn.XLOOKUP(B8,'Tech Types'!A:A,'Tech Types'!E:E),"NO TECH")</f>
        <v>NO TECH</v>
      </c>
      <c r="F8" s="26" t="str">
        <f>IF(C3&gt;=C5+C6+C4+C7+C8,_xlfn.XLOOKUP(B8,'Tech Types'!A:A,'Tech Types'!C:C),"NO TECH")</f>
        <v>NO TECH</v>
      </c>
      <c r="G8" s="8" t="str">
        <f>IF(C3&gt;=C5+C6+C4+C7+C8,_xlfn.XLOOKUP(B8,'Tech Types'!A:A,'Tech Types'!I:I),"NO TECH")</f>
        <v>NO TECH</v>
      </c>
      <c r="H8" s="8" t="str">
        <f>IF(C3&gt;=C5+C6+C4+C7+C8,_xlfn.XLOOKUP(B8,'Tech Types'!A:A,'Tech Types'!K:K),"NO TECH")</f>
        <v>NO TECH</v>
      </c>
      <c r="I8" s="8" t="str">
        <f>IF(C3&gt;=C5+C6+C4+C7+C8,_xlfn.XLOOKUP(B8,'Tech Types'!A:A,'Tech Types'!M:M),"NO TECH")</f>
        <v>NO TECH</v>
      </c>
      <c r="J8" s="8" t="str">
        <f>IF(C3&gt;=C5+C6+C4+C7+C8,_xlfn.XLOOKUP(B8,'Tech Types'!A:A,'Tech Types'!N:N),"NO TECH")</f>
        <v>NO TECH</v>
      </c>
    </row>
    <row r="9" spans="1:14" x14ac:dyDescent="0.3">
      <c r="A9" s="28" t="s">
        <v>61</v>
      </c>
      <c r="B9" s="30" t="str">
        <f>'Defence Modified Stats'!B4</f>
        <v>Sleepy Joe</v>
      </c>
      <c r="C9" s="31"/>
      <c r="D9" s="20">
        <f>IF('Defence Modified Stats'!D4&lt;&gt;"NO TECH",_xlfn.XLOOKUP('Attack Modified Stats '!B9,'Tech Types'!A:A,'Tech Types'!H:H),"NO TECH")</f>
        <v>0</v>
      </c>
      <c r="E9" s="20">
        <f>IF('Defence Modified Stats'!D4&lt;&gt;"NO TECH",_xlfn.XLOOKUP('Attack Modified Stats '!B9,'Tech Types'!A:A,'Tech Types'!F:F),"NO TECH")</f>
        <v>0</v>
      </c>
      <c r="F9" s="20">
        <f>IF('Defence Modified Stats'!D4&lt;&gt;"NO TECH",_xlfn.XLOOKUP('Attack Modified Stats '!B9,'Tech Types'!A:A,'Tech Types'!D:D),"NO TECH")</f>
        <v>0</v>
      </c>
      <c r="G9" s="7">
        <f>IF('Defence Modified Stats'!D4&lt;&gt;"NO TECH",_xlfn.XLOOKUP('Attack Modified Stats '!B9,'Tech Types'!A:A,'Tech Types'!J:J),"NO TECH")</f>
        <v>1</v>
      </c>
      <c r="H9" s="7">
        <f>IF('Defence Modified Stats'!D4&lt;&gt;"NO TECH",_xlfn.XLOOKUP('Attack Modified Stats '!B9,'Tech Types'!A:A,'Tech Types'!L:L),"NO TECH")</f>
        <v>0</v>
      </c>
      <c r="I9" s="32"/>
      <c r="J9" s="32"/>
    </row>
    <row r="10" spans="1:14" x14ac:dyDescent="0.3">
      <c r="A10" s="28" t="s">
        <v>51</v>
      </c>
      <c r="B10" s="30" t="str">
        <f>'Defence Modified Stats'!B5</f>
        <v>Sheilds</v>
      </c>
      <c r="C10" s="31"/>
      <c r="D10" s="20">
        <f>IF('Defence Modified Stats'!D5&lt;&gt;"NO TECH",_xlfn.XLOOKUP('Attack Modified Stats '!B10,'Tech Types'!A:A,'Tech Types'!H:H),"NO TECH")</f>
        <v>0</v>
      </c>
      <c r="E10" s="20">
        <f>IF('Defence Modified Stats'!D5&lt;&gt;"NO TECH",_xlfn.XLOOKUP('Attack Modified Stats '!B10,'Tech Types'!A:A,'Tech Types'!F:F),"NO TECH")</f>
        <v>-0.1</v>
      </c>
      <c r="F10" s="20">
        <f>IF('Defence Modified Stats'!D5&lt;&gt;"NO TECH",_xlfn.XLOOKUP('Attack Modified Stats '!B10,'Tech Types'!A:A,'Tech Types'!D:D),"NO TECH")</f>
        <v>0</v>
      </c>
      <c r="G10" s="7">
        <f>IF('Defence Modified Stats'!D5&lt;&gt;"NO TECH",_xlfn.XLOOKUP('Attack Modified Stats '!B10,'Tech Types'!A:A,'Tech Types'!J:J),"NO TECH")</f>
        <v>0</v>
      </c>
      <c r="H10" s="7">
        <f>IF('Defence Modified Stats'!D5&lt;&gt;"NO TECH",_xlfn.XLOOKUP('Attack Modified Stats '!B10,'Tech Types'!A:A,'Tech Types'!L:L),"NO TECH")</f>
        <v>0</v>
      </c>
      <c r="I10" s="32"/>
      <c r="J10" s="32"/>
    </row>
    <row r="11" spans="1:14" x14ac:dyDescent="0.3">
      <c r="A11" s="28" t="s">
        <v>52</v>
      </c>
      <c r="B11" s="30" t="str">
        <f>'Defence Modified Stats'!B6</f>
        <v>Targeting Computer</v>
      </c>
      <c r="C11" s="31"/>
      <c r="D11" s="20">
        <f>IF('Defence Modified Stats'!D6&lt;&gt;"NO TECH",_xlfn.XLOOKUP('Attack Modified Stats '!B11,'Tech Types'!A:A,'Tech Types'!H:H),"NO TECH")</f>
        <v>0</v>
      </c>
      <c r="E11" s="20">
        <f>IF('Defence Modified Stats'!D6&lt;&gt;"NO TECH",_xlfn.XLOOKUP('Attack Modified Stats '!B11,'Tech Types'!A:A,'Tech Types'!F:F),"NO TECH")</f>
        <v>0</v>
      </c>
      <c r="F11" s="20">
        <f>IF('Defence Modified Stats'!D6&lt;&gt;"NO TECH",_xlfn.XLOOKUP('Attack Modified Stats '!B11,'Tech Types'!A:A,'Tech Types'!D:D),"NO TECH")</f>
        <v>0</v>
      </c>
      <c r="G11" s="7">
        <f>IF('Defence Modified Stats'!D6&lt;&gt;"NO TECH",_xlfn.XLOOKUP('Attack Modified Stats '!B11,'Tech Types'!A:A,'Tech Types'!J:J),"NO TECH")</f>
        <v>0</v>
      </c>
      <c r="H11" s="7">
        <f>IF('Defence Modified Stats'!D6&lt;&gt;"NO TECH",_xlfn.XLOOKUP('Attack Modified Stats '!B11,'Tech Types'!A:A,'Tech Types'!L:L),"NO TECH")</f>
        <v>0</v>
      </c>
      <c r="I11" s="32"/>
      <c r="J11" s="32"/>
    </row>
    <row r="12" spans="1:14" x14ac:dyDescent="0.3">
      <c r="A12" s="28" t="s">
        <v>53</v>
      </c>
      <c r="B12" s="30" t="str">
        <f>'Defence Modified Stats'!B7</f>
        <v>Sentient  Computer</v>
      </c>
      <c r="C12" s="31"/>
      <c r="D12" s="20" t="str">
        <f>IF('Defence Modified Stats'!D7&lt;&gt;"NO TECH",_xlfn.XLOOKUP('Attack Modified Stats '!B12,'Tech Types'!A:A,'Tech Types'!H:H),"NO TECH")</f>
        <v>NO TECH</v>
      </c>
      <c r="E12" s="20" t="str">
        <f>IF('Defence Modified Stats'!D7&lt;&gt;"NO TECH",_xlfn.XLOOKUP('Attack Modified Stats '!B12,'Tech Types'!A:A,'Tech Types'!F:F),"NO TECH")</f>
        <v>NO TECH</v>
      </c>
      <c r="F12" s="20" t="str">
        <f>IF('Defence Modified Stats'!D7&lt;&gt;"NO TECH",_xlfn.XLOOKUP('Attack Modified Stats '!B12,'Tech Types'!A:A,'Tech Types'!D:D),"NO TECH")</f>
        <v>NO TECH</v>
      </c>
      <c r="G12" s="7" t="str">
        <f>IF('Defence Modified Stats'!D7&lt;&gt;"NO TECH",_xlfn.XLOOKUP('Attack Modified Stats '!B12,'Tech Types'!A:A,'Tech Types'!J:J),"NO TECH")</f>
        <v>NO TECH</v>
      </c>
      <c r="H12" s="7" t="str">
        <f>IF('Defence Modified Stats'!D7&lt;&gt;"NO TECH",_xlfn.XLOOKUP('Attack Modified Stats '!B12,'Tech Types'!A:A,'Tech Types'!L:L),"NO TECH")</f>
        <v>NO TECH</v>
      </c>
      <c r="I12" s="32"/>
      <c r="J12" s="32"/>
    </row>
    <row r="13" spans="1:14" x14ac:dyDescent="0.3">
      <c r="A13" s="28" t="s">
        <v>54</v>
      </c>
      <c r="B13" s="30" t="str">
        <f>'Defence Modified Stats'!B8</f>
        <v>Point Defence</v>
      </c>
      <c r="C13" s="31"/>
      <c r="D13" s="20" t="str">
        <f>IF('Defence Modified Stats'!D8&lt;&gt;"NO TECH",_xlfn.XLOOKUP('Attack Modified Stats '!B13,'Tech Types'!A:A,'Tech Types'!H:H),"NO TECH")</f>
        <v>NO TECH</v>
      </c>
      <c r="E13" s="20" t="str">
        <f>IF('Defence Modified Stats'!D8&lt;&gt;"NO TECH",_xlfn.XLOOKUP('Attack Modified Stats '!B13,'Tech Types'!A:A,'Tech Types'!F:F),"NO TECH")</f>
        <v>NO TECH</v>
      </c>
      <c r="F13" s="20" t="str">
        <f>IF('Defence Modified Stats'!D8&lt;&gt;"NO TECH",_xlfn.XLOOKUP('Attack Modified Stats '!B13,'Tech Types'!A:A,'Tech Types'!D:D),"NO TECH")</f>
        <v>NO TECH</v>
      </c>
      <c r="G13" s="7" t="str">
        <f>IF('Defence Modified Stats'!D8&lt;&gt;"NO TECH",_xlfn.XLOOKUP('Attack Modified Stats '!B13,'Tech Types'!A:A,'Tech Types'!J:J),"NO TECH")</f>
        <v>NO TECH</v>
      </c>
      <c r="H13" s="7" t="str">
        <f>IF('Defence Modified Stats'!D8&lt;&gt;"NO TECH",_xlfn.XLOOKUP('Attack Modified Stats '!B13,'Tech Types'!A:A,'Tech Types'!L:L),"NO TECH")</f>
        <v>NO TECH</v>
      </c>
      <c r="I13" s="32"/>
      <c r="J13" s="32"/>
    </row>
    <row r="14" spans="1:14" x14ac:dyDescent="0.3">
      <c r="A14" s="9" t="s">
        <v>55</v>
      </c>
      <c r="E14" s="5"/>
    </row>
    <row r="16" spans="1:14" x14ac:dyDescent="0.3">
      <c r="A16" t="s">
        <v>56</v>
      </c>
      <c r="D16" s="5">
        <f>SUM(D3:D14)</f>
        <v>0.3</v>
      </c>
      <c r="E16">
        <f>E3*(1+SUM(E4:E14))</f>
        <v>38</v>
      </c>
      <c r="F16">
        <f>F3*(1+SUM(F4:F14))</f>
        <v>90</v>
      </c>
      <c r="G16">
        <f>SUM(G3:G14)</f>
        <v>1</v>
      </c>
      <c r="H16">
        <f>SUM(H3:H14)</f>
        <v>6</v>
      </c>
      <c r="I16">
        <f>SUM(I3:I14)</f>
        <v>0</v>
      </c>
      <c r="J16">
        <f>SUM(J3:J14)</f>
        <v>1</v>
      </c>
    </row>
    <row r="17" spans="1:10" x14ac:dyDescent="0.3">
      <c r="A17" s="27" t="s">
        <v>63</v>
      </c>
      <c r="B17" s="27"/>
      <c r="C17" s="33"/>
      <c r="D17" s="40">
        <f>IF(D16&lt;0,0,D16)</f>
        <v>0.3</v>
      </c>
      <c r="E17" s="34">
        <f t="shared" ref="E17:J17" si="0">IF(E16&lt;0,0,E16)</f>
        <v>38</v>
      </c>
      <c r="F17" s="34">
        <f t="shared" si="0"/>
        <v>90</v>
      </c>
      <c r="G17" s="34">
        <f>G16</f>
        <v>1</v>
      </c>
      <c r="H17" s="34">
        <f t="shared" si="0"/>
        <v>6</v>
      </c>
      <c r="I17" s="34">
        <f>I16</f>
        <v>0</v>
      </c>
      <c r="J17" s="34">
        <f t="shared" si="0"/>
        <v>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A4CD52-7EBD-4ED5-96AC-D48B78C4ACB4}">
          <x14:formula1>
            <xm:f>'Tech Types'!$A:$A</xm:f>
          </x14:formula1>
          <xm:sqref>B4:B8</xm:sqref>
        </x14:dataValidation>
        <x14:dataValidation type="list" allowBlank="1" showInputMessage="1" showErrorMessage="1" xr:uid="{B67BF837-5A04-423F-BAE2-A36797E55995}">
          <x14:formula1>
            <xm:f>'Base Stats'!$A$3:$A$7</xm:f>
          </x14:formula1>
          <xm:sqref>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3A80-9D0C-4F60-88B8-44FCBD7F0035}">
  <dimension ref="A1:M5"/>
  <sheetViews>
    <sheetView zoomScale="140" zoomScaleNormal="140" workbookViewId="0">
      <selection activeCell="K11" sqref="K11"/>
    </sheetView>
  </sheetViews>
  <sheetFormatPr defaultRowHeight="14.4" x14ac:dyDescent="0.3"/>
  <cols>
    <col min="1" max="1" width="3.33203125" customWidth="1"/>
    <col min="2" max="2" width="10.6640625" customWidth="1"/>
    <col min="3" max="3" width="5.77734375" customWidth="1"/>
    <col min="4" max="4" width="13.6640625" customWidth="1"/>
    <col min="5" max="5" width="11.33203125" customWidth="1"/>
    <col min="6" max="6" width="4.77734375" customWidth="1"/>
    <col min="7" max="7" width="20" customWidth="1"/>
    <col min="8" max="8" width="4.21875" customWidth="1"/>
    <col min="9" max="9" width="16.88671875" customWidth="1"/>
    <col min="10" max="10" width="4" customWidth="1"/>
    <col min="11" max="11" width="17.33203125" customWidth="1"/>
    <col min="12" max="12" width="4.109375" customWidth="1"/>
    <col min="13" max="13" width="12" customWidth="1"/>
  </cols>
  <sheetData>
    <row r="1" spans="1:13" x14ac:dyDescent="0.3">
      <c r="A1">
        <v>1</v>
      </c>
      <c r="B1" t="str">
        <f>'Defence Modified Stats'!A3</f>
        <v>Medium</v>
      </c>
      <c r="C1" t="s">
        <v>64</v>
      </c>
      <c r="D1" t="s">
        <v>66</v>
      </c>
      <c r="E1" t="str">
        <f>IF('Defence Modified Stats'!D4&lt;&gt;"NO TECH",'Defence Modified Stats'!B4)</f>
        <v>Sleepy Joe</v>
      </c>
      <c r="F1" t="s">
        <v>65</v>
      </c>
      <c r="G1" t="str">
        <f>IF('Defence Modified Stats'!D5&lt;&gt;"NO TECH",'Defence Modified Stats'!B5,"")</f>
        <v>Sheilds</v>
      </c>
      <c r="H1" t="s">
        <v>67</v>
      </c>
      <c r="I1" t="str">
        <f>IF('Defence Modified Stats'!D6&lt;&gt;"NO TECH",'Defence Modified Stats'!B6,"")</f>
        <v>Targeting Computer</v>
      </c>
      <c r="J1" t="s">
        <v>67</v>
      </c>
      <c r="K1" t="str">
        <f>IF('Defence Modified Stats'!D7&lt;&gt;"NO TECH",'Defence Modified Stats'!B7,"")</f>
        <v/>
      </c>
      <c r="L1" t="s">
        <v>67</v>
      </c>
      <c r="M1" t="str">
        <f>IF('Defence Modified Stats'!D8&lt;&gt;"NO TECH",'Defence Modified Stats'!B8,"")</f>
        <v/>
      </c>
    </row>
    <row r="3" spans="1:13" x14ac:dyDescent="0.3">
      <c r="B3" t="s">
        <v>68</v>
      </c>
      <c r="D3" t="s">
        <v>69</v>
      </c>
      <c r="F3">
        <f>_xlfn.CEILING.MATH('Defence Modified Stats'!F17/'Attack Modified Stats '!E17)*(1-'Defence Modified Stats'!D17)</f>
        <v>2.0999999999999996</v>
      </c>
      <c r="G3" t="s">
        <v>73</v>
      </c>
      <c r="H3" t="s">
        <v>71</v>
      </c>
      <c r="I3">
        <f>IF('Attack Modified Stats '!G17&lt;&gt;0,_xlfn.CEILING.MATH('Defence Modified Stats'!H17/'Attack Modified Stats '!G17)*(1-'Defence Modified Stats'!D17),"INF")</f>
        <v>6.3</v>
      </c>
      <c r="K3" t="s">
        <v>72</v>
      </c>
    </row>
    <row r="5" spans="1:13" x14ac:dyDescent="0.3">
      <c r="B5" t="str">
        <f>'Attack Modified Stats '!A3</f>
        <v>Medium</v>
      </c>
      <c r="C5" t="s">
        <v>70</v>
      </c>
      <c r="D5" t="s">
        <v>66</v>
      </c>
      <c r="E5" t="str">
        <f>IF('Attack Modified Stats '!D4&lt;&gt;"NO TECH",'Attack Modified Stats '!B4)</f>
        <v>None</v>
      </c>
      <c r="F5" t="s">
        <v>65</v>
      </c>
      <c r="G5" t="str">
        <f>IF('Attack Modified Stats '!D5&lt;&gt;"NO TECH",'Attack Modified Stats '!B5,"")</f>
        <v>Kinetics</v>
      </c>
      <c r="H5" t="s">
        <v>67</v>
      </c>
      <c r="I5" t="str">
        <f>IF('Attack Modified Stats '!D6&lt;&gt;"NO TECH",'Attack Modified Stats '!B6,"")</f>
        <v>Sheilds</v>
      </c>
      <c r="J5" t="s">
        <v>67</v>
      </c>
      <c r="K5" t="str">
        <f>IF('Attack Modified Stats '!D7&lt;&gt;"NO TECH",'Attack Modified Stats '!B7,"")</f>
        <v/>
      </c>
      <c r="L5" t="s">
        <v>67</v>
      </c>
      <c r="M5" t="str">
        <f>IF('Attack Modified Stats '!D8&lt;&gt;"NO TECH",'Attack Modified Stats '!B8,"")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Selection Bias</vt:lpstr>
      <vt:lpstr>Base Stats</vt:lpstr>
      <vt:lpstr>Tech Types</vt:lpstr>
      <vt:lpstr>Defence Modified Stats</vt:lpstr>
      <vt:lpstr>Attack Modified Stats 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Slavin, Jack Quincy</dc:creator>
  <cp:lastModifiedBy>Slavin, Jack Quincy</cp:lastModifiedBy>
  <dcterms:created xsi:type="dcterms:W3CDTF">2024-05-06T03:56:18Z</dcterms:created>
  <dcterms:modified xsi:type="dcterms:W3CDTF">2024-05-10T06:25:13Z</dcterms:modified>
</cp:coreProperties>
</file>