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ate1904="1" codeName="ThisWorkbook"/>
  <mc:AlternateContent xmlns:mc="http://schemas.openxmlformats.org/markup-compatibility/2006">
    <mc:Choice Requires="x15">
      <x15ac:absPath xmlns:x15ac="http://schemas.microsoft.com/office/spreadsheetml/2010/11/ac" url="C:\Users\volin\OneDrive\Desktop\logi-main\"/>
    </mc:Choice>
  </mc:AlternateContent>
  <xr:revisionPtr revIDLastSave="0" documentId="13_ncr:1_{C8F1911E-7D84-4C16-A057-1FFBC593C9F6}" xr6:coauthVersionLast="47" xr6:coauthVersionMax="47" xr10:uidLastSave="{00000000-0000-0000-0000-000000000000}"/>
  <bookViews>
    <workbookView xWindow="-108" yWindow="-108" windowWidth="23256" windowHeight="12456" tabRatio="772" xr2:uid="{00000000-000D-0000-FFFF-FFFF00000000}"/>
  </bookViews>
  <sheets>
    <sheet name="Input sheet" sheetId="11" r:id="rId1"/>
    <sheet name="revenues" sheetId="34" r:id="rId2"/>
    <sheet name="Valuation output" sheetId="13" r:id="rId3"/>
    <sheet name="Stories to Numbers" sheetId="28" r:id="rId4"/>
    <sheet name="Valuation as picture" sheetId="32" r:id="rId5"/>
    <sheet name="Diagnostics" sheetId="12" r:id="rId6"/>
    <sheet name="Option value" sheetId="14" r:id="rId7"/>
    <sheet name="Synthetic rating" sheetId="20" r:id="rId8"/>
    <sheet name="R&amp; D converter" sheetId="25" r:id="rId9"/>
    <sheet name="Operating lease converter" sheetId="18" r:id="rId10"/>
    <sheet name="Cost of capital worksheet" sheetId="19" r:id="rId11"/>
    <sheet name="Failure Rate worksheet" sheetId="30" r:id="rId12"/>
    <sheet name="Country equity risk premiums" sheetId="23" r:id="rId13"/>
    <sheet name="Industry Averages(US)" sheetId="8" r:id="rId14"/>
    <sheet name="Industry Average Beta (Global)" sheetId="26" r:id="rId15"/>
    <sheet name="Input Stat Distributioons" sheetId="31" r:id="rId16"/>
    <sheet name="Trailing 12 month Worskheet" sheetId="24" r:id="rId17"/>
    <sheet name="Sheet1" sheetId="33" r:id="rId18"/>
    <sheet name="Answer keys" sheetId="21" r:id="rId19"/>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34" l="1"/>
  <c r="I40" i="34"/>
  <c r="I39" i="34"/>
  <c r="C1" i="34"/>
  <c r="D1" i="34"/>
  <c r="E1" i="34" s="1"/>
  <c r="F1" i="34" s="1"/>
  <c r="G1" i="34" s="1"/>
  <c r="H1" i="34" s="1"/>
  <c r="I1" i="34" s="1"/>
  <c r="J1" i="34" s="1"/>
  <c r="K1" i="34" s="1"/>
  <c r="L1" i="34" s="1"/>
  <c r="M1" i="34" s="1"/>
  <c r="N1" i="34" s="1"/>
  <c r="O1" i="34" s="1"/>
  <c r="P1" i="34" s="1"/>
  <c r="Q1" i="34" s="1"/>
  <c r="R1" i="34" s="1"/>
  <c r="H2" i="34"/>
  <c r="H3" i="34" s="1"/>
  <c r="I2" i="34"/>
  <c r="J2" i="34" s="1"/>
  <c r="G4" i="34"/>
  <c r="M7" i="34"/>
  <c r="N7" i="34" s="1"/>
  <c r="H8" i="34"/>
  <c r="I8" i="34"/>
  <c r="J8" i="34"/>
  <c r="K8" i="34"/>
  <c r="L8" i="34"/>
  <c r="B9" i="34"/>
  <c r="C9" i="34"/>
  <c r="D9" i="34"/>
  <c r="E9" i="34"/>
  <c r="F9" i="34"/>
  <c r="G9" i="34"/>
  <c r="C10" i="34"/>
  <c r="D10" i="34"/>
  <c r="E10" i="34"/>
  <c r="F10" i="34"/>
  <c r="G10" i="34"/>
  <c r="H10" i="34"/>
  <c r="I10" i="34"/>
  <c r="J10" i="34"/>
  <c r="K10" i="34"/>
  <c r="L10" i="34"/>
  <c r="H13" i="34"/>
  <c r="I13" i="34"/>
  <c r="J13" i="34" s="1"/>
  <c r="K13" i="34" s="1"/>
  <c r="L13" i="34" s="1"/>
  <c r="M13" i="34" s="1"/>
  <c r="N13" i="34" s="1"/>
  <c r="O13" i="34" s="1"/>
  <c r="P13" i="34" s="1"/>
  <c r="Q13" i="34" s="1"/>
  <c r="R13" i="34" s="1"/>
  <c r="H16" i="34"/>
  <c r="I16" i="34" s="1"/>
  <c r="J16" i="34" s="1"/>
  <c r="K16" i="34" s="1"/>
  <c r="L16" i="34" s="1"/>
  <c r="M16" i="34" s="1"/>
  <c r="N16" i="34" s="1"/>
  <c r="O16" i="34" s="1"/>
  <c r="P16" i="34" s="1"/>
  <c r="Q16" i="34" s="1"/>
  <c r="R16" i="34" s="1"/>
  <c r="F19" i="34"/>
  <c r="G19" i="34"/>
  <c r="H19" i="34" s="1"/>
  <c r="E21" i="34"/>
  <c r="F21" i="34"/>
  <c r="H24" i="34"/>
  <c r="I24" i="34" s="1"/>
  <c r="G28" i="34"/>
  <c r="H28" i="34"/>
  <c r="H29" i="34" s="1"/>
  <c r="I28" i="34"/>
  <c r="J28" i="34"/>
  <c r="K28" i="34" s="1"/>
  <c r="I29" i="34"/>
  <c r="F30" i="34"/>
  <c r="G30" i="34"/>
  <c r="J30" i="34"/>
  <c r="J29" i="34" s="1"/>
  <c r="K30" i="34"/>
  <c r="L30" i="34"/>
  <c r="M30" i="34"/>
  <c r="N30" i="34"/>
  <c r="O30" i="34"/>
  <c r="P30" i="34"/>
  <c r="Q30" i="34"/>
  <c r="R30" i="34"/>
  <c r="H33" i="34"/>
  <c r="I33" i="34"/>
  <c r="J33" i="34" s="1"/>
  <c r="J208" i="23"/>
  <c r="J207" i="23"/>
  <c r="J206" i="23"/>
  <c r="I207" i="23"/>
  <c r="I206" i="23"/>
  <c r="H208" i="23"/>
  <c r="H206" i="23"/>
  <c r="I27" i="11"/>
  <c r="B38" i="11"/>
  <c r="L29" i="34" l="1"/>
  <c r="H20" i="34"/>
  <c r="I19" i="34"/>
  <c r="N29" i="34"/>
  <c r="K29" i="34"/>
  <c r="L28" i="34"/>
  <c r="M28" i="34" s="1"/>
  <c r="N28" i="34" s="1"/>
  <c r="O28" i="34" s="1"/>
  <c r="M29" i="34"/>
  <c r="O7" i="34"/>
  <c r="N10" i="34"/>
  <c r="N8" i="34"/>
  <c r="K33" i="34"/>
  <c r="H37" i="34"/>
  <c r="J3" i="34"/>
  <c r="K2" i="34"/>
  <c r="J24" i="34"/>
  <c r="K24" i="34" s="1"/>
  <c r="L24" i="34" s="1"/>
  <c r="M24" i="34" s="1"/>
  <c r="N24" i="34" s="1"/>
  <c r="O24" i="34" s="1"/>
  <c r="P24" i="34" s="1"/>
  <c r="Q24" i="34" s="1"/>
  <c r="R24" i="34" s="1"/>
  <c r="G21" i="34"/>
  <c r="I3" i="34"/>
  <c r="M8" i="34"/>
  <c r="M10" i="34"/>
  <c r="P7" i="34" l="1"/>
  <c r="O10" i="34"/>
  <c r="O8" i="34"/>
  <c r="L2" i="34"/>
  <c r="K3" i="34"/>
  <c r="O29" i="34"/>
  <c r="P28" i="34"/>
  <c r="J19" i="34"/>
  <c r="I20" i="34"/>
  <c r="I37" i="34" s="1"/>
  <c r="L33" i="34"/>
  <c r="Q7" i="34" l="1"/>
  <c r="P10" i="34"/>
  <c r="P8" i="34"/>
  <c r="Q28" i="34"/>
  <c r="P29" i="34"/>
  <c r="M2" i="34"/>
  <c r="L3" i="34"/>
  <c r="I36" i="34"/>
  <c r="K19" i="34"/>
  <c r="J20" i="34"/>
  <c r="J37" i="34" s="1"/>
  <c r="M33" i="34"/>
  <c r="M3" i="34" l="1"/>
  <c r="N2" i="34"/>
  <c r="N33" i="34"/>
  <c r="R28" i="34"/>
  <c r="R29" i="34" s="1"/>
  <c r="Q29" i="34"/>
  <c r="L19" i="34"/>
  <c r="K20" i="34"/>
  <c r="K37" i="34" s="1"/>
  <c r="R7" i="34"/>
  <c r="Q10" i="34"/>
  <c r="Q8" i="34"/>
  <c r="N3" i="34" l="1"/>
  <c r="O2" i="34"/>
  <c r="R10" i="34"/>
  <c r="R8" i="34"/>
  <c r="M19" i="34"/>
  <c r="L20" i="34"/>
  <c r="L37" i="34" s="1"/>
  <c r="O33" i="34"/>
  <c r="P33" i="34" l="1"/>
  <c r="N19" i="34"/>
  <c r="M20" i="34"/>
  <c r="M37" i="34" s="1"/>
  <c r="P2" i="34"/>
  <c r="O3" i="34"/>
  <c r="Q33" i="34" l="1"/>
  <c r="Q2" i="34"/>
  <c r="P3" i="34"/>
  <c r="N20" i="34"/>
  <c r="N37" i="34" s="1"/>
  <c r="O19" i="34"/>
  <c r="O20" i="34" l="1"/>
  <c r="O37" i="34" s="1"/>
  <c r="P19" i="34"/>
  <c r="R2" i="34"/>
  <c r="R3" i="34" s="1"/>
  <c r="Q3" i="34"/>
  <c r="R33" i="34"/>
  <c r="P20" i="34" l="1"/>
  <c r="P37" i="34" s="1"/>
  <c r="Q19" i="34"/>
  <c r="R19" i="34" l="1"/>
  <c r="R20" i="34" s="1"/>
  <c r="R37" i="34" s="1"/>
  <c r="Q20" i="34"/>
  <c r="Q37" i="34" s="1"/>
  <c r="H16" i="19" l="1"/>
  <c r="H6" i="19"/>
  <c r="H5" i="19"/>
  <c r="F7" i="25"/>
  <c r="B15" i="11" l="1"/>
  <c r="C15" i="11"/>
  <c r="B11" i="11"/>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H30" i="19" l="1"/>
  <c r="D15" i="20"/>
  <c r="I15" i="19" l="1"/>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c r="B5" i="14"/>
  <c r="B16" i="14" s="1"/>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A27" i="25" l="1"/>
  <c r="C27" i="25" s="1"/>
  <c r="D27" i="25" s="1"/>
  <c r="A14" i="25"/>
  <c r="A26" i="25"/>
  <c r="C26" i="25" s="1"/>
  <c r="D26" i="25" s="1"/>
  <c r="L59" i="19"/>
  <c r="L62" i="19"/>
  <c r="J47" i="19"/>
  <c r="K39" i="19"/>
  <c r="K27" i="19"/>
  <c r="D38" i="28"/>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J38" i="19"/>
  <c r="K43" i="19"/>
  <c r="K45" i="19"/>
  <c r="J37" i="19"/>
  <c r="L37" i="19"/>
  <c r="L38" i="19"/>
  <c r="H28" i="32" l="1"/>
  <c r="G38" i="13"/>
  <c r="E27" i="25"/>
  <c r="E26" i="25"/>
  <c r="A28" i="25"/>
  <c r="A15" i="25"/>
  <c r="G16" i="32"/>
  <c r="F10" i="28"/>
  <c r="C27" i="28"/>
  <c r="O18" i="32"/>
  <c r="L64" i="19"/>
  <c r="K18" i="19"/>
  <c r="J18" i="19"/>
  <c r="J48" i="19"/>
  <c r="L48" i="19" s="1"/>
  <c r="B67" i="19" s="1"/>
  <c r="G2" i="13"/>
  <c r="I16" i="32" s="1"/>
  <c r="J32" i="19"/>
  <c r="K21" i="19"/>
  <c r="K32" i="19" s="1"/>
  <c r="B27" i="19" s="1"/>
  <c r="C7" i="12"/>
  <c r="E17" i="32"/>
  <c r="B17" i="28"/>
  <c r="D3" i="13"/>
  <c r="B18" i="28" s="1"/>
  <c r="D14" i="20"/>
  <c r="D16" i="20" s="1"/>
  <c r="B37" i="19" s="1"/>
  <c r="J38" i="13"/>
  <c r="K28" i="32"/>
  <c r="J2" i="13" l="1"/>
  <c r="L16" i="32" s="1"/>
  <c r="I28" i="32"/>
  <c r="D17" i="12"/>
  <c r="C15" i="18"/>
  <c r="C53" i="19"/>
  <c r="C54" i="19"/>
  <c r="C56" i="19" s="1"/>
  <c r="C62" i="19"/>
  <c r="A16" i="25"/>
  <c r="A29" i="25"/>
  <c r="E28" i="25"/>
  <c r="C28" i="25"/>
  <c r="D28" i="25" s="1"/>
  <c r="H2" i="13"/>
  <c r="J16" i="32" s="1"/>
  <c r="K2" i="13"/>
  <c r="M16" i="32" s="1"/>
  <c r="I2" i="13"/>
  <c r="K16" i="32" s="1"/>
  <c r="L2" i="13"/>
  <c r="N16" i="32" s="1"/>
  <c r="K48" i="19"/>
  <c r="C8" i="13"/>
  <c r="F17" i="32"/>
  <c r="E3" i="13"/>
  <c r="L28" i="32"/>
  <c r="K38" i="13"/>
  <c r="C60" i="19" l="1"/>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61" i="19" l="1"/>
  <c r="D61" i="19"/>
  <c r="C28" i="18"/>
  <c r="A31" i="25"/>
  <c r="A18" i="25"/>
  <c r="C30" i="25"/>
  <c r="D30" i="25" s="1"/>
  <c r="E30" i="25"/>
  <c r="H17" i="32"/>
  <c r="E18" i="32"/>
  <c r="D4" i="13"/>
  <c r="C12" i="12"/>
  <c r="F4" i="13"/>
  <c r="G4" i="13"/>
  <c r="C17" i="28"/>
  <c r="D17" i="28" s="1"/>
  <c r="E4" i="13"/>
  <c r="C5" i="13"/>
  <c r="G3" i="13"/>
  <c r="D7" i="12" s="1"/>
  <c r="B20" i="28"/>
  <c r="F21" i="32"/>
  <c r="F18" i="28"/>
  <c r="E61" i="19"/>
  <c r="E17" i="12"/>
  <c r="N28" i="32"/>
  <c r="G21" i="32"/>
  <c r="F19" i="28"/>
  <c r="E62" i="19"/>
  <c r="B13" i="19" s="1"/>
  <c r="B35" i="11" s="1"/>
  <c r="I31" i="11" s="1"/>
  <c r="F33" i="18" l="1"/>
  <c r="F34" i="18"/>
  <c r="F31" i="18"/>
  <c r="F32" i="18" s="1"/>
  <c r="A19" i="25"/>
  <c r="A32" i="25"/>
  <c r="C31" i="25"/>
  <c r="D31" i="25" s="1"/>
  <c r="E31" i="25"/>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G8" i="13" l="1"/>
  <c r="F21" i="28" s="1"/>
  <c r="J17" i="32"/>
  <c r="B22" i="28"/>
  <c r="D22" i="28" s="1"/>
  <c r="H21" i="32"/>
  <c r="H5" i="13"/>
  <c r="J19" i="32" s="1"/>
  <c r="C32" i="25"/>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J3" i="13"/>
  <c r="H8" i="13"/>
  <c r="I5" i="13"/>
  <c r="K17" i="32"/>
  <c r="B23" i="28"/>
  <c r="D23" i="28" s="1"/>
  <c r="I21" i="32" l="1"/>
  <c r="E33" i="25"/>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D40" i="25" l="1"/>
  <c r="D35" i="25"/>
  <c r="B39" i="13" s="1"/>
  <c r="F12" i="13"/>
  <c r="H25" i="32" s="1"/>
  <c r="E13" i="13"/>
  <c r="E14" i="13" s="1"/>
  <c r="F26" i="32"/>
  <c r="F7" i="13"/>
  <c r="F10" i="13"/>
  <c r="D14" i="13"/>
  <c r="K21" i="32"/>
  <c r="F23" i="28"/>
  <c r="K5" i="13"/>
  <c r="B25" i="28"/>
  <c r="D25" i="28" s="1"/>
  <c r="L3" i="13"/>
  <c r="J8" i="13"/>
  <c r="M17" i="32"/>
  <c r="L19" i="32"/>
  <c r="G12" i="13" l="1"/>
  <c r="H12" i="13" s="1"/>
  <c r="B17" i="12"/>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I25" i="32" l="1"/>
  <c r="B10" i="28"/>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E39" i="13" l="1"/>
  <c r="E40" i="13"/>
  <c r="G29" i="32" s="1"/>
  <c r="B13" i="28"/>
  <c r="B27" i="12"/>
  <c r="I26" i="32"/>
  <c r="J20" i="32"/>
  <c r="E22" i="28"/>
  <c r="G22" i="28" s="1"/>
  <c r="H9" i="13"/>
  <c r="J22" i="32" s="1"/>
  <c r="G14" i="13"/>
  <c r="I10" i="13"/>
  <c r="I7" i="13"/>
  <c r="M7" i="13"/>
  <c r="O19" i="32"/>
  <c r="J35" i="11"/>
  <c r="N5" i="13"/>
  <c r="F26" i="28"/>
  <c r="N21" i="32"/>
  <c r="J26" i="32"/>
  <c r="I13" i="13"/>
  <c r="J12" i="13"/>
  <c r="K25" i="32"/>
  <c r="F39" i="13" l="1"/>
  <c r="F40" i="13"/>
  <c r="H29" i="32" s="1"/>
  <c r="H14" i="13"/>
  <c r="I9" i="13"/>
  <c r="K22" i="32" s="1"/>
  <c r="K20" i="32"/>
  <c r="E23" i="28"/>
  <c r="G23" i="28" s="1"/>
  <c r="J7" i="13"/>
  <c r="J10" i="13"/>
  <c r="E27" i="28"/>
  <c r="O20" i="32"/>
  <c r="L25" i="32"/>
  <c r="K12" i="13"/>
  <c r="J13" i="13"/>
  <c r="K26" i="32"/>
  <c r="G39" i="13" l="1"/>
  <c r="G40" i="13"/>
  <c r="I29" i="32" s="1"/>
  <c r="I14" i="13"/>
  <c r="K10" i="13"/>
  <c r="K7" i="13"/>
  <c r="L20" i="32"/>
  <c r="J9" i="13"/>
  <c r="L22" i="32" s="1"/>
  <c r="E24" i="28"/>
  <c r="G24" i="28" s="1"/>
  <c r="L26" i="32"/>
  <c r="K13" i="13"/>
  <c r="M25" i="32"/>
  <c r="L12" i="13"/>
  <c r="H39" i="13" l="1"/>
  <c r="H40" i="13"/>
  <c r="J29" i="32" s="1"/>
  <c r="J14" i="13"/>
  <c r="E25" i="28"/>
  <c r="G25" i="28" s="1"/>
  <c r="M20" i="32"/>
  <c r="K9" i="13"/>
  <c r="M22" i="32" s="1"/>
  <c r="L7" i="13"/>
  <c r="L10" i="13"/>
  <c r="M10" i="13" s="1"/>
  <c r="N25" i="32"/>
  <c r="M40" i="13"/>
  <c r="M26" i="32"/>
  <c r="L13" i="13"/>
  <c r="I39" i="13" l="1"/>
  <c r="I40" i="13"/>
  <c r="K29" i="32" s="1"/>
  <c r="K14" i="13"/>
  <c r="N20" i="32"/>
  <c r="L9" i="13"/>
  <c r="N22" i="32" s="1"/>
  <c r="E26" i="28"/>
  <c r="G26" i="28" s="1"/>
  <c r="P9" i="32"/>
  <c r="P10" i="32" s="1"/>
  <c r="F13" i="28"/>
  <c r="M8" i="13"/>
  <c r="O29" i="32"/>
  <c r="F12" i="28"/>
  <c r="E27" i="12"/>
  <c r="N26" i="32"/>
  <c r="C31" i="12"/>
  <c r="B21" i="12"/>
  <c r="C21" i="12" s="1"/>
  <c r="J39" i="13" l="1"/>
  <c r="J40" i="13"/>
  <c r="L29" i="32" s="1"/>
  <c r="L14" i="13"/>
  <c r="B20" i="13" s="1"/>
  <c r="B23" i="12" s="1"/>
  <c r="B22" i="12" s="1"/>
  <c r="C22" i="12" s="1"/>
  <c r="C23" i="12" s="1"/>
  <c r="F27" i="28"/>
  <c r="G27" i="28" s="1"/>
  <c r="M9" i="13"/>
  <c r="N8" i="13"/>
  <c r="O21" i="32"/>
  <c r="K39" i="13" l="1"/>
  <c r="K40" i="13"/>
  <c r="M29" i="32" s="1"/>
  <c r="D31" i="28"/>
  <c r="B16" i="32"/>
  <c r="B16" i="13"/>
  <c r="B18" i="13" s="1"/>
  <c r="O22" i="32"/>
  <c r="L39" i="13" l="1"/>
  <c r="C27" i="12" s="1"/>
  <c r="D13" i="28" s="1"/>
  <c r="L40" i="13"/>
  <c r="N23" i="32"/>
  <c r="D29" i="28"/>
  <c r="B19" i="13"/>
  <c r="N29" i="32" l="1"/>
  <c r="J36" i="11"/>
  <c r="D27" i="12"/>
  <c r="D30" i="28"/>
  <c r="B21" i="13"/>
  <c r="B15" i="32"/>
  <c r="B23" i="13" l="1"/>
  <c r="B24" i="13" s="1"/>
  <c r="D32" i="28"/>
  <c r="B29" i="13" l="1"/>
  <c r="B18" i="32"/>
  <c r="D33" i="28"/>
  <c r="D36" i="28" s="1"/>
  <c r="B23" i="32" l="1"/>
  <c r="B36" i="12" l="1"/>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<sst xmlns="http://schemas.openxmlformats.org/spreadsheetml/2006/main" count="1718" uniqueCount="1006">
  <si>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</si>
  <si>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</si>
  <si>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</si>
  <si>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</si>
  <si>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Inputs</t>
  </si>
  <si>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</si>
  <si>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</si>
  <si>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</si>
  <si>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</si>
  <si>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</si>
  <si>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</si>
  <si>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</si>
  <si>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</si>
  <si>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</si>
  <si>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Revenue growth rate</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</si>
  <si>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</si>
  <si>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</si>
  <si>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</si>
  <si>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</si>
  <si>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</si>
  <si>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EBIT (Operating) margin</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</si>
  <si>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</si>
  <si>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</si>
  <si>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</si>
  <si>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</si>
  <si>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</si>
  <si>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</si>
  <si>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</si>
  <si>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</si>
  <si>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</si>
  <si>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</si>
  <si>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</si>
  <si>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</si>
  <si>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</si>
  <si>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</si>
  <si>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</si>
  <si>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</si>
  <si>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</si>
  <si>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</si>
  <si>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</si>
  <si>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</si>
  <si>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</si>
  <si>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</si>
  <si>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</si>
  <si>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</si>
  <si>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</si>
  <si>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</si>
  <si>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</si>
  <si>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</si>
  <si>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</si>
  <si>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</si>
  <si>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</si>
  <si>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</si>
  <si>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</si>
  <si>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</si>
  <si>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</si>
  <si>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</si>
  <si>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</si>
  <si>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</si>
  <si>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</si>
  <si>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</si>
  <si>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</si>
  <si>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</si>
  <si>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</si>
  <si>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</si>
  <si>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</si>
  <si>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</si>
  <si>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</si>
  <si>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</si>
  <si>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</si>
  <si>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</si>
  <si>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</si>
  <si>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</si>
  <si>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</si>
  <si>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</si>
  <si>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</si>
  <si>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</si>
  <si>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</si>
  <si>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</si>
  <si>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</si>
  <si>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</si>
  <si>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</si>
  <si>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</si>
  <si>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</si>
  <si>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</si>
  <si>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</si>
  <si>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</si>
  <si>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</si>
  <si>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</si>
  <si>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</si>
  <si>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</si>
  <si>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</si>
  <si>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</si>
  <si>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</si>
  <si>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</si>
  <si>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</si>
  <si>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</si>
  <si>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</si>
  <si>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</si>
  <si>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</si>
  <si>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</si>
  <si>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</si>
  <si>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</si>
  <si>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</si>
  <si>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</si>
  <si>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</si>
  <si>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</si>
  <si>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</si>
  <si>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</si>
  <si>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</si>
  <si>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</si>
  <si>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</si>
  <si>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</si>
  <si>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</si>
  <si>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</si>
  <si>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</si>
  <si>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</si>
  <si>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</si>
  <si>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</si>
  <si>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</si>
  <si>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</si>
  <si>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</si>
  <si>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</si>
  <si>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</si>
  <si>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</si>
  <si>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</si>
  <si>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</si>
  <si>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</si>
  <si>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</si>
  <si>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</si>
  <si>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</si>
  <si>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</si>
  <si>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</si>
  <si>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</si>
  <si>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</si>
  <si>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</si>
  <si>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</si>
  <si>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</si>
  <si>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</si>
  <si>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</si>
  <si>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</si>
  <si>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</si>
  <si>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</si>
  <si>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</si>
  <si>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</si>
  <si>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</si>
  <si>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</si>
  <si>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</si>
  <si>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</si>
  <si>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</si>
  <si>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</si>
  <si>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</si>
  <si>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</si>
  <si>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</si>
  <si>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</si>
  <si>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</si>
  <si>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</si>
  <si>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</si>
  <si>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</si>
  <si>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</si>
  <si>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</si>
  <si>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</si>
  <si>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</si>
  <si>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</si>
  <si>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</si>
  <si>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</si>
  <si>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</si>
  <si>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</si>
  <si>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</si>
  <si>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</si>
  <si>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</si>
  <si>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</si>
  <si>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</si>
  <si>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</si>
  <si>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</si>
  <si>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</si>
  <si>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</si>
  <si>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</si>
  <si>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</si>
  <si>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</si>
  <si>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</si>
  <si>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</si>
  <si>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</si>
  <si>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</si>
  <si>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</si>
  <si>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</si>
  <si>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</si>
  <si>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</si>
  <si>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</si>
  <si>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</si>
  <si>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</si>
  <si>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</si>
  <si>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</si>
  <si>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</si>
  <si>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</si>
  <si>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</si>
  <si>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</si>
  <si>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</si>
  <si>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</si>
  <si>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</si>
  <si>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</si>
  <si>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</si>
  <si>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</si>
  <si>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</si>
  <si>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</si>
  <si>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</si>
  <si>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</si>
  <si>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</si>
  <si>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</si>
  <si>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</si>
  <si>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</si>
  <si>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</si>
  <si>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</si>
  <si>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</si>
  <si>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</si>
  <si>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</si>
  <si>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</si>
  <si>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</si>
  <si>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</si>
  <si>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</si>
  <si>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</si>
  <si>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</si>
  <si>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</si>
  <si>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</si>
  <si>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</si>
  <si>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</si>
  <si>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</si>
  <si>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</si>
  <si>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</si>
  <si>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</si>
  <si>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</si>
  <si>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</si>
  <si>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</si>
  <si>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</si>
  <si>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</si>
  <si>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</si>
  <si>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</si>
  <si>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</si>
  <si>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</si>
  <si>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</si>
  <si>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</si>
  <si>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</si>
  <si>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</si>
  <si>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</si>
  <si>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</si>
  <si>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</si>
  <si>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</si>
  <si>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</si>
  <si>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</si>
  <si>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</si>
  <si>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</si>
  <si>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</si>
  <si>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</si>
  <si>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</si>
  <si>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</si>
  <si>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</si>
  <si>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</si>
  <si>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</si>
  <si>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</si>
  <si>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</si>
  <si>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</si>
  <si>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</si>
  <si>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</si>
  <si>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</si>
  <si>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</si>
  <si>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</si>
  <si>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</si>
  <si>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</si>
  <si>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</si>
  <si>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</si>
  <si>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</si>
  <si>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</si>
  <si>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</si>
  <si>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</si>
  <si>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</si>
  <si>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</si>
  <si>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</si>
  <si>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</si>
  <si>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</si>
  <si>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</si>
  <si>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</si>
  <si>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</si>
  <si>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</si>
  <si>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</si>
  <si>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</si>
  <si>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</si>
  <si>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</si>
  <si>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</si>
  <si>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</si>
  <si>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</si>
  <si>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</si>
  <si>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</si>
  <si>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</si>
  <si>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</si>
  <si>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</si>
  <si>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</si>
  <si>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</si>
  <si>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</si>
  <si>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</si>
  <si>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</si>
  <si>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</si>
  <si>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</si>
  <si>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</si>
  <si>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</si>
  <si>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</si>
  <si>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</si>
  <si>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</si>
  <si>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</si>
  <si>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</si>
  <si>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</si>
  <si>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</si>
  <si>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</si>
  <si>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</si>
  <si>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</si>
  <si>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</si>
  <si>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</si>
  <si>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</si>
  <si>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</si>
  <si>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</si>
  <si>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</si>
  <si>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</si>
  <si>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</si>
  <si>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</si>
  <si>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</si>
  <si>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</si>
  <si>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</si>
  <si>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</si>
  <si>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</si>
  <si>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</si>
  <si>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</si>
  <si>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</si>
  <si>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</si>
  <si>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</si>
  <si>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</si>
  <si>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</si>
  <si>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</si>
  <si>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</si>
  <si>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</si>
  <si>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</si>
  <si>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</si>
  <si>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</si>
  <si>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</si>
  <si>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</si>
  <si>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</si>
  <si>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</si>
  <si>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</si>
  <si>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</si>
  <si>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</si>
  <si>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</si>
  <si>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</si>
  <si>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</si>
  <si>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</si>
  <si>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</si>
  <si>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</si>
  <si>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</si>
  <si>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</si>
  <si>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</si>
  <si>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</si>
  <si>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</si>
  <si>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</si>
  <si>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</si>
  <si>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</si>
  <si>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</si>
  <si>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</si>
  <si>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</si>
  <si>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</si>
  <si>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</si>
  <si>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</si>
  <si>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</si>
  <si>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</si>
  <si>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</si>
  <si>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</si>
  <si>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</si>
  <si>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</si>
  <si>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</si>
  <si>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</si>
  <si>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</si>
  <si>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</si>
  <si>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</si>
  <si>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</si>
  <si>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</si>
  <si>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</si>
  <si>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</si>
  <si>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</si>
  <si>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</si>
  <si>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</si>
  <si>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</si>
  <si>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</si>
  <si>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</si>
  <si>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</si>
  <si>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</si>
  <si>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</si>
  <si>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</si>
  <si>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</si>
  <si>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</si>
  <si>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</si>
  <si>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</si>
  <si>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</si>
  <si>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</si>
  <si>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</si>
  <si>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</si>
  <si>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</si>
  <si>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</si>
  <si>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</si>
  <si>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</si>
  <si>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</si>
  <si>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</si>
  <si>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</si>
  <si>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</si>
  <si>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</si>
  <si>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</si>
  <si>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</si>
  <si>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</si>
  <si>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</si>
  <si>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</si>
  <si>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</si>
  <si>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</si>
  <si>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</si>
  <si>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</si>
  <si>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</si>
  <si>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</si>
  <si>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</si>
  <si>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</si>
  <si>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</si>
  <si>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</si>
  <si>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</si>
  <si>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</si>
  <si>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</si>
  <si>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</si>
  <si>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</si>
  <si>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</si>
  <si>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</si>
  <si>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</si>
  <si>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</si>
  <si>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</si>
  <si>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</si>
  <si>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</si>
  <si>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</si>
  <si>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</si>
  <si>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</si>
  <si>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</si>
  <si>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</si>
  <si>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</si>
  <si>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</si>
  <si>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</si>
  <si>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</si>
  <si>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</si>
  <si>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</si>
  <si>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</si>
  <si>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</si>
  <si>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</si>
  <si>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</si>
  <si>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</si>
  <si>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</si>
  <si>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</si>
  <si>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</si>
  <si>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</si>
  <si>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</si>
  <si>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</si>
  <si>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</si>
  <si>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</si>
  <si>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</si>
  <si>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</si>
  <si>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</si>
  <si>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</si>
  <si>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</si>
  <si>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</si>
  <si>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</si>
  <si>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</si>
  <si>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</si>
  <si>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</si>
  <si>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</si>
  <si>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</si>
  <si>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</si>
  <si>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</si>
  <si>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</si>
  <si>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</si>
  <si>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</si>
  <si>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</si>
  <si>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</si>
  <si>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</si>
  <si>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</si>
  <si>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</si>
  <si>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</si>
  <si>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</si>
  <si>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</si>
  <si>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</si>
  <si>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</si>
  <si>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</si>
  <si>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</si>
  <si>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</si>
  <si>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</si>
  <si>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</si>
  <si>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</si>
  <si>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</si>
  <si>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</si>
  <si>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</si>
  <si>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</si>
  <si>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</si>
  <si>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</si>
  <si>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</si>
  <si>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</si>
  <si>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</si>
  <si>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</si>
  <si>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</si>
  <si>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</si>
  <si>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</si>
  <si>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</si>
  <si>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</si>
  <si>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</si>
  <si>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</si>
  <si>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</si>
  <si>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</si>
  <si>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</si>
  <si>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</si>
  <si>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</si>
  <si>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</si>
  <si>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</si>
  <si>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</si>
  <si>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</si>
  <si>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</si>
  <si>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</si>
  <si>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</si>
  <si>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</si>
  <si>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</si>
  <si>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</si>
  <si>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</si>
  <si>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</si>
  <si>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</si>
  <si>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</si>
  <si>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</si>
  <si>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</si>
  <si>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</si>
  <si>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</si>
  <si>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</si>
  <si>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</si>
  <si>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</si>
  <si>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</si>
  <si>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</si>
  <si>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</si>
  <si>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</si>
  <si>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</si>
  <si>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</si>
  <si>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</si>
  <si>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</si>
  <si>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</si>
  <si>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</si>
  <si>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</si>
  <si>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</si>
  <si>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</si>
  <si>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</si>
  <si>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</si>
  <si>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</si>
  <si>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</si>
  <si>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</si>
  <si>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</si>
  <si>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</si>
  <si>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</si>
  <si>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</si>
  <si>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</si>
  <si>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</si>
  <si>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</si>
  <si>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</si>
  <si>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</si>
  <si>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</si>
  <si>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</si>
  <si>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</si>
  <si>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</si>
  <si>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</si>
  <si>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</si>
  <si>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</si>
  <si>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</si>
  <si>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</si>
  <si>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</si>
  <si>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</si>
  <si>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</si>
  <si>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</si>
  <si>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</si>
  <si>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</si>
  <si>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</si>
  <si>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</si>
  <si>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</si>
  <si>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</si>
  <si>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</si>
  <si>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</si>
  <si>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</si>
  <si>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</si>
  <si>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</si>
  <si>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</si>
  <si>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</si>
  <si>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</si>
  <si>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</si>
  <si>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</si>
  <si>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</si>
  <si>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</si>
  <si>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</si>
  <si>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</si>
  <si>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</si>
  <si>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</si>
  <si>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</si>
  <si>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</si>
  <si>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</si>
  <si>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</si>
  <si>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</si>
  <si>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</si>
  <si>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</si>
  <si>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</si>
  <si>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</si>
  <si>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</si>
  <si>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</si>
  <si>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</si>
  <si>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</si>
  <si>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</si>
  <si>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</si>
  <si>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</si>
  <si>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</si>
  <si>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</si>
  <si>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</si>
  <si>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</si>
  <si>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</si>
  <si>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</si>
  <si>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</si>
  <si>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</si>
  <si>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</si>
  <si>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</si>
  <si>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</si>
  <si>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</si>
  <si>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</si>
  <si>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</si>
  <si>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</si>
  <si>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</si>
  <si>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</si>
  <si>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</si>
  <si>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</si>
  <si>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</si>
  <si>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</si>
  <si>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</si>
  <si>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</si>
  <si>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</si>
  <si>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</si>
  <si>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</si>
  <si>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</si>
  <si>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</si>
  <si>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</si>
  <si>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</si>
  <si>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</si>
  <si>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</si>
  <si>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</si>
  <si>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</si>
  <si>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</si>
  <si>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</si>
  <si>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</si>
  <si>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</si>
  <si>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</si>
  <si>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</si>
  <si>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</si>
  <si>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</si>
  <si>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</si>
  <si>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</si>
  <si>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</si>
  <si>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</si>
  <si>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</si>
  <si>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</si>
  <si>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</si>
  <si>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</si>
  <si>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</si>
  <si>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</si>
  <si>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</si>
  <si>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</si>
  <si>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</si>
  <si>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</si>
  <si>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</si>
  <si>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</si>
  <si>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</si>
  <si>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</si>
  <si>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</si>
  <si>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</si>
  <si>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</si>
  <si>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</si>
  <si>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</si>
  <si>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</si>
  <si>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</si>
  <si>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</si>
  <si>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</si>
  <si>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</si>
  <si>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</si>
  <si>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</si>
  <si>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</si>
  <si>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</si>
  <si>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</si>
  <si>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</si>
  <si>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</si>
  <si>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</si>
  <si>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</si>
  <si>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</si>
  <si>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</si>
  <si>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</si>
  <si>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</si>
  <si>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</si>
  <si>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</si>
  <si>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</si>
  <si>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</si>
  <si>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</si>
  <si>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</si>
  <si>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</si>
  <si>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</si>
  <si>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</si>
  <si>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</si>
  <si>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</si>
  <si>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</si>
  <si>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</si>
  <si>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</si>
  <si>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</si>
  <si>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</si>
  <si>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</si>
  <si>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</si>
  <si>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</si>
  <si>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</si>
  <si>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</si>
  <si>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</si>
  <si>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</si>
  <si>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</si>
  <si>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</si>
  <si>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</si>
  <si>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</si>
  <si>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</si>
  <si>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</si>
  <si>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</si>
  <si>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</si>
  <si>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</si>
  <si>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</si>
  <si>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</si>
  <si>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</si>
  <si>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</si>
  <si>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</si>
  <si>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</si>
  <si>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</si>
  <si>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</si>
  <si>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</si>
  <si>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</si>
  <si>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</si>
  <si>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</si>
  <si>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</si>
  <si>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</si>
  <si>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</si>
  <si>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</si>
  <si>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</si>
  <si>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</si>
  <si>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</si>
  <si>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</si>
  <si>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</si>
  <si>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</si>
  <si>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</si>
  <si>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</si>
  <si>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</si>
  <si>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</si>
  <si>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</si>
  <si>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</si>
  <si>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</si>
  <si>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</si>
  <si>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</si>
  <si>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</si>
  <si>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</si>
  <si>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</si>
  <si>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</si>
  <si>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</si>
  <si>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</si>
  <si>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</si>
  <si>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</si>
  <si>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</si>
  <si>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</si>
  <si>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</si>
  <si>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</si>
  <si>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</si>
  <si>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</si>
  <si>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</si>
  <si>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</si>
  <si>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</si>
  <si>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</si>
  <si>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</si>
  <si>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</si>
  <si>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</si>
  <si>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</si>
  <si>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</si>
  <si>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</si>
  <si>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</si>
  <si>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</si>
  <si>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</si>
  <si>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</si>
  <si>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</si>
  <si>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</si>
  <si>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</si>
  <si>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</si>
  <si>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</si>
  <si>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</si>
  <si>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</si>
  <si>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</si>
  <si>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</si>
  <si>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</si>
  <si>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</si>
  <si>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</si>
  <si>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</si>
  <si>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</si>
  <si>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</si>
  <si>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</si>
  <si>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</si>
  <si>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</si>
  <si>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</si>
  <si>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</si>
  <si>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</si>
  <si>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</si>
  <si>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</si>
  <si>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</si>
  <si>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</si>
  <si>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</si>
  <si>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</si>
  <si>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</si>
  <si>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</si>
  <si>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</si>
  <si>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</si>
  <si>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</si>
  <si>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</si>
  <si>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</si>
  <si>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</si>
  <si>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</si>
  <si>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</si>
  <si>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</si>
  <si>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</si>
  <si>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</si>
  <si>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</si>
  <si>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</si>
  <si>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</si>
  <si>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</si>
  <si>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</si>
  <si>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</si>
  <si>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</si>
  <si>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</si>
  <si>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</si>
  <si>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</si>
  <si>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</si>
  <si>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</si>
  <si>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</si>
  <si>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</si>
  <si>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</si>
  <si>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</si>
  <si>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</si>
  <si>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</si>
  <si>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</si>
  <si>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</si>
  <si>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</si>
  <si>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</si>
  <si>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</si>
  <si>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</si>
  <si>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</si>
  <si>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</si>
  <si>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</si>
  <si>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</si>
  <si>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</si>
  <si>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</si>
  <si>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</si>
  <si>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</si>
  <si>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</si>
  <si>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</si>
  <si>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</si>
  <si>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</si>
  <si>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</si>
  <si>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</si>
  <si>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</si>
  <si>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</si>
  <si>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</si>
  <si>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</si>
  <si>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</si>
  <si>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</si>
  <si>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</si>
  <si>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</si>
  <si>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</si>
  <si>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</si>
  <si>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</si>
  <si>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</si>
  <si>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</si>
  <si>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</si>
  <si>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</si>
  <si>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</si>
  <si>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</si>
  <si>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</si>
  <si>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</si>
  <si>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</si>
  <si>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</si>
  <si>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</si>
  <si>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</si>
  <si>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</si>
  <si>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</si>
  <si>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</si>
  <si>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</si>
  <si>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</si>
  <si>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</si>
  <si>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</si>
  <si>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</si>
  <si>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</si>
  <si>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</si>
  <si>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</si>
  <si>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</si>
  <si>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</si>
  <si>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</si>
  <si>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</si>
  <si>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</si>
  <si>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</si>
  <si>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</si>
  <si>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</si>
  <si>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</si>
  <si>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</si>
  <si>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</si>
  <si>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</si>
  <si>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</si>
  <si>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</si>
  <si>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</si>
  <si>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</si>
  <si>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</si>
  <si>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</si>
  <si>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</si>
  <si>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</si>
  <si>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</si>
  <si>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</si>
  <si>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</si>
  <si>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</si>
  <si>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</si>
  <si>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</si>
  <si>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</si>
  <si>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</si>
  <si>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</si>
  <si>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</si>
  <si>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</si>
  <si>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</si>
  <si>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</si>
  <si>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</si>
  <si>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</si>
  <si>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</si>
  <si>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</si>
  <si>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</si>
  <si>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</si>
  <si>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</si>
  <si>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</si>
  <si>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</si>
  <si>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</si>
  <si>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</si>
  <si>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</si>
  <si>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</si>
  <si>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</si>
  <si>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</si>
  <si>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</si>
  <si>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</si>
  <si>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</si>
  <si>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</si>
  <si>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</si>
  <si>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</si>
  <si>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</si>
  <si>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</si>
  <si>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</si>
  <si>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</si>
  <si>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</si>
  <si>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</si>
  <si>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</si>
  <si>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</si>
  <si>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</si>
  <si>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</si>
  <si>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</si>
  <si>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</si>
  <si>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</si>
  <si>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</si>
  <si>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</si>
  <si>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</si>
  <si>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</si>
  <si>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</si>
  <si>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</si>
  <si>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</si>
  <si>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</si>
  <si>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</si>
  <si>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</si>
  <si>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</si>
  <si>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</si>
  <si>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</si>
  <si>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</si>
  <si>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</si>
  <si>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</si>
  <si>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</si>
  <si>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</si>
  <si>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</si>
  <si>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</si>
  <si>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</si>
  <si>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</si>
  <si>
    <t>cagr 5 - 10</t>
  </si>
  <si>
    <t>cagr 1 - 5</t>
  </si>
  <si>
    <t>total revenue</t>
  </si>
  <si>
    <t>audio &amp; wearables</t>
  </si>
  <si>
    <t>weight</t>
  </si>
  <si>
    <t>mbl speakers logi</t>
  </si>
  <si>
    <t>mobile speakers mrk</t>
  </si>
  <si>
    <t>video collab</t>
  </si>
  <si>
    <t>gaming</t>
  </si>
  <si>
    <t>gaming mrk size</t>
  </si>
  <si>
    <t>tablet &amp; other accs</t>
  </si>
  <si>
    <t>logitech</t>
  </si>
  <si>
    <t>pc webcams forecast</t>
  </si>
  <si>
    <t>kbds grwth</t>
  </si>
  <si>
    <t>forecast keyboards</t>
  </si>
  <si>
    <t>pointing devices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</si>
</sst>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94">
    <font>
      <sz val="9"/>
      <name val="Geneva"/>
      <family val="2"/>
      <charset val="1"/>
    </font>
    <font>
      <sz val="11"/>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6">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90" fillId="0" borderId="0" applyNumberFormat="0" applyFill="0" applyBorder="0" applyAlignment="0" applyProtection="0"/>
    <xf numFmtId="0" fontId="1" fillId="0" borderId="0"/>
  </cellStyleXfs>
  <cellXfs count="671">
    <xf numFmtId="0" fontId="0" fillId="0" borderId="0" xfId="0"/>
    <xf numFmtId="0" fontId="0" fillId="0" borderId="1" xfId="0" applyBorder="1"/>
    <xf numFmtId="0" fontId="2" fillId="0" borderId="0" xfId="0" applyFont="1"/>
    <xf numFmtId="0" fontId="7" fillId="0" borderId="0" xfId="0" applyFont="1"/>
    <xf numFmtId="0" fontId="8" fillId="0" borderId="0" xfId="0" applyFont="1"/>
    <xf numFmtId="0" fontId="10" fillId="0" borderId="0" xfId="0" applyFont="1"/>
    <xf numFmtId="0" fontId="11" fillId="0" borderId="0" xfId="0" applyFont="1"/>
    <xf numFmtId="44" fontId="11" fillId="2" borderId="1" xfId="2"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1" fillId="0" borderId="1" xfId="0" applyFont="1" applyBorder="1"/>
    <xf numFmtId="10" fontId="11" fillId="0" borderId="1" xfId="0" applyNumberFormat="1" applyFont="1" applyBorder="1"/>
    <xf numFmtId="44" fontId="11" fillId="2" borderId="1" xfId="0" applyNumberFormat="1" applyFont="1" applyFill="1" applyBorder="1"/>
    <xf numFmtId="0" fontId="10" fillId="0" borderId="0" xfId="0" applyFont="1" applyAlignment="1">
      <alignment horizontal="centerContinuous"/>
    </xf>
    <xf numFmtId="0" fontId="11" fillId="0" borderId="1" xfId="0" applyFont="1" applyBorder="1" applyAlignment="1">
      <alignment horizontal="center"/>
    </xf>
    <xf numFmtId="0" fontId="16" fillId="0" borderId="0" xfId="0" applyFont="1"/>
    <xf numFmtId="0" fontId="11" fillId="0" borderId="2" xfId="0" applyFont="1" applyBorder="1"/>
    <xf numFmtId="44" fontId="11" fillId="3" borderId="1" xfId="2" applyFont="1" applyFill="1" applyBorder="1"/>
    <xf numFmtId="44" fontId="11" fillId="0" borderId="0" xfId="2" applyFont="1" applyBorder="1"/>
    <xf numFmtId="0" fontId="11" fillId="2" borderId="1" xfId="0" applyFont="1" applyFill="1" applyBorder="1" applyAlignment="1">
      <alignment horizontal="center"/>
    </xf>
    <xf numFmtId="0" fontId="11" fillId="0" borderId="3" xfId="0" applyFont="1" applyBorder="1"/>
    <xf numFmtId="44" fontId="11" fillId="2" borderId="3" xfId="0" applyNumberFormat="1" applyFont="1" applyFill="1" applyBorder="1"/>
    <xf numFmtId="44" fontId="11" fillId="2" borderId="3" xfId="2" applyFont="1" applyFill="1" applyBorder="1"/>
    <xf numFmtId="0" fontId="11" fillId="2" borderId="2" xfId="0" applyFont="1" applyFill="1" applyBorder="1"/>
    <xf numFmtId="44" fontId="11" fillId="2" borderId="2" xfId="0" applyNumberFormat="1" applyFont="1" applyFill="1" applyBorder="1"/>
    <xf numFmtId="44" fontId="11" fillId="2" borderId="4" xfId="0" applyNumberFormat="1" applyFont="1" applyFill="1" applyBorder="1"/>
    <xf numFmtId="0" fontId="18" fillId="0" borderId="5" xfId="0" applyFont="1" applyBorder="1" applyAlignment="1">
      <alignment horizontal="center"/>
    </xf>
    <xf numFmtId="0" fontId="18" fillId="0" borderId="1" xfId="0" applyFont="1" applyBorder="1" applyAlignment="1">
      <alignment horizontal="center"/>
    </xf>
    <xf numFmtId="0" fontId="19" fillId="0" borderId="1" xfId="0" applyFont="1" applyBorder="1"/>
    <xf numFmtId="0" fontId="19" fillId="0" borderId="0" xfId="0" applyFont="1"/>
    <xf numFmtId="0" fontId="20" fillId="0" borderId="1" xfId="0" applyFont="1" applyBorder="1"/>
    <xf numFmtId="0" fontId="19" fillId="0" borderId="1" xfId="0" applyFont="1" applyBorder="1" applyAlignment="1">
      <alignment horizontal="center"/>
    </xf>
    <xf numFmtId="0" fontId="19" fillId="0" borderId="0" xfId="0" applyFont="1" applyAlignment="1">
      <alignment horizontal="center"/>
    </xf>
    <xf numFmtId="0" fontId="21" fillId="0" borderId="0" xfId="0" applyFont="1"/>
    <xf numFmtId="0" fontId="21" fillId="0" borderId="1" xfId="0" applyFont="1" applyBorder="1"/>
    <xf numFmtId="0" fontId="22" fillId="0" borderId="0" xfId="0" applyFont="1"/>
    <xf numFmtId="10" fontId="11" fillId="4" borderId="2" xfId="0" applyNumberFormat="1" applyFont="1" applyFill="1" applyBorder="1" applyAlignment="1">
      <alignment horizontal="center"/>
    </xf>
    <xf numFmtId="8" fontId="11" fillId="2" borderId="2" xfId="0" applyNumberFormat="1" applyFont="1" applyFill="1" applyBorder="1"/>
    <xf numFmtId="0" fontId="19" fillId="5" borderId="1" xfId="0" applyFont="1" applyFill="1" applyBorder="1"/>
    <xf numFmtId="10" fontId="19" fillId="5" borderId="1" xfId="3" applyNumberFormat="1" applyFont="1" applyFill="1" applyBorder="1" applyAlignment="1">
      <alignment horizontal="center"/>
    </xf>
    <xf numFmtId="10" fontId="19" fillId="5" borderId="1" xfId="0" applyNumberFormat="1" applyFont="1" applyFill="1" applyBorder="1" applyAlignment="1">
      <alignment horizontal="center"/>
    </xf>
    <xf numFmtId="44" fontId="19" fillId="5" borderId="1" xfId="2" applyFont="1" applyFill="1" applyBorder="1"/>
    <xf numFmtId="44" fontId="19" fillId="5" borderId="1" xfId="2" applyFont="1" applyFill="1" applyBorder="1" applyAlignment="1">
      <alignment horizontal="center"/>
    </xf>
    <xf numFmtId="10" fontId="19" fillId="5" borderId="1" xfId="3" applyNumberFormat="1" applyFont="1" applyFill="1" applyBorder="1"/>
    <xf numFmtId="10" fontId="19" fillId="5" borderId="1" xfId="2" applyNumberFormat="1" applyFont="1" applyFill="1" applyBorder="1"/>
    <xf numFmtId="10" fontId="19" fillId="5" borderId="1" xfId="2" applyNumberFormat="1" applyFont="1" applyFill="1" applyBorder="1" applyAlignment="1">
      <alignment horizontal="center"/>
    </xf>
    <xf numFmtId="44" fontId="19" fillId="5" borderId="1" xfId="0" applyNumberFormat="1" applyFont="1" applyFill="1" applyBorder="1" applyAlignment="1">
      <alignment horizontal="center"/>
    </xf>
    <xf numFmtId="0" fontId="19" fillId="5" borderId="1" xfId="0" applyFont="1" applyFill="1" applyBorder="1" applyAlignment="1">
      <alignment horizontal="center"/>
    </xf>
    <xf numFmtId="44" fontId="19" fillId="5" borderId="1" xfId="0" applyNumberFormat="1" applyFont="1" applyFill="1" applyBorder="1"/>
    <xf numFmtId="10" fontId="19" fillId="5" borderId="1" xfId="0" applyNumberFormat="1" applyFont="1" applyFill="1" applyBorder="1"/>
    <xf numFmtId="164" fontId="19" fillId="5" borderId="1" xfId="0" applyNumberFormat="1" applyFont="1" applyFill="1" applyBorder="1"/>
    <xf numFmtId="8" fontId="19" fillId="5" borderId="1" xfId="0" applyNumberFormat="1" applyFont="1" applyFill="1" applyBorder="1"/>
    <xf numFmtId="43" fontId="19" fillId="5" borderId="1" xfId="1" applyFont="1" applyFill="1" applyBorder="1"/>
    <xf numFmtId="44" fontId="57" fillId="5" borderId="1" xfId="2" applyFont="1" applyFill="1" applyBorder="1"/>
    <xf numFmtId="2" fontId="19" fillId="5" borderId="1" xfId="0" applyNumberFormat="1" applyFont="1" applyFill="1" applyBorder="1" applyAlignment="1">
      <alignment horizontal="center"/>
    </xf>
    <xf numFmtId="168" fontId="19" fillId="5" borderId="1" xfId="0" applyNumberFormat="1" applyFont="1" applyFill="1" applyBorder="1"/>
    <xf numFmtId="168" fontId="19" fillId="5" borderId="1" xfId="0" applyNumberFormat="1" applyFont="1" applyFill="1" applyBorder="1" applyAlignment="1">
      <alignment horizontal="center"/>
    </xf>
    <xf numFmtId="0" fontId="23" fillId="0" borderId="0" xfId="0" applyFont="1"/>
    <xf numFmtId="0" fontId="11" fillId="3" borderId="1"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5" borderId="1" xfId="0" applyNumberFormat="1" applyFont="1" applyFill="1" applyBorder="1"/>
    <xf numFmtId="44" fontId="11" fillId="5" borderId="1" xfId="0" applyNumberFormat="1" applyFont="1" applyFill="1" applyBorder="1"/>
    <xf numFmtId="44" fontId="11" fillId="5" borderId="1" xfId="2" applyFont="1" applyFill="1" applyBorder="1"/>
    <xf numFmtId="10" fontId="11" fillId="5" borderId="1" xfId="3" applyNumberFormat="1" applyFont="1" applyFill="1" applyBorder="1"/>
    <xf numFmtId="10" fontId="11" fillId="5" borderId="3" xfId="0" applyNumberFormat="1" applyFont="1" applyFill="1" applyBorder="1"/>
    <xf numFmtId="10" fontId="11" fillId="5" borderId="1" xfId="0" applyNumberFormat="1" applyFont="1" applyFill="1" applyBorder="1"/>
    <xf numFmtId="10" fontId="11" fillId="5" borderId="6" xfId="3" applyNumberFormat="1" applyFont="1" applyFill="1" applyBorder="1"/>
    <xf numFmtId="10" fontId="11" fillId="5" borderId="2" xfId="3" applyNumberFormat="1" applyFont="1" applyFill="1" applyBorder="1"/>
    <xf numFmtId="2" fontId="11" fillId="5" borderId="1" xfId="2" applyNumberFormat="1" applyFont="1" applyFill="1" applyBorder="1"/>
    <xf numFmtId="0" fontId="24" fillId="0" borderId="0" xfId="0" applyFont="1"/>
    <xf numFmtId="0" fontId="25" fillId="0" borderId="0" xfId="0" applyFont="1"/>
    <xf numFmtId="0" fontId="17" fillId="0" borderId="0" xfId="0" applyFont="1"/>
    <xf numFmtId="0" fontId="11" fillId="3" borderId="1" xfId="0" applyFont="1" applyFill="1" applyBorder="1" applyAlignment="1">
      <alignment horizontal="center"/>
    </xf>
    <xf numFmtId="0" fontId="27" fillId="0" borderId="0" xfId="0" applyFont="1"/>
    <xf numFmtId="0" fontId="7" fillId="6" borderId="0" xfId="0" applyFont="1" applyFill="1"/>
    <xf numFmtId="0" fontId="27" fillId="0" borderId="7" xfId="0" applyFont="1" applyBorder="1"/>
    <xf numFmtId="169" fontId="19" fillId="5" borderId="1" xfId="0" applyNumberFormat="1" applyFont="1" applyFill="1" applyBorder="1" applyAlignment="1">
      <alignment horizontal="center"/>
    </xf>
    <xf numFmtId="0" fontId="0" fillId="0" borderId="1" xfId="0" applyBorder="1" applyAlignment="1">
      <alignment horizontal="center"/>
    </xf>
    <xf numFmtId="0" fontId="11" fillId="4" borderId="1" xfId="0" applyFont="1" applyFill="1" applyBorder="1"/>
    <xf numFmtId="0" fontId="11" fillId="5" borderId="1" xfId="0" applyFont="1" applyFill="1" applyBorder="1"/>
    <xf numFmtId="0" fontId="12" fillId="0" borderId="1" xfId="0" applyFont="1" applyBorder="1"/>
    <xf numFmtId="167" fontId="11" fillId="5" borderId="1" xfId="3" applyNumberFormat="1" applyFont="1" applyFill="1" applyBorder="1"/>
    <xf numFmtId="167" fontId="11" fillId="5" borderId="1" xfId="0" applyNumberFormat="1" applyFont="1" applyFill="1" applyBorder="1"/>
    <xf numFmtId="171" fontId="11" fillId="4" borderId="1" xfId="2" applyNumberFormat="1" applyFont="1" applyFill="1" applyBorder="1"/>
    <xf numFmtId="169" fontId="11" fillId="5" borderId="1" xfId="0" applyNumberFormat="1" applyFont="1" applyFill="1" applyBorder="1"/>
    <xf numFmtId="171" fontId="11" fillId="5" borderId="1" xfId="0" applyNumberFormat="1" applyFont="1" applyFill="1" applyBorder="1"/>
    <xf numFmtId="0" fontId="0" fillId="5" borderId="1" xfId="0" applyFill="1" applyBorder="1"/>
    <xf numFmtId="171" fontId="3"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1"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2" fillId="0" borderId="0" xfId="0" applyNumberFormat="1" applyFont="1" applyAlignment="1">
      <alignment horizontal="center"/>
    </xf>
    <xf numFmtId="164" fontId="2" fillId="0" borderId="0" xfId="0" applyNumberFormat="1" applyFont="1"/>
    <xf numFmtId="10" fontId="11" fillId="4" borderId="1" xfId="0" applyNumberFormat="1" applyFont="1" applyFill="1" applyBorder="1" applyAlignment="1">
      <alignment horizontal="center"/>
    </xf>
    <xf numFmtId="10" fontId="11" fillId="5" borderId="1" xfId="0" applyNumberFormat="1" applyFont="1" applyFill="1" applyBorder="1" applyAlignment="1">
      <alignment horizontal="center"/>
    </xf>
    <xf numFmtId="166" fontId="11" fillId="3" borderId="1" xfId="0" applyNumberFormat="1" applyFont="1" applyFill="1" applyBorder="1"/>
    <xf numFmtId="9" fontId="11" fillId="5" borderId="1" xfId="0" applyNumberFormat="1" applyFont="1" applyFill="1" applyBorder="1" applyAlignment="1">
      <alignment horizontal="center"/>
    </xf>
    <xf numFmtId="0" fontId="28" fillId="0" borderId="0" xfId="0" applyFont="1"/>
    <xf numFmtId="2" fontId="11" fillId="4" borderId="1" xfId="0" applyNumberFormat="1" applyFont="1" applyFill="1" applyBorder="1"/>
    <xf numFmtId="0" fontId="23" fillId="0" borderId="0" xfId="0" applyFont="1" applyAlignment="1">
      <alignment horizontal="left"/>
    </xf>
    <xf numFmtId="164" fontId="0" fillId="5" borderId="1" xfId="0" applyNumberFormat="1" applyFill="1" applyBorder="1"/>
    <xf numFmtId="0" fontId="58" fillId="0" borderId="8" xfId="0" applyFont="1" applyBorder="1" applyAlignment="1">
      <alignment horizontal="center"/>
    </xf>
    <xf numFmtId="0" fontId="58" fillId="0" borderId="9" xfId="0" applyFont="1" applyBorder="1" applyAlignment="1">
      <alignment horizontal="center"/>
    </xf>
    <xf numFmtId="16" fontId="58" fillId="0" borderId="9" xfId="0" applyNumberFormat="1" applyFont="1" applyBorder="1" applyAlignment="1">
      <alignment horizontal="center"/>
    </xf>
    <xf numFmtId="0" fontId="58" fillId="0" borderId="10" xfId="0" applyFont="1" applyBorder="1" applyAlignment="1">
      <alignment horizontal="center"/>
    </xf>
    <xf numFmtId="0" fontId="59" fillId="0" borderId="11" xfId="0" applyFont="1" applyBorder="1"/>
    <xf numFmtId="0" fontId="59" fillId="0" borderId="12" xfId="0" applyFont="1" applyBorder="1"/>
    <xf numFmtId="10" fontId="59" fillId="0" borderId="1" xfId="0" applyNumberFormat="1" applyFont="1" applyBorder="1" applyAlignment="1">
      <alignment horizontal="center"/>
    </xf>
    <xf numFmtId="0" fontId="59" fillId="0" borderId="1" xfId="0" applyFont="1" applyBorder="1" applyAlignment="1">
      <alignment horizontal="center"/>
    </xf>
    <xf numFmtId="10" fontId="59" fillId="0" borderId="13" xfId="3" applyNumberFormat="1" applyFont="1" applyBorder="1" applyAlignment="1">
      <alignment horizontal="center"/>
    </xf>
    <xf numFmtId="0" fontId="59" fillId="0" borderId="14" xfId="0" applyFont="1" applyBorder="1"/>
    <xf numFmtId="10" fontId="59" fillId="0" borderId="15" xfId="0" applyNumberFormat="1" applyFont="1" applyBorder="1" applyAlignment="1">
      <alignment horizontal="center"/>
    </xf>
    <xf numFmtId="0" fontId="59" fillId="0" borderId="12" xfId="0" applyFont="1" applyBorder="1" applyAlignment="1">
      <alignment horizontal="center"/>
    </xf>
    <xf numFmtId="10" fontId="59" fillId="0" borderId="1" xfId="3" applyNumberFormat="1" applyFont="1" applyBorder="1" applyAlignment="1">
      <alignment horizontal="center"/>
    </xf>
    <xf numFmtId="0" fontId="59" fillId="0" borderId="14" xfId="0" applyFont="1" applyBorder="1" applyAlignment="1">
      <alignment horizontal="center"/>
    </xf>
    <xf numFmtId="10" fontId="59" fillId="0" borderId="15" xfId="3" applyNumberFormat="1" applyFont="1" applyBorder="1" applyAlignment="1">
      <alignment horizontal="center"/>
    </xf>
    <xf numFmtId="168" fontId="59" fillId="0" borderId="16" xfId="2" applyNumberFormat="1" applyFont="1" applyFill="1" applyBorder="1"/>
    <xf numFmtId="0" fontId="59" fillId="0" borderId="16" xfId="0" applyFont="1" applyBorder="1"/>
    <xf numFmtId="0" fontId="59" fillId="0" borderId="17" xfId="0" applyFont="1" applyBorder="1"/>
    <xf numFmtId="168" fontId="59" fillId="0" borderId="0" xfId="2" applyNumberFormat="1" applyFont="1" applyFill="1" applyBorder="1"/>
    <xf numFmtId="0" fontId="59" fillId="0" borderId="0" xfId="0" applyFont="1"/>
    <xf numFmtId="0" fontId="59" fillId="0" borderId="18" xfId="0" applyFont="1" applyBorder="1"/>
    <xf numFmtId="0" fontId="59" fillId="0" borderId="0" xfId="0" applyFont="1" applyAlignment="1">
      <alignment horizontal="left"/>
    </xf>
    <xf numFmtId="0" fontId="59" fillId="0" borderId="19" xfId="0" applyFont="1" applyBorder="1"/>
    <xf numFmtId="10" fontId="59" fillId="0" borderId="20" xfId="3" applyNumberFormat="1" applyFont="1" applyBorder="1" applyAlignment="1">
      <alignment horizontal="center"/>
    </xf>
    <xf numFmtId="10" fontId="59" fillId="0" borderId="3" xfId="0" applyNumberFormat="1" applyFont="1" applyBorder="1" applyAlignment="1">
      <alignment horizontal="center"/>
    </xf>
    <xf numFmtId="0" fontId="59" fillId="0" borderId="21" xfId="0" applyFont="1" applyBorder="1" applyAlignment="1">
      <alignment horizontal="center"/>
    </xf>
    <xf numFmtId="164" fontId="59" fillId="0" borderId="22" xfId="0" applyNumberFormat="1" applyFont="1" applyBorder="1" applyAlignment="1">
      <alignment horizontal="left"/>
    </xf>
    <xf numFmtId="0" fontId="29" fillId="0" borderId="1" xfId="0" applyFont="1" applyBorder="1" applyAlignment="1">
      <alignment horizontal="center"/>
    </xf>
    <xf numFmtId="0" fontId="0" fillId="4" borderId="1" xfId="0" applyFill="1" applyBorder="1"/>
    <xf numFmtId="10" fontId="11" fillId="4" borderId="1" xfId="0" applyNumberFormat="1" applyFont="1" applyFill="1" applyBorder="1"/>
    <xf numFmtId="44" fontId="3" fillId="4" borderId="1" xfId="2" applyFont="1" applyFill="1" applyBorder="1" applyAlignment="1">
      <alignment horizontal="center"/>
    </xf>
    <xf numFmtId="0" fontId="60" fillId="4" borderId="1" xfId="0" applyFont="1" applyFill="1" applyBorder="1"/>
    <xf numFmtId="170" fontId="29" fillId="0" borderId="0" xfId="0" applyNumberFormat="1" applyFont="1" applyAlignment="1">
      <alignment horizontal="right"/>
    </xf>
    <xf numFmtId="44" fontId="0" fillId="0" borderId="0" xfId="0" applyNumberFormat="1"/>
    <xf numFmtId="10" fontId="0" fillId="4" borderId="1" xfId="0" applyNumberFormat="1" applyFill="1" applyBorder="1"/>
    <xf numFmtId="0" fontId="30" fillId="0" borderId="0" xfId="0" applyFont="1"/>
    <xf numFmtId="0" fontId="27" fillId="0" borderId="0" xfId="0" applyFont="1" applyAlignment="1">
      <alignment horizontal="left"/>
    </xf>
    <xf numFmtId="10" fontId="27" fillId="0" borderId="0" xfId="0" applyNumberFormat="1" applyFont="1"/>
    <xf numFmtId="2" fontId="27" fillId="0" borderId="0" xfId="0" applyNumberFormat="1" applyFont="1"/>
    <xf numFmtId="10" fontId="29" fillId="0" borderId="0" xfId="0" applyNumberFormat="1" applyFont="1"/>
    <xf numFmtId="0" fontId="61" fillId="0" borderId="0" xfId="0" applyFont="1"/>
    <xf numFmtId="17" fontId="62" fillId="0" borderId="1" xfId="0" applyNumberFormat="1" applyFont="1" applyBorder="1"/>
    <xf numFmtId="2" fontId="59" fillId="7" borderId="13" xfId="0" applyNumberFormat="1" applyFont="1" applyFill="1" applyBorder="1" applyAlignment="1">
      <alignment horizontal="center"/>
    </xf>
    <xf numFmtId="2" fontId="59" fillId="7" borderId="1" xfId="0" applyNumberFormat="1" applyFont="1" applyFill="1" applyBorder="1" applyAlignment="1">
      <alignment horizontal="center"/>
    </xf>
    <xf numFmtId="10" fontId="59" fillId="7" borderId="1" xfId="0" applyNumberFormat="1" applyFont="1" applyFill="1" applyBorder="1" applyAlignment="1">
      <alignment horizontal="center"/>
    </xf>
    <xf numFmtId="10" fontId="59" fillId="7" borderId="6" xfId="0" applyNumberFormat="1" applyFont="1" applyFill="1" applyBorder="1" applyAlignment="1">
      <alignment horizontal="center"/>
    </xf>
    <xf numFmtId="10" fontId="59" fillId="7" borderId="13" xfId="0" applyNumberFormat="1" applyFont="1" applyFill="1" applyBorder="1" applyAlignment="1">
      <alignment horizontal="center"/>
    </xf>
    <xf numFmtId="0" fontId="63" fillId="7" borderId="9" xfId="0" applyFont="1" applyFill="1" applyBorder="1"/>
    <xf numFmtId="0" fontId="64" fillId="7" borderId="9" xfId="0" applyFont="1" applyFill="1" applyBorder="1"/>
    <xf numFmtId="0" fontId="64" fillId="7" borderId="1" xfId="0" applyFont="1" applyFill="1" applyBorder="1"/>
    <xf numFmtId="10" fontId="64" fillId="7" borderId="1" xfId="3" applyNumberFormat="1" applyFont="1" applyFill="1" applyBorder="1"/>
    <xf numFmtId="0" fontId="58" fillId="0" borderId="23" xfId="0" applyFont="1" applyBorder="1" applyAlignment="1">
      <alignment horizontal="center"/>
    </xf>
    <xf numFmtId="173" fontId="58" fillId="0" borderId="23" xfId="0" applyNumberFormat="1" applyFont="1" applyBorder="1" applyAlignment="1">
      <alignment horizontal="center"/>
    </xf>
    <xf numFmtId="173" fontId="58" fillId="0" borderId="24" xfId="0" applyNumberFormat="1" applyFont="1" applyBorder="1" applyAlignment="1">
      <alignment horizontal="center"/>
    </xf>
    <xf numFmtId="164" fontId="59" fillId="0" borderId="1" xfId="2" applyNumberFormat="1" applyFont="1" applyBorder="1" applyAlignment="1">
      <alignment horizontal="center"/>
    </xf>
    <xf numFmtId="164" fontId="59" fillId="0" borderId="15" xfId="2" applyNumberFormat="1" applyFont="1" applyBorder="1" applyAlignment="1">
      <alignment horizontal="center"/>
    </xf>
    <xf numFmtId="164" fontId="59" fillId="0" borderId="6" xfId="2" applyNumberFormat="1" applyFont="1" applyBorder="1" applyAlignment="1">
      <alignment horizontal="center"/>
    </xf>
    <xf numFmtId="168" fontId="11" fillId="5" borderId="1" xfId="2" applyNumberFormat="1" applyFont="1" applyFill="1" applyBorder="1"/>
    <xf numFmtId="170" fontId="29" fillId="4" borderId="1" xfId="0" applyNumberFormat="1" applyFont="1" applyFill="1" applyBorder="1" applyAlignment="1">
      <alignment horizontal="right"/>
    </xf>
    <xf numFmtId="0" fontId="31" fillId="0" borderId="0" xfId="0" applyFont="1"/>
    <xf numFmtId="0" fontId="32" fillId="0" borderId="0" xfId="0" applyFont="1" applyAlignment="1">
      <alignment wrapText="1"/>
    </xf>
    <xf numFmtId="0" fontId="32" fillId="0" borderId="1" xfId="0" applyFont="1" applyBorder="1" applyAlignment="1">
      <alignment horizontal="center" wrapText="1"/>
    </xf>
    <xf numFmtId="0" fontId="58" fillId="0" borderId="1" xfId="0" applyFont="1" applyBorder="1" applyAlignment="1">
      <alignment horizontal="center"/>
    </xf>
    <xf numFmtId="172" fontId="65" fillId="0" borderId="1" xfId="3" applyNumberFormat="1" applyFont="1" applyBorder="1" applyAlignment="1">
      <alignment horizontal="center"/>
    </xf>
    <xf numFmtId="10" fontId="65" fillId="0" borderId="1" xfId="0" applyNumberFormat="1" applyFont="1" applyBorder="1" applyAlignment="1">
      <alignment horizontal="center"/>
    </xf>
    <xf numFmtId="2" fontId="65" fillId="0" borderId="1" xfId="0" applyNumberFormat="1" applyFont="1" applyBorder="1" applyAlignment="1">
      <alignment horizontal="center"/>
    </xf>
    <xf numFmtId="0" fontId="28" fillId="6" borderId="0" xfId="0" applyFont="1" applyFill="1"/>
    <xf numFmtId="0" fontId="28" fillId="6" borderId="25" xfId="0" applyFont="1" applyFill="1" applyBorder="1"/>
    <xf numFmtId="169" fontId="11"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1" fillId="5" borderId="1" xfId="3" applyNumberFormat="1" applyFont="1" applyFill="1" applyBorder="1" applyAlignment="1">
      <alignment horizontal="center"/>
    </xf>
    <xf numFmtId="10" fontId="3" fillId="5" borderId="1" xfId="3" applyNumberFormat="1" applyFont="1" applyFill="1" applyBorder="1" applyAlignment="1">
      <alignment horizontal="center"/>
    </xf>
    <xf numFmtId="0" fontId="11" fillId="4" borderId="3" xfId="0" applyFont="1" applyFill="1" applyBorder="1"/>
    <xf numFmtId="10" fontId="0" fillId="5" borderId="2" xfId="0" applyNumberFormat="1" applyFill="1" applyBorder="1" applyAlignment="1">
      <alignment horizontal="center"/>
    </xf>
    <xf numFmtId="0" fontId="34" fillId="0" borderId="0" xfId="0" applyFont="1" applyAlignment="1">
      <alignment horizontal="left" vertical="top" wrapText="1"/>
    </xf>
    <xf numFmtId="0" fontId="34"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4"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7" fillId="0" borderId="0" xfId="0" applyFont="1"/>
    <xf numFmtId="0" fontId="38" fillId="0" borderId="0" xfId="0" applyFont="1"/>
    <xf numFmtId="0" fontId="39" fillId="0" borderId="0" xfId="0" applyFont="1"/>
    <xf numFmtId="0" fontId="40" fillId="0" borderId="0" xfId="0" applyFont="1"/>
    <xf numFmtId="17" fontId="40" fillId="4" borderId="1" xfId="0" applyNumberFormat="1" applyFont="1" applyFill="1" applyBorder="1" applyAlignment="1">
      <alignment horizontal="center"/>
    </xf>
    <xf numFmtId="0" fontId="39" fillId="4" borderId="1" xfId="0" applyFont="1" applyFill="1" applyBorder="1"/>
    <xf numFmtId="0" fontId="41" fillId="0" borderId="1" xfId="0" applyFont="1" applyBorder="1"/>
    <xf numFmtId="0" fontId="39" fillId="0" borderId="1" xfId="0" applyFont="1" applyBorder="1"/>
    <xf numFmtId="44" fontId="39" fillId="4" borderId="1" xfId="2" applyFont="1" applyFill="1" applyBorder="1" applyAlignment="1">
      <alignment horizontal="center"/>
    </xf>
    <xf numFmtId="0" fontId="68" fillId="0" borderId="0" xfId="0" applyFont="1"/>
    <xf numFmtId="44" fontId="39" fillId="8" borderId="13" xfId="0" applyNumberFormat="1" applyFont="1" applyFill="1" applyBorder="1" applyAlignment="1">
      <alignment horizontal="center"/>
    </xf>
    <xf numFmtId="44" fontId="39" fillId="4" borderId="9" xfId="2" applyFont="1" applyFill="1" applyBorder="1" applyAlignment="1">
      <alignment horizontal="center"/>
    </xf>
    <xf numFmtId="2" fontId="39" fillId="4" borderId="9" xfId="2" applyNumberFormat="1" applyFont="1" applyFill="1" applyBorder="1" applyAlignment="1">
      <alignment horizontal="center"/>
    </xf>
    <xf numFmtId="10" fontId="39" fillId="4" borderId="1" xfId="2" applyNumberFormat="1" applyFont="1" applyFill="1" applyBorder="1" applyAlignment="1">
      <alignment horizontal="center"/>
    </xf>
    <xf numFmtId="44" fontId="39" fillId="0" borderId="0" xfId="2" applyFont="1" applyFill="1" applyBorder="1" applyAlignment="1">
      <alignment horizontal="center"/>
    </xf>
    <xf numFmtId="0" fontId="39" fillId="0" borderId="30" xfId="0" applyFont="1" applyBorder="1"/>
    <xf numFmtId="10" fontId="39" fillId="5" borderId="1" xfId="0" applyNumberFormat="1" applyFont="1" applyFill="1" applyBorder="1"/>
    <xf numFmtId="0" fontId="69" fillId="0" borderId="1" xfId="0" applyFont="1" applyBorder="1"/>
    <xf numFmtId="10" fontId="69" fillId="4" borderId="1" xfId="2" applyNumberFormat="1" applyFont="1" applyFill="1" applyBorder="1" applyAlignment="1">
      <alignment horizontal="center"/>
    </xf>
    <xf numFmtId="10" fontId="39" fillId="4" borderId="1" xfId="0" applyNumberFormat="1" applyFont="1" applyFill="1" applyBorder="1" applyAlignment="1">
      <alignment horizontal="center"/>
    </xf>
    <xf numFmtId="2" fontId="39" fillId="4" borderId="1" xfId="0" applyNumberFormat="1" applyFont="1" applyFill="1" applyBorder="1" applyAlignment="1">
      <alignment horizontal="center"/>
    </xf>
    <xf numFmtId="0" fontId="39" fillId="0" borderId="31" xfId="0" applyFont="1" applyBorder="1"/>
    <xf numFmtId="168" fontId="39" fillId="5" borderId="1" xfId="0" applyNumberFormat="1" applyFont="1" applyFill="1" applyBorder="1"/>
    <xf numFmtId="10" fontId="39" fillId="0" borderId="0" xfId="0" applyNumberFormat="1" applyFont="1"/>
    <xf numFmtId="0" fontId="39" fillId="0" borderId="32" xfId="0" applyFont="1" applyBorder="1"/>
    <xf numFmtId="10" fontId="39" fillId="6" borderId="0" xfId="0" applyNumberFormat="1" applyFont="1" applyFill="1" applyAlignment="1">
      <alignment horizontal="center"/>
    </xf>
    <xf numFmtId="2" fontId="39" fillId="0" borderId="0" xfId="0" applyNumberFormat="1" applyFont="1" applyAlignment="1">
      <alignment horizontal="center"/>
    </xf>
    <xf numFmtId="164" fontId="39" fillId="4" borderId="1" xfId="0" applyNumberFormat="1" applyFont="1" applyFill="1" applyBorder="1" applyAlignment="1">
      <alignment horizontal="center"/>
    </xf>
    <xf numFmtId="164" fontId="39" fillId="0" borderId="0" xfId="0" applyNumberFormat="1" applyFont="1" applyAlignment="1">
      <alignment horizontal="center"/>
    </xf>
    <xf numFmtId="0" fontId="41" fillId="0" borderId="0" xfId="0" applyFont="1"/>
    <xf numFmtId="10" fontId="39" fillId="0" borderId="0" xfId="0" applyNumberFormat="1" applyFont="1" applyAlignment="1">
      <alignment horizontal="center"/>
    </xf>
    <xf numFmtId="0" fontId="42" fillId="6" borderId="0" xfId="0" applyFont="1" applyFill="1"/>
    <xf numFmtId="0" fontId="41" fillId="6" borderId="0" xfId="0" applyFont="1" applyFill="1"/>
    <xf numFmtId="9" fontId="39" fillId="4" borderId="1" xfId="0" applyNumberFormat="1" applyFont="1" applyFill="1" applyBorder="1" applyAlignment="1">
      <alignment horizontal="center"/>
    </xf>
    <xf numFmtId="9" fontId="39" fillId="6" borderId="0" xfId="0" applyNumberFormat="1" applyFont="1" applyFill="1" applyAlignment="1">
      <alignment horizontal="center"/>
    </xf>
    <xf numFmtId="164" fontId="39" fillId="7" borderId="0" xfId="0" applyNumberFormat="1" applyFont="1" applyFill="1" applyAlignment="1">
      <alignment horizontal="center"/>
    </xf>
    <xf numFmtId="10" fontId="39" fillId="4" borderId="1" xfId="3" applyNumberFormat="1" applyFont="1" applyFill="1" applyBorder="1" applyAlignment="1">
      <alignment horizontal="center"/>
    </xf>
    <xf numFmtId="164" fontId="37" fillId="4" borderId="1" xfId="0" applyNumberFormat="1" applyFont="1" applyFill="1" applyBorder="1" applyAlignment="1">
      <alignment horizontal="center"/>
    </xf>
    <xf numFmtId="0" fontId="38" fillId="4" borderId="1" xfId="0" applyFont="1" applyFill="1" applyBorder="1"/>
    <xf numFmtId="0" fontId="38" fillId="5" borderId="1" xfId="0" applyFont="1" applyFill="1" applyBorder="1"/>
    <xf numFmtId="0" fontId="43" fillId="0" borderId="0" xfId="0" applyFont="1"/>
    <xf numFmtId="0" fontId="64" fillId="7" borderId="0" xfId="0" applyFont="1" applyFill="1"/>
    <xf numFmtId="0" fontId="44" fillId="0" borderId="0" xfId="0" applyFont="1"/>
    <xf numFmtId="0" fontId="70" fillId="0" borderId="0" xfId="0" applyFont="1"/>
    <xf numFmtId="0" fontId="70" fillId="0" borderId="1" xfId="0" applyFont="1" applyBorder="1"/>
    <xf numFmtId="0" fontId="71" fillId="0" borderId="1" xfId="0" applyFont="1" applyBorder="1" applyAlignment="1">
      <alignment horizontal="center"/>
    </xf>
    <xf numFmtId="10" fontId="70" fillId="7" borderId="1" xfId="0" applyNumberFormat="1" applyFont="1" applyFill="1" applyBorder="1" applyAlignment="1">
      <alignment horizontal="center"/>
    </xf>
    <xf numFmtId="10" fontId="0" fillId="0" borderId="0" xfId="0" applyNumberFormat="1"/>
    <xf numFmtId="0" fontId="70" fillId="0" borderId="1" xfId="0" applyFont="1" applyBorder="1" applyAlignment="1">
      <alignment horizontal="center"/>
    </xf>
    <xf numFmtId="0" fontId="45" fillId="0" borderId="0" xfId="0" applyFont="1"/>
    <xf numFmtId="0" fontId="70" fillId="0" borderId="0" xfId="0" applyFont="1" applyAlignment="1">
      <alignment horizontal="center"/>
    </xf>
    <xf numFmtId="10" fontId="70" fillId="0" borderId="0" xfId="0" applyNumberFormat="1" applyFont="1" applyAlignment="1">
      <alignment horizontal="center"/>
    </xf>
    <xf numFmtId="0" fontId="59" fillId="7" borderId="5" xfId="0" applyFont="1" applyFill="1" applyBorder="1" applyAlignment="1">
      <alignment horizontal="left"/>
    </xf>
    <xf numFmtId="0" fontId="59" fillId="7" borderId="5" xfId="0" applyFont="1" applyFill="1" applyBorder="1" applyAlignment="1">
      <alignment wrapText="1"/>
    </xf>
    <xf numFmtId="0" fontId="59" fillId="7" borderId="5" xfId="0" applyFont="1" applyFill="1" applyBorder="1"/>
    <xf numFmtId="0" fontId="59" fillId="7" borderId="27" xfId="0" applyFont="1" applyFill="1" applyBorder="1"/>
    <xf numFmtId="0" fontId="59" fillId="7" borderId="33" xfId="0" applyFont="1" applyFill="1" applyBorder="1"/>
    <xf numFmtId="0" fontId="8" fillId="0" borderId="0" xfId="0" applyFont="1" applyAlignment="1">
      <alignment horizontal="center"/>
    </xf>
    <xf numFmtId="0" fontId="46" fillId="0" borderId="0" xfId="0" applyFont="1" applyAlignment="1">
      <alignment horizontal="center"/>
    </xf>
    <xf numFmtId="0" fontId="8" fillId="0" borderId="1" xfId="0" applyFont="1" applyBorder="1"/>
    <xf numFmtId="0" fontId="47" fillId="0" borderId="1" xfId="0" applyFont="1" applyBorder="1" applyAlignment="1">
      <alignment horizontal="center"/>
    </xf>
    <xf numFmtId="0" fontId="45" fillId="0" borderId="7" xfId="0" applyFont="1" applyBorder="1"/>
    <xf numFmtId="0" fontId="45" fillId="0" borderId="16" xfId="0" applyFont="1" applyBorder="1" applyAlignment="1">
      <alignment horizontal="center"/>
    </xf>
    <xf numFmtId="0" fontId="8" fillId="0" borderId="16" xfId="0" applyFont="1" applyBorder="1" applyAlignment="1">
      <alignment horizontal="center"/>
    </xf>
    <xf numFmtId="0" fontId="8" fillId="0" borderId="30" xfId="0" applyFont="1" applyBorder="1"/>
    <xf numFmtId="0" fontId="47" fillId="0" borderId="0" xfId="0" applyFont="1" applyAlignment="1">
      <alignment horizontal="center"/>
    </xf>
    <xf numFmtId="0" fontId="47" fillId="0" borderId="18"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46" fillId="0" borderId="7" xfId="0" applyFont="1" applyBorder="1"/>
    <xf numFmtId="0" fontId="47" fillId="0" borderId="16" xfId="0" applyFont="1" applyBorder="1" applyAlignment="1">
      <alignment horizontal="center"/>
    </xf>
    <xf numFmtId="0" fontId="47" fillId="0" borderId="17" xfId="0" applyFont="1" applyBorder="1" applyAlignment="1">
      <alignment horizontal="center"/>
    </xf>
    <xf numFmtId="0" fontId="47" fillId="0" borderId="30" xfId="0" applyFont="1" applyBorder="1"/>
    <xf numFmtId="0" fontId="8" fillId="0" borderId="1" xfId="0" applyFont="1" applyBorder="1" applyAlignment="1">
      <alignment wrapText="1"/>
    </xf>
    <xf numFmtId="0" fontId="8" fillId="0" borderId="31" xfId="0" applyFont="1" applyBorder="1" applyAlignment="1">
      <alignment horizontal="center"/>
    </xf>
    <xf numFmtId="0" fontId="8" fillId="0" borderId="32" xfId="0" applyFont="1" applyBorder="1" applyAlignment="1">
      <alignment horizontal="center"/>
    </xf>
    <xf numFmtId="10" fontId="27" fillId="7" borderId="3" xfId="0" applyNumberFormat="1" applyFont="1" applyFill="1" applyBorder="1" applyAlignment="1">
      <alignment horizontal="center"/>
    </xf>
    <xf numFmtId="0" fontId="50" fillId="6" borderId="35" xfId="0" applyFont="1" applyFill="1" applyBorder="1" applyAlignment="1">
      <alignment vertical="center"/>
    </xf>
    <xf numFmtId="0" fontId="50" fillId="6" borderId="36" xfId="0" applyFont="1" applyFill="1" applyBorder="1"/>
    <xf numFmtId="0" fontId="50" fillId="6" borderId="37" xfId="0" applyFont="1" applyFill="1" applyBorder="1"/>
    <xf numFmtId="0" fontId="27" fillId="7" borderId="19" xfId="0" applyFont="1" applyFill="1" applyBorder="1"/>
    <xf numFmtId="0" fontId="27" fillId="0" borderId="0" xfId="0" applyFont="1" applyAlignment="1">
      <alignment horizontal="center"/>
    </xf>
    <xf numFmtId="0" fontId="27" fillId="0" borderId="18" xfId="0" applyFont="1" applyBorder="1"/>
    <xf numFmtId="0" fontId="11" fillId="0" borderId="0" xfId="0" applyFont="1" applyAlignment="1">
      <alignment horizontal="center"/>
    </xf>
    <xf numFmtId="0" fontId="11" fillId="0" borderId="18" xfId="0" applyFont="1" applyBorder="1"/>
    <xf numFmtId="0" fontId="11" fillId="0" borderId="31" xfId="0" applyFont="1" applyBorder="1" applyAlignment="1">
      <alignment horizontal="center"/>
    </xf>
    <xf numFmtId="0" fontId="11" fillId="0" borderId="32" xfId="0" applyFont="1" applyBorder="1"/>
    <xf numFmtId="0" fontId="48" fillId="6" borderId="35" xfId="0" applyFont="1" applyFill="1" applyBorder="1" applyAlignment="1">
      <alignment horizontal="center" vertical="center" wrapText="1"/>
    </xf>
    <xf numFmtId="44" fontId="38" fillId="2" borderId="1" xfId="0" applyNumberFormat="1" applyFont="1" applyFill="1" applyBorder="1"/>
    <xf numFmtId="44" fontId="38" fillId="2" borderId="1" xfId="2" applyFont="1" applyFill="1" applyBorder="1"/>
    <xf numFmtId="2" fontId="38" fillId="2" borderId="1" xfId="0" applyNumberFormat="1" applyFont="1" applyFill="1" applyBorder="1"/>
    <xf numFmtId="10" fontId="38" fillId="2" borderId="1" xfId="3" applyNumberFormat="1" applyFont="1" applyFill="1" applyBorder="1"/>
    <xf numFmtId="10" fontId="38" fillId="2" borderId="1" xfId="0" applyNumberFormat="1" applyFont="1" applyFill="1" applyBorder="1"/>
    <xf numFmtId="4" fontId="38" fillId="2" borderId="1" xfId="0" applyNumberFormat="1" applyFont="1" applyFill="1" applyBorder="1"/>
    <xf numFmtId="0" fontId="51" fillId="0" borderId="0" xfId="0" applyFont="1"/>
    <xf numFmtId="0" fontId="53" fillId="0" borderId="0" xfId="0" applyFont="1"/>
    <xf numFmtId="0" fontId="38" fillId="0" borderId="1" xfId="0" applyFont="1" applyBorder="1"/>
    <xf numFmtId="44" fontId="38" fillId="5" borderId="2" xfId="2" applyFont="1" applyFill="1" applyBorder="1"/>
    <xf numFmtId="8" fontId="38" fillId="5" borderId="2" xfId="0" applyNumberFormat="1" applyFont="1" applyFill="1" applyBorder="1"/>
    <xf numFmtId="0" fontId="38" fillId="0" borderId="1" xfId="0" applyFont="1" applyBorder="1" applyAlignment="1">
      <alignment horizontal="center"/>
    </xf>
    <xf numFmtId="3" fontId="38" fillId="0" borderId="1" xfId="0" applyNumberFormat="1" applyFont="1" applyBorder="1" applyAlignment="1">
      <alignment horizontal="center"/>
    </xf>
    <xf numFmtId="10" fontId="45" fillId="0" borderId="1" xfId="0" applyNumberFormat="1" applyFont="1" applyBorder="1" applyAlignment="1">
      <alignment horizontal="center"/>
    </xf>
    <xf numFmtId="165" fontId="45" fillId="0" borderId="1" xfId="1" applyNumberFormat="1" applyFont="1" applyBorder="1" applyAlignment="1">
      <alignment horizontal="center"/>
    </xf>
    <xf numFmtId="10" fontId="38" fillId="0" borderId="1" xfId="0" applyNumberFormat="1" applyFont="1" applyBorder="1" applyAlignment="1">
      <alignment horizontal="center"/>
    </xf>
    <xf numFmtId="0" fontId="38" fillId="0" borderId="0" xfId="0" applyFont="1" applyAlignment="1">
      <alignment horizontal="center"/>
    </xf>
    <xf numFmtId="169" fontId="38" fillId="0" borderId="1" xfId="0" applyNumberFormat="1" applyFont="1" applyBorder="1" applyAlignment="1">
      <alignment horizontal="center"/>
    </xf>
    <xf numFmtId="0" fontId="45" fillId="0" borderId="6" xfId="0" applyFont="1" applyBorder="1" applyAlignment="1">
      <alignment horizontal="center"/>
    </xf>
    <xf numFmtId="0" fontId="52" fillId="0" borderId="0" xfId="0" applyFont="1"/>
    <xf numFmtId="0" fontId="54" fillId="0" borderId="0" xfId="0" applyFont="1"/>
    <xf numFmtId="0" fontId="55" fillId="0" borderId="0" xfId="0" applyFont="1"/>
    <xf numFmtId="0" fontId="50" fillId="0" borderId="0" xfId="0" applyFont="1"/>
    <xf numFmtId="10" fontId="45" fillId="0" borderId="0" xfId="0" applyNumberFormat="1" applyFont="1"/>
    <xf numFmtId="44" fontId="38" fillId="0" borderId="0" xfId="2" applyFont="1"/>
    <xf numFmtId="164" fontId="45" fillId="0" borderId="6" xfId="0" applyNumberFormat="1" applyFont="1" applyBorder="1" applyAlignment="1">
      <alignment horizontal="center"/>
    </xf>
    <xf numFmtId="0" fontId="48" fillId="0" borderId="0" xfId="0" applyFont="1"/>
    <xf numFmtId="0" fontId="72" fillId="7" borderId="9" xfId="0" applyFont="1" applyFill="1" applyBorder="1"/>
    <xf numFmtId="0" fontId="73" fillId="7" borderId="9" xfId="0" applyFont="1" applyFill="1" applyBorder="1"/>
    <xf numFmtId="0" fontId="73" fillId="7" borderId="1" xfId="0" applyFont="1" applyFill="1" applyBorder="1"/>
    <xf numFmtId="10" fontId="73" fillId="7" borderId="1" xfId="3" applyNumberFormat="1" applyFont="1" applyFill="1" applyBorder="1"/>
    <xf numFmtId="44" fontId="38" fillId="5" borderId="1" xfId="0" applyNumberFormat="1" applyFont="1" applyFill="1" applyBorder="1"/>
    <xf numFmtId="164" fontId="38" fillId="5" borderId="2" xfId="0" applyNumberFormat="1" applyFont="1" applyFill="1" applyBorder="1"/>
    <xf numFmtId="10" fontId="38" fillId="5" borderId="2" xfId="0" applyNumberFormat="1" applyFont="1" applyFill="1" applyBorder="1"/>
    <xf numFmtId="2" fontId="45" fillId="5" borderId="2" xfId="0" applyNumberFormat="1" applyFont="1" applyFill="1" applyBorder="1" applyAlignment="1">
      <alignment horizontal="center"/>
    </xf>
    <xf numFmtId="0" fontId="45" fillId="5" borderId="4" xfId="0" applyFont="1" applyFill="1" applyBorder="1" applyAlignment="1">
      <alignment horizontal="center"/>
    </xf>
    <xf numFmtId="10" fontId="45" fillId="5" borderId="2" xfId="3" applyNumberFormat="1" applyFont="1" applyFill="1" applyBorder="1" applyAlignment="1">
      <alignment horizontal="center"/>
    </xf>
    <xf numFmtId="10" fontId="45" fillId="5" borderId="2" xfId="0" applyNumberFormat="1" applyFont="1" applyFill="1" applyBorder="1" applyAlignment="1">
      <alignment horizontal="center"/>
    </xf>
    <xf numFmtId="10" fontId="45" fillId="0" borderId="0" xfId="0" applyNumberFormat="1" applyFont="1" applyAlignment="1">
      <alignment horizontal="center"/>
    </xf>
    <xf numFmtId="10" fontId="51" fillId="0" borderId="0" xfId="0" applyNumberFormat="1" applyFont="1" applyAlignment="1">
      <alignment horizontal="center"/>
    </xf>
    <xf numFmtId="0" fontId="53" fillId="0" borderId="1" xfId="0" applyFont="1" applyBorder="1" applyAlignment="1">
      <alignment horizontal="centerContinuous"/>
    </xf>
    <xf numFmtId="0" fontId="53" fillId="0" borderId="1" xfId="0" applyFont="1" applyBorder="1"/>
    <xf numFmtId="0" fontId="53" fillId="0" borderId="1" xfId="0" applyFont="1" applyBorder="1" applyAlignment="1">
      <alignment horizontal="center"/>
    </xf>
    <xf numFmtId="10" fontId="38" fillId="0" borderId="38" xfId="3" applyNumberFormat="1" applyFont="1" applyBorder="1" applyAlignment="1">
      <alignment horizontal="center"/>
    </xf>
    <xf numFmtId="2" fontId="38" fillId="0" borderId="1" xfId="0" applyNumberFormat="1" applyFont="1" applyBorder="1" applyAlignment="1">
      <alignment horizontal="center"/>
    </xf>
    <xf numFmtId="0" fontId="38" fillId="0" borderId="1" xfId="0" applyFont="1" applyBorder="1" applyAlignment="1">
      <alignment horizontal="centerContinuous"/>
    </xf>
    <xf numFmtId="0" fontId="42" fillId="0" borderId="39" xfId="0" applyFont="1" applyBorder="1"/>
    <xf numFmtId="0" fontId="52" fillId="0" borderId="0" xfId="0" applyFont="1" applyAlignment="1">
      <alignment horizontal="centerContinuous"/>
    </xf>
    <xf numFmtId="0" fontId="50" fillId="3" borderId="1" xfId="0" applyFont="1" applyFill="1" applyBorder="1" applyAlignment="1">
      <alignment horizontal="center"/>
    </xf>
    <xf numFmtId="44" fontId="50" fillId="3" borderId="1" xfId="2" applyFont="1" applyFill="1" applyBorder="1"/>
    <xf numFmtId="2" fontId="54" fillId="0" borderId="1" xfId="0" applyNumberFormat="1" applyFont="1" applyBorder="1" applyAlignment="1">
      <alignment horizontal="center"/>
    </xf>
    <xf numFmtId="2" fontId="54" fillId="0" borderId="0" xfId="0" applyNumberFormat="1" applyFont="1"/>
    <xf numFmtId="2" fontId="50" fillId="0" borderId="0" xfId="0" applyNumberFormat="1" applyFont="1"/>
    <xf numFmtId="1" fontId="54" fillId="0" borderId="1" xfId="0" applyNumberFormat="1" applyFont="1" applyBorder="1" applyAlignment="1">
      <alignment horizontal="center"/>
    </xf>
    <xf numFmtId="2" fontId="56" fillId="0" borderId="0" xfId="0" applyNumberFormat="1" applyFont="1"/>
    <xf numFmtId="2" fontId="54" fillId="0" borderId="6" xfId="0" applyNumberFormat="1" applyFont="1" applyBorder="1" applyAlignment="1">
      <alignment horizontal="centerContinuous"/>
    </xf>
    <xf numFmtId="2" fontId="54" fillId="0" borderId="13" xfId="0" applyNumberFormat="1" applyFont="1" applyBorder="1" applyAlignment="1">
      <alignment horizontal="centerContinuous"/>
    </xf>
    <xf numFmtId="44" fontId="54" fillId="0" borderId="1" xfId="2" applyFont="1" applyBorder="1"/>
    <xf numFmtId="2" fontId="54" fillId="0" borderId="3" xfId="0" applyNumberFormat="1" applyFont="1" applyBorder="1" applyAlignment="1">
      <alignment horizontal="center"/>
    </xf>
    <xf numFmtId="44" fontId="54" fillId="0" borderId="3" xfId="2" applyFont="1" applyBorder="1"/>
    <xf numFmtId="44" fontId="50" fillId="0" borderId="2" xfId="2" applyFont="1" applyBorder="1"/>
    <xf numFmtId="44" fontId="54" fillId="0" borderId="0" xfId="2" applyFont="1"/>
    <xf numFmtId="44" fontId="50" fillId="0" borderId="0" xfId="2" applyFont="1"/>
    <xf numFmtId="164" fontId="50" fillId="0" borderId="40" xfId="0" applyNumberFormat="1" applyFont="1" applyBorder="1"/>
    <xf numFmtId="6" fontId="50" fillId="0" borderId="1" xfId="2" applyNumberFormat="1" applyFont="1" applyBorder="1"/>
    <xf numFmtId="0" fontId="39" fillId="0" borderId="1" xfId="0" applyFont="1" applyBorder="1" applyAlignment="1">
      <alignment vertical="center"/>
    </xf>
    <xf numFmtId="10" fontId="39" fillId="5" borderId="1" xfId="0" applyNumberFormat="1" applyFont="1" applyFill="1" applyBorder="1" applyAlignment="1">
      <alignment horizontal="center" vertical="center"/>
    </xf>
    <xf numFmtId="0" fontId="61" fillId="0" borderId="1" xfId="0" applyFont="1" applyBorder="1" applyAlignment="1">
      <alignment horizontal="center" wrapText="1"/>
    </xf>
    <xf numFmtId="0" fontId="61" fillId="0" borderId="13" xfId="0" applyFont="1" applyBorder="1" applyAlignment="1">
      <alignment horizontal="center" wrapText="1"/>
    </xf>
    <xf numFmtId="0" fontId="61" fillId="0" borderId="0" xfId="0" applyFont="1" applyAlignment="1">
      <alignment vertical="center"/>
    </xf>
    <xf numFmtId="0" fontId="41" fillId="0" borderId="1" xfId="0" applyFont="1" applyBorder="1" applyAlignment="1">
      <alignment horizontal="center"/>
    </xf>
    <xf numFmtId="10" fontId="39" fillId="5" borderId="9" xfId="3" applyNumberFormat="1" applyFont="1" applyFill="1" applyBorder="1" applyAlignment="1">
      <alignment horizontal="center"/>
    </xf>
    <xf numFmtId="10" fontId="39" fillId="5" borderId="1" xfId="3" applyNumberFormat="1" applyFont="1" applyFill="1" applyBorder="1" applyAlignment="1">
      <alignment horizontal="center"/>
    </xf>
    <xf numFmtId="2" fontId="39" fillId="5" borderId="1" xfId="0" applyNumberFormat="1" applyFont="1" applyFill="1" applyBorder="1" applyAlignment="1">
      <alignment horizontal="center"/>
    </xf>
    <xf numFmtId="44" fontId="74" fillId="9" borderId="1" xfId="2" applyFont="1" applyFill="1" applyBorder="1" applyAlignment="1">
      <alignment horizontal="center"/>
    </xf>
    <xf numFmtId="44" fontId="75" fillId="9" borderId="1" xfId="0" applyNumberFormat="1" applyFont="1" applyFill="1" applyBorder="1"/>
    <xf numFmtId="9" fontId="39" fillId="0" borderId="0" xfId="0" applyNumberFormat="1" applyFont="1" applyAlignment="1">
      <alignment horizontal="center"/>
    </xf>
    <xf numFmtId="1" fontId="39" fillId="4" borderId="1" xfId="0" applyNumberFormat="1" applyFont="1" applyFill="1" applyBorder="1" applyAlignment="1">
      <alignment horizontal="center"/>
    </xf>
    <xf numFmtId="44" fontId="19" fillId="0" borderId="0" xfId="0" applyNumberFormat="1" applyFont="1" applyAlignment="1">
      <alignment horizontal="center"/>
    </xf>
    <xf numFmtId="44" fontId="19" fillId="0" borderId="0" xfId="0" applyNumberFormat="1" applyFont="1" applyAlignment="1">
      <alignment horizontal="left"/>
    </xf>
    <xf numFmtId="0" fontId="50" fillId="0" borderId="1" xfId="0" applyFont="1" applyBorder="1"/>
    <xf numFmtId="0" fontId="50" fillId="7" borderId="1" xfId="0" applyFont="1" applyFill="1" applyBorder="1"/>
    <xf numFmtId="10" fontId="50" fillId="0" borderId="1" xfId="0" applyNumberFormat="1" applyFont="1" applyBorder="1"/>
    <xf numFmtId="0" fontId="50" fillId="0" borderId="1" xfId="0" applyFont="1" applyBorder="1" applyAlignment="1">
      <alignment horizontal="center"/>
    </xf>
    <xf numFmtId="0" fontId="50" fillId="7" borderId="1" xfId="0" applyFont="1" applyFill="1" applyBorder="1" applyAlignment="1">
      <alignment horizontal="center"/>
    </xf>
    <xf numFmtId="10" fontId="50" fillId="7" borderId="1" xfId="0" applyNumberFormat="1" applyFont="1" applyFill="1" applyBorder="1"/>
    <xf numFmtId="168" fontId="50" fillId="0" borderId="1" xfId="0" applyNumberFormat="1" applyFont="1" applyBorder="1"/>
    <xf numFmtId="168" fontId="50" fillId="7" borderId="1" xfId="0" applyNumberFormat="1" applyFont="1" applyFill="1" applyBorder="1"/>
    <xf numFmtId="169" fontId="50" fillId="0" borderId="1" xfId="0" applyNumberFormat="1" applyFont="1" applyBorder="1"/>
    <xf numFmtId="44" fontId="50" fillId="7" borderId="1" xfId="0" applyNumberFormat="1" applyFont="1" applyFill="1" applyBorder="1"/>
    <xf numFmtId="175" fontId="50" fillId="0" borderId="1" xfId="0" applyNumberFormat="1" applyFont="1" applyBorder="1"/>
    <xf numFmtId="168" fontId="50" fillId="7" borderId="41" xfId="0" applyNumberFormat="1" applyFont="1" applyFill="1" applyBorder="1"/>
    <xf numFmtId="168" fontId="50" fillId="7" borderId="34" xfId="0" applyNumberFormat="1" applyFont="1" applyFill="1" applyBorder="1"/>
    <xf numFmtId="10" fontId="50" fillId="7" borderId="34" xfId="0" applyNumberFormat="1" applyFont="1" applyFill="1" applyBorder="1"/>
    <xf numFmtId="175" fontId="50" fillId="7" borderId="34" xfId="0" applyNumberFormat="1" applyFont="1" applyFill="1" applyBorder="1"/>
    <xf numFmtId="43" fontId="50" fillId="7" borderId="34" xfId="0" applyNumberFormat="1" applyFont="1" applyFill="1" applyBorder="1"/>
    <xf numFmtId="0" fontId="50" fillId="0" borderId="9" xfId="0" applyFont="1" applyBorder="1"/>
    <xf numFmtId="2" fontId="50" fillId="7" borderId="1" xfId="0" applyNumberFormat="1" applyFont="1" applyFill="1" applyBorder="1"/>
    <xf numFmtId="164" fontId="50" fillId="7" borderId="42" xfId="0" applyNumberFormat="1" applyFont="1" applyFill="1" applyBorder="1"/>
    <xf numFmtId="164" fontId="50" fillId="7" borderId="1" xfId="0" applyNumberFormat="1" applyFont="1" applyFill="1" applyBorder="1"/>
    <xf numFmtId="10" fontId="50" fillId="7" borderId="1" xfId="3" applyNumberFormat="1" applyFont="1" applyFill="1" applyBorder="1"/>
    <xf numFmtId="164" fontId="50" fillId="0" borderId="26" xfId="0" applyNumberFormat="1" applyFont="1" applyBorder="1"/>
    <xf numFmtId="0" fontId="18" fillId="7" borderId="1" xfId="0" applyFont="1" applyFill="1" applyBorder="1"/>
    <xf numFmtId="0" fontId="19" fillId="7" borderId="1" xfId="0" applyFont="1" applyFill="1" applyBorder="1"/>
    <xf numFmtId="0" fontId="65" fillId="12" borderId="1" xfId="0" applyFont="1" applyFill="1" applyBorder="1"/>
    <xf numFmtId="0" fontId="65" fillId="7" borderId="1" xfId="0" applyFont="1" applyFill="1" applyBorder="1"/>
    <xf numFmtId="0" fontId="82" fillId="0" borderId="51" xfId="0" applyFont="1" applyBorder="1" applyAlignment="1">
      <alignment horizontal="left"/>
    </xf>
    <xf numFmtId="0" fontId="19" fillId="7" borderId="1" xfId="0" applyFont="1" applyFill="1" applyBorder="1" applyAlignment="1">
      <alignment horizontal="center"/>
    </xf>
    <xf numFmtId="0" fontId="18"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59" fillId="7" borderId="13" xfId="0" applyNumberFormat="1" applyFont="1" applyFill="1" applyBorder="1" applyAlignment="1">
      <alignment horizontal="left"/>
    </xf>
    <xf numFmtId="0" fontId="82" fillId="7" borderId="51" xfId="0" applyFont="1" applyFill="1" applyBorder="1" applyAlignment="1">
      <alignment horizontal="left"/>
    </xf>
    <xf numFmtId="0" fontId="38" fillId="13" borderId="2" xfId="0" applyFont="1" applyFill="1" applyBorder="1" applyAlignment="1">
      <alignment horizontal="center"/>
    </xf>
    <xf numFmtId="44" fontId="39"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39" fillId="0" borderId="1" xfId="0" applyNumberFormat="1" applyFont="1" applyBorder="1" applyAlignment="1">
      <alignment horizontal="center"/>
    </xf>
    <xf numFmtId="44" fontId="39" fillId="4" borderId="6" xfId="2" applyFont="1" applyFill="1" applyBorder="1" applyAlignment="1">
      <alignment horizontal="center"/>
    </xf>
    <xf numFmtId="0" fontId="41" fillId="0" borderId="3" xfId="0" applyFont="1" applyBorder="1"/>
    <xf numFmtId="44" fontId="68" fillId="10" borderId="13" xfId="0" applyNumberFormat="1" applyFont="1" applyFill="1" applyBorder="1" applyAlignment="1">
      <alignment horizontal="left"/>
    </xf>
    <xf numFmtId="0" fontId="67"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4" fillId="0" borderId="52" xfId="0" applyNumberFormat="1" applyFont="1" applyBorder="1" applyAlignment="1">
      <alignment horizontal="center"/>
    </xf>
    <xf numFmtId="2" fontId="54" fillId="3" borderId="52" xfId="0" applyNumberFormat="1" applyFont="1" applyFill="1" applyBorder="1" applyAlignment="1">
      <alignment horizontal="center"/>
    </xf>
    <xf numFmtId="0" fontId="41" fillId="0" borderId="56" xfId="0" applyFont="1" applyBorder="1"/>
    <xf numFmtId="0" fontId="39" fillId="0" borderId="57" xfId="0" applyFont="1" applyBorder="1"/>
    <xf numFmtId="0" fontId="40" fillId="0" borderId="56" xfId="0" applyFont="1" applyBorder="1"/>
    <xf numFmtId="0" fontId="41" fillId="0" borderId="64" xfId="0" applyFont="1" applyBorder="1" applyAlignment="1">
      <alignment horizontal="center"/>
    </xf>
    <xf numFmtId="0" fontId="39" fillId="0" borderId="56" xfId="0" applyFont="1" applyBorder="1"/>
    <xf numFmtId="10" fontId="39" fillId="5" borderId="65" xfId="3" applyNumberFormat="1" applyFont="1" applyFill="1" applyBorder="1" applyAlignment="1">
      <alignment horizontal="center"/>
    </xf>
    <xf numFmtId="10" fontId="39" fillId="5" borderId="64" xfId="3" applyNumberFormat="1" applyFont="1" applyFill="1" applyBorder="1" applyAlignment="1">
      <alignment horizontal="center"/>
    </xf>
    <xf numFmtId="2" fontId="39" fillId="5" borderId="64" xfId="0" applyNumberFormat="1" applyFont="1" applyFill="1" applyBorder="1" applyAlignment="1">
      <alignment horizontal="center"/>
    </xf>
    <xf numFmtId="2" fontId="39" fillId="0" borderId="57" xfId="0" applyNumberFormat="1" applyFont="1" applyBorder="1" applyAlignment="1">
      <alignment horizontal="center"/>
    </xf>
    <xf numFmtId="0" fontId="0" fillId="0" borderId="57" xfId="0" applyBorder="1"/>
    <xf numFmtId="0" fontId="39" fillId="0" borderId="58" xfId="0" applyFont="1" applyBorder="1"/>
    <xf numFmtId="0" fontId="39" fillId="0" borderId="59" xfId="0" applyFont="1" applyBorder="1"/>
    <xf numFmtId="10" fontId="39" fillId="5" borderId="66" xfId="3" applyNumberFormat="1" applyFont="1" applyFill="1" applyBorder="1" applyAlignment="1">
      <alignment horizontal="center"/>
    </xf>
    <xf numFmtId="10" fontId="39" fillId="5" borderId="67" xfId="3" applyNumberFormat="1" applyFont="1" applyFill="1" applyBorder="1" applyAlignment="1">
      <alignment horizontal="center"/>
    </xf>
    <xf numFmtId="10" fontId="39" fillId="5" borderId="68" xfId="3" applyNumberFormat="1" applyFont="1" applyFill="1" applyBorder="1" applyAlignment="1">
      <alignment horizontal="center"/>
    </xf>
    <xf numFmtId="0" fontId="41" fillId="0" borderId="13" xfId="0" applyFont="1" applyBorder="1" applyAlignment="1">
      <alignment horizontal="center"/>
    </xf>
    <xf numFmtId="10" fontId="39" fillId="5" borderId="13" xfId="0" applyNumberFormat="1" applyFont="1" applyFill="1" applyBorder="1" applyAlignment="1">
      <alignment horizontal="center"/>
    </xf>
    <xf numFmtId="10" fontId="39" fillId="5" borderId="13" xfId="3" applyNumberFormat="1" applyFont="1" applyFill="1" applyBorder="1" applyAlignment="1">
      <alignment horizontal="center"/>
    </xf>
    <xf numFmtId="2" fontId="39" fillId="5" borderId="13" xfId="0" applyNumberFormat="1" applyFont="1" applyFill="1" applyBorder="1" applyAlignment="1">
      <alignment horizontal="center"/>
    </xf>
    <xf numFmtId="2" fontId="39" fillId="0" borderId="13" xfId="0" applyNumberFormat="1" applyFont="1" applyBorder="1" applyAlignment="1">
      <alignment horizontal="center"/>
    </xf>
    <xf numFmtId="0" fontId="84" fillId="9" borderId="69" xfId="0" applyFont="1" applyFill="1" applyBorder="1" applyAlignment="1">
      <alignment horizontal="center"/>
    </xf>
    <xf numFmtId="10" fontId="84" fillId="9" borderId="69" xfId="0" applyNumberFormat="1" applyFont="1" applyFill="1" applyBorder="1" applyAlignment="1">
      <alignment horizontal="center"/>
    </xf>
    <xf numFmtId="2" fontId="84" fillId="9" borderId="69" xfId="0" applyNumberFormat="1" applyFont="1" applyFill="1" applyBorder="1" applyAlignment="1">
      <alignment horizontal="center"/>
    </xf>
    <xf numFmtId="10" fontId="84" fillId="9" borderId="69" xfId="3" applyNumberFormat="1" applyFont="1" applyFill="1" applyBorder="1" applyAlignment="1">
      <alignment horizontal="center"/>
    </xf>
    <xf numFmtId="10" fontId="84" fillId="9" borderId="69" xfId="3" applyNumberFormat="1" applyFont="1" applyFill="1" applyBorder="1"/>
    <xf numFmtId="164" fontId="83" fillId="9" borderId="69" xfId="2" applyNumberFormat="1" applyFont="1" applyFill="1" applyBorder="1"/>
    <xf numFmtId="43" fontId="83" fillId="9" borderId="69" xfId="0" applyNumberFormat="1" applyFont="1" applyFill="1" applyBorder="1"/>
    <xf numFmtId="10" fontId="50" fillId="0" borderId="0" xfId="0" applyNumberFormat="1" applyFont="1"/>
    <xf numFmtId="0" fontId="50" fillId="0" borderId="56" xfId="0" applyFont="1" applyBorder="1"/>
    <xf numFmtId="0" fontId="50" fillId="0" borderId="57" xfId="0" applyFont="1" applyBorder="1"/>
    <xf numFmtId="0" fontId="50" fillId="0" borderId="76" xfId="0" applyFont="1" applyBorder="1"/>
    <xf numFmtId="10" fontId="50" fillId="0" borderId="64" xfId="0" applyNumberFormat="1" applyFont="1" applyBorder="1"/>
    <xf numFmtId="10" fontId="50" fillId="0" borderId="57" xfId="0" applyNumberFormat="1" applyFont="1" applyBorder="1"/>
    <xf numFmtId="44" fontId="50" fillId="7" borderId="77" xfId="0" applyNumberFormat="1" applyFont="1" applyFill="1" applyBorder="1"/>
    <xf numFmtId="0" fontId="50" fillId="0" borderId="57" xfId="0" applyFont="1" applyBorder="1" applyAlignment="1">
      <alignment horizontal="center"/>
    </xf>
    <xf numFmtId="0" fontId="50" fillId="7" borderId="76" xfId="0" applyFont="1" applyFill="1" applyBorder="1"/>
    <xf numFmtId="10" fontId="50" fillId="7" borderId="76" xfId="0" applyNumberFormat="1" applyFont="1" applyFill="1" applyBorder="1"/>
    <xf numFmtId="43" fontId="50" fillId="7" borderId="76" xfId="0" applyNumberFormat="1" applyFont="1" applyFill="1" applyBorder="1"/>
    <xf numFmtId="0" fontId="50" fillId="7" borderId="78" xfId="0" applyFont="1" applyFill="1" applyBorder="1"/>
    <xf numFmtId="0" fontId="50" fillId="0" borderId="78" xfId="0" applyFont="1" applyBorder="1"/>
    <xf numFmtId="0" fontId="50" fillId="0" borderId="58" xfId="0" applyFont="1" applyBorder="1"/>
    <xf numFmtId="0" fontId="50" fillId="0" borderId="59" xfId="0" applyFont="1" applyBorder="1"/>
    <xf numFmtId="0" fontId="50" fillId="0" borderId="60" xfId="0" applyFont="1" applyBorder="1"/>
    <xf numFmtId="0" fontId="88" fillId="9" borderId="69" xfId="0" applyFont="1" applyFill="1" applyBorder="1"/>
    <xf numFmtId="44" fontId="88" fillId="9" borderId="69" xfId="0" applyNumberFormat="1" applyFont="1" applyFill="1" applyBorder="1" applyAlignment="1">
      <alignment horizontal="center"/>
    </xf>
    <xf numFmtId="10" fontId="88" fillId="9" borderId="69" xfId="0" applyNumberFormat="1" applyFont="1" applyFill="1" applyBorder="1" applyAlignment="1">
      <alignment horizontal="center"/>
    </xf>
    <xf numFmtId="2" fontId="88" fillId="9" borderId="69" xfId="0" applyNumberFormat="1" applyFont="1" applyFill="1" applyBorder="1" applyAlignment="1">
      <alignment horizontal="center"/>
    </xf>
    <xf numFmtId="164" fontId="8" fillId="0" borderId="3" xfId="0" applyNumberFormat="1" applyFont="1" applyBorder="1" applyAlignment="1">
      <alignment horizontal="center"/>
    </xf>
    <xf numFmtId="10" fontId="8" fillId="0" borderId="3" xfId="3" applyNumberFormat="1" applyFont="1" applyBorder="1" applyAlignment="1">
      <alignment horizontal="center"/>
    </xf>
    <xf numFmtId="164" fontId="8" fillId="0" borderId="9" xfId="0" applyNumberFormat="1" applyFont="1" applyBorder="1" applyAlignment="1">
      <alignment horizontal="center"/>
    </xf>
    <xf numFmtId="10" fontId="8" fillId="0" borderId="9" xfId="0" applyNumberFormat="1" applyFont="1" applyBorder="1" applyAlignment="1">
      <alignment horizontal="center"/>
    </xf>
    <xf numFmtId="164" fontId="88" fillId="9" borderId="69" xfId="0" applyNumberFormat="1" applyFont="1" applyFill="1" applyBorder="1" applyAlignment="1">
      <alignment horizontal="center"/>
    </xf>
    <xf numFmtId="10" fontId="88" fillId="9" borderId="69" xfId="3" applyNumberFormat="1" applyFont="1" applyFill="1" applyBorder="1" applyAlignment="1">
      <alignment horizontal="center"/>
    </xf>
    <xf numFmtId="0" fontId="49" fillId="6" borderId="48" xfId="0" applyFont="1" applyFill="1" applyBorder="1" applyAlignment="1">
      <alignment horizontal="center" vertical="center" wrapText="1"/>
    </xf>
    <xf numFmtId="0" fontId="49" fillId="6" borderId="79" xfId="0" applyFont="1" applyFill="1" applyBorder="1" applyAlignment="1">
      <alignment horizontal="center" vertical="center" wrapText="1"/>
    </xf>
    <xf numFmtId="0" fontId="89" fillId="9" borderId="69" xfId="0" applyFont="1" applyFill="1" applyBorder="1" applyAlignment="1">
      <alignment horizontal="left" vertical="top" wrapText="1"/>
    </xf>
    <xf numFmtId="9" fontId="89" fillId="9" borderId="69" xfId="3" applyFont="1" applyFill="1" applyBorder="1" applyAlignment="1">
      <alignment horizontal="left" vertical="top" wrapText="1"/>
    </xf>
    <xf numFmtId="10" fontId="89"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2" fillId="7" borderId="1" xfId="0" applyNumberFormat="1" applyFont="1" applyFill="1" applyBorder="1" applyAlignment="1">
      <alignment horizontal="center" wrapText="1"/>
    </xf>
    <xf numFmtId="0" fontId="93" fillId="0" borderId="0" xfId="0" applyFont="1"/>
    <xf numFmtId="0" fontId="92" fillId="0" borderId="0" xfId="0" applyFont="1"/>
    <xf numFmtId="175" fontId="93" fillId="0" borderId="1" xfId="0" applyNumberFormat="1" applyFont="1" applyBorder="1" applyAlignment="1">
      <alignment horizontal="center"/>
    </xf>
    <xf numFmtId="0" fontId="32" fillId="0" borderId="1" xfId="0" applyFont="1" applyBorder="1"/>
    <xf numFmtId="0" fontId="32" fillId="0" borderId="1" xfId="0" applyFont="1" applyBorder="1" applyAlignment="1">
      <alignment horizontal="center"/>
    </xf>
    <xf numFmtId="175"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44" fontId="11" fillId="4" borderId="1" xfId="0" applyNumberFormat="1" applyFont="1" applyFill="1" applyBorder="1"/>
    <xf numFmtId="0" fontId="42" fillId="0" borderId="0" xfId="0" applyFont="1"/>
    <xf numFmtId="0" fontId="40" fillId="7" borderId="61" xfId="0" applyFont="1" applyFill="1" applyBorder="1" applyAlignment="1">
      <alignment horizontal="center"/>
    </xf>
    <xf numFmtId="0" fontId="40" fillId="7" borderId="62" xfId="0" applyFont="1" applyFill="1" applyBorder="1" applyAlignment="1">
      <alignment horizontal="center"/>
    </xf>
    <xf numFmtId="0" fontId="40" fillId="7" borderId="63" xfId="0" applyFont="1" applyFill="1" applyBorder="1" applyAlignment="1">
      <alignment horizontal="center"/>
    </xf>
    <xf numFmtId="0" fontId="40" fillId="0" borderId="7" xfId="0" applyFont="1" applyBorder="1" applyAlignment="1">
      <alignment horizontal="left"/>
    </xf>
    <xf numFmtId="0" fontId="40" fillId="0" borderId="16" xfId="0" applyFont="1" applyBorder="1" applyAlignment="1">
      <alignment horizontal="left"/>
    </xf>
    <xf numFmtId="0" fontId="40" fillId="0" borderId="17" xfId="0" applyFont="1" applyBorder="1" applyAlignment="1">
      <alignment horizontal="left"/>
    </xf>
    <xf numFmtId="0" fontId="68" fillId="0" borderId="28" xfId="0" applyFont="1" applyBorder="1" applyAlignment="1">
      <alignment horizontal="center" wrapText="1"/>
    </xf>
    <xf numFmtId="0" fontId="68" fillId="0" borderId="18" xfId="0" applyFont="1" applyBorder="1" applyAlignment="1">
      <alignment horizontal="center" wrapText="1"/>
    </xf>
    <xf numFmtId="0" fontId="41" fillId="0" borderId="1" xfId="0" applyFont="1" applyBorder="1" applyAlignment="1">
      <alignment horizontal="center"/>
    </xf>
    <xf numFmtId="0" fontId="41" fillId="0" borderId="64" xfId="0" applyFont="1" applyBorder="1" applyAlignment="1">
      <alignment horizontal="center"/>
    </xf>
    <xf numFmtId="0" fontId="40" fillId="0" borderId="53" xfId="0" applyFont="1" applyBorder="1" applyAlignment="1">
      <alignment horizontal="center"/>
    </xf>
    <xf numFmtId="0" fontId="40" fillId="0" borderId="54" xfId="0" applyFont="1" applyBorder="1" applyAlignment="1">
      <alignment horizontal="center"/>
    </xf>
    <xf numFmtId="0" fontId="40" fillId="0" borderId="55" xfId="0" applyFont="1" applyBorder="1" applyAlignment="1">
      <alignment horizontal="center"/>
    </xf>
    <xf numFmtId="2" fontId="39" fillId="4" borderId="52"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4" fillId="9" borderId="0" xfId="0" applyFont="1" applyFill="1" applyAlignment="1">
      <alignment horizontal="left" vertical="top" wrapText="1"/>
    </xf>
    <xf numFmtId="0" fontId="59" fillId="0" borderId="35" xfId="0" applyFont="1" applyBorder="1" applyAlignment="1">
      <alignment horizontal="left"/>
    </xf>
    <xf numFmtId="0" fontId="59" fillId="0" borderId="5" xfId="0" applyFont="1" applyBorder="1" applyAlignment="1">
      <alignment horizontal="left"/>
    </xf>
    <xf numFmtId="0" fontId="59" fillId="0" borderId="44" xfId="0" applyFont="1" applyBorder="1" applyAlignment="1">
      <alignment horizontal="right"/>
    </xf>
    <xf numFmtId="0" fontId="59" fillId="0" borderId="12" xfId="0" applyFont="1" applyBorder="1" applyAlignment="1">
      <alignment horizontal="left"/>
    </xf>
    <xf numFmtId="0" fontId="59" fillId="0" borderId="1" xfId="0" applyFont="1" applyBorder="1" applyAlignment="1">
      <alignment horizontal="left"/>
    </xf>
    <xf numFmtId="0" fontId="59" fillId="0" borderId="6" xfId="0" applyFont="1" applyBorder="1" applyAlignment="1">
      <alignment horizontal="left"/>
    </xf>
    <xf numFmtId="0" fontId="62" fillId="0" borderId="6" xfId="0" applyFont="1" applyBorder="1" applyAlignment="1">
      <alignment horizontal="center"/>
    </xf>
    <xf numFmtId="0" fontId="62" fillId="0" borderId="5" xfId="0" applyFont="1" applyBorder="1" applyAlignment="1">
      <alignment horizontal="center"/>
    </xf>
    <xf numFmtId="0" fontId="62" fillId="0" borderId="13" xfId="0" applyFont="1" applyBorder="1" applyAlignment="1">
      <alignment horizontal="center"/>
    </xf>
    <xf numFmtId="0" fontId="59" fillId="0" borderId="45" xfId="0" applyFont="1" applyBorder="1" applyAlignment="1">
      <alignment horizontal="left"/>
    </xf>
    <xf numFmtId="0" fontId="59" fillId="0" borderId="46" xfId="0" applyFont="1" applyBorder="1" applyAlignment="1">
      <alignment horizontal="left"/>
    </xf>
    <xf numFmtId="0" fontId="65" fillId="7" borderId="26" xfId="0" applyFont="1" applyFill="1" applyBorder="1" applyAlignment="1">
      <alignment horizontal="left" vertical="top" wrapText="1"/>
    </xf>
    <xf numFmtId="0" fontId="65" fillId="7" borderId="27" xfId="0" applyFont="1" applyFill="1" applyBorder="1" applyAlignment="1">
      <alignment horizontal="left" vertical="top" wrapText="1"/>
    </xf>
    <xf numFmtId="0" fontId="65" fillId="7" borderId="20" xfId="0" applyFont="1" applyFill="1" applyBorder="1" applyAlignment="1">
      <alignment horizontal="left" vertical="top" wrapText="1"/>
    </xf>
    <xf numFmtId="0" fontId="65" fillId="7" borderId="28" xfId="0" applyFont="1" applyFill="1" applyBorder="1" applyAlignment="1">
      <alignment horizontal="left" vertical="top" wrapText="1"/>
    </xf>
    <xf numFmtId="0" fontId="65" fillId="7" borderId="0" xfId="0" applyFont="1" applyFill="1" applyAlignment="1">
      <alignment horizontal="left" vertical="top" wrapText="1"/>
    </xf>
    <xf numFmtId="0" fontId="65" fillId="7" borderId="29" xfId="0" applyFont="1" applyFill="1" applyBorder="1" applyAlignment="1">
      <alignment horizontal="left" vertical="top" wrapText="1"/>
    </xf>
    <xf numFmtId="0" fontId="65" fillId="7" borderId="47" xfId="0" applyFont="1" applyFill="1" applyBorder="1" applyAlignment="1">
      <alignment horizontal="left" vertical="top" wrapText="1"/>
    </xf>
    <xf numFmtId="0" fontId="65" fillId="7" borderId="25" xfId="0" applyFont="1" applyFill="1" applyBorder="1" applyAlignment="1">
      <alignment horizontal="left" vertical="top" wrapText="1"/>
    </xf>
    <xf numFmtId="0" fontId="65" fillId="7" borderId="38" xfId="0" applyFont="1" applyFill="1" applyBorder="1" applyAlignment="1">
      <alignment horizontal="left" vertical="top" wrapText="1"/>
    </xf>
    <xf numFmtId="0" fontId="76" fillId="0" borderId="26" xfId="0" applyFont="1" applyBorder="1" applyAlignment="1">
      <alignment horizontal="left" wrapText="1"/>
    </xf>
    <xf numFmtId="0" fontId="77" fillId="0" borderId="27" xfId="0" applyFont="1" applyBorder="1" applyAlignment="1">
      <alignment horizontal="left" wrapText="1"/>
    </xf>
    <xf numFmtId="0" fontId="77" fillId="0" borderId="20" xfId="0" applyFont="1" applyBorder="1" applyAlignment="1">
      <alignment horizontal="left" wrapText="1"/>
    </xf>
    <xf numFmtId="0" fontId="77" fillId="0" borderId="28" xfId="0" applyFont="1" applyBorder="1" applyAlignment="1">
      <alignment horizontal="left" wrapText="1"/>
    </xf>
    <xf numFmtId="0" fontId="77" fillId="0" borderId="0" xfId="0" applyFont="1" applyAlignment="1">
      <alignment horizontal="left" wrapText="1"/>
    </xf>
    <xf numFmtId="0" fontId="77" fillId="0" borderId="29" xfId="0" applyFont="1" applyBorder="1" applyAlignment="1">
      <alignment horizontal="left" wrapText="1"/>
    </xf>
    <xf numFmtId="0" fontId="77" fillId="0" borderId="47" xfId="0" applyFont="1" applyBorder="1" applyAlignment="1">
      <alignment horizontal="left" wrapText="1"/>
    </xf>
    <xf numFmtId="0" fontId="77" fillId="0" borderId="25" xfId="0" applyFont="1" applyBorder="1" applyAlignment="1">
      <alignment horizontal="left" wrapText="1"/>
    </xf>
    <xf numFmtId="0" fontId="77" fillId="0" borderId="38" xfId="0" applyFont="1" applyBorder="1" applyAlignment="1">
      <alignment horizontal="left" wrapText="1"/>
    </xf>
    <xf numFmtId="0" fontId="66" fillId="0" borderId="26" xfId="0" applyFont="1" applyBorder="1" applyAlignment="1">
      <alignment horizontal="left" vertical="center" wrapText="1"/>
    </xf>
    <xf numFmtId="0" fontId="66" fillId="0" borderId="27" xfId="0" applyFont="1" applyBorder="1" applyAlignment="1">
      <alignment horizontal="left" vertical="center" wrapText="1"/>
    </xf>
    <xf numFmtId="0" fontId="66" fillId="0" borderId="20" xfId="0" applyFont="1" applyBorder="1" applyAlignment="1">
      <alignment horizontal="left" vertical="center" wrapText="1"/>
    </xf>
    <xf numFmtId="0" fontId="66" fillId="0" borderId="28" xfId="0" applyFont="1" applyBorder="1" applyAlignment="1">
      <alignment horizontal="left" vertical="center" wrapText="1"/>
    </xf>
    <xf numFmtId="0" fontId="66" fillId="0" borderId="0" xfId="0" applyFont="1" applyAlignment="1">
      <alignment horizontal="left" vertical="center" wrapText="1"/>
    </xf>
    <xf numFmtId="0" fontId="66" fillId="0" borderId="29" xfId="0" applyFont="1" applyBorder="1" applyAlignment="1">
      <alignment horizontal="left" vertical="center" wrapText="1"/>
    </xf>
    <xf numFmtId="0" fontId="66" fillId="0" borderId="47" xfId="0" applyFont="1" applyBorder="1" applyAlignment="1">
      <alignment horizontal="left" vertical="center" wrapText="1"/>
    </xf>
    <xf numFmtId="0" fontId="66" fillId="0" borderId="25" xfId="0" applyFont="1" applyBorder="1" applyAlignment="1">
      <alignment horizontal="left" vertical="center" wrapText="1"/>
    </xf>
    <xf numFmtId="0" fontId="66" fillId="0" borderId="38" xfId="0" applyFont="1" applyBorder="1" applyAlignment="1">
      <alignment horizontal="left" vertical="center" wrapText="1"/>
    </xf>
    <xf numFmtId="0" fontId="78" fillId="0" borderId="26" xfId="0" applyFont="1" applyBorder="1" applyAlignment="1">
      <alignment horizontal="left" vertical="center" wrapText="1"/>
    </xf>
    <xf numFmtId="0" fontId="59" fillId="0" borderId="27" xfId="0" applyFont="1" applyBorder="1" applyAlignment="1">
      <alignment horizontal="left" vertical="center" wrapText="1"/>
    </xf>
    <xf numFmtId="0" fontId="59" fillId="0" borderId="20" xfId="0" applyFont="1" applyBorder="1" applyAlignment="1">
      <alignment horizontal="left" vertical="center" wrapText="1"/>
    </xf>
    <xf numFmtId="0" fontId="59" fillId="0" borderId="28" xfId="0" applyFont="1" applyBorder="1" applyAlignment="1">
      <alignment horizontal="left" vertical="center" wrapText="1"/>
    </xf>
    <xf numFmtId="0" fontId="59" fillId="0" borderId="0" xfId="0" applyFont="1" applyAlignment="1">
      <alignment horizontal="left" vertical="center" wrapText="1"/>
    </xf>
    <xf numFmtId="0" fontId="59" fillId="0" borderId="29" xfId="0" applyFont="1" applyBorder="1" applyAlignment="1">
      <alignment horizontal="left" vertical="center" wrapText="1"/>
    </xf>
    <xf numFmtId="0" fontId="59" fillId="0" borderId="47" xfId="0" applyFont="1" applyBorder="1" applyAlignment="1">
      <alignment horizontal="left" vertical="center" wrapText="1"/>
    </xf>
    <xf numFmtId="0" fontId="59" fillId="0" borderId="25" xfId="0" applyFont="1" applyBorder="1" applyAlignment="1">
      <alignment horizontal="left" vertical="center" wrapText="1"/>
    </xf>
    <xf numFmtId="0" fontId="59" fillId="0" borderId="38" xfId="0" applyFont="1" applyBorder="1" applyAlignment="1">
      <alignment horizontal="left" vertical="center" wrapText="1"/>
    </xf>
    <xf numFmtId="0" fontId="66" fillId="0" borderId="30" xfId="0" applyFont="1" applyBorder="1" applyAlignment="1">
      <alignment horizontal="left" vertical="center" wrapText="1"/>
    </xf>
    <xf numFmtId="168" fontId="59" fillId="7" borderId="5" xfId="2" applyNumberFormat="1" applyFont="1" applyFill="1" applyBorder="1" applyAlignment="1">
      <alignment horizontal="right"/>
    </xf>
    <xf numFmtId="10" fontId="59" fillId="7" borderId="6" xfId="3" applyNumberFormat="1" applyFont="1" applyFill="1" applyBorder="1" applyAlignment="1">
      <alignment horizontal="center"/>
    </xf>
    <xf numFmtId="10" fontId="59" fillId="7" borderId="13" xfId="3" applyNumberFormat="1" applyFont="1" applyFill="1" applyBorder="1" applyAlignment="1">
      <alignment horizontal="center"/>
    </xf>
    <xf numFmtId="0" fontId="79" fillId="7" borderId="1" xfId="0" applyFont="1" applyFill="1" applyBorder="1" applyAlignment="1">
      <alignment horizontal="center"/>
    </xf>
    <xf numFmtId="0" fontId="79" fillId="0" borderId="6" xfId="0" applyFont="1" applyBorder="1" applyAlignment="1">
      <alignment horizontal="center"/>
    </xf>
    <xf numFmtId="0" fontId="79" fillId="0" borderId="5" xfId="0" applyFont="1" applyBorder="1" applyAlignment="1">
      <alignment horizontal="center"/>
    </xf>
    <xf numFmtId="0" fontId="79" fillId="0" borderId="13" xfId="0" applyFont="1" applyBorder="1" applyAlignment="1">
      <alignment horizontal="center"/>
    </xf>
    <xf numFmtId="0" fontId="79" fillId="0" borderId="48" xfId="0" applyFont="1" applyBorder="1" applyAlignment="1">
      <alignment horizontal="center"/>
    </xf>
    <xf numFmtId="0" fontId="59" fillId="0" borderId="14" xfId="0" applyFont="1" applyBorder="1" applyAlignment="1">
      <alignment horizontal="left"/>
    </xf>
    <xf numFmtId="0" fontId="59" fillId="0" borderId="15" xfId="0" applyFont="1" applyBorder="1" applyAlignment="1">
      <alignment horizontal="left"/>
    </xf>
    <xf numFmtId="0" fontId="59" fillId="0" borderId="21" xfId="0" applyFont="1" applyBorder="1" applyAlignment="1">
      <alignment horizontal="left"/>
    </xf>
    <xf numFmtId="0" fontId="48" fillId="0" borderId="7" xfId="0" applyFont="1" applyBorder="1" applyAlignment="1">
      <alignment horizontal="center"/>
    </xf>
    <xf numFmtId="0" fontId="48" fillId="0" borderId="17" xfId="0" applyFont="1" applyBorder="1" applyAlignment="1">
      <alignment horizontal="center"/>
    </xf>
    <xf numFmtId="0" fontId="48" fillId="0" borderId="16" xfId="0" applyFont="1" applyBorder="1" applyAlignment="1">
      <alignment horizontal="center"/>
    </xf>
    <xf numFmtId="0" fontId="50" fillId="7" borderId="1" xfId="0" applyFont="1" applyFill="1" applyBorder="1" applyAlignment="1">
      <alignment horizontal="left" vertical="top" wrapText="1"/>
    </xf>
    <xf numFmtId="0" fontId="50" fillId="7" borderId="66" xfId="0" applyFont="1" applyFill="1" applyBorder="1" applyAlignment="1">
      <alignment horizontal="left" vertical="top" wrapText="1"/>
    </xf>
    <xf numFmtId="0" fontId="48" fillId="0" borderId="75" xfId="0" applyFont="1" applyBorder="1" applyAlignment="1">
      <alignment horizontal="center"/>
    </xf>
    <xf numFmtId="0" fontId="48" fillId="0" borderId="49" xfId="0" applyFont="1" applyBorder="1" applyAlignment="1">
      <alignment horizontal="center"/>
    </xf>
    <xf numFmtId="0" fontId="48" fillId="0" borderId="50" xfId="0" applyFont="1" applyBorder="1" applyAlignment="1">
      <alignment horizontal="center"/>
    </xf>
    <xf numFmtId="17" fontId="48" fillId="0" borderId="73" xfId="0" applyNumberFormat="1" applyFont="1" applyBorder="1" applyAlignment="1">
      <alignment horizontal="center"/>
    </xf>
    <xf numFmtId="0" fontId="48" fillId="0" borderId="74" xfId="0" applyFont="1" applyBorder="1" applyAlignment="1">
      <alignment horizontal="center"/>
    </xf>
    <xf numFmtId="0" fontId="50" fillId="7" borderId="26" xfId="0" applyFont="1" applyFill="1" applyBorder="1" applyAlignment="1">
      <alignment horizontal="left" vertical="top" wrapText="1"/>
    </xf>
    <xf numFmtId="0" fontId="50" fillId="7" borderId="20" xfId="0" applyFont="1" applyFill="1" applyBorder="1" applyAlignment="1">
      <alignment horizontal="left" vertical="top" wrapText="1"/>
    </xf>
    <xf numFmtId="0" fontId="50" fillId="7" borderId="28" xfId="0" applyFont="1" applyFill="1" applyBorder="1" applyAlignment="1">
      <alignment horizontal="left" vertical="top" wrapText="1"/>
    </xf>
    <xf numFmtId="0" fontId="50" fillId="7" borderId="29" xfId="0" applyFont="1" applyFill="1" applyBorder="1" applyAlignment="1">
      <alignment horizontal="left" vertical="top" wrapText="1"/>
    </xf>
    <xf numFmtId="0" fontId="50" fillId="7" borderId="47" xfId="0" applyFont="1" applyFill="1" applyBorder="1" applyAlignment="1">
      <alignment horizontal="left" vertical="top" wrapText="1"/>
    </xf>
    <xf numFmtId="0" fontId="50" fillId="7" borderId="38" xfId="0" applyFont="1" applyFill="1" applyBorder="1" applyAlignment="1">
      <alignment horizontal="left" vertical="top" wrapText="1"/>
    </xf>
    <xf numFmtId="0" fontId="45" fillId="0" borderId="70" xfId="0" applyFont="1" applyBorder="1" applyAlignment="1">
      <alignment horizontal="center"/>
    </xf>
    <xf numFmtId="0" fontId="45" fillId="0" borderId="71" xfId="0" applyFont="1" applyBorder="1" applyAlignment="1">
      <alignment horizontal="center"/>
    </xf>
    <xf numFmtId="0" fontId="45" fillId="0" borderId="72" xfId="0" applyFont="1" applyBorder="1" applyAlignment="1">
      <alignment horizontal="center"/>
    </xf>
    <xf numFmtId="0" fontId="55" fillId="0" borderId="1" xfId="0" applyFont="1" applyBorder="1" applyAlignment="1">
      <alignment horizontal="center"/>
    </xf>
    <xf numFmtId="0" fontId="55" fillId="0" borderId="64" xfId="0" applyFont="1" applyBorder="1" applyAlignment="1">
      <alignment horizontal="center"/>
    </xf>
    <xf numFmtId="10" fontId="80" fillId="0" borderId="43" xfId="0" applyNumberFormat="1" applyFont="1" applyBorder="1" applyAlignment="1">
      <alignment horizontal="center"/>
    </xf>
    <xf numFmtId="10" fontId="80" fillId="0" borderId="22" xfId="0" applyNumberFormat="1" applyFont="1" applyBorder="1" applyAlignment="1">
      <alignment horizontal="center"/>
    </xf>
    <xf numFmtId="0" fontId="46" fillId="0" borderId="16" xfId="0" applyFont="1" applyBorder="1" applyAlignment="1">
      <alignment horizontal="center"/>
    </xf>
    <xf numFmtId="0" fontId="46" fillId="0" borderId="17" xfId="0" applyFont="1" applyBorder="1" applyAlignment="1">
      <alignment horizontal="center"/>
    </xf>
    <xf numFmtId="0" fontId="52" fillId="7" borderId="30" xfId="0" applyFont="1" applyFill="1" applyBorder="1" applyAlignment="1">
      <alignment horizontal="left" vertical="top" wrapText="1"/>
    </xf>
    <xf numFmtId="0" fontId="52" fillId="7" borderId="0" xfId="0" applyFont="1" applyFill="1" applyAlignment="1">
      <alignment horizontal="left" vertical="top" wrapText="1"/>
    </xf>
    <xf numFmtId="0" fontId="45" fillId="7" borderId="43" xfId="0" applyFont="1" applyFill="1" applyBorder="1" applyAlignment="1">
      <alignment horizontal="center"/>
    </xf>
    <xf numFmtId="0" fontId="45" fillId="7" borderId="44" xfId="0" applyFont="1" applyFill="1" applyBorder="1" applyAlignment="1">
      <alignment horizontal="center"/>
    </xf>
    <xf numFmtId="0" fontId="45" fillId="7" borderId="22" xfId="0" applyFont="1" applyFill="1" applyBorder="1" applyAlignment="1">
      <alignment horizontal="center"/>
    </xf>
    <xf numFmtId="0" fontId="38" fillId="7" borderId="7" xfId="0" applyFont="1" applyFill="1" applyBorder="1" applyAlignment="1">
      <alignment horizontal="left" wrapText="1"/>
    </xf>
    <xf numFmtId="0" fontId="38" fillId="7" borderId="16" xfId="0" applyFont="1" applyFill="1" applyBorder="1" applyAlignment="1">
      <alignment horizontal="left" wrapText="1"/>
    </xf>
    <xf numFmtId="0" fontId="38" fillId="7" borderId="17" xfId="0" applyFont="1" applyFill="1" applyBorder="1" applyAlignment="1">
      <alignment horizontal="left" wrapText="1"/>
    </xf>
    <xf numFmtId="0" fontId="38" fillId="7" borderId="39" xfId="0" applyFont="1" applyFill="1" applyBorder="1" applyAlignment="1">
      <alignment horizontal="left" wrapText="1"/>
    </xf>
    <xf numFmtId="0" fontId="38" fillId="7" borderId="31" xfId="0" applyFont="1" applyFill="1" applyBorder="1" applyAlignment="1">
      <alignment horizontal="left" wrapText="1"/>
    </xf>
    <xf numFmtId="0" fontId="38" fillId="7" borderId="32" xfId="0" applyFont="1" applyFill="1" applyBorder="1" applyAlignment="1">
      <alignment horizontal="left" wrapText="1"/>
    </xf>
    <xf numFmtId="0" fontId="33" fillId="7" borderId="7" xfId="0" applyFont="1" applyFill="1" applyBorder="1" applyAlignment="1">
      <alignment horizontal="left" vertical="top" wrapText="1"/>
    </xf>
    <xf numFmtId="0" fontId="33" fillId="7" borderId="16" xfId="0" applyFont="1" applyFill="1" applyBorder="1" applyAlignment="1">
      <alignment horizontal="left" vertical="top" wrapText="1"/>
    </xf>
    <xf numFmtId="0" fontId="33" fillId="7" borderId="17" xfId="0" applyFont="1" applyFill="1" applyBorder="1" applyAlignment="1">
      <alignment horizontal="left" vertical="top" wrapText="1"/>
    </xf>
    <xf numFmtId="0" fontId="33" fillId="7" borderId="30" xfId="0" applyFont="1" applyFill="1" applyBorder="1" applyAlignment="1">
      <alignment horizontal="left" vertical="top" wrapText="1"/>
    </xf>
    <xf numFmtId="0" fontId="33" fillId="7" borderId="0" xfId="0" applyFont="1" applyFill="1" applyAlignment="1">
      <alignment horizontal="left" vertical="top" wrapText="1"/>
    </xf>
    <xf numFmtId="0" fontId="33" fillId="7" borderId="18" xfId="0" applyFont="1" applyFill="1" applyBorder="1" applyAlignment="1">
      <alignment horizontal="left" vertical="top" wrapText="1"/>
    </xf>
    <xf numFmtId="0" fontId="33" fillId="7" borderId="39" xfId="0" applyFont="1" applyFill="1" applyBorder="1" applyAlignment="1">
      <alignment horizontal="left" vertical="top" wrapText="1"/>
    </xf>
    <xf numFmtId="0" fontId="33" fillId="7" borderId="31" xfId="0" applyFont="1" applyFill="1" applyBorder="1" applyAlignment="1">
      <alignment horizontal="left" vertical="top" wrapText="1"/>
    </xf>
    <xf numFmtId="0" fontId="33"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1" fillId="11" borderId="0" xfId="0" applyFont="1" applyFill="1" applyAlignment="1">
      <alignment horizontal="center" vertical="center" wrapText="1"/>
    </xf>
    <xf numFmtId="0" fontId="2" fillId="7" borderId="1" xfId="0" applyFont="1" applyFill="1" applyBorder="1" applyAlignment="1">
      <alignment horizontal="left" vertical="top" wrapText="1"/>
    </xf>
    <xf numFmtId="0" fontId="23" fillId="0" borderId="27" xfId="0" applyFont="1" applyBorder="1" applyAlignment="1">
      <alignment horizontal="center"/>
    </xf>
    <xf numFmtId="0" fontId="35" fillId="0" borderId="43" xfId="0" applyFont="1" applyBorder="1" applyAlignment="1">
      <alignment horizontal="center"/>
    </xf>
    <xf numFmtId="0" fontId="35" fillId="0" borderId="44" xfId="0" applyFont="1" applyBorder="1" applyAlignment="1">
      <alignment horizontal="center"/>
    </xf>
    <xf numFmtId="0" fontId="35" fillId="0" borderId="22" xfId="0" applyFont="1" applyBorder="1" applyAlignment="1">
      <alignment horizontal="center"/>
    </xf>
    <xf numFmtId="0" fontId="25" fillId="0" borderId="43" xfId="0" applyFont="1" applyBorder="1" applyAlignment="1">
      <alignment horizontal="center"/>
    </xf>
    <xf numFmtId="0" fontId="25" fillId="0" borderId="44" xfId="0" applyFont="1" applyBorder="1" applyAlignment="1">
      <alignment horizontal="center"/>
    </xf>
    <xf numFmtId="0" fontId="25" fillId="0" borderId="22" xfId="0" applyFont="1" applyBorder="1" applyAlignment="1">
      <alignment horizontal="center"/>
    </xf>
    <xf numFmtId="0" fontId="25" fillId="0" borderId="16" xfId="0" applyFont="1" applyBorder="1" applyAlignment="1">
      <alignment horizontal="center"/>
    </xf>
    <xf numFmtId="0" fontId="26" fillId="7" borderId="43" xfId="0" applyFont="1" applyFill="1" applyBorder="1" applyAlignment="1">
      <alignment horizontal="center"/>
    </xf>
    <xf numFmtId="0" fontId="26" fillId="7" borderId="44" xfId="0" applyFont="1" applyFill="1" applyBorder="1" applyAlignment="1">
      <alignment horizontal="center"/>
    </xf>
    <xf numFmtId="0" fontId="26" fillId="7" borderId="22" xfId="0" applyFont="1" applyFill="1" applyBorder="1" applyAlignment="1">
      <alignment horizontal="center"/>
    </xf>
    <xf numFmtId="0" fontId="81" fillId="0" borderId="3" xfId="0" applyFont="1" applyBorder="1" applyAlignment="1">
      <alignment horizontal="center" vertical="center" textRotation="90" wrapText="1"/>
    </xf>
    <xf numFmtId="0" fontId="81" fillId="0" borderId="48" xfId="0" applyFont="1" applyBorder="1" applyAlignment="1">
      <alignment horizontal="center" vertical="center" textRotation="90" wrapText="1"/>
    </xf>
    <xf numFmtId="0" fontId="81" fillId="0" borderId="9" xfId="0" applyFont="1" applyBorder="1" applyAlignment="1">
      <alignment horizontal="center" vertical="center" textRotation="90" wrapText="1"/>
    </xf>
    <xf numFmtId="0" fontId="0" fillId="0" borderId="0" xfId="0" applyAlignment="1">
      <alignment horizontal="center"/>
    </xf>
    <xf numFmtId="0" fontId="61" fillId="0" borderId="25" xfId="0" applyFont="1" applyBorder="1" applyAlignment="1">
      <alignment horizontal="center"/>
    </xf>
    <xf numFmtId="2" fontId="61"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7"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xf numFmtId="0" fontId="0" fillId="0" borderId="28" xfId="0" applyNumberFormat="1" applyFill="1" applyBorder="1" applyAlignment="1">
      <alignment horizontal="center"/>
    </xf>
    <xf numFmtId="0" fontId="1" fillId="0" borderId="0" xfId="5"/>
    <xf numFmtId="1" fontId="1" fillId="0" borderId="0" xfId="5" applyNumberFormat="1"/>
    <xf numFmtId="0" fontId="1" fillId="4" borderId="0" xfId="5" applyFill="1"/>
    <xf numFmtId="1" fontId="1" fillId="4" borderId="0" xfId="5" applyNumberFormat="1" applyFill="1"/>
    <xf numFmtId="10" fontId="1" fillId="0" borderId="0" xfId="5" applyNumberFormat="1"/>
    <xf numFmtId="9" fontId="1" fillId="0" borderId="0" xfId="5" applyNumberFormat="1"/>
  </cellXfs>
  <cellStyles count="6">
    <cellStyle name="Comma" xfId="1" builtinId="3"/>
    <cellStyle name="Currency" xfId="2" builtinId="4"/>
    <cellStyle name="Hyperlink" xfId="4" builtinId="8"/>
    <cellStyle name="Normal" xfId="0" builtinId="0"/>
    <cellStyle name="Normal 2" xfId="5" xr:uid="{388C4DC9-16D4-4309-9A1A-8F4A6612A8D5}"/>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A6" zoomScale="75" zoomScaleNormal="100" workbookViewId="0">
      <selection activeCell="C20" sqref="C20"/>
    </sheetView>
  </sheetViews>
  <sheetFormatPr defaultColWidth="10.875" defaultRowHeight="10.199999999999999"/>
  <cols>
    <col min="1" max="1" width="73.75" style="3" customWidth="1"/>
    <col min="2" max="2" width="26.375" style="3" customWidth="1"/>
    <col min="3" max="3" width="23.125" style="3" customWidth="1"/>
    <col min="4" max="4" width="19.75" style="3" customWidth="1"/>
    <col min="5" max="7" width="10.875" style="3"/>
    <col min="8" max="8" width="11" style="3" bestFit="1" customWidth="1"/>
    <col min="9" max="9" width="21.875" style="3" customWidth="1"/>
    <col min="10" max="10" width="15" style="3" bestFit="1" customWidth="1"/>
    <col min="11" max="11" width="17.375" style="3" bestFit="1" customWidth="1"/>
    <col min="12" max="16384" width="10.875" style="3"/>
  </cols>
  <sheetData>
    <row r="1" spans="1:10" s="191" customFormat="1" ht="15">
      <c r="B1" s="228"/>
      <c r="C1" s="191" t="s">
        <v>747</v>
      </c>
      <c r="D1" s="229"/>
      <c r="E1" s="191" t="s">
        <v>748</v>
      </c>
    </row>
    <row r="2" spans="1:10" s="192" customFormat="1" ht="15.6"/>
    <row r="3" spans="1:10" s="192" customFormat="1" ht="15.6">
      <c r="A3" s="193" t="s">
        <v>364</v>
      </c>
      <c r="B3" s="194">
        <v>43935</v>
      </c>
      <c r="C3" s="404" t="s">
        <v>903</v>
      </c>
      <c r="D3" s="405"/>
      <c r="E3" s="405"/>
      <c r="F3" s="405"/>
      <c r="G3" s="405"/>
      <c r="H3" s="405"/>
      <c r="I3" s="405"/>
      <c r="J3" s="406"/>
    </row>
    <row r="4" spans="1:10" s="192" customFormat="1" ht="16.2" thickBot="1">
      <c r="A4" s="193" t="s">
        <v>28</v>
      </c>
      <c r="B4" s="414" t="s">
        <v>989</v>
      </c>
      <c r="C4" s="407" t="s">
        <v>90</v>
      </c>
      <c r="D4" s="408"/>
      <c r="E4" s="408"/>
      <c r="F4" s="408"/>
      <c r="G4" s="408"/>
      <c r="H4" s="408"/>
      <c r="I4" s="408"/>
      <c r="J4" s="409"/>
    </row>
    <row r="5" spans="1:10" s="192" customFormat="1" ht="16.2" thickBot="1">
      <c r="A5" s="495" t="s">
        <v>904</v>
      </c>
      <c r="B5" s="496"/>
      <c r="C5" s="496"/>
      <c r="D5" s="496"/>
      <c r="E5" s="496"/>
      <c r="F5" s="496"/>
      <c r="G5" s="496"/>
      <c r="H5" s="496"/>
      <c r="I5" s="496"/>
      <c r="J5" s="497"/>
    </row>
    <row r="6" spans="1:10" s="192" customFormat="1" ht="16.2" thickBot="1">
      <c r="A6" s="193" t="s">
        <v>905</v>
      </c>
      <c r="B6" s="193"/>
      <c r="C6" s="193"/>
      <c r="E6"/>
      <c r="F6"/>
      <c r="G6"/>
      <c r="H6"/>
      <c r="I6"/>
      <c r="J6"/>
    </row>
    <row r="7" spans="1:10" s="192" customFormat="1" ht="15.6">
      <c r="A7" s="192" t="s">
        <v>417</v>
      </c>
      <c r="B7" s="195" t="s">
        <v>327</v>
      </c>
      <c r="C7" s="193"/>
      <c r="F7" s="509" t="s">
        <v>981</v>
      </c>
      <c r="G7" s="510"/>
      <c r="H7" s="510"/>
      <c r="I7" s="511"/>
    </row>
    <row r="8" spans="1:10" s="192" customFormat="1" ht="15.6">
      <c r="A8" s="192" t="s">
        <v>408</v>
      </c>
      <c r="B8" s="195" t="s">
        <v>654</v>
      </c>
      <c r="F8" s="512"/>
      <c r="G8" s="513"/>
      <c r="H8" s="513"/>
      <c r="I8" s="514"/>
    </row>
    <row r="9" spans="1:10" s="192" customFormat="1" ht="15.6">
      <c r="A9" s="192" t="s">
        <v>409</v>
      </c>
      <c r="B9" s="195" t="s">
        <v>654</v>
      </c>
      <c r="C9"/>
      <c r="D9"/>
      <c r="F9" s="512"/>
      <c r="G9" s="513"/>
      <c r="H9" s="513"/>
      <c r="I9" s="514"/>
    </row>
    <row r="10" spans="1:10" s="192" customFormat="1" ht="15.6">
      <c r="B10" s="348" t="s">
        <v>902</v>
      </c>
      <c r="C10" s="348" t="s">
        <v>980</v>
      </c>
      <c r="D10" s="412" t="s">
        <v>497</v>
      </c>
      <c r="F10" s="512"/>
      <c r="G10" s="513"/>
      <c r="H10" s="513"/>
      <c r="I10" s="514"/>
    </row>
    <row r="11" spans="1:10" s="192" customFormat="1" ht="16.2" thickBot="1">
      <c r="A11" s="197" t="s">
        <v>5</v>
      </c>
      <c r="B11" s="198">
        <f>960.077+974.499+1057.008+1255.473</f>
        <v>4247.0569999999998</v>
      </c>
      <c r="C11" s="411">
        <v>4538.8180000000002</v>
      </c>
      <c r="D11" s="508">
        <v>0.75</v>
      </c>
      <c r="F11" s="515"/>
      <c r="G11" s="516"/>
      <c r="H11" s="516"/>
      <c r="I11" s="517"/>
    </row>
    <row r="12" spans="1:10" s="192" customFormat="1" ht="15.6">
      <c r="A12" s="197" t="s">
        <v>23</v>
      </c>
      <c r="B12" s="198">
        <v>495.96</v>
      </c>
      <c r="C12" s="411">
        <v>458.46899999999999</v>
      </c>
      <c r="D12" s="508"/>
    </row>
    <row r="13" spans="1:10" s="192" customFormat="1" ht="15.6">
      <c r="A13" s="197" t="s">
        <v>410</v>
      </c>
      <c r="B13" s="198">
        <v>0</v>
      </c>
      <c r="C13" s="411">
        <v>0</v>
      </c>
      <c r="D13" s="508"/>
    </row>
    <row r="14" spans="1:10" s="192" customFormat="1" ht="15.6">
      <c r="A14" s="197" t="s">
        <v>24</v>
      </c>
      <c r="B14" s="198">
        <v>2257.56</v>
      </c>
      <c r="C14" s="411">
        <v>2389.7379999999998</v>
      </c>
      <c r="D14" s="508"/>
    </row>
    <row r="15" spans="1:10" s="192" customFormat="1" ht="15.6">
      <c r="A15" s="197" t="s">
        <v>25</v>
      </c>
      <c r="B15" s="198">
        <f>12.655+58.361+6.629</f>
        <v>77.644999999999996</v>
      </c>
      <c r="C15" s="411">
        <f>13.69+28.207+4.217+8.042</f>
        <v>54.155999999999999</v>
      </c>
      <c r="D15" s="508"/>
    </row>
    <row r="16" spans="1:10" s="192" customFormat="1" ht="15.6">
      <c r="A16" s="197" t="s">
        <v>400</v>
      </c>
      <c r="B16" s="200" t="s">
        <v>49</v>
      </c>
      <c r="C16" s="413" t="s">
        <v>842</v>
      </c>
      <c r="D16" s="199"/>
    </row>
    <row r="17" spans="1:14" s="192" customFormat="1" ht="15.6">
      <c r="A17" s="197" t="s">
        <v>225</v>
      </c>
      <c r="B17" s="200" t="s">
        <v>44</v>
      </c>
      <c r="C17" s="199" t="s">
        <v>843</v>
      </c>
      <c r="D17" s="199"/>
    </row>
    <row r="18" spans="1:14" s="192" customFormat="1" ht="15.6">
      <c r="A18" s="197" t="s">
        <v>483</v>
      </c>
      <c r="B18" s="198">
        <v>1412.65</v>
      </c>
      <c r="C18" s="198">
        <v>1149.0229999999999</v>
      </c>
      <c r="D18" s="199"/>
    </row>
    <row r="19" spans="1:14" s="192" customFormat="1" ht="15.6">
      <c r="A19" s="197" t="s">
        <v>484</v>
      </c>
      <c r="B19" s="201">
        <v>33.323</v>
      </c>
      <c r="C19" s="198">
        <v>33.323</v>
      </c>
      <c r="D19" s="199"/>
    </row>
    <row r="20" spans="1:14" s="192" customFormat="1" ht="16.2" thickBot="1">
      <c r="A20" s="197" t="s">
        <v>369</v>
      </c>
      <c r="B20" s="201">
        <v>0</v>
      </c>
      <c r="C20" s="198">
        <v>0</v>
      </c>
      <c r="D20" s="199"/>
    </row>
    <row r="21" spans="1:14" s="192" customFormat="1" ht="15.6">
      <c r="A21" s="197" t="s">
        <v>26</v>
      </c>
      <c r="B21" s="202">
        <v>154.819963</v>
      </c>
      <c r="C21" s="199"/>
      <c r="E21" s="505" t="s">
        <v>224</v>
      </c>
      <c r="F21" s="506"/>
      <c r="G21" s="506"/>
      <c r="H21" s="506"/>
      <c r="I21" s="506"/>
      <c r="J21" s="506"/>
      <c r="K21" s="506"/>
      <c r="L21" s="506"/>
      <c r="M21" s="506"/>
      <c r="N21" s="507"/>
    </row>
    <row r="22" spans="1:14" s="192" customFormat="1" ht="15.6">
      <c r="A22" s="197" t="s">
        <v>27</v>
      </c>
      <c r="B22" s="198">
        <v>80.569999999999993</v>
      </c>
      <c r="C22" s="199"/>
      <c r="E22" s="423" t="s">
        <v>403</v>
      </c>
      <c r="N22" s="424"/>
    </row>
    <row r="23" spans="1:14" s="192" customFormat="1" ht="15.6">
      <c r="A23" s="192" t="s">
        <v>94</v>
      </c>
      <c r="B23" s="203">
        <v>0.15</v>
      </c>
      <c r="C23" s="199"/>
      <c r="E23" s="425"/>
      <c r="J23" s="196" t="s">
        <v>408</v>
      </c>
      <c r="K23" s="196" t="s">
        <v>409</v>
      </c>
      <c r="L23" s="503" t="s">
        <v>830</v>
      </c>
      <c r="M23" s="503"/>
      <c r="N23" s="504"/>
    </row>
    <row r="24" spans="1:14" s="192" customFormat="1" ht="15.6">
      <c r="A24" s="192" t="s">
        <v>95</v>
      </c>
      <c r="B24" s="203">
        <v>0.25</v>
      </c>
      <c r="C24" s="199"/>
      <c r="E24" s="425"/>
      <c r="I24" s="443" t="s">
        <v>221</v>
      </c>
      <c r="J24" s="438" t="s">
        <v>829</v>
      </c>
      <c r="K24" s="348" t="s">
        <v>829</v>
      </c>
      <c r="L24" s="348" t="s">
        <v>831</v>
      </c>
      <c r="M24" s="348" t="s">
        <v>738</v>
      </c>
      <c r="N24" s="426" t="s">
        <v>832</v>
      </c>
    </row>
    <row r="25" spans="1:14" s="192" customFormat="1" ht="15.6">
      <c r="A25" s="193" t="s">
        <v>29</v>
      </c>
      <c r="B25" s="204"/>
      <c r="C25" s="199"/>
      <c r="E25" s="427" t="s">
        <v>159</v>
      </c>
      <c r="I25" s="444">
        <f>IF(C11&gt;0,(B11/C11)^(1/D11)-1, "NA")</f>
        <v>-8.4776643170412891E-2</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6">
      <c r="A26" s="207" t="s">
        <v>601</v>
      </c>
      <c r="B26" s="208">
        <v>0.1</v>
      </c>
      <c r="C26" s="199" t="s">
        <v>864</v>
      </c>
      <c r="E26" s="427" t="s">
        <v>160</v>
      </c>
      <c r="I26" s="444">
        <f>'Valuation output'!B4</f>
        <v>0.12971697813332855</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6">
      <c r="A27" s="207" t="s">
        <v>603</v>
      </c>
      <c r="B27" s="208">
        <v>0.13</v>
      </c>
      <c r="C27" s="199" t="s">
        <v>867</v>
      </c>
      <c r="E27" s="427" t="s">
        <v>161</v>
      </c>
      <c r="I27" s="445">
        <f>B11/'Valuation output'!B39</f>
        <v>2.4539853585653804</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6">
      <c r="A28" s="197" t="s">
        <v>602</v>
      </c>
      <c r="B28" s="209">
        <v>9.2999999999999999E-2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0.78363809237314641</v>
      </c>
      <c r="J28" s="442"/>
      <c r="K28" s="410"/>
      <c r="L28" s="216"/>
      <c r="M28" s="216"/>
      <c r="N28" s="431"/>
    </row>
    <row r="29" spans="1:14" s="192" customFormat="1" ht="15.6">
      <c r="A29" s="197" t="s">
        <v>841</v>
      </c>
      <c r="B29" s="209">
        <v>0.16</v>
      </c>
      <c r="C29" s="199" t="s">
        <v>866</v>
      </c>
      <c r="E29" s="427" t="s">
        <v>162</v>
      </c>
      <c r="I29" s="446">
        <f>'Valuation output'!B7/'Valuation output'!B39</f>
        <v>0.27057503033205382</v>
      </c>
      <c r="J29" s="440">
        <f>VLOOKUP(B8,'Industry Averages(US)'!A2:S95,5)</f>
        <v>0.37798197124632166</v>
      </c>
      <c r="K29" s="350">
        <f>VLOOKUP(B9,'Industry Average Beta (Global)'!A2:N95,5)</f>
        <v>0.15747684459567851</v>
      </c>
      <c r="L29"/>
      <c r="M29"/>
      <c r="N29" s="432"/>
    </row>
    <row r="30" spans="1:14" s="192" customFormat="1" ht="15.6">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2" thickBot="1">
      <c r="A31" s="197" t="s">
        <v>833</v>
      </c>
      <c r="B31" s="210">
        <v>1.8</v>
      </c>
      <c r="C31" s="199" t="s">
        <v>862</v>
      </c>
      <c r="E31" s="433" t="s">
        <v>362</v>
      </c>
      <c r="F31" s="434"/>
      <c r="G31" s="434"/>
      <c r="H31" s="434"/>
      <c r="I31" s="446">
        <f>B35</f>
        <v>9.4957943460060895E-2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2" thickBot="1">
      <c r="A32" s="197" t="s">
        <v>622</v>
      </c>
      <c r="B32" s="210">
        <v>1.5</v>
      </c>
      <c r="C32" s="199" t="s">
        <v>863</v>
      </c>
    </row>
    <row r="33" spans="1:14" s="192" customFormat="1" ht="15.6">
      <c r="A33" s="193" t="s">
        <v>30</v>
      </c>
      <c r="B33" s="213"/>
      <c r="C33" s="199"/>
      <c r="E33" s="498" t="s">
        <v>485</v>
      </c>
      <c r="F33" s="499"/>
      <c r="G33" s="499"/>
      <c r="H33" s="499"/>
      <c r="I33" s="499"/>
      <c r="J33" s="500"/>
    </row>
    <row r="34" spans="1:14" s="192" customFormat="1" ht="15.6">
      <c r="A34" s="197" t="s">
        <v>21</v>
      </c>
      <c r="B34" s="209">
        <v>4.6359999999999998E-2</v>
      </c>
      <c r="C34" s="199"/>
      <c r="E34" s="205" t="s">
        <v>486</v>
      </c>
      <c r="J34" s="212">
        <f>'Valuation output'!M3</f>
        <v>9555.5703293077586</v>
      </c>
    </row>
    <row r="35" spans="1:14" s="192" customFormat="1" ht="24.9" customHeight="1">
      <c r="A35" s="343" t="s">
        <v>32</v>
      </c>
      <c r="B35" s="344">
        <f>'Cost of capital worksheet'!B13</f>
        <v>9.4957943460060895E-2</v>
      </c>
      <c r="C35" s="501" t="s">
        <v>744</v>
      </c>
      <c r="D35" s="502"/>
      <c r="E35" s="205" t="s">
        <v>488</v>
      </c>
      <c r="J35" s="212">
        <f>'Valuation output'!M5</f>
        <v>1528.8912526892414</v>
      </c>
    </row>
    <row r="36" spans="1:14" s="192" customFormat="1" ht="15.6">
      <c r="A36" s="193" t="s">
        <v>80</v>
      </c>
      <c r="B36" s="215"/>
      <c r="C36" s="215"/>
      <c r="D36" s="199"/>
      <c r="E36" s="205" t="s">
        <v>487</v>
      </c>
      <c r="J36" s="206">
        <f>'Valuation output'!L40</f>
        <v>0.247901068129562</v>
      </c>
    </row>
    <row r="37" spans="1:14" s="192" customFormat="1" ht="16.2" thickBot="1">
      <c r="A37" s="192" t="s">
        <v>227</v>
      </c>
      <c r="B37" s="200" t="s">
        <v>49</v>
      </c>
      <c r="C37" s="190"/>
      <c r="D37" s="199"/>
      <c r="E37" s="324" t="s">
        <v>489</v>
      </c>
      <c r="F37" s="211"/>
      <c r="G37" s="211"/>
      <c r="H37" s="211"/>
      <c r="I37" s="211"/>
      <c r="J37" s="214"/>
    </row>
    <row r="38" spans="1:14" s="192" customFormat="1" ht="15.6">
      <c r="A38" s="192" t="s">
        <v>81</v>
      </c>
      <c r="B38" s="210">
        <f>0.622+1.393+1.12+0.396</f>
        <v>3.5310000000000001</v>
      </c>
      <c r="C38" s="216"/>
      <c r="D38" s="199"/>
    </row>
    <row r="39" spans="1:14" s="219" customFormat="1" ht="15.6">
      <c r="A39" s="192" t="s">
        <v>82</v>
      </c>
      <c r="B39" s="217">
        <v>60.86</v>
      </c>
      <c r="C39" s="218"/>
      <c r="D39" s="199"/>
      <c r="E39" s="192"/>
      <c r="F39" s="192"/>
      <c r="G39" s="192"/>
      <c r="H39" s="192"/>
      <c r="I39" s="192"/>
      <c r="J39" s="192"/>
      <c r="K39" s="192"/>
      <c r="L39" s="192"/>
      <c r="M39" s="192"/>
      <c r="N39" s="192"/>
    </row>
    <row r="40" spans="1:14" s="192" customFormat="1" ht="15.6">
      <c r="A40" s="192" t="s">
        <v>83</v>
      </c>
      <c r="B40" s="210">
        <v>7</v>
      </c>
      <c r="C40" s="216"/>
      <c r="D40" s="199"/>
    </row>
    <row r="41" spans="1:14" s="192" customFormat="1" ht="15.6">
      <c r="A41" s="192" t="s">
        <v>84</v>
      </c>
      <c r="B41" s="209">
        <v>0.33</v>
      </c>
      <c r="C41" s="199"/>
      <c r="E41" s="219"/>
      <c r="F41" s="219"/>
      <c r="G41" s="219"/>
    </row>
    <row r="42" spans="1:14" s="219" customFormat="1" ht="15.6">
      <c r="A42" s="192"/>
      <c r="B42" s="220"/>
      <c r="C42" s="215"/>
      <c r="D42" s="199"/>
      <c r="E42" s="192"/>
      <c r="F42" s="192"/>
      <c r="G42" s="192"/>
      <c r="H42" s="192"/>
      <c r="I42" s="192"/>
      <c r="J42" s="192"/>
      <c r="K42" s="192"/>
      <c r="L42" s="192"/>
      <c r="M42" s="192"/>
      <c r="N42" s="192"/>
    </row>
    <row r="43" spans="1:14" s="192" customFormat="1" ht="15.6">
      <c r="A43" s="494" t="s">
        <v>96</v>
      </c>
      <c r="B43" s="494"/>
      <c r="C43" s="221"/>
      <c r="D43" s="199"/>
      <c r="N43" s="219"/>
    </row>
    <row r="44" spans="1:14" s="192" customFormat="1" ht="15.6">
      <c r="A44" s="219" t="s">
        <v>97</v>
      </c>
      <c r="B44" s="219"/>
      <c r="C44" s="222"/>
      <c r="D44" s="199"/>
      <c r="E44" s="219"/>
      <c r="F44" s="219"/>
      <c r="G44" s="219"/>
      <c r="H44" s="219"/>
      <c r="I44" s="219"/>
      <c r="J44" s="219"/>
      <c r="K44" s="219"/>
      <c r="L44" s="219"/>
      <c r="M44" s="219"/>
    </row>
    <row r="45" spans="1:14" s="192" customFormat="1" ht="15.6">
      <c r="A45" s="192" t="s">
        <v>33</v>
      </c>
      <c r="B45" s="397" t="s">
        <v>44</v>
      </c>
      <c r="C45" s="199" t="s">
        <v>47</v>
      </c>
    </row>
    <row r="46" spans="1:14" s="192" customFormat="1" ht="15.6">
      <c r="A46" s="192" t="s">
        <v>35</v>
      </c>
      <c r="B46" s="209">
        <v>0.08</v>
      </c>
      <c r="C46" s="199" t="s">
        <v>623</v>
      </c>
      <c r="N46" s="219"/>
    </row>
    <row r="47" spans="1:14" s="192" customFormat="1" ht="15.6">
      <c r="A47" s="219" t="s">
        <v>98</v>
      </c>
      <c r="B47" s="219"/>
      <c r="C47" s="199"/>
      <c r="D47" s="219"/>
      <c r="H47" s="219"/>
      <c r="I47" s="219"/>
      <c r="J47" s="219"/>
      <c r="K47" s="219"/>
      <c r="L47" s="219"/>
      <c r="M47" s="219"/>
    </row>
    <row r="48" spans="1:14" s="192" customFormat="1" ht="15.6">
      <c r="A48" s="192" t="s">
        <v>33</v>
      </c>
      <c r="B48" s="397" t="s">
        <v>44</v>
      </c>
      <c r="C48" s="199" t="s">
        <v>46</v>
      </c>
    </row>
    <row r="49" spans="1:14" s="192" customFormat="1" ht="15.6">
      <c r="A49" s="192" t="s">
        <v>34</v>
      </c>
      <c r="B49" s="223">
        <v>0.15</v>
      </c>
      <c r="C49" s="199" t="s">
        <v>133</v>
      </c>
    </row>
    <row r="50" spans="1:14" s="192" customFormat="1" ht="15.6">
      <c r="A50" s="219" t="s">
        <v>129</v>
      </c>
      <c r="C50" s="199"/>
    </row>
    <row r="51" spans="1:14" s="192" customFormat="1" ht="15.6">
      <c r="A51" s="192" t="s">
        <v>33</v>
      </c>
      <c r="B51" s="397" t="s">
        <v>44</v>
      </c>
      <c r="C51" s="199" t="s">
        <v>104</v>
      </c>
    </row>
    <row r="52" spans="1:14" s="192" customFormat="1" ht="15.6">
      <c r="A52" s="192" t="s">
        <v>99</v>
      </c>
      <c r="B52" s="223">
        <v>0.12</v>
      </c>
      <c r="C52" s="199" t="s">
        <v>749</v>
      </c>
    </row>
    <row r="53" spans="1:14" s="192" customFormat="1" ht="15.6">
      <c r="A53" s="192" t="s">
        <v>102</v>
      </c>
      <c r="B53" s="223" t="s">
        <v>219</v>
      </c>
      <c r="C53" s="199" t="s">
        <v>93</v>
      </c>
    </row>
    <row r="54" spans="1:14" s="192" customFormat="1" ht="15.6">
      <c r="A54" s="192" t="s">
        <v>220</v>
      </c>
      <c r="B54" s="223">
        <v>0.5</v>
      </c>
      <c r="C54" s="199" t="s">
        <v>103</v>
      </c>
    </row>
    <row r="55" spans="1:14" s="192" customFormat="1" ht="15.6">
      <c r="A55" s="192" t="s">
        <v>837</v>
      </c>
      <c r="B55" s="354"/>
      <c r="C55" s="199"/>
    </row>
    <row r="56" spans="1:14" s="192" customFormat="1" ht="15.6">
      <c r="A56" s="192" t="s">
        <v>838</v>
      </c>
      <c r="B56" s="397" t="s">
        <v>44</v>
      </c>
      <c r="C56" s="199"/>
    </row>
    <row r="57" spans="1:14" s="192" customFormat="1" ht="15.6">
      <c r="A57" s="192" t="s">
        <v>839</v>
      </c>
      <c r="B57" s="355">
        <v>1</v>
      </c>
      <c r="C57" s="199"/>
    </row>
    <row r="58" spans="1:14" s="192" customFormat="1" ht="15.6">
      <c r="A58" s="219" t="s">
        <v>131</v>
      </c>
      <c r="B58" s="224"/>
      <c r="C58" s="199"/>
    </row>
    <row r="59" spans="1:14" s="192" customFormat="1" ht="15.6">
      <c r="A59" s="192" t="s">
        <v>33</v>
      </c>
      <c r="B59" s="200" t="s">
        <v>44</v>
      </c>
      <c r="C59" s="199"/>
    </row>
    <row r="60" spans="1:14" s="192" customFormat="1" ht="15.6">
      <c r="A60" s="219" t="s">
        <v>128</v>
      </c>
      <c r="C60" s="199"/>
    </row>
    <row r="61" spans="1:14" s="192" customFormat="1" ht="15.6">
      <c r="A61" s="192" t="s">
        <v>33</v>
      </c>
      <c r="B61" s="397" t="s">
        <v>44</v>
      </c>
      <c r="C61" s="199" t="s">
        <v>48</v>
      </c>
    </row>
    <row r="62" spans="1:14" s="192" customFormat="1" ht="15.6">
      <c r="A62" s="192" t="s">
        <v>42</v>
      </c>
      <c r="B62" s="217">
        <f>474.8+256.6</f>
        <v>731.40000000000009</v>
      </c>
      <c r="C62" s="199" t="s">
        <v>134</v>
      </c>
    </row>
    <row r="63" spans="1:14" s="192" customFormat="1" ht="15.6">
      <c r="A63" s="192" t="s">
        <v>596</v>
      </c>
      <c r="B63" s="225"/>
      <c r="C63" s="199"/>
    </row>
    <row r="64" spans="1:14" s="219" customFormat="1" ht="15.6">
      <c r="A64" s="192" t="s">
        <v>33</v>
      </c>
      <c r="B64" s="397" t="s">
        <v>44</v>
      </c>
      <c r="C64" s="199" t="s">
        <v>598</v>
      </c>
      <c r="D64" s="192"/>
      <c r="E64" s="192"/>
      <c r="F64" s="192"/>
      <c r="G64" s="192"/>
      <c r="H64" s="192"/>
      <c r="I64" s="192"/>
      <c r="J64" s="192"/>
      <c r="K64" s="192"/>
      <c r="L64" s="192"/>
      <c r="M64" s="192"/>
      <c r="N64" s="192"/>
    </row>
    <row r="65" spans="1:14" s="192" customFormat="1" ht="15.6">
      <c r="A65" s="192" t="s">
        <v>597</v>
      </c>
      <c r="B65" s="226">
        <v>0.03</v>
      </c>
      <c r="C65" s="199" t="s">
        <v>599</v>
      </c>
    </row>
    <row r="66" spans="1:14" s="192" customFormat="1" ht="15.6">
      <c r="A66" s="192" t="s">
        <v>493</v>
      </c>
      <c r="B66" s="218"/>
      <c r="C66" s="199"/>
      <c r="E66" s="219"/>
      <c r="F66" s="219"/>
      <c r="G66" s="219"/>
      <c r="H66" s="219"/>
      <c r="I66" s="219"/>
      <c r="J66" s="219"/>
      <c r="K66" s="219"/>
      <c r="L66" s="219"/>
      <c r="M66" s="219"/>
      <c r="N66" s="219"/>
    </row>
    <row r="67" spans="1:14" s="192" customFormat="1" ht="15.6">
      <c r="A67" s="192" t="s">
        <v>33</v>
      </c>
      <c r="B67" s="397" t="s">
        <v>44</v>
      </c>
      <c r="C67" s="199" t="s">
        <v>600</v>
      </c>
    </row>
    <row r="68" spans="1:14" s="192" customFormat="1" ht="15.6">
      <c r="A68" s="192" t="s">
        <v>494</v>
      </c>
      <c r="B68" s="226">
        <v>-0.05</v>
      </c>
      <c r="C68" s="199" t="s">
        <v>495</v>
      </c>
    </row>
    <row r="69" spans="1:14" s="192" customFormat="1" ht="15.6">
      <c r="A69" s="219" t="s">
        <v>498</v>
      </c>
      <c r="B69" s="219"/>
      <c r="C69" s="219"/>
      <c r="D69" s="219"/>
    </row>
    <row r="70" spans="1:14" s="192" customFormat="1" ht="15.6">
      <c r="A70" s="192" t="s">
        <v>490</v>
      </c>
      <c r="B70" s="397" t="s">
        <v>44</v>
      </c>
    </row>
    <row r="71" spans="1:14" s="192" customFormat="1" ht="15.6">
      <c r="A71" s="192" t="s">
        <v>501</v>
      </c>
      <c r="B71" s="227">
        <v>140000</v>
      </c>
      <c r="C71" s="199" t="s">
        <v>499</v>
      </c>
    </row>
    <row r="72" spans="1:14" s="192" customFormat="1" ht="15.6">
      <c r="A72" s="197" t="s">
        <v>491</v>
      </c>
      <c r="B72" s="223">
        <v>0.15</v>
      </c>
      <c r="C72" s="199" t="s">
        <v>500</v>
      </c>
    </row>
    <row r="73" spans="1:14" ht="15.6">
      <c r="A73" s="77"/>
      <c r="E73" s="192"/>
      <c r="F73" s="192"/>
      <c r="G73" s="192"/>
      <c r="H73" s="192"/>
      <c r="I73" s="192"/>
      <c r="J73" s="192"/>
      <c r="K73" s="192"/>
      <c r="L73" s="192"/>
      <c r="M73" s="192"/>
      <c r="N73" s="192"/>
    </row>
    <row r="74" spans="1:14" ht="15.6">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6"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375"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2.9" customHeight="1">
      <c r="A3" s="11" t="s">
        <v>4</v>
      </c>
      <c r="H3" s="614" t="s">
        <v>722</v>
      </c>
      <c r="I3" s="615"/>
      <c r="J3" s="615"/>
      <c r="K3" s="615"/>
      <c r="L3" s="616"/>
    </row>
    <row r="4" spans="1:12" s="6" customFormat="1" ht="13.2">
      <c r="A4" s="6" t="s">
        <v>106</v>
      </c>
      <c r="E4" s="19">
        <v>295</v>
      </c>
      <c r="H4" s="617"/>
      <c r="I4" s="618"/>
      <c r="J4" s="618"/>
      <c r="K4" s="618"/>
      <c r="L4" s="619"/>
    </row>
    <row r="5" spans="1:12" s="9" customFormat="1" ht="13.2">
      <c r="A5" s="9" t="s">
        <v>107</v>
      </c>
      <c r="H5" s="617"/>
      <c r="I5" s="618"/>
      <c r="J5" s="618"/>
      <c r="K5" s="618"/>
      <c r="L5" s="619"/>
    </row>
    <row r="6" spans="1:12" s="6" customFormat="1" ht="13.2">
      <c r="A6" s="16" t="s">
        <v>108</v>
      </c>
      <c r="B6" s="16" t="s">
        <v>109</v>
      </c>
      <c r="C6" s="6" t="s">
        <v>110</v>
      </c>
      <c r="H6" s="617"/>
      <c r="I6" s="618"/>
      <c r="J6" s="618"/>
      <c r="K6" s="618"/>
      <c r="L6" s="619"/>
    </row>
    <row r="7" spans="1:12" s="6" customFormat="1" ht="13.2">
      <c r="A7" s="16">
        <v>1</v>
      </c>
      <c r="B7" s="169">
        <v>287</v>
      </c>
      <c r="H7" s="617"/>
      <c r="I7" s="618"/>
      <c r="J7" s="618"/>
      <c r="K7" s="618"/>
      <c r="L7" s="619"/>
    </row>
    <row r="8" spans="1:12" s="6" customFormat="1" ht="13.2">
      <c r="A8" s="16">
        <v>2</v>
      </c>
      <c r="B8" s="169">
        <v>235</v>
      </c>
      <c r="H8" s="617"/>
      <c r="I8" s="618"/>
      <c r="J8" s="618"/>
      <c r="K8" s="618"/>
      <c r="L8" s="619"/>
    </row>
    <row r="9" spans="1:12" s="6" customFormat="1" ht="13.2">
      <c r="A9" s="16">
        <v>3</v>
      </c>
      <c r="B9" s="169">
        <v>194</v>
      </c>
      <c r="H9" s="617"/>
      <c r="I9" s="618"/>
      <c r="J9" s="618"/>
      <c r="K9" s="618"/>
      <c r="L9" s="619"/>
    </row>
    <row r="10" spans="1:12" s="6" customFormat="1" ht="13.2">
      <c r="A10" s="16">
        <v>4</v>
      </c>
      <c r="B10" s="169">
        <v>151</v>
      </c>
      <c r="H10" s="617"/>
      <c r="I10" s="618"/>
      <c r="J10" s="618"/>
      <c r="K10" s="618"/>
      <c r="L10" s="619"/>
    </row>
    <row r="11" spans="1:12" s="6" customFormat="1" ht="13.8" thickBot="1">
      <c r="A11" s="16">
        <v>5</v>
      </c>
      <c r="B11" s="169">
        <v>98</v>
      </c>
      <c r="H11" s="620"/>
      <c r="I11" s="621"/>
      <c r="J11" s="621"/>
      <c r="K11" s="621"/>
      <c r="L11" s="622"/>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5.2260000000000001E-2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272.74627943664115</v>
      </c>
    </row>
    <row r="23" spans="1:7" s="6" customFormat="1" ht="13.2">
      <c r="A23" s="12">
        <f t="shared" ref="A23:B26" si="0">A8</f>
        <v>2</v>
      </c>
      <c r="B23" s="14">
        <f t="shared" si="0"/>
        <v>235</v>
      </c>
      <c r="C23" s="7">
        <f>B23/(1+$C$15)^A23</f>
        <v>212.23731309636668</v>
      </c>
    </row>
    <row r="24" spans="1:7" s="6" customFormat="1" ht="13.2">
      <c r="A24" s="12">
        <f t="shared" si="0"/>
        <v>3</v>
      </c>
      <c r="B24" s="14">
        <f t="shared" si="0"/>
        <v>194</v>
      </c>
      <c r="C24" s="7">
        <f>B24/(1+$C$15)^A24</f>
        <v>166.5070186953032</v>
      </c>
    </row>
    <row r="25" spans="1:7" s="6" customFormat="1" ht="13.2">
      <c r="A25" s="12">
        <f t="shared" si="0"/>
        <v>4</v>
      </c>
      <c r="B25" s="14">
        <f t="shared" si="0"/>
        <v>151</v>
      </c>
      <c r="C25" s="7">
        <f>B25/(1+$C$15)^A25</f>
        <v>123.16425962200348</v>
      </c>
    </row>
    <row r="26" spans="1:7" s="6" customFormat="1" ht="13.2">
      <c r="A26" s="12">
        <f t="shared" si="0"/>
        <v>5</v>
      </c>
      <c r="B26" s="14">
        <f t="shared" si="0"/>
        <v>98</v>
      </c>
      <c r="C26" s="7">
        <f>B26/(1+$C$15)^A26</f>
        <v>75.964514618087492</v>
      </c>
    </row>
    <row r="27" spans="1:7" s="6" customFormat="1" ht="13.8" thickBot="1">
      <c r="A27" s="22" t="str">
        <f>A12</f>
        <v>6 and beyond</v>
      </c>
      <c r="B27" s="23">
        <f>IF(B12&gt;0,IF(D18&gt;0,B12/D18,B12),0)</f>
        <v>201.66666666666666</v>
      </c>
      <c r="C27" s="24">
        <f>IF(D18&gt;0,(B27*(1-(1+C15)^(-D18))/C15)/(1+$C$15)^5,B27/(1+C15)^6)</f>
        <v>423.90595045400494</v>
      </c>
      <c r="D27" s="6" t="s">
        <v>119</v>
      </c>
    </row>
    <row r="28" spans="1:7" s="6" customFormat="1" ht="13.8" thickBot="1">
      <c r="A28" s="18" t="s">
        <v>120</v>
      </c>
      <c r="B28" s="25"/>
      <c r="C28" s="26">
        <f>SUM(C22:C27)</f>
        <v>1274.5253359224071</v>
      </c>
    </row>
    <row r="29" spans="1:7" s="6" customFormat="1" ht="13.2"/>
    <row r="30" spans="1:7" s="6" customFormat="1" ht="13.2">
      <c r="A30" s="9" t="s">
        <v>121</v>
      </c>
    </row>
    <row r="31" spans="1:7" s="6" customFormat="1" ht="13.8" thickBot="1">
      <c r="A31" s="6" t="s">
        <v>122</v>
      </c>
      <c r="F31" s="24">
        <f>C28/(5+D18)</f>
        <v>159.31566699030088</v>
      </c>
      <c r="G31" s="6" t="s">
        <v>123</v>
      </c>
    </row>
    <row r="32" spans="1:7" s="6" customFormat="1" ht="13.8" thickBot="1">
      <c r="A32" s="6" t="s">
        <v>124</v>
      </c>
      <c r="F32" s="39">
        <f>E4-F31</f>
        <v>135.68433300969912</v>
      </c>
      <c r="G32" s="6" t="s">
        <v>126</v>
      </c>
    </row>
    <row r="33" spans="1:7" s="6" customFormat="1" ht="13.8" thickBot="1">
      <c r="A33" s="6" t="s">
        <v>125</v>
      </c>
      <c r="F33" s="27">
        <f>C28</f>
        <v>1274.5253359224071</v>
      </c>
      <c r="G33" s="6" t="s">
        <v>127</v>
      </c>
    </row>
    <row r="34" spans="1:7" ht="13.2">
      <c r="A34" s="6" t="s">
        <v>467</v>
      </c>
      <c r="F34" s="110">
        <f>C28/(5+D18)</f>
        <v>159.31566699030088</v>
      </c>
    </row>
  </sheetData>
  <mergeCells count="1">
    <mergeCell ref="H3:L11"/>
  </mergeCell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375" defaultRowHeight="11.4"/>
  <cols>
    <col min="1" max="1" width="40.125" bestFit="1" customWidth="1"/>
    <col min="2" max="2" width="17.25" bestFit="1" customWidth="1"/>
    <col min="3" max="3" width="12.875" bestFit="1" customWidth="1"/>
    <col min="4" max="4" width="13.75" customWidth="1"/>
    <col min="5" max="5" width="12" customWidth="1"/>
    <col min="7" max="7" width="19.375" bestFit="1" customWidth="1"/>
    <col min="8" max="8" width="16.25" customWidth="1"/>
    <col min="10" max="10" width="14.75" customWidth="1"/>
    <col min="11" max="11" width="18.125" bestFit="1" customWidth="1"/>
    <col min="12" max="12" width="17.375" customWidth="1"/>
  </cols>
  <sheetData>
    <row r="1" spans="1:17">
      <c r="A1" s="636" t="s">
        <v>585</v>
      </c>
      <c r="B1" s="636"/>
      <c r="C1" s="636"/>
      <c r="D1" s="636"/>
      <c r="E1" s="636"/>
      <c r="F1" s="636"/>
      <c r="G1" s="636"/>
      <c r="H1" s="636"/>
      <c r="I1" s="636"/>
      <c r="J1" s="636"/>
      <c r="K1" s="636"/>
    </row>
    <row r="2" spans="1:17">
      <c r="A2" s="636"/>
      <c r="B2" s="636"/>
      <c r="C2" s="636"/>
      <c r="D2" s="636"/>
      <c r="E2" s="636"/>
      <c r="F2" s="636"/>
      <c r="G2" s="636"/>
      <c r="H2" s="636"/>
      <c r="I2" s="636"/>
      <c r="J2" s="636"/>
      <c r="K2" s="636"/>
    </row>
    <row r="3" spans="1:17" s="59" customFormat="1" ht="18.600000000000001" thickBot="1">
      <c r="A3" s="637" t="s">
        <v>164</v>
      </c>
      <c r="B3" s="637"/>
      <c r="C3" s="637"/>
      <c r="D3" s="637"/>
      <c r="E3" s="637"/>
      <c r="G3" s="72" t="s">
        <v>482</v>
      </c>
    </row>
    <row r="4" spans="1:17" s="8" customFormat="1" ht="15" customHeight="1">
      <c r="A4" s="625" t="s">
        <v>861</v>
      </c>
      <c r="B4" s="626"/>
      <c r="C4" s="626"/>
      <c r="D4" s="626"/>
      <c r="E4" s="627"/>
      <c r="F4" s="59"/>
      <c r="G4" s="83" t="s">
        <v>332</v>
      </c>
      <c r="H4" s="83" t="s">
        <v>5</v>
      </c>
      <c r="I4" s="83" t="s">
        <v>358</v>
      </c>
      <c r="J4" s="83" t="s">
        <v>360</v>
      </c>
      <c r="K4" s="83" t="s">
        <v>359</v>
      </c>
    </row>
    <row r="5" spans="1:17" s="6" customFormat="1" ht="15" customHeight="1">
      <c r="A5" s="628"/>
      <c r="B5" s="629"/>
      <c r="C5" s="629"/>
      <c r="D5" s="629"/>
      <c r="E5" s="630"/>
      <c r="F5" s="59"/>
      <c r="G5" s="81" t="s">
        <v>327</v>
      </c>
      <c r="H5" s="493">
        <f>'Input sheet'!B11*0.35</f>
        <v>1486.4699499999999</v>
      </c>
      <c r="I5" s="66">
        <f>IF(H5=0,0,VLOOKUP(G5,'Country equity risk premiums'!$A$5:$D$195,4))</f>
        <v>4.3299999999999998E-2</v>
      </c>
      <c r="J5" s="66">
        <f t="shared" ref="J5:J12" si="0">IF(H5&gt;0,H5/$H$18,)</f>
        <v>0.35</v>
      </c>
      <c r="K5" s="66">
        <f t="shared" ref="K5:K12" si="1">IF(J5=0,0,I5*J5)</f>
        <v>1.5154999999999998E-2</v>
      </c>
      <c r="M5" s="635" t="s">
        <v>529</v>
      </c>
      <c r="N5" s="635"/>
      <c r="O5" s="635"/>
      <c r="P5" s="635"/>
      <c r="Q5" s="635"/>
    </row>
    <row r="6" spans="1:17" s="6" customFormat="1" ht="15" customHeight="1">
      <c r="A6" s="628"/>
      <c r="B6" s="629"/>
      <c r="C6" s="629"/>
      <c r="D6" s="629"/>
      <c r="E6" s="630"/>
      <c r="F6" s="59"/>
      <c r="G6" s="81" t="s">
        <v>265</v>
      </c>
      <c r="H6" s="493">
        <f>'Input sheet'!B11*0.15</f>
        <v>637.05854999999997</v>
      </c>
      <c r="I6" s="66">
        <f>IF(H6=0,0,VLOOKUP(G6,'Country equity risk premiums'!$A$5:$D$195,4))</f>
        <v>4.3299999999999998E-2</v>
      </c>
      <c r="J6" s="66">
        <f t="shared" si="0"/>
        <v>0.15</v>
      </c>
      <c r="K6" s="66">
        <f t="shared" si="1"/>
        <v>6.4949999999999999E-3</v>
      </c>
      <c r="M6" s="635"/>
      <c r="N6" s="635"/>
      <c r="O6" s="635"/>
      <c r="P6" s="635"/>
      <c r="Q6" s="635"/>
    </row>
    <row r="7" spans="1:17" s="6" customFormat="1" ht="15" customHeight="1">
      <c r="A7" s="628"/>
      <c r="B7" s="629"/>
      <c r="C7" s="629"/>
      <c r="D7" s="629"/>
      <c r="E7" s="630"/>
      <c r="F7" s="59"/>
      <c r="G7" s="81"/>
      <c r="H7" s="81"/>
      <c r="I7" s="66">
        <f>IF(H7=0,0,VLOOKUP(G7,'Country equity risk premiums'!$A$5:$D$195,4))</f>
        <v>0</v>
      </c>
      <c r="J7" s="66">
        <f t="shared" si="0"/>
        <v>0</v>
      </c>
      <c r="K7" s="66">
        <f t="shared" si="1"/>
        <v>0</v>
      </c>
      <c r="M7" s="635"/>
      <c r="N7" s="635"/>
      <c r="O7" s="635"/>
      <c r="P7" s="635"/>
      <c r="Q7" s="635"/>
    </row>
    <row r="8" spans="1:17" s="6" customFormat="1" ht="15" customHeight="1">
      <c r="A8" s="628"/>
      <c r="B8" s="629"/>
      <c r="C8" s="629"/>
      <c r="D8" s="629"/>
      <c r="E8" s="630"/>
      <c r="F8" s="59"/>
      <c r="G8" s="81"/>
      <c r="H8" s="81"/>
      <c r="I8" s="66">
        <f>IF(H8=0,0,VLOOKUP(G8,'Country equity risk premiums'!$A$5:$D$195,4))</f>
        <v>0</v>
      </c>
      <c r="J8" s="66">
        <f t="shared" si="0"/>
        <v>0</v>
      </c>
      <c r="K8" s="66">
        <f t="shared" si="1"/>
        <v>0</v>
      </c>
      <c r="M8" s="635"/>
      <c r="N8" s="635"/>
      <c r="O8" s="635"/>
      <c r="P8" s="635"/>
      <c r="Q8" s="635"/>
    </row>
    <row r="9" spans="1:17" s="6" customFormat="1" ht="15" customHeight="1" thickBot="1">
      <c r="A9" s="631"/>
      <c r="B9" s="632"/>
      <c r="C9" s="632"/>
      <c r="D9" s="632"/>
      <c r="E9" s="633"/>
      <c r="F9" s="59"/>
      <c r="G9" s="81"/>
      <c r="H9" s="81"/>
      <c r="I9" s="66">
        <f>IF(H9=0,0,VLOOKUP(G9,'Country equity risk premiums'!$A$5:$D$195,4))</f>
        <v>0</v>
      </c>
      <c r="J9" s="66">
        <f t="shared" si="0"/>
        <v>0</v>
      </c>
      <c r="K9" s="66">
        <f t="shared" si="1"/>
        <v>0</v>
      </c>
      <c r="M9" s="635"/>
      <c r="N9" s="635"/>
      <c r="O9" s="635"/>
      <c r="P9" s="635"/>
      <c r="Q9" s="635"/>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35"/>
      <c r="N10" s="635"/>
      <c r="O10" s="635"/>
      <c r="P10" s="635"/>
      <c r="Q10" s="635"/>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35"/>
      <c r="N11" s="635"/>
      <c r="O11" s="635"/>
      <c r="P11" s="635"/>
      <c r="Q11" s="635"/>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35"/>
      <c r="N12" s="635"/>
      <c r="O12" s="635"/>
      <c r="P12" s="635"/>
      <c r="Q12" s="635"/>
    </row>
    <row r="13" spans="1:17" s="6" customFormat="1" ht="15" customHeight="1">
      <c r="A13" s="185" t="s">
        <v>735</v>
      </c>
      <c r="B13" s="188">
        <f>IF(B11="I will input",B12,IF(B11="Detailed",E62,IF(B11="Industry Average",B67,B72)))</f>
        <v>9.4957943460060895E-2</v>
      </c>
      <c r="C13" s="185"/>
      <c r="D13" s="185"/>
      <c r="E13" s="185"/>
      <c r="F13" s="59"/>
      <c r="G13" s="81"/>
      <c r="H13" s="81"/>
      <c r="I13" s="66">
        <f>IF(H13=0,0,VLOOKUP(G13,'Country equity risk premiums'!$A$5:$D$195,4))</f>
        <v>0</v>
      </c>
      <c r="J13" s="66">
        <f>IF(H13&gt;0,H13/$H$18,)</f>
        <v>0</v>
      </c>
      <c r="K13" s="66">
        <f>IF(J13=0,0,I13*J13)</f>
        <v>0</v>
      </c>
      <c r="M13" s="635"/>
      <c r="N13" s="635"/>
      <c r="O13" s="635"/>
      <c r="P13" s="635"/>
      <c r="Q13" s="635"/>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35"/>
      <c r="N14" s="635"/>
      <c r="O14" s="635"/>
      <c r="P14" s="635"/>
      <c r="Q14" s="635"/>
    </row>
    <row r="15" spans="1:17" s="6" customFormat="1" ht="15" customHeight="1" thickBot="1">
      <c r="A15" s="638" t="s">
        <v>724</v>
      </c>
      <c r="B15" s="639"/>
      <c r="C15" s="639"/>
      <c r="D15" s="639"/>
      <c r="E15" s="639"/>
      <c r="F15" s="640"/>
      <c r="G15" s="81"/>
      <c r="H15" s="81"/>
      <c r="I15" s="66">
        <f>IF(H15=0,0,VLOOKUP(G15,'Country equity risk premiums'!$A$5:$D$195,4))</f>
        <v>0</v>
      </c>
      <c r="J15" s="66">
        <f>IF(H15&gt;0,H15/$H$18,)</f>
        <v>0</v>
      </c>
      <c r="K15" s="66">
        <f>IF(J15=0,0,I15*J15)</f>
        <v>0</v>
      </c>
      <c r="M15" s="635"/>
      <c r="N15" s="635"/>
      <c r="O15" s="635"/>
      <c r="P15" s="635"/>
      <c r="Q15" s="635"/>
    </row>
    <row r="16" spans="1:17" s="6" customFormat="1" ht="15" customHeight="1">
      <c r="A16" s="8" t="s">
        <v>4</v>
      </c>
      <c r="B16" s="177"/>
      <c r="C16" s="107"/>
      <c r="D16" s="8"/>
      <c r="E16" s="8"/>
      <c r="F16" s="8"/>
      <c r="G16" s="139" t="s">
        <v>588</v>
      </c>
      <c r="H16" s="493">
        <f>0.5*'Input sheet'!B11</f>
        <v>2123.5284999999999</v>
      </c>
      <c r="I16" s="145">
        <v>6.4100000000000004E-2</v>
      </c>
      <c r="J16" s="66">
        <f>IF(H16&gt;0,H16/$H$18,)</f>
        <v>0.5</v>
      </c>
      <c r="K16" s="66">
        <f>IF(J16=0,0,I16*J16)</f>
        <v>3.2050000000000002E-2</v>
      </c>
      <c r="M16" s="635"/>
      <c r="N16" s="635"/>
      <c r="O16" s="635"/>
      <c r="P16" s="635"/>
      <c r="Q16" s="635"/>
    </row>
    <row r="17" spans="1:17" s="6" customFormat="1" ht="15" customHeight="1">
      <c r="A17" s="11" t="s">
        <v>165</v>
      </c>
      <c r="B17" s="178"/>
      <c r="G17" s="139"/>
      <c r="H17" s="81"/>
      <c r="I17" s="139"/>
      <c r="J17" s="66">
        <f>IF(H17&gt;0,H17/$H$18,)</f>
        <v>0</v>
      </c>
      <c r="K17" s="66">
        <f>IF(J17=0,0,I17*J17)</f>
        <v>0</v>
      </c>
      <c r="M17" s="635"/>
      <c r="N17" s="635"/>
      <c r="O17" s="635"/>
      <c r="P17" s="635"/>
      <c r="Q17" s="635"/>
    </row>
    <row r="18" spans="1:17" s="6" customFormat="1" ht="15" customHeight="1">
      <c r="A18" s="6" t="s">
        <v>166</v>
      </c>
      <c r="B18" s="63">
        <f>'Input sheet'!B21</f>
        <v>154.819963</v>
      </c>
      <c r="G18" s="82" t="s">
        <v>361</v>
      </c>
      <c r="H18" s="82">
        <f>SUM(H5:H17)</f>
        <v>4247.0569999999998</v>
      </c>
      <c r="I18" s="82"/>
      <c r="J18" s="66">
        <f>SUM(J5:J17)</f>
        <v>1</v>
      </c>
      <c r="K18" s="66">
        <f>SUM(K5:K17)</f>
        <v>5.3699999999999998E-2</v>
      </c>
      <c r="M18" s="635"/>
      <c r="N18" s="635"/>
      <c r="O18" s="635"/>
      <c r="P18" s="635"/>
      <c r="Q18" s="635"/>
    </row>
    <row r="19" spans="1:17" s="6" customFormat="1" ht="15" customHeight="1">
      <c r="A19" s="6" t="s">
        <v>167</v>
      </c>
      <c r="B19" s="64">
        <f>'Input sheet'!B22</f>
        <v>80.569999999999993</v>
      </c>
      <c r="G19" s="72" t="s">
        <v>420</v>
      </c>
      <c r="M19" s="635"/>
      <c r="N19" s="635"/>
      <c r="O19" s="635"/>
      <c r="P19" s="635"/>
      <c r="Q19" s="635"/>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77.644999999999996</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3.2">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34" t="s">
        <v>746</v>
      </c>
      <c r="N44" s="634"/>
      <c r="O44" s="634"/>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34"/>
      <c r="N45" s="634"/>
      <c r="O45" s="634"/>
    </row>
    <row r="46" spans="1:15" ht="13.2">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34"/>
      <c r="N46" s="634"/>
      <c r="O46" s="634"/>
    </row>
    <row r="47" spans="1:15" ht="13.2">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34"/>
      <c r="N47" s="634"/>
      <c r="O47" s="634"/>
    </row>
    <row r="48" spans="1:15" ht="13.2">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34"/>
      <c r="N48" s="634"/>
      <c r="O48" s="634"/>
    </row>
    <row r="49" spans="1:15" ht="13.2">
      <c r="A49" s="6" t="s">
        <v>181</v>
      </c>
      <c r="B49" s="60">
        <v>70</v>
      </c>
      <c r="C49" s="6"/>
      <c r="D49" s="6"/>
      <c r="E49" s="6"/>
      <c r="F49" s="6"/>
    </row>
    <row r="50" spans="1:15" ht="18">
      <c r="A50" s="6" t="s">
        <v>182</v>
      </c>
      <c r="B50" s="60">
        <v>5</v>
      </c>
      <c r="C50" s="6"/>
      <c r="D50" s="6"/>
      <c r="E50" s="6"/>
      <c r="F50" s="6"/>
      <c r="G50" s="109"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3.2">
      <c r="A53" s="12" t="s">
        <v>183</v>
      </c>
      <c r="B53" s="12"/>
      <c r="C53" s="65">
        <f>B31*(1-(1+B37)^(-B32))/B37+B30/(1+B37)^B32</f>
        <v>60.186374872667379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3.2">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3.2">
      <c r="A60" s="12" t="s">
        <v>189</v>
      </c>
      <c r="B60" s="65">
        <f>B18*B19</f>
        <v>12473.844418909999</v>
      </c>
      <c r="C60" s="168">
        <f>C53+C54+C55</f>
        <v>60.186374872667379</v>
      </c>
      <c r="D60" s="65">
        <f>B48*B49</f>
        <v>0</v>
      </c>
      <c r="E60" s="168">
        <f>SUM(B60:D60)</f>
        <v>12534.030793782667</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34" t="s">
        <v>860</v>
      </c>
      <c r="N60" s="634"/>
      <c r="O60" s="634"/>
    </row>
    <row r="61" spans="1:15" ht="13.8" thickBot="1">
      <c r="A61" s="12" t="s">
        <v>190</v>
      </c>
      <c r="B61" s="66">
        <f>B60/$E$60</f>
        <v>0.99519816283660933</v>
      </c>
      <c r="C61" s="66">
        <f>C60/$E$60</f>
        <v>4.8018371633905665E-3</v>
      </c>
      <c r="D61" s="66">
        <f>D60/$E$60</f>
        <v>0</v>
      </c>
      <c r="E61" s="67">
        <f>SUM(B61:D61)</f>
        <v>0.99999999999999989</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34"/>
      <c r="N61" s="634"/>
      <c r="O61" s="634"/>
    </row>
    <row r="62" spans="1:15" ht="13.8" thickBot="1">
      <c r="A62" s="12" t="s">
        <v>191</v>
      </c>
      <c r="B62" s="68">
        <f>B24+C57*B27</f>
        <v>9.5227000000000006E-2</v>
      </c>
      <c r="C62" s="66">
        <f>B37*(1-B38)</f>
        <v>3.9195000000000001E-2</v>
      </c>
      <c r="D62" s="69">
        <f>B50/B49</f>
        <v>7.1428571428571425E-2</v>
      </c>
      <c r="E62" s="70">
        <f>B61*B62+C61*C62+D61*D62</f>
        <v>9.4957943460060895E-2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34"/>
      <c r="N62" s="634"/>
      <c r="O62" s="634"/>
    </row>
    <row r="63" spans="1:15" ht="13.2">
      <c r="G63" s="81"/>
      <c r="H63" s="86"/>
      <c r="I63" s="87">
        <f>IF(G63=0,,VLOOKUP(G63,'Industry Average Beta (Global)'!$A$2:$O$95,15))</f>
        <v>0</v>
      </c>
      <c r="J63" s="88">
        <f t="shared" si="5"/>
        <v>0</v>
      </c>
      <c r="K63" s="87">
        <f>IF(G63=0,,VLOOKUP(G63,'Industry Average Beta (Global)'!$A$2:$O$95,7))</f>
        <v>0</v>
      </c>
      <c r="L63" s="181">
        <f>IF(I63=0,0,VLOOKUP(G63,'Industry Average Beta (Global)'!$A$2:$M$95,13))</f>
        <v>0</v>
      </c>
      <c r="M63" s="634"/>
      <c r="N63" s="634"/>
      <c r="O63" s="634"/>
    </row>
    <row r="64" spans="1:15" ht="13.8"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34"/>
      <c r="N64" s="634"/>
      <c r="O64" s="634"/>
    </row>
    <row r="65" spans="1:6" ht="16.2" thickBot="1">
      <c r="A65" s="641" t="s">
        <v>725</v>
      </c>
      <c r="B65" s="642"/>
      <c r="C65" s="642"/>
      <c r="D65" s="642"/>
      <c r="E65" s="642"/>
      <c r="F65" s="643"/>
    </row>
    <row r="66" spans="1:6" ht="13.8" thickBot="1">
      <c r="A66" s="6" t="s">
        <v>726</v>
      </c>
      <c r="B66" s="183" t="s">
        <v>454</v>
      </c>
    </row>
    <row r="67" spans="1:6" ht="12"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 thickBot="1"/>
    <row r="69" spans="1:6" ht="16.2" thickBot="1">
      <c r="A69" s="641" t="s">
        <v>728</v>
      </c>
      <c r="B69" s="644"/>
      <c r="C69" s="642"/>
      <c r="D69" s="642"/>
      <c r="E69" s="642"/>
      <c r="F69" s="643"/>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23" t="s">
        <v>740</v>
      </c>
      <c r="B80" s="624"/>
      <c r="C80" s="624"/>
      <c r="D80" s="624"/>
      <c r="E80" s="624"/>
      <c r="F80" s="624"/>
    </row>
    <row r="81" spans="1:6">
      <c r="A81" s="624"/>
      <c r="B81" s="624"/>
      <c r="C81" s="624"/>
      <c r="D81" s="624"/>
      <c r="E81" s="624"/>
      <c r="F81" s="624"/>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375" defaultRowHeight="11.4"/>
  <sheetData>
    <row r="1" spans="1:11" s="232" customFormat="1" ht="22.8">
      <c r="A1" s="232" t="s">
        <v>750</v>
      </c>
    </row>
    <row r="2" spans="1:11" s="230" customFormat="1" ht="17.399999999999999">
      <c r="A2" s="230" t="s">
        <v>751</v>
      </c>
    </row>
    <row r="3" spans="1:11" ht="12" thickBot="1"/>
    <row r="4" spans="1:11" ht="13.8" thickBot="1">
      <c r="A4" s="645" t="s">
        <v>620</v>
      </c>
      <c r="B4" s="646"/>
      <c r="C4" s="646"/>
      <c r="D4" s="646"/>
      <c r="E4" s="646"/>
      <c r="F4" s="646"/>
      <c r="G4" s="646"/>
      <c r="H4" s="646"/>
      <c r="I4" s="646"/>
      <c r="J4" s="646"/>
      <c r="K4" s="647"/>
    </row>
    <row r="5" spans="1:11" ht="15.6">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7.399999999999999">
      <c r="A16" s="230" t="s">
        <v>763</v>
      </c>
    </row>
    <row r="17" spans="1:24">
      <c r="O17" s="651" t="s">
        <v>769</v>
      </c>
      <c r="P17" s="651"/>
      <c r="Q17" s="651"/>
      <c r="R17" s="651"/>
      <c r="S17" s="651"/>
      <c r="T17" s="651"/>
      <c r="U17" s="651"/>
      <c r="V17" s="651"/>
      <c r="W17" s="651"/>
      <c r="X17" s="651"/>
    </row>
    <row r="18" spans="1:24" ht="15.6">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 customHeight="1">
      <c r="A19" s="648"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6">
      <c r="A20" s="649"/>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6">
      <c r="A21" s="649"/>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6">
      <c r="A22" s="649"/>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6">
      <c r="A23" s="649"/>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6">
      <c r="A24" s="649"/>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6">
      <c r="A25" s="649"/>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6">
      <c r="A26" s="649"/>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6">
      <c r="A27" s="649"/>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6">
      <c r="A28" s="650"/>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6">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6">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6">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0"/>
  <sheetViews>
    <sheetView topLeftCell="A153" workbookViewId="0">
      <selection activeCell="J208" sqref="J208"/>
    </sheetView>
  </sheetViews>
  <sheetFormatPr defaultColWidth="11.375" defaultRowHeight="15.6"/>
  <cols>
    <col min="1" max="1" width="27.375" bestFit="1" customWidth="1"/>
    <col min="2" max="2" width="15" bestFit="1" customWidth="1"/>
    <col min="3" max="3" width="18.375" bestFit="1" customWidth="1"/>
    <col min="4" max="4" width="21" bestFit="1" customWidth="1"/>
    <col min="5" max="5" width="20" bestFit="1" customWidth="1"/>
    <col min="6" max="6" width="17.75" bestFit="1" customWidth="1"/>
    <col min="7" max="7" width="13.75" style="483" bestFit="1" customWidth="1"/>
    <col min="8" max="8" width="13.125" bestFit="1" customWidth="1"/>
  </cols>
  <sheetData>
    <row r="1" spans="1:7">
      <c r="A1" t="s">
        <v>584</v>
      </c>
      <c r="B1" s="145">
        <v>4.3299999999999998E-2</v>
      </c>
      <c r="C1" t="s">
        <v>984</v>
      </c>
    </row>
    <row r="2" spans="1:7" s="10" customFormat="1">
      <c r="A2" s="170" t="s">
        <v>628</v>
      </c>
      <c r="B2" s="170"/>
      <c r="C2" s="170"/>
      <c r="D2" s="170"/>
      <c r="E2" s="170"/>
      <c r="F2" s="170"/>
      <c r="G2" s="484"/>
    </row>
    <row r="4" spans="1:7" ht="31.2">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10">
      <c r="A193" s="382" t="s">
        <v>891</v>
      </c>
      <c r="B193" s="118" t="s">
        <v>636</v>
      </c>
      <c r="C193" s="117">
        <v>0.10896601681957191</v>
      </c>
      <c r="D193" s="117">
        <f t="shared" si="2"/>
        <v>0.18958029460560966</v>
      </c>
      <c r="E193" s="117">
        <v>0.14628029460560965</v>
      </c>
      <c r="F193" s="117">
        <v>0.2</v>
      </c>
      <c r="G193" s="485">
        <v>21610</v>
      </c>
    </row>
    <row r="194" spans="1:10">
      <c r="A194" s="381" t="s">
        <v>331</v>
      </c>
      <c r="B194" s="118" t="s">
        <v>605</v>
      </c>
      <c r="C194" s="117">
        <v>0.10896601681957188</v>
      </c>
      <c r="D194" s="117">
        <f t="shared" si="2"/>
        <v>0.18958029460560966</v>
      </c>
      <c r="E194" s="117">
        <v>0.14628029460560965</v>
      </c>
      <c r="F194" s="117">
        <v>0.35</v>
      </c>
      <c r="G194" s="485">
        <v>29163.782138341488</v>
      </c>
    </row>
    <row r="195" spans="1:10">
      <c r="A195" s="383" t="s">
        <v>583</v>
      </c>
      <c r="B195" s="118" t="s">
        <v>636</v>
      </c>
      <c r="C195" s="117">
        <v>9.8082219604926024E-2</v>
      </c>
      <c r="D195" s="117">
        <f t="shared" si="2"/>
        <v>0.17496945436885658</v>
      </c>
      <c r="E195" s="117">
        <v>0.13166945436885658</v>
      </c>
      <c r="F195" s="117">
        <v>0.25</v>
      </c>
      <c r="G195" s="485">
        <v>27366.627153085246</v>
      </c>
    </row>
    <row r="200" spans="1:10">
      <c r="A200" s="486" t="s">
        <v>335</v>
      </c>
      <c r="B200" s="487" t="s">
        <v>358</v>
      </c>
      <c r="C200" s="487" t="s">
        <v>900</v>
      </c>
      <c r="D200" s="487" t="s">
        <v>637</v>
      </c>
      <c r="E200" s="487" t="s">
        <v>901</v>
      </c>
      <c r="F200" s="80" t="s">
        <v>985</v>
      </c>
    </row>
    <row r="201" spans="1:10">
      <c r="A201" s="1" t="s">
        <v>338</v>
      </c>
      <c r="B201" s="481">
        <f>$B$1+E201</f>
        <v>0.13493852306889545</v>
      </c>
      <c r="C201" s="481">
        <v>6.8262679351091926E-2</v>
      </c>
      <c r="D201" s="481">
        <v>0.27302836489005694</v>
      </c>
      <c r="E201" s="481">
        <v>9.1638523068895444E-2</v>
      </c>
      <c r="F201" s="488">
        <v>2508220.6789325164</v>
      </c>
    </row>
    <row r="202" spans="1:10">
      <c r="A202" s="1" t="s">
        <v>404</v>
      </c>
      <c r="B202" s="481">
        <f t="shared" ref="B202:B210" si="3">$B$1+E202</f>
        <v>6.0105405008578569E-2</v>
      </c>
      <c r="C202" s="481">
        <v>1.2518555898193178E-2</v>
      </c>
      <c r="D202" s="481">
        <v>0.2576437502455447</v>
      </c>
      <c r="E202" s="481">
        <v>1.6805405008578567E-2</v>
      </c>
      <c r="F202" s="488">
        <v>32948678.067337982</v>
      </c>
    </row>
    <row r="203" spans="1:10">
      <c r="A203" s="1" t="s">
        <v>340</v>
      </c>
      <c r="B203" s="481">
        <f t="shared" si="3"/>
        <v>4.3347923618641933E-2</v>
      </c>
      <c r="C203" s="481">
        <v>3.5698901544265913E-5</v>
      </c>
      <c r="D203" s="481">
        <v>0.29744361328762281</v>
      </c>
      <c r="E203" s="481">
        <v>4.7923618641935289E-5</v>
      </c>
      <c r="F203" s="488">
        <v>1942472.3523971008</v>
      </c>
    </row>
    <row r="204" spans="1:10">
      <c r="A204" s="1" t="s">
        <v>342</v>
      </c>
      <c r="B204" s="481">
        <f t="shared" si="3"/>
        <v>0.18483488197001549</v>
      </c>
      <c r="C204" s="481">
        <v>0.1054310997313879</v>
      </c>
      <c r="D204" s="481">
        <v>0.2724561140242252</v>
      </c>
      <c r="E204" s="481">
        <v>0.14153488197001549</v>
      </c>
      <c r="F204" s="488">
        <v>869389.47891538299</v>
      </c>
    </row>
    <row r="205" spans="1:10">
      <c r="A205" s="1" t="s">
        <v>339</v>
      </c>
      <c r="B205" s="481">
        <f t="shared" si="3"/>
        <v>0.10091091058162495</v>
      </c>
      <c r="C205" s="481">
        <v>4.2915086193622262E-2</v>
      </c>
      <c r="D205" s="481">
        <v>0.31595749426030023</v>
      </c>
      <c r="E205" s="481">
        <v>5.7610910581624951E-2</v>
      </c>
      <c r="F205" s="488">
        <v>5601817.8332648547</v>
      </c>
    </row>
    <row r="206" spans="1:10">
      <c r="A206" s="1" t="s">
        <v>337</v>
      </c>
      <c r="B206" s="481">
        <f t="shared" si="3"/>
        <v>9.3879383477192269E-2</v>
      </c>
      <c r="C206" s="481">
        <v>3.7670398345457844E-2</v>
      </c>
      <c r="D206" s="481">
        <v>0.18485819102180306</v>
      </c>
      <c r="E206" s="481">
        <v>5.0579383477192263E-2</v>
      </c>
      <c r="F206" s="488">
        <v>5010073.2660032045</v>
      </c>
      <c r="H206">
        <f>282970</f>
        <v>282970</v>
      </c>
      <c r="I206">
        <f>H206/H208</f>
        <v>0.61047803556249758</v>
      </c>
      <c r="J206">
        <f>I206*0.085</f>
        <v>5.1890633022812299E-2</v>
      </c>
    </row>
    <row r="207" spans="1:10">
      <c r="A207" s="1" t="s">
        <v>343</v>
      </c>
      <c r="B207" s="481">
        <f t="shared" si="3"/>
        <v>6.4889990892489854E-2</v>
      </c>
      <c r="C207" s="481">
        <v>1.6082653627874467E-2</v>
      </c>
      <c r="D207" s="481">
        <v>0.18760152153615242</v>
      </c>
      <c r="E207" s="481">
        <v>2.1589990892489853E-2</v>
      </c>
      <c r="F207" s="488">
        <v>3382577.6565681733</v>
      </c>
      <c r="H207" s="664">
        <v>180552</v>
      </c>
      <c r="I207">
        <f>H207/H208</f>
        <v>0.38952196443750242</v>
      </c>
      <c r="J207">
        <f>I207*0.25</f>
        <v>9.7380491109375605E-2</v>
      </c>
    </row>
    <row r="208" spans="1:10">
      <c r="A208" s="1" t="s">
        <v>345</v>
      </c>
      <c r="B208" s="481">
        <f t="shared" si="3"/>
        <v>4.3299999999999998E-2</v>
      </c>
      <c r="C208" s="481">
        <v>0</v>
      </c>
      <c r="D208" s="481">
        <v>0.25116286561170831</v>
      </c>
      <c r="E208" s="481">
        <v>0</v>
      </c>
      <c r="F208" s="488">
        <v>27577639.220074911</v>
      </c>
      <c r="H208">
        <f>SUM(H206:H207)</f>
        <v>463522</v>
      </c>
      <c r="J208">
        <f>SUM(J206:J207)</f>
        <v>0.1492711241321879</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T32" sqref="T32"/>
    </sheetView>
  </sheetViews>
  <sheetFormatPr defaultColWidth="11.375" defaultRowHeight="11.4"/>
  <cols>
    <col min="1" max="1" width="23.125" customWidth="1"/>
    <col min="2" max="23" width="10.75" style="92" customWidth="1"/>
  </cols>
  <sheetData>
    <row r="1" spans="1:27" s="171"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3.2">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3.2">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3.2">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3.2">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3.2">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3.2">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3.2">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3.2">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3.2">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3.2">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3.2">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3.2">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3.2">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3.2">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3.2">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3.2">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3.2">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3.2">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3.2">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3.2">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3.2">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3.2">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3.2">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3.2">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3.2">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3.2">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3.2">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3.2">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3.2">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3.2">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3.2">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3.2">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3.2">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3.2">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3.2">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3.2">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3.2">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3.2">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3.2">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3.2">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3.2">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3.2">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3.2">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3.2">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3.2">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3.2">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3.2">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3.2">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3.2">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3.2">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3.2">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3.2">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3.2">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3.2">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3.2">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3.2">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3.2">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3.2">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3.2">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3.2">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3.2">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3.2">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3.2">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3.2">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3.2">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3.2">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3.2">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3.2">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3.2">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3.2">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3.2">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3.2">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3.2">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3.2">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3.2">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3.2">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3.2">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3.2">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3.2">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3.2">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3.2">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3.2">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3.2">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3.2">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3.2">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3.2">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3.2">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3.2">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3.2">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3.2">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3.2">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3.2">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3.2">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3.2">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3.2">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3.2">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4"/>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E24" sqref="E24"/>
    </sheetView>
  </sheetViews>
  <sheetFormatPr defaultColWidth="11.375" defaultRowHeight="11.4"/>
  <cols>
    <col min="1" max="1" width="23.125" customWidth="1"/>
    <col min="2" max="23" width="10.75" style="92" customWidth="1"/>
  </cols>
  <sheetData>
    <row r="1" spans="1:27" s="172"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3.2">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3.2">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3.2">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3.2">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3.2">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3.2">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3.2">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3.2">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3.2">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3.2">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3.2">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3.2">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3.2">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3.2">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3.2">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3.2">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3.2">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3.2">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3.2">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3.2">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3.2">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3.2">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3.2">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3.2">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3.2">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3.2">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3.2">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3.2">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3.2">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3.2">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3.2">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3.2">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3.2">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3.2">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3.2">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3.2">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3.2">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3.2">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3.2">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3.2">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3.2">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3.2">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3.2">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3.2">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3.2">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3.2">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3.2">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3.2">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3.2">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3.2">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3.2">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3.2">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3.2">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3.2">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3.2">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3.2">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3.2">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3.2">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3.2">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3.2">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3.2">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3.2">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3.2">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3.2">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3.2">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3.2">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3.2">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3.2">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3.2">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3.2">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3.2">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3.2">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3.2">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3.2">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3.2">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3.2">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3.2">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3.2">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3.2">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3.2">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3.2">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3.2">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3.2">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3.2">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3.2">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3.2">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3.2">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3.2">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3.2">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3.2">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3.2">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3.2">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3.2">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3.2">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3.2">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3.2">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375" defaultRowHeight="11.4"/>
  <cols>
    <col min="1" max="1" width="41" customWidth="1"/>
    <col min="3" max="18" width="14.875" customWidth="1"/>
  </cols>
  <sheetData>
    <row r="1" spans="1:20" s="2" customFormat="1" ht="15.6">
      <c r="A1" s="347"/>
      <c r="B1" s="151"/>
      <c r="C1" s="652" t="s">
        <v>821</v>
      </c>
      <c r="D1" s="652"/>
      <c r="E1" s="652"/>
      <c r="F1" s="652" t="s">
        <v>822</v>
      </c>
      <c r="G1" s="652"/>
      <c r="H1" s="652"/>
      <c r="I1" s="653" t="s">
        <v>823</v>
      </c>
      <c r="J1" s="653"/>
      <c r="K1" s="653"/>
      <c r="L1" s="652" t="s">
        <v>534</v>
      </c>
      <c r="M1" s="652"/>
      <c r="N1" s="652"/>
      <c r="O1" s="151" t="s">
        <v>447</v>
      </c>
      <c r="P1" s="652" t="s">
        <v>824</v>
      </c>
      <c r="Q1" s="652"/>
      <c r="R1" s="652"/>
    </row>
    <row r="2" spans="1:20" ht="31.2">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375"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55" t="s">
        <v>899</v>
      </c>
      <c r="B1" s="656"/>
      <c r="C1" s="656"/>
      <c r="D1" s="656"/>
      <c r="E1" s="656"/>
      <c r="F1" s="657"/>
    </row>
    <row r="2" spans="1:6">
      <c r="A2" s="658"/>
      <c r="B2" s="659"/>
      <c r="C2" s="659"/>
      <c r="D2" s="659"/>
      <c r="E2" s="659"/>
      <c r="F2" s="660"/>
    </row>
    <row r="3" spans="1:6">
      <c r="A3" s="658"/>
      <c r="B3" s="659"/>
      <c r="C3" s="659"/>
      <c r="D3" s="659"/>
      <c r="E3" s="659"/>
      <c r="F3" s="660"/>
    </row>
    <row r="4" spans="1:6" ht="12" thickBot="1">
      <c r="A4" s="661"/>
      <c r="B4" s="662"/>
      <c r="C4" s="662"/>
      <c r="D4" s="662"/>
      <c r="E4" s="662"/>
      <c r="F4" s="663"/>
    </row>
    <row r="6" spans="1:6">
      <c r="B6" s="80" t="s">
        <v>898</v>
      </c>
      <c r="C6" s="80" t="s">
        <v>401</v>
      </c>
      <c r="D6" s="80" t="s">
        <v>402</v>
      </c>
      <c r="E6" s="80" t="s">
        <v>373</v>
      </c>
    </row>
    <row r="7" spans="1:6" ht="12.6">
      <c r="A7" s="36" t="s">
        <v>5</v>
      </c>
      <c r="B7" s="96">
        <v>15794.34</v>
      </c>
      <c r="C7" s="96">
        <v>7608.13</v>
      </c>
      <c r="D7" s="96">
        <v>9444.11</v>
      </c>
      <c r="E7" s="97">
        <f>B7-C7+D7</f>
        <v>17630.32</v>
      </c>
    </row>
    <row r="8" spans="1:6" ht="12.6">
      <c r="A8" s="36" t="s">
        <v>589</v>
      </c>
      <c r="B8" s="96">
        <v>1221.81</v>
      </c>
      <c r="C8" s="96">
        <v>581.41</v>
      </c>
      <c r="D8" s="96">
        <v>756</v>
      </c>
      <c r="E8" s="97">
        <f>B8-C8+D8</f>
        <v>1396.4</v>
      </c>
    </row>
    <row r="9" spans="1:6" ht="12.6">
      <c r="A9" s="36" t="s">
        <v>23</v>
      </c>
      <c r="B9" s="96">
        <v>1605.23</v>
      </c>
      <c r="C9" s="96">
        <v>908.79</v>
      </c>
      <c r="D9" s="96">
        <v>1165.5</v>
      </c>
      <c r="E9" s="97">
        <f>B9-C9+D9</f>
        <v>1861.94</v>
      </c>
    </row>
    <row r="10" spans="1:6" ht="12.6">
      <c r="A10" s="36" t="s">
        <v>411</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365</v>
      </c>
      <c r="B15" s="96">
        <v>0</v>
      </c>
      <c r="C15" s="96"/>
      <c r="D15" s="96">
        <v>0</v>
      </c>
      <c r="E15" s="97"/>
    </row>
    <row r="16" spans="1:6" ht="12.6">
      <c r="A16" s="36" t="s">
        <v>369</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374</v>
      </c>
      <c r="B21" s="101"/>
      <c r="C21" s="101"/>
      <c r="D21" s="101"/>
      <c r="E21" s="102"/>
    </row>
    <row r="22" spans="1:5" ht="12.6">
      <c r="A22" s="35" t="s">
        <v>375</v>
      </c>
      <c r="B22" s="143">
        <v>172.47</v>
      </c>
      <c r="C22" s="99"/>
      <c r="D22" s="99" t="s">
        <v>88</v>
      </c>
      <c r="E22" s="100"/>
    </row>
    <row r="23" spans="1:5" ht="12.6">
      <c r="A23" s="35" t="s">
        <v>376</v>
      </c>
      <c r="B23" s="143">
        <v>139.4</v>
      </c>
      <c r="C23" s="654" t="s">
        <v>531</v>
      </c>
      <c r="D23" s="99" t="s">
        <v>88</v>
      </c>
      <c r="E23" s="100"/>
    </row>
    <row r="24" spans="1:5" ht="12.6">
      <c r="A24" s="35" t="s">
        <v>377</v>
      </c>
      <c r="B24" s="143">
        <v>145.18</v>
      </c>
      <c r="C24" s="654"/>
      <c r="D24" s="99" t="s">
        <v>88</v>
      </c>
      <c r="E24" s="100"/>
    </row>
    <row r="25" spans="1:5" ht="12.6">
      <c r="A25" s="35" t="s">
        <v>378</v>
      </c>
      <c r="B25" s="143">
        <v>156.53</v>
      </c>
      <c r="C25" s="654"/>
      <c r="D25" s="99" t="s">
        <v>88</v>
      </c>
      <c r="E25" s="100"/>
    </row>
    <row r="26" spans="1:5" ht="12.6">
      <c r="A26" s="35" t="s">
        <v>379</v>
      </c>
      <c r="B26" s="143">
        <v>151.19999999999999</v>
      </c>
      <c r="C26" s="654"/>
      <c r="D26" s="99" t="s">
        <v>88</v>
      </c>
      <c r="E26" s="100"/>
    </row>
    <row r="27" spans="1:5" ht="13.8">
      <c r="A27" s="35" t="s">
        <v>380</v>
      </c>
      <c r="B27" s="142">
        <v>943.63</v>
      </c>
      <c r="C27" s="654"/>
      <c r="D27" s="99" t="s">
        <v>88</v>
      </c>
      <c r="E27" s="100"/>
    </row>
    <row r="28" spans="1:5">
      <c r="B28" s="94"/>
      <c r="C28" s="654"/>
    </row>
    <row r="30" spans="1:5" ht="12.6">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1.4"/>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375" defaultRowHeight="11.4"/>
  <cols>
    <col min="1" max="1" width="6.25" bestFit="1" customWidth="1"/>
    <col min="2" max="2" width="16.375" bestFit="1" customWidth="1"/>
    <col min="3" max="3" width="18.25" bestFit="1" customWidth="1"/>
    <col min="4" max="5" width="12.25" bestFit="1" customWidth="1"/>
    <col min="6" max="6" width="17.75" bestFit="1" customWidth="1"/>
    <col min="9" max="9" width="20.25" customWidth="1"/>
    <col min="10" max="10" width="18.875" customWidth="1"/>
  </cols>
  <sheetData>
    <row r="1" spans="1:10" s="146" customFormat="1" ht="12">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5834-0673-4113-8442-4663DABAAA80}">
  <dimension ref="A1:R40"/>
  <sheetViews>
    <sheetView workbookViewId="0">
      <pane ySplit="1" topLeftCell="A24" activePane="bottomLeft" state="frozen"/>
      <selection pane="bottomLeft" activeCell="I39" sqref="I39"/>
    </sheetView>
  </sheetViews>
  <sheetFormatPr defaultRowHeight="14.4"/>
  <cols>
    <col min="1" max="1" width="24.25" style="665" bestFit="1" customWidth="1"/>
    <col min="2" max="16384" width="9" style="665"/>
  </cols>
  <sheetData>
    <row r="1" spans="1:18">
      <c r="B1" s="665">
        <v>2018</v>
      </c>
      <c r="C1" s="665">
        <f>B1+1</f>
        <v>2019</v>
      </c>
      <c r="D1" s="665">
        <f>C1+1</f>
        <v>2020</v>
      </c>
      <c r="E1" s="665">
        <f>D1+1</f>
        <v>2021</v>
      </c>
      <c r="F1" s="665">
        <f>E1+1</f>
        <v>2022</v>
      </c>
      <c r="G1" s="665">
        <f>F1+1</f>
        <v>2023</v>
      </c>
      <c r="H1" s="665">
        <f>G1+1</f>
        <v>2024</v>
      </c>
      <c r="I1" s="665">
        <f>H1+1</f>
        <v>2025</v>
      </c>
      <c r="J1" s="665">
        <f>I1+1</f>
        <v>2026</v>
      </c>
      <c r="K1" s="665">
        <f>J1+1</f>
        <v>2027</v>
      </c>
      <c r="L1" s="665">
        <f>K1+1</f>
        <v>2028</v>
      </c>
      <c r="M1" s="665">
        <f>L1+1</f>
        <v>2029</v>
      </c>
      <c r="N1" s="665">
        <f>M1+1</f>
        <v>2030</v>
      </c>
      <c r="O1" s="665">
        <f>N1+1</f>
        <v>2031</v>
      </c>
      <c r="P1" s="665">
        <f>O1+1</f>
        <v>2032</v>
      </c>
      <c r="Q1" s="665">
        <f>P1+1</f>
        <v>2033</v>
      </c>
      <c r="R1" s="665">
        <f>Q1+1</f>
        <v>2034</v>
      </c>
    </row>
    <row r="2" spans="1:18">
      <c r="A2" s="665" t="s">
        <v>1005</v>
      </c>
      <c r="G2" s="665">
        <v>2500</v>
      </c>
      <c r="H2" s="665">
        <f>G2*1.085</f>
        <v>2712.5</v>
      </c>
      <c r="I2" s="665">
        <f>H2*1.085</f>
        <v>2943.0625</v>
      </c>
      <c r="J2" s="665">
        <f>I2*1.085</f>
        <v>3193.2228124999997</v>
      </c>
      <c r="K2" s="665">
        <f>J2*1.085</f>
        <v>3464.6467515624995</v>
      </c>
      <c r="L2" s="665">
        <f>K2*1.085</f>
        <v>3759.1417254453117</v>
      </c>
      <c r="M2" s="665">
        <f>L2*1.085</f>
        <v>4078.668772108163</v>
      </c>
      <c r="N2" s="665">
        <f>M2*1.085</f>
        <v>4425.3556177373566</v>
      </c>
      <c r="O2" s="665">
        <f>N2*1.085</f>
        <v>4801.5108452450322</v>
      </c>
      <c r="P2" s="665">
        <f>O2*1.085</f>
        <v>5209.6392670908599</v>
      </c>
      <c r="Q2" s="665">
        <f>P2*1.085</f>
        <v>5652.4586047935827</v>
      </c>
      <c r="R2" s="665">
        <f>Q2*1.085</f>
        <v>6132.917586201037</v>
      </c>
    </row>
    <row r="3" spans="1:18">
      <c r="A3" s="665" t="s">
        <v>1001</v>
      </c>
      <c r="G3" s="666">
        <v>728</v>
      </c>
      <c r="H3" s="667">
        <f>H2*H4</f>
        <v>759.50000000000011</v>
      </c>
      <c r="I3" s="667">
        <f>I2*I4</f>
        <v>882.91874999999993</v>
      </c>
      <c r="J3" s="667">
        <f>J2*J4</f>
        <v>957.96684374999984</v>
      </c>
      <c r="K3" s="667">
        <f>K2*K4</f>
        <v>1039.3940254687498</v>
      </c>
      <c r="L3" s="667">
        <f>L2*L4</f>
        <v>1127.7425176335935</v>
      </c>
      <c r="M3" s="667">
        <f>M2*M4</f>
        <v>1223.6006316324488</v>
      </c>
      <c r="N3" s="667">
        <f>N2*N4</f>
        <v>1327.6066853212069</v>
      </c>
      <c r="O3" s="667">
        <f>O2*O4</f>
        <v>1440.4532535735095</v>
      </c>
      <c r="P3" s="667">
        <f>P2*P4</f>
        <v>1562.891780127258</v>
      </c>
      <c r="Q3" s="667">
        <f>Q2*Q4</f>
        <v>1695.7375814380748</v>
      </c>
      <c r="R3" s="667">
        <f>R2*R4</f>
        <v>1839.8752758603111</v>
      </c>
    </row>
    <row r="4" spans="1:18">
      <c r="A4" s="665" t="s">
        <v>994</v>
      </c>
      <c r="G4" s="665">
        <f>G3/G2</f>
        <v>0.29120000000000001</v>
      </c>
      <c r="H4" s="665">
        <v>0.28000000000000003</v>
      </c>
      <c r="I4" s="665">
        <v>0.3</v>
      </c>
      <c r="J4" s="665">
        <v>0.3</v>
      </c>
      <c r="K4" s="665">
        <v>0.3</v>
      </c>
      <c r="L4" s="665">
        <v>0.3</v>
      </c>
      <c r="M4" s="665">
        <v>0.3</v>
      </c>
      <c r="N4" s="665">
        <v>0.3</v>
      </c>
      <c r="O4" s="665">
        <v>0.3</v>
      </c>
      <c r="P4" s="665">
        <v>0.3</v>
      </c>
      <c r="Q4" s="665">
        <v>0.3</v>
      </c>
      <c r="R4" s="665">
        <v>0.3</v>
      </c>
    </row>
    <row r="7" spans="1:18">
      <c r="A7" s="665" t="s">
        <v>1004</v>
      </c>
      <c r="B7" s="665">
        <v>4370</v>
      </c>
      <c r="C7" s="665">
        <v>4480</v>
      </c>
      <c r="D7" s="665">
        <v>5080</v>
      </c>
      <c r="E7" s="665">
        <v>5240</v>
      </c>
      <c r="F7" s="665">
        <v>4670</v>
      </c>
      <c r="G7" s="665">
        <v>4820</v>
      </c>
      <c r="H7" s="665">
        <v>4900</v>
      </c>
      <c r="I7" s="665">
        <v>4980</v>
      </c>
      <c r="J7" s="665">
        <v>5060</v>
      </c>
      <c r="K7" s="665">
        <v>5160</v>
      </c>
      <c r="L7" s="665">
        <v>5250</v>
      </c>
      <c r="M7" s="667">
        <f>L7*1.017</f>
        <v>5339.2499999999991</v>
      </c>
      <c r="N7" s="667">
        <f>M7*1.017</f>
        <v>5430.017249999999</v>
      </c>
      <c r="O7" s="667">
        <f>N7*1.017</f>
        <v>5522.3275432499986</v>
      </c>
      <c r="P7" s="667">
        <f>O7*1.017</f>
        <v>5616.2071114852479</v>
      </c>
      <c r="Q7" s="667">
        <f>P7*1.017</f>
        <v>5711.6826323804962</v>
      </c>
      <c r="R7" s="667">
        <f>Q7*1.017</f>
        <v>5808.7812371309637</v>
      </c>
    </row>
    <row r="8" spans="1:18">
      <c r="A8" s="665" t="s">
        <v>1001</v>
      </c>
      <c r="B8" s="666">
        <v>498.47199999999998</v>
      </c>
      <c r="C8" s="666">
        <v>536.61900000000003</v>
      </c>
      <c r="D8" s="666">
        <v>571.72</v>
      </c>
      <c r="E8" s="666">
        <v>784</v>
      </c>
      <c r="F8" s="666">
        <v>967</v>
      </c>
      <c r="G8" s="666">
        <v>836</v>
      </c>
      <c r="H8" s="667">
        <f>H7*H9</f>
        <v>833.00000000000011</v>
      </c>
      <c r="I8" s="667">
        <f>I7*I9</f>
        <v>846.6</v>
      </c>
      <c r="J8" s="667">
        <f>J7*J9</f>
        <v>860.2</v>
      </c>
      <c r="K8" s="667">
        <f>K7*K9</f>
        <v>980.4</v>
      </c>
      <c r="L8" s="667">
        <f>L7*L9</f>
        <v>997.5</v>
      </c>
      <c r="M8" s="667">
        <f>M7*M9</f>
        <v>1067.8499999999999</v>
      </c>
      <c r="N8" s="667">
        <f>N7*N9</f>
        <v>1086.0034499999999</v>
      </c>
      <c r="O8" s="667">
        <f>O7*O9</f>
        <v>1104.4655086499997</v>
      </c>
      <c r="P8" s="667">
        <f>P7*P9</f>
        <v>1123.2414222970497</v>
      </c>
      <c r="Q8" s="667">
        <f>Q7*Q9</f>
        <v>1142.3365264760994</v>
      </c>
      <c r="R8" s="667">
        <f>R7*R9</f>
        <v>1161.7562474261929</v>
      </c>
    </row>
    <row r="9" spans="1:18">
      <c r="B9" s="669">
        <f>B8/B7</f>
        <v>0.11406681922196796</v>
      </c>
      <c r="C9" s="669">
        <f>C8/B7</f>
        <v>0.12279610983981694</v>
      </c>
      <c r="D9" s="669">
        <f>D8/D7</f>
        <v>0.11254330708661418</v>
      </c>
      <c r="E9" s="669">
        <f>E8/E7</f>
        <v>0.14961832061068703</v>
      </c>
      <c r="F9" s="669">
        <f>F8/F7</f>
        <v>0.20706638115631693</v>
      </c>
      <c r="G9" s="669">
        <f>G8/G7</f>
        <v>0.17344398340248962</v>
      </c>
      <c r="H9" s="670">
        <v>0.17</v>
      </c>
      <c r="I9" s="670">
        <v>0.17</v>
      </c>
      <c r="J9" s="670">
        <v>0.17</v>
      </c>
      <c r="K9" s="670">
        <v>0.19</v>
      </c>
      <c r="L9" s="670">
        <v>0.19</v>
      </c>
      <c r="M9" s="670">
        <v>0.2</v>
      </c>
      <c r="N9" s="670">
        <v>0.2</v>
      </c>
      <c r="O9" s="670">
        <v>0.2</v>
      </c>
      <c r="P9" s="670">
        <v>0.2</v>
      </c>
      <c r="Q9" s="670">
        <v>0.2</v>
      </c>
      <c r="R9" s="670">
        <v>0.2</v>
      </c>
    </row>
    <row r="10" spans="1:18">
      <c r="A10" s="665" t="s">
        <v>1003</v>
      </c>
      <c r="C10" s="669">
        <f>C7/B7-1</f>
        <v>2.517162471395884E-2</v>
      </c>
      <c r="D10" s="669">
        <f>D7/C7-1</f>
        <v>0.1339285714285714</v>
      </c>
      <c r="E10" s="669">
        <f>E7/D7-1</f>
        <v>3.1496062992125928E-2</v>
      </c>
      <c r="F10" s="669">
        <f>F7/E7-1</f>
        <v>-0.10877862595419852</v>
      </c>
      <c r="G10" s="669">
        <f>G7/F7-1</f>
        <v>3.2119914346895095E-2</v>
      </c>
      <c r="H10" s="669">
        <f>H7/G7-1</f>
        <v>1.6597510373443924E-2</v>
      </c>
      <c r="I10" s="669">
        <f>I7/H7-1</f>
        <v>1.6326530612244872E-2</v>
      </c>
      <c r="J10" s="669">
        <f>J7/I7-1</f>
        <v>1.6064257028112428E-2</v>
      </c>
      <c r="K10" s="669">
        <f>K7/J7-1</f>
        <v>1.9762845849802479E-2</v>
      </c>
      <c r="L10" s="669">
        <f>L7/K7-1</f>
        <v>1.744186046511631E-2</v>
      </c>
      <c r="M10" s="669">
        <f>M7/L7-1</f>
        <v>1.6999999999999904E-2</v>
      </c>
      <c r="N10" s="669">
        <f>N7/M7-1</f>
        <v>1.6999999999999904E-2</v>
      </c>
      <c r="O10" s="669">
        <f>O7/N7-1</f>
        <v>1.6999999999999904E-2</v>
      </c>
      <c r="P10" s="669">
        <f>P7/O7-1</f>
        <v>1.6999999999999904E-2</v>
      </c>
      <c r="Q10" s="669">
        <f>Q7/P7-1</f>
        <v>1.6999999999999904E-2</v>
      </c>
      <c r="R10" s="669">
        <f>R7/Q7-1</f>
        <v>1.6999999999999904E-2</v>
      </c>
    </row>
    <row r="12" spans="1:18">
      <c r="A12" s="665" t="s">
        <v>1002</v>
      </c>
      <c r="B12" s="666"/>
      <c r="C12" s="666"/>
      <c r="D12" s="666"/>
      <c r="E12" s="666"/>
      <c r="F12" s="666"/>
      <c r="G12" s="666"/>
      <c r="H12" s="669"/>
    </row>
    <row r="13" spans="1:18">
      <c r="A13" s="665" t="s">
        <v>1001</v>
      </c>
      <c r="B13" s="666">
        <v>112.14700000000001</v>
      </c>
      <c r="C13" s="666">
        <v>121.282</v>
      </c>
      <c r="D13" s="666">
        <v>129.19300000000001</v>
      </c>
      <c r="E13" s="666">
        <v>440</v>
      </c>
      <c r="F13" s="666">
        <v>404</v>
      </c>
      <c r="G13" s="666">
        <v>228</v>
      </c>
      <c r="H13" s="667">
        <f>G13*1.05</f>
        <v>239.4</v>
      </c>
      <c r="I13" s="667">
        <f>H13*1.05</f>
        <v>251.37</v>
      </c>
      <c r="J13" s="667">
        <f>I13*1.05</f>
        <v>263.93850000000003</v>
      </c>
      <c r="K13" s="667">
        <f>J13*1.05</f>
        <v>277.13542500000005</v>
      </c>
      <c r="L13" s="667">
        <f>K13*1.05</f>
        <v>290.99219625000006</v>
      </c>
      <c r="M13" s="667">
        <f>L13*1.05</f>
        <v>305.54180606250009</v>
      </c>
      <c r="N13" s="667">
        <f>M13*1.05</f>
        <v>320.81889636562511</v>
      </c>
      <c r="O13" s="667">
        <f>N13*1.05</f>
        <v>336.85984118390638</v>
      </c>
      <c r="P13" s="667">
        <f>O13*1.05</f>
        <v>353.70283324310174</v>
      </c>
      <c r="Q13" s="667">
        <f>P13*1.05</f>
        <v>371.38797490525684</v>
      </c>
      <c r="R13" s="667">
        <f>Q13*1.05</f>
        <v>389.95737365051968</v>
      </c>
    </row>
    <row r="16" spans="1:18">
      <c r="A16" s="665" t="s">
        <v>1000</v>
      </c>
      <c r="B16" s="666">
        <v>107.94199999999999</v>
      </c>
      <c r="C16" s="666">
        <v>128.315</v>
      </c>
      <c r="D16" s="666">
        <v>135.309</v>
      </c>
      <c r="E16" s="666">
        <v>384</v>
      </c>
      <c r="F16" s="666">
        <v>310</v>
      </c>
      <c r="G16" s="666">
        <v>254</v>
      </c>
      <c r="H16" s="668">
        <f>G16*0.95</f>
        <v>241.29999999999998</v>
      </c>
      <c r="I16" s="668">
        <f>H16*1.02</f>
        <v>246.12599999999998</v>
      </c>
      <c r="J16" s="668">
        <f>I16*1.02</f>
        <v>251.04851999999997</v>
      </c>
      <c r="K16" s="668">
        <f>J16*1.02</f>
        <v>256.06949039999995</v>
      </c>
      <c r="L16" s="668">
        <f>K16*1.02</f>
        <v>261.19088020799995</v>
      </c>
      <c r="M16" s="668">
        <f>L16*1.02</f>
        <v>266.41469781215994</v>
      </c>
      <c r="N16" s="668">
        <f>M16*1.02</f>
        <v>271.74299176840316</v>
      </c>
      <c r="O16" s="668">
        <f>N16*1.02</f>
        <v>277.17785160377122</v>
      </c>
      <c r="P16" s="668">
        <f>O16*1.02</f>
        <v>282.72140863584667</v>
      </c>
      <c r="Q16" s="668">
        <f>P16*1.02</f>
        <v>288.37583680856363</v>
      </c>
      <c r="R16" s="668">
        <f>Q16*1.02</f>
        <v>294.14335354473491</v>
      </c>
    </row>
    <row r="19" spans="1:18">
      <c r="A19" s="665" t="s">
        <v>999</v>
      </c>
      <c r="E19" s="665">
        <v>3125.86</v>
      </c>
      <c r="F19" s="665">
        <f>E19*1.0663</f>
        <v>3333.1045180000001</v>
      </c>
      <c r="G19" s="665">
        <f>F19*1.0663</f>
        <v>3554.0893475434</v>
      </c>
      <c r="H19" s="665">
        <f>G19*1.0663</f>
        <v>3789.7254712855274</v>
      </c>
      <c r="I19" s="665">
        <f>H19*1.0663</f>
        <v>4040.9842700317581</v>
      </c>
      <c r="J19" s="665">
        <f>I19*1.0663</f>
        <v>4308.9015271348635</v>
      </c>
      <c r="K19" s="665">
        <f>J19*1.0663</f>
        <v>4594.5816983839049</v>
      </c>
      <c r="L19" s="665">
        <f>K19*1.0663</f>
        <v>4899.2024649867581</v>
      </c>
      <c r="M19" s="665">
        <f>L19*1.0663</f>
        <v>5224.01958841538</v>
      </c>
      <c r="N19" s="665">
        <f>M19*1.0663</f>
        <v>5570.3720871273199</v>
      </c>
      <c r="O19" s="665">
        <f>N19*1.0663</f>
        <v>5939.6877565038612</v>
      </c>
      <c r="P19" s="665">
        <f>O19*1.0663</f>
        <v>6333.4890547600671</v>
      </c>
      <c r="Q19" s="665">
        <f>P19*1.0663</f>
        <v>6753.3993790906597</v>
      </c>
      <c r="R19" s="665">
        <f>Q19*1.0663</f>
        <v>7201.1497579243705</v>
      </c>
    </row>
    <row r="20" spans="1:18">
      <c r="A20" s="665" t="s">
        <v>998</v>
      </c>
      <c r="B20" s="666">
        <v>182.71700000000001</v>
      </c>
      <c r="C20" s="666">
        <v>648.13</v>
      </c>
      <c r="D20" s="666">
        <v>690.17399999999998</v>
      </c>
      <c r="E20" s="666">
        <v>1239</v>
      </c>
      <c r="F20" s="666">
        <v>1452</v>
      </c>
      <c r="G20" s="666">
        <v>1211</v>
      </c>
      <c r="H20" s="665">
        <f>H21*H19</f>
        <v>1136.9176413856583</v>
      </c>
      <c r="I20" s="665">
        <f>I21*I19</f>
        <v>1414.3444945111153</v>
      </c>
      <c r="J20" s="665">
        <f>J21*J19</f>
        <v>1508.1155344972021</v>
      </c>
      <c r="K20" s="665">
        <f>K21*K19</f>
        <v>1608.1035944343666</v>
      </c>
      <c r="L20" s="665">
        <f>L21*L19</f>
        <v>1616.7368134456303</v>
      </c>
      <c r="M20" s="665">
        <f>M21*M19</f>
        <v>1723.9264641770756</v>
      </c>
      <c r="N20" s="665">
        <f>N21*N19</f>
        <v>1671.111626138196</v>
      </c>
      <c r="O20" s="665">
        <f>O21*O19</f>
        <v>1781.9063269511582</v>
      </c>
      <c r="P20" s="665">
        <f>P21*P19</f>
        <v>1900.0467164280201</v>
      </c>
      <c r="Q20" s="665">
        <f>Q21*Q19</f>
        <v>2026.0198137271977</v>
      </c>
      <c r="R20" s="665">
        <f>R21*R19</f>
        <v>2160.3449273773113</v>
      </c>
    </row>
    <row r="21" spans="1:18">
      <c r="E21" s="665">
        <f>E20/E19</f>
        <v>0.39637091872316738</v>
      </c>
      <c r="F21" s="665">
        <f>F20/F19</f>
        <v>0.43562990364048343</v>
      </c>
      <c r="G21" s="665">
        <f>G20/G19</f>
        <v>0.34073425892825338</v>
      </c>
      <c r="H21" s="667">
        <v>0.3</v>
      </c>
      <c r="I21" s="667">
        <v>0.35</v>
      </c>
      <c r="J21" s="667">
        <v>0.35</v>
      </c>
      <c r="K21" s="667">
        <v>0.35</v>
      </c>
      <c r="L21" s="667">
        <v>0.33</v>
      </c>
      <c r="M21" s="667">
        <v>0.33</v>
      </c>
      <c r="N21" s="667">
        <v>0.3</v>
      </c>
      <c r="O21" s="667">
        <v>0.3</v>
      </c>
      <c r="P21" s="667">
        <v>0.3</v>
      </c>
      <c r="Q21" s="667">
        <v>0.3</v>
      </c>
      <c r="R21" s="667">
        <v>0.3</v>
      </c>
    </row>
    <row r="24" spans="1:18">
      <c r="A24" s="665" t="s">
        <v>997</v>
      </c>
      <c r="B24" s="666">
        <v>314.81700000000001</v>
      </c>
      <c r="C24" s="666">
        <v>259.52100000000002</v>
      </c>
      <c r="D24" s="666">
        <v>365.61599999999999</v>
      </c>
      <c r="E24" s="666">
        <v>1045</v>
      </c>
      <c r="F24" s="666">
        <v>997</v>
      </c>
      <c r="G24" s="666">
        <v>888</v>
      </c>
      <c r="H24" s="665">
        <f>G24*0.95</f>
        <v>843.59999999999991</v>
      </c>
      <c r="I24" s="665">
        <f>H24*0.97</f>
        <v>818.29199999999992</v>
      </c>
      <c r="J24" s="665">
        <f>I24*1.04</f>
        <v>851.0236799999999</v>
      </c>
      <c r="K24" s="665">
        <f>J24*1.04</f>
        <v>885.0646271999999</v>
      </c>
      <c r="L24" s="665">
        <f>K24*1.04</f>
        <v>920.46721228799993</v>
      </c>
      <c r="M24" s="665">
        <f>L24*1.04</f>
        <v>957.28590077951992</v>
      </c>
      <c r="N24" s="665">
        <f>M24*1.04</f>
        <v>995.57733681070079</v>
      </c>
      <c r="O24" s="665">
        <f>N24*1.04</f>
        <v>1035.4004302831288</v>
      </c>
      <c r="P24" s="665">
        <f>O24*1.04</f>
        <v>1076.816447494454</v>
      </c>
      <c r="Q24" s="665">
        <f>P24*1.04</f>
        <v>1119.8891053942323</v>
      </c>
      <c r="R24" s="665">
        <f>Q24*1.04</f>
        <v>1164.6846696100015</v>
      </c>
    </row>
    <row r="28" spans="1:18">
      <c r="A28" s="665" t="s">
        <v>996</v>
      </c>
      <c r="F28" s="665">
        <v>11640</v>
      </c>
      <c r="G28" s="665">
        <f>F28*0.88</f>
        <v>10243.200000000001</v>
      </c>
      <c r="H28" s="665">
        <f>G28*1.116</f>
        <v>11431.411200000002</v>
      </c>
      <c r="I28" s="665">
        <f>H28*1.116</f>
        <v>12757.454899200004</v>
      </c>
      <c r="J28" s="665">
        <f>I28*1.116</f>
        <v>14237.319667507205</v>
      </c>
      <c r="K28" s="665">
        <f>J28*1.116</f>
        <v>15888.848748938042</v>
      </c>
      <c r="L28" s="665">
        <f>K28*1.116</f>
        <v>17731.955203814858</v>
      </c>
      <c r="M28" s="665">
        <f>L28*1.116</f>
        <v>19788.862007457385</v>
      </c>
      <c r="N28" s="665">
        <f>M28*1.116</f>
        <v>22084.370000322444</v>
      </c>
      <c r="O28" s="665">
        <f>N28*1.116</f>
        <v>24646.156920359848</v>
      </c>
      <c r="P28" s="665">
        <f>O28*1.116</f>
        <v>27505.111123121595</v>
      </c>
      <c r="Q28" s="665">
        <f>P28*1.116</f>
        <v>30695.704013403702</v>
      </c>
      <c r="R28" s="665">
        <f>Q28*1.116</f>
        <v>34256.405678958537</v>
      </c>
    </row>
    <row r="29" spans="1:18">
      <c r="A29" s="665" t="s">
        <v>995</v>
      </c>
      <c r="F29" s="665">
        <v>150</v>
      </c>
      <c r="G29" s="665">
        <v>112</v>
      </c>
      <c r="H29" s="665">
        <f>H30*H28</f>
        <v>114.31411200000002</v>
      </c>
      <c r="I29" s="665">
        <f>I30*I28</f>
        <v>127.57454899200003</v>
      </c>
      <c r="J29" s="665">
        <f>J30*J28</f>
        <v>213.55979501260808</v>
      </c>
      <c r="K29" s="665">
        <f>K30*K28</f>
        <v>238.33273123407062</v>
      </c>
      <c r="L29" s="665">
        <f>L30*L28</f>
        <v>265.97932805722286</v>
      </c>
      <c r="M29" s="665">
        <f>M30*M28</f>
        <v>395.7772401491477</v>
      </c>
      <c r="N29" s="665">
        <f>N30*N28</f>
        <v>441.68740000644891</v>
      </c>
      <c r="O29" s="665">
        <f>O30*O28</f>
        <v>492.92313840719697</v>
      </c>
      <c r="P29" s="665">
        <f>P30*P28</f>
        <v>825.15333369364782</v>
      </c>
      <c r="Q29" s="665">
        <f>Q30*Q28</f>
        <v>920.87112040211105</v>
      </c>
      <c r="R29" s="665">
        <f>R30*R28</f>
        <v>1027.692170368756</v>
      </c>
    </row>
    <row r="30" spans="1:18">
      <c r="A30" s="665" t="s">
        <v>994</v>
      </c>
      <c r="F30" s="665">
        <f>F29/F28</f>
        <v>1.2886597938144329E-2</v>
      </c>
      <c r="G30" s="665">
        <f>G29/G28</f>
        <v>1.0934083099031551E-2</v>
      </c>
      <c r="H30" s="665">
        <v>0.01</v>
      </c>
      <c r="I30" s="665">
        <v>0.01</v>
      </c>
      <c r="J30" s="665">
        <f>0.015</f>
        <v>1.4999999999999999E-2</v>
      </c>
      <c r="K30" s="665">
        <f>0.015</f>
        <v>1.4999999999999999E-2</v>
      </c>
      <c r="L30" s="665">
        <f>0.015</f>
        <v>1.4999999999999999E-2</v>
      </c>
      <c r="M30" s="665">
        <f>0.02</f>
        <v>0.02</v>
      </c>
      <c r="N30" s="665">
        <f>0.02</f>
        <v>0.02</v>
      </c>
      <c r="O30" s="665">
        <f>0.02</f>
        <v>0.02</v>
      </c>
      <c r="P30" s="665">
        <f>0.03</f>
        <v>0.03</v>
      </c>
      <c r="Q30" s="665">
        <f>0.03</f>
        <v>0.03</v>
      </c>
      <c r="R30" s="665">
        <f>0.03</f>
        <v>0.03</v>
      </c>
    </row>
    <row r="33" spans="1:18">
      <c r="A33" s="665" t="s">
        <v>993</v>
      </c>
      <c r="G33" s="665">
        <v>274</v>
      </c>
      <c r="H33" s="665">
        <f>G33*0.95</f>
        <v>260.3</v>
      </c>
      <c r="I33" s="665">
        <f>H33*1.04</f>
        <v>270.71200000000005</v>
      </c>
      <c r="J33" s="665">
        <f>I33*1.04</f>
        <v>281.54048000000006</v>
      </c>
      <c r="K33" s="665">
        <f>J33*1.04</f>
        <v>292.80209920000004</v>
      </c>
      <c r="L33" s="665">
        <f>K33*1.04</f>
        <v>304.51418316800005</v>
      </c>
      <c r="M33" s="665">
        <f>L33*1.04</f>
        <v>316.69475049472004</v>
      </c>
      <c r="N33" s="665">
        <f>M33*1.04</f>
        <v>329.36254051450885</v>
      </c>
      <c r="O33" s="665">
        <f>N33*1.04</f>
        <v>342.53704213508922</v>
      </c>
      <c r="P33" s="665">
        <f>O33*1.04</f>
        <v>356.23852382049279</v>
      </c>
      <c r="Q33" s="665">
        <f>P33*1.04</f>
        <v>370.48806477331249</v>
      </c>
      <c r="R33" s="665">
        <f>Q33*1.04</f>
        <v>385.30758736424502</v>
      </c>
    </row>
    <row r="36" spans="1:18">
      <c r="I36" s="665">
        <f>I37/H37-1</f>
        <v>9.701306587723546E-2</v>
      </c>
    </row>
    <row r="37" spans="1:18">
      <c r="A37" s="665" t="s">
        <v>992</v>
      </c>
      <c r="H37" s="666">
        <f>H33+H29+H24+H20+H16+H13+H8+H3</f>
        <v>4428.3317533856589</v>
      </c>
      <c r="I37" s="666">
        <f>I33+I29+I24+I20+I16+I13+I8+I3</f>
        <v>4857.9377935031152</v>
      </c>
      <c r="J37" s="666">
        <f>J33+J29+J24+J20+J16+J13+J8+J3</f>
        <v>5187.3933532598094</v>
      </c>
      <c r="K37" s="666">
        <f>K33+K29+K24+K20+K16+K13+K8+K3</f>
        <v>5577.3019929371867</v>
      </c>
      <c r="L37" s="666">
        <f>L33+L29+L24+L20+L16+L13+L8+L3</f>
        <v>5785.1231310504472</v>
      </c>
      <c r="M37" s="666">
        <f>M33+M29+M24+M20+M16+M13+M8+M3</f>
        <v>6257.0914911075724</v>
      </c>
      <c r="N37" s="666">
        <f>N33+N29+N24+N20+N16+N13+N8+N3</f>
        <v>6443.9109269250894</v>
      </c>
      <c r="O37" s="666">
        <f>O33+O29+O24+O20+O16+O13+O8+O3</f>
        <v>6811.7233927877605</v>
      </c>
      <c r="P37" s="666">
        <f>P33+P29+P24+P20+P16+P13+P8+P3</f>
        <v>7480.8124657398712</v>
      </c>
      <c r="Q37" s="666">
        <f>Q33+Q29+Q24+Q20+Q16+Q13+Q8+Q3</f>
        <v>7935.1060239248491</v>
      </c>
      <c r="R37" s="666">
        <f>R33+R29+R24+R20+R16+R13+R8+R3</f>
        <v>8423.761605202073</v>
      </c>
    </row>
    <row r="39" spans="1:18">
      <c r="H39" s="665" t="s">
        <v>991</v>
      </c>
      <c r="I39" s="665">
        <f>(L37/I37)^(1/5)-1</f>
        <v>3.5552523994435425E-2</v>
      </c>
      <c r="J39" s="670" t="e">
        <f>XIRR(H37:R37,H1:R1)</f>
        <v>#NUM!</v>
      </c>
    </row>
    <row r="40" spans="1:18">
      <c r="H40" s="665" t="s">
        <v>990</v>
      </c>
      <c r="I40" s="665">
        <f>(R37/L37)^(1/6) -1</f>
        <v>6.4630515325808213E-2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96" zoomScaleNormal="125" workbookViewId="0">
      <selection activeCell="B3" sqref="B3"/>
    </sheetView>
  </sheetViews>
  <sheetFormatPr defaultColWidth="11.375" defaultRowHeight="15.6"/>
  <cols>
    <col min="1" max="1" width="23" style="31" bestFit="1" customWidth="1"/>
    <col min="2" max="2" width="16.75" style="31" customWidth="1"/>
    <col min="3" max="13" width="15.875" style="34" bestFit="1" customWidth="1"/>
    <col min="14" max="14" width="12.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v>
      </c>
      <c r="D2" s="41">
        <f>'Input sheet'!B28</f>
        <v>9.2999999999999999E-2</v>
      </c>
      <c r="E2" s="41">
        <f>D2</f>
        <v>9.2999999999999999E-2</v>
      </c>
      <c r="F2" s="41">
        <f>E2</f>
        <v>9.2999999999999999E-2</v>
      </c>
      <c r="G2" s="41">
        <f>F2</f>
        <v>9.2999999999999999E-2</v>
      </c>
      <c r="H2" s="41">
        <f>G2-((G2-$M$2)/5)</f>
        <v>8.3671999999999996E-2</v>
      </c>
      <c r="I2" s="41">
        <f>G2-((G2-$M$2)/5)*2</f>
        <v>7.4343999999999993E-2</v>
      </c>
      <c r="J2" s="41">
        <f>G2-((G2-$M$2)/5)*3</f>
        <v>6.5016000000000004E-2</v>
      </c>
      <c r="K2" s="41">
        <f>G2-((G2-$M$2)/5)*4</f>
        <v>5.5688000000000001E-2</v>
      </c>
      <c r="L2" s="41">
        <f>G2-((G2-$M$2)/5)*5</f>
        <v>4.6359999999999998E-2</v>
      </c>
      <c r="M2" s="42">
        <f>IF('Input sheet'!B67="Yes",'Input sheet'!B68,IF('Input sheet'!B64="Yes",'Input sheet'!B65,'Input sheet'!B34))</f>
        <v>4.6359999999999998E-2</v>
      </c>
    </row>
    <row r="3" spans="1:14" ht="15" customHeight="1">
      <c r="A3" s="31" t="s">
        <v>5</v>
      </c>
      <c r="B3" s="43">
        <f>'Input sheet'!B11</f>
        <v>4247.0569999999998</v>
      </c>
      <c r="C3" s="44">
        <f>B3*(1+C2)</f>
        <v>4671.7627000000002</v>
      </c>
      <c r="D3" s="44">
        <f t="shared" ref="D3:L3" si="0">C3*(1+D2)</f>
        <v>5106.2366311000005</v>
      </c>
      <c r="E3" s="44">
        <f t="shared" si="0"/>
        <v>5581.1166377923</v>
      </c>
      <c r="F3" s="44">
        <f t="shared" si="0"/>
        <v>6100.1604851069842</v>
      </c>
      <c r="G3" s="44">
        <f t="shared" si="0"/>
        <v>6667.475410221934</v>
      </c>
      <c r="H3" s="44">
        <f t="shared" si="0"/>
        <v>7225.3564127460231</v>
      </c>
      <c r="I3" s="44">
        <f t="shared" si="0"/>
        <v>7762.518309895213</v>
      </c>
      <c r="J3" s="44">
        <f t="shared" si="0"/>
        <v>8267.2062003313604</v>
      </c>
      <c r="K3" s="44">
        <f t="shared" si="0"/>
        <v>8727.5903792154131</v>
      </c>
      <c r="L3" s="44">
        <f t="shared" si="0"/>
        <v>9132.2014691958393</v>
      </c>
      <c r="M3" s="352">
        <f>L3*(1+M2)</f>
        <v>9555.5703293077586</v>
      </c>
    </row>
    <row r="4" spans="1:14" ht="15" customHeight="1">
      <c r="A4" s="31" t="s">
        <v>20</v>
      </c>
      <c r="B4" s="45">
        <f>B5/B3</f>
        <v>0.12971697813332855</v>
      </c>
      <c r="C4" s="41">
        <f>'Input sheet'!B27</f>
        <v>0.13</v>
      </c>
      <c r="D4" s="41">
        <f>IF(D1&gt;'Input sheet'!$B$30,'Input sheet'!$B$29,'Input sheet'!$B$29-(('Input sheet'!$B$29-$C$4)/'Input sheet'!$B$30)*('Input sheet'!$B$30-D1))</f>
        <v>0.14200000000000002</v>
      </c>
      <c r="E4" s="41">
        <f>IF(E1&gt;'Input sheet'!$B$30,'Input sheet'!$B$29,'Input sheet'!$B$29-(('Input sheet'!$B$29-$C$4)/'Input sheet'!$B$30)*('Input sheet'!$B$30-E1))</f>
        <v>0.14799999999999999</v>
      </c>
      <c r="F4" s="41">
        <f>IF(F1&gt;'Input sheet'!$B$30,'Input sheet'!$B$29,'Input sheet'!$B$29-(('Input sheet'!$B$29-$C$4)/'Input sheet'!$B$30)*('Input sheet'!$B$30-F1))</f>
        <v>0.154</v>
      </c>
      <c r="G4" s="41">
        <f>IF(G1&gt;'Input sheet'!$B$30,'Input sheet'!$B$29,'Input sheet'!$B$29-(('Input sheet'!$B$29-$C$4)/'Input sheet'!$B$30)*('Input sheet'!$B$30-G1))</f>
        <v>0.16</v>
      </c>
      <c r="H4" s="41">
        <f>IF(H1&gt;'Input sheet'!$B$30,'Input sheet'!$B$29,'Input sheet'!$B$29-(('Input sheet'!$B$29-$C$4)/'Input sheet'!$B$30)*('Input sheet'!$B$30-H1))</f>
        <v>0.16</v>
      </c>
      <c r="I4" s="41">
        <f>IF(I1&gt;'Input sheet'!$B$30,'Input sheet'!$B$29,'Input sheet'!$B$29-(('Input sheet'!$B$29-$C$4)/'Input sheet'!$B$30)*('Input sheet'!$B$30-I1))</f>
        <v>0.16</v>
      </c>
      <c r="J4" s="41">
        <f>IF(J1&gt;'Input sheet'!$B$30,'Input sheet'!$B$29,'Input sheet'!$B$29-(('Input sheet'!$B$29-$C$4)/'Input sheet'!$B$30)*('Input sheet'!$B$30-J1))</f>
        <v>0.16</v>
      </c>
      <c r="K4" s="41">
        <f>IF(K1&gt;'Input sheet'!$B$30,'Input sheet'!$B$29,'Input sheet'!$B$29-(('Input sheet'!$B$29-$C$4)/'Input sheet'!$B$30)*('Input sheet'!$B$30-K1))</f>
        <v>0.16</v>
      </c>
      <c r="L4" s="41">
        <f>IF(L1&gt;'Input sheet'!$B$30,'Input sheet'!$B$29,'Input sheet'!$B$29-(('Input sheet'!$B$29-$C$4)/'Input sheet'!$B$30)*('Input sheet'!$B$30-L1))</f>
        <v>0.16</v>
      </c>
      <c r="M4" s="42">
        <f>L4</f>
        <v>0.16</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550.91539999999998</v>
      </c>
      <c r="C5" s="44">
        <f t="shared" ref="C5:M5" si="1">C4*C3</f>
        <v>607.32915100000002</v>
      </c>
      <c r="D5" s="44">
        <f t="shared" si="1"/>
        <v>725.08560161620017</v>
      </c>
      <c r="E5" s="44">
        <f t="shared" si="1"/>
        <v>826.00526239326041</v>
      </c>
      <c r="F5" s="44">
        <f t="shared" si="1"/>
        <v>939.42471470647558</v>
      </c>
      <c r="G5" s="44">
        <f t="shared" si="1"/>
        <v>1066.7960656355094</v>
      </c>
      <c r="H5" s="44">
        <f t="shared" si="1"/>
        <v>1156.0570260393638</v>
      </c>
      <c r="I5" s="44">
        <f t="shared" si="1"/>
        <v>1242.0029295832342</v>
      </c>
      <c r="J5" s="44">
        <f t="shared" si="1"/>
        <v>1322.7529920530176</v>
      </c>
      <c r="K5" s="44">
        <f t="shared" si="1"/>
        <v>1396.4144606744662</v>
      </c>
      <c r="L5" s="44">
        <f t="shared" si="1"/>
        <v>1461.1522350713344</v>
      </c>
      <c r="M5" s="352">
        <f t="shared" si="1"/>
        <v>1528.8912526892414</v>
      </c>
      <c r="N5" s="353">
        <f>M5-B5</f>
        <v>977.97585268924138</v>
      </c>
    </row>
    <row r="6" spans="1:14" ht="15" customHeight="1">
      <c r="A6" s="31" t="s">
        <v>130</v>
      </c>
      <c r="B6" s="46">
        <f>'Input sheet'!B23</f>
        <v>0.15</v>
      </c>
      <c r="C6" s="47">
        <f>B6</f>
        <v>0.15</v>
      </c>
      <c r="D6" s="47">
        <f>C6</f>
        <v>0.15</v>
      </c>
      <c r="E6" s="47">
        <f>D6</f>
        <v>0.15</v>
      </c>
      <c r="F6" s="47">
        <f>E6</f>
        <v>0.15</v>
      </c>
      <c r="G6" s="47">
        <f>F6</f>
        <v>0.15</v>
      </c>
      <c r="H6" s="47">
        <f>G6+($M$6-$G$6)/5</f>
        <v>0.16999999999999998</v>
      </c>
      <c r="I6" s="47">
        <f>H6+($M$6-$G$6)/5</f>
        <v>0.18999999999999997</v>
      </c>
      <c r="J6" s="47">
        <f>I6+($M$6-$G$6)/5</f>
        <v>0.20999999999999996</v>
      </c>
      <c r="K6" s="47">
        <f>J6+($M$6-$G$6)/5</f>
        <v>0.22999999999999995</v>
      </c>
      <c r="L6" s="47">
        <f>K6+($M$6-$G$6)/5</f>
        <v>0.24999999999999994</v>
      </c>
      <c r="M6" s="47">
        <f>IF('Input sheet'!B59="Yes",'Input sheet'!B23,'Input sheet'!B24)</f>
        <v>0.25</v>
      </c>
    </row>
    <row r="7" spans="1:14" ht="15" customHeight="1">
      <c r="A7" s="31" t="s">
        <v>6</v>
      </c>
      <c r="B7" s="43">
        <f>IF(B5&gt;0,B5*(1-B6),B5)</f>
        <v>468.27808999999996</v>
      </c>
      <c r="C7" s="44">
        <f>IF(C5&gt;0,IF(C5&lt;B10,C5,C5-(C5-B10)*C6),C5)</f>
        <v>516.22977835000006</v>
      </c>
      <c r="D7" s="44">
        <f t="shared" ref="D7:L7" si="2">IF(D5&gt;0,IF(D5&lt;C10,D5,D5-(D5-C10)*D6),D5)</f>
        <v>616.32276137377016</v>
      </c>
      <c r="E7" s="44">
        <f t="shared" si="2"/>
        <v>702.10447303427134</v>
      </c>
      <c r="F7" s="44">
        <f t="shared" si="2"/>
        <v>798.51100750050432</v>
      </c>
      <c r="G7" s="44">
        <f t="shared" si="2"/>
        <v>906.77665579018299</v>
      </c>
      <c r="H7" s="44">
        <f t="shared" si="2"/>
        <v>959.52733161267201</v>
      </c>
      <c r="I7" s="44">
        <f t="shared" si="2"/>
        <v>1006.0223729624197</v>
      </c>
      <c r="J7" s="44">
        <f t="shared" si="2"/>
        <v>1044.974863721884</v>
      </c>
      <c r="K7" s="44">
        <f t="shared" si="2"/>
        <v>1075.2391347193391</v>
      </c>
      <c r="L7" s="44">
        <f t="shared" si="2"/>
        <v>1095.8641763035009</v>
      </c>
      <c r="M7" s="44">
        <f>M5*(1-M6)</f>
        <v>1146.6684395169309</v>
      </c>
    </row>
    <row r="8" spans="1:14" ht="15" customHeight="1">
      <c r="A8" s="31" t="s">
        <v>9</v>
      </c>
      <c r="B8" s="43"/>
      <c r="C8" s="44">
        <f>IF('Input sheet'!$B$56="No",(D3-C3)/C38,IF('Input sheet'!$B$57=0,(C3-B3)/C38,IF('Input sheet'!$B$57=2,(E3-D3)/C38,IF('Input sheet'!$B$57=3,(F3-E3)/C38,(D3-C3)/C38))))</f>
        <v>241.37440616666683</v>
      </c>
      <c r="D8" s="44">
        <f>IF('Input sheet'!$B$56="No",(E3-D3)/D38,IF('Input sheet'!$B$57=0,(D3-C3)/D38,IF('Input sheet'!$B$57=2,(F3-E3)/D38,IF('Input sheet'!$B$57=3,(G3-F3)/D38,(E3-D3)/D38))))</f>
        <v>263.82222594016639</v>
      </c>
      <c r="E8" s="44">
        <f>IF('Input sheet'!$B$56="No",(F3-E3)/E38,IF('Input sheet'!$B$57=0,(E3-D3)/E38,IF('Input sheet'!$B$57=2,(G3-F3)/E38,IF('Input sheet'!$B$57=3,(H3-G3)/E38,(F3-E3)/E38))))</f>
        <v>288.35769295260229</v>
      </c>
      <c r="F8" s="44">
        <f>IF('Input sheet'!$B$56="No",(G3-F3)/F38,IF('Input sheet'!$B$57=0,(F3-E3)/F38,IF('Input sheet'!$B$57=2,(H3-G3)/F38,IF('Input sheet'!$B$57=3,(I3-H3)/F38,(G3-F3)/F38))))</f>
        <v>315.1749583971943</v>
      </c>
      <c r="G8" s="44">
        <f>IF('Input sheet'!$B$56="No",(H3-G3)/G38,IF('Input sheet'!$B$57=0,(G3-F3)/G38,IF('Input sheet'!$B$57=2,(I3-H3)/G38,IF('Input sheet'!$B$57=3,(J3-I3)/G38,(H3-G3)/G38))))</f>
        <v>309.93389029116059</v>
      </c>
      <c r="H8" s="44">
        <f>IF('Input sheet'!$B$56="No",(I3-H3)/H38,IF('Input sheet'!$B$57=0,(H3-G3)/H38,IF('Input sheet'!$B$57=2,(J3-I3)/H38,IF('Input sheet'!$B$57=3,(K3-J3)/H38,(I3-H3)/H38))))</f>
        <v>358.10793143279324</v>
      </c>
      <c r="I8" s="44">
        <f>IF('Input sheet'!$B$56="No",(J3-I3)/I38,IF('Input sheet'!$B$57=0,(I3-H3)/I38,IF('Input sheet'!$B$57=2,(K3-J3)/I38,IF('Input sheet'!$B$57=3,(L3-K3)/I38,(J3-I3)/I38))))</f>
        <v>336.45859362409828</v>
      </c>
      <c r="J8" s="44">
        <f>IF('Input sheet'!$B$56="No",(K3-J3)/J38,IF('Input sheet'!$B$57=0,(J3-I3)/J38,IF('Input sheet'!$B$57=2,(L3-K3)/J38,IF('Input sheet'!$B$57=3,(M3-L3)/J38,(K3-J3)/J38))))</f>
        <v>306.92278592270185</v>
      </c>
      <c r="K8" s="44">
        <f>IF('Input sheet'!$B$56="No",(L3-K3)/K38,IF('Input sheet'!$B$57=0,(K3-J3)/K38,IF('Input sheet'!$B$57=2,L3*L2/K38,IF('Input sheet'!$B$57=3,M3*M2/K38,(L3-K3)/K38))))</f>
        <v>269.74072665361746</v>
      </c>
      <c r="L8" s="44">
        <f>IF('Input sheet'!$B$56="No",(M3-L3)/L38,IF('Input sheet'!$B$57=0,(L3-K3)/L38,IF('Input sheet'!$B$57=2,M3*M2/L38,IF('Input sheet'!$B$57=3,K8*(1+M2),(M3-L3)/L38))))</f>
        <v>282.2459067412795</v>
      </c>
      <c r="M8" s="48">
        <f>IF(M2&gt;0,(M2/M40)*M7,0)</f>
        <v>592.90150408214288</v>
      </c>
      <c r="N8" s="353">
        <f>SUM(C8:M8)</f>
        <v>3565.0406222044235</v>
      </c>
    </row>
    <row r="9" spans="1:14" ht="15" customHeight="1">
      <c r="A9" s="31" t="s">
        <v>10</v>
      </c>
      <c r="B9" s="43"/>
      <c r="C9" s="44">
        <f t="shared" ref="C9:L9" si="3">C7-C8</f>
        <v>274.8553721833332</v>
      </c>
      <c r="D9" s="44">
        <f t="shared" si="3"/>
        <v>352.50053543360377</v>
      </c>
      <c r="E9" s="44">
        <f t="shared" si="3"/>
        <v>413.74678008166904</v>
      </c>
      <c r="F9" s="44">
        <f t="shared" si="3"/>
        <v>483.33604910331002</v>
      </c>
      <c r="G9" s="44">
        <f t="shared" si="3"/>
        <v>596.84276549902233</v>
      </c>
      <c r="H9" s="44">
        <f t="shared" si="3"/>
        <v>601.41940017987872</v>
      </c>
      <c r="I9" s="44">
        <f t="shared" si="3"/>
        <v>669.56377933832141</v>
      </c>
      <c r="J9" s="44">
        <f t="shared" si="3"/>
        <v>738.05207779918214</v>
      </c>
      <c r="K9" s="44">
        <f t="shared" si="3"/>
        <v>805.49840806572161</v>
      </c>
      <c r="L9" s="44">
        <f t="shared" si="3"/>
        <v>813.61826956222149</v>
      </c>
      <c r="M9" s="48">
        <f>M7-M8</f>
        <v>553.76693543478802</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9.4957943460060895E-2</v>
      </c>
      <c r="D12" s="41">
        <f>C12</f>
        <v>9.4957943460060895E-2</v>
      </c>
      <c r="E12" s="41">
        <f>D12</f>
        <v>9.4957943460060895E-2</v>
      </c>
      <c r="F12" s="41">
        <f>E12</f>
        <v>9.4957943460060895E-2</v>
      </c>
      <c r="G12" s="41">
        <f>F12</f>
        <v>9.4957943460060895E-2</v>
      </c>
      <c r="H12" s="41">
        <f>G12-($G$12-$M$12)/5</f>
        <v>9.3898354768048711E-2</v>
      </c>
      <c r="I12" s="41">
        <f>H12-($G$12-$M$12)/5</f>
        <v>9.2838766076036527E-2</v>
      </c>
      <c r="J12" s="41">
        <f>I12-($G$12-$M$12)/5</f>
        <v>9.1779177384024344E-2</v>
      </c>
      <c r="K12" s="41">
        <f>J12-($G$12-$M$12)/5</f>
        <v>9.071958869201216E-2</v>
      </c>
      <c r="L12" s="41">
        <f>K12-($G$12-$M$12)/5</f>
        <v>8.9659999999999976E-2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0.91327708609520253</v>
      </c>
      <c r="D13" s="79">
        <f>C13*(1/(1+D12))</f>
        <v>0.83407503598654398</v>
      </c>
      <c r="E13" s="79">
        <f t="shared" ref="E13:L13" si="5">D13*(1/(1+E12))</f>
        <v>0.76174161845054211</v>
      </c>
      <c r="F13" s="79">
        <f t="shared" si="5"/>
        <v>0.69568116565595461</v>
      </c>
      <c r="G13" s="79">
        <f t="shared" si="5"/>
        <v>0.63534966782158409</v>
      </c>
      <c r="H13" s="79">
        <f t="shared" si="5"/>
        <v>0.58081234426603034</v>
      </c>
      <c r="I13" s="79">
        <f t="shared" si="5"/>
        <v>0.53147121267623398</v>
      </c>
      <c r="J13" s="79">
        <f t="shared" si="5"/>
        <v>0.4867936883992186</v>
      </c>
      <c r="K13" s="79">
        <f t="shared" si="5"/>
        <v>0.44630507551714571</v>
      </c>
      <c r="L13" s="79">
        <f t="shared" si="5"/>
        <v>0.40958195723174723</v>
      </c>
      <c r="M13" s="49"/>
    </row>
    <row r="14" spans="1:14" ht="15" customHeight="1">
      <c r="A14" s="31" t="s">
        <v>15</v>
      </c>
      <c r="B14" s="40"/>
      <c r="C14" s="44">
        <f t="shared" ref="C14:L14" si="6">C9*C13</f>
        <v>251.01911340520692</v>
      </c>
      <c r="D14" s="44">
        <f t="shared" si="6"/>
        <v>294.01189677705906</v>
      </c>
      <c r="E14" s="44">
        <f t="shared" si="6"/>
        <v>315.16814188811111</v>
      </c>
      <c r="F14" s="44">
        <f t="shared" si="6"/>
        <v>336.24778604373444</v>
      </c>
      <c r="G14" s="44">
        <f t="shared" si="6"/>
        <v>379.20385280151947</v>
      </c>
      <c r="H14" s="44">
        <f t="shared" si="6"/>
        <v>349.31181170554521</v>
      </c>
      <c r="I14" s="44">
        <f t="shared" si="6"/>
        <v>355.85387376902003</v>
      </c>
      <c r="J14" s="44">
        <f t="shared" si="6"/>
        <v>359.27909318257093</v>
      </c>
      <c r="K14" s="44">
        <f t="shared" si="6"/>
        <v>359.49802784071255</v>
      </c>
      <c r="L14" s="44">
        <f t="shared" si="6"/>
        <v>333.24336328680198</v>
      </c>
      <c r="M14" s="49"/>
    </row>
    <row r="15" spans="1:14" ht="15" customHeight="1"/>
    <row r="16" spans="1:14" ht="15" customHeight="1">
      <c r="A16" s="30" t="s">
        <v>16</v>
      </c>
      <c r="B16" s="43">
        <f>M9</f>
        <v>553.76693543478802</v>
      </c>
    </row>
    <row r="17" spans="1:13" ht="15" customHeight="1">
      <c r="A17" s="30" t="s">
        <v>132</v>
      </c>
      <c r="B17" s="45">
        <f>M12</f>
        <v>8.965999999999999E-2</v>
      </c>
      <c r="D17" s="356"/>
    </row>
    <row r="18" spans="1:13">
      <c r="A18" s="30" t="s">
        <v>17</v>
      </c>
      <c r="B18" s="43">
        <f>B16/(B17-M2)</f>
        <v>12789.074721357694</v>
      </c>
      <c r="D18" s="357"/>
      <c r="M18" s="356"/>
    </row>
    <row r="19" spans="1:13">
      <c r="A19" s="30" t="s">
        <v>18</v>
      </c>
      <c r="B19" s="50">
        <f>B18*L13</f>
        <v>5238.1742555567471</v>
      </c>
      <c r="D19" s="356"/>
    </row>
    <row r="20" spans="1:13">
      <c r="A20" s="30" t="s">
        <v>39</v>
      </c>
      <c r="B20" s="50">
        <f>SUM(C14:L14)</f>
        <v>3332.8369607002815</v>
      </c>
    </row>
    <row r="21" spans="1:13">
      <c r="A21" s="30" t="s">
        <v>40</v>
      </c>
      <c r="B21" s="50">
        <f>B19+B20</f>
        <v>8571.0112162570294</v>
      </c>
    </row>
    <row r="22" spans="1:13">
      <c r="A22" s="30" t="s">
        <v>100</v>
      </c>
      <c r="B22" s="51">
        <f>IF('Input sheet'!B51="Yes",'Input sheet'!B52,0)</f>
        <v>0</v>
      </c>
      <c r="E22" s="356"/>
    </row>
    <row r="23" spans="1:13">
      <c r="A23" s="30" t="s">
        <v>101</v>
      </c>
      <c r="B23" s="52">
        <f>IF('Input sheet'!B53="B",('Input sheet'!B14+'Input sheet'!B15)*'Input sheet'!B54,'Valuation output'!B21*'Input sheet'!B54)</f>
        <v>4285.5056081285147</v>
      </c>
    </row>
    <row r="24" spans="1:13">
      <c r="A24" s="30" t="s">
        <v>37</v>
      </c>
      <c r="B24" s="43">
        <f>B21*(1-B22)+B23*B22</f>
        <v>8571.0112162570294</v>
      </c>
    </row>
    <row r="25" spans="1:13">
      <c r="A25" s="30" t="s">
        <v>368</v>
      </c>
      <c r="B25" s="43">
        <f>IF('Input sheet'!B17="Yes",'Input sheet'!B15+'Operating lease converter'!C28,'Input sheet'!B15)</f>
        <v>77.644999999999996</v>
      </c>
    </row>
    <row r="26" spans="1:13">
      <c r="A26" s="30" t="s">
        <v>370</v>
      </c>
      <c r="B26" s="43">
        <f>'Input sheet'!B20</f>
        <v>0</v>
      </c>
    </row>
    <row r="27" spans="1:13" ht="15.9" customHeight="1">
      <c r="A27" s="30" t="s">
        <v>367</v>
      </c>
      <c r="B27" s="43">
        <f>IF('Input sheet'!B70="YES",'Input sheet'!B18-'Input sheet'!B71*('Input sheet'!B24-'Input sheet'!B72),'Input sheet'!B18)</f>
        <v>1412.65</v>
      </c>
      <c r="D27" s="518" t="s">
        <v>979</v>
      </c>
      <c r="E27" s="518"/>
      <c r="F27" s="518"/>
    </row>
    <row r="28" spans="1:13">
      <c r="A28" s="30" t="s">
        <v>366</v>
      </c>
      <c r="B28" s="43">
        <f>'Input sheet'!B19</f>
        <v>33.323</v>
      </c>
      <c r="D28" s="518"/>
      <c r="E28" s="518"/>
      <c r="F28" s="518"/>
    </row>
    <row r="29" spans="1:13">
      <c r="A29" s="30" t="s">
        <v>45</v>
      </c>
      <c r="B29" s="50">
        <f>B24-B25-B26+B27+B28</f>
        <v>9939.339216257029</v>
      </c>
      <c r="D29" s="518"/>
      <c r="E29" s="518"/>
      <c r="F29" s="518"/>
    </row>
    <row r="30" spans="1:13">
      <c r="A30" s="30" t="s">
        <v>50</v>
      </c>
      <c r="B30" s="53">
        <f ca="1">IF('Input sheet'!B37="No",0,'Option value'!B29)</f>
        <v>151.73241316731608</v>
      </c>
      <c r="D30" s="518"/>
      <c r="E30" s="518"/>
      <c r="F30" s="518"/>
    </row>
    <row r="31" spans="1:13">
      <c r="A31" s="30" t="s">
        <v>51</v>
      </c>
      <c r="B31" s="50">
        <f ca="1">B29-B30</f>
        <v>9787.6068030897131</v>
      </c>
      <c r="D31" s="518"/>
      <c r="E31" s="518"/>
      <c r="F31" s="518"/>
    </row>
    <row r="32" spans="1:13">
      <c r="A32" s="30" t="s">
        <v>7</v>
      </c>
      <c r="B32" s="54">
        <f>'Input sheet'!B21</f>
        <v>154.819963</v>
      </c>
      <c r="D32" s="518"/>
      <c r="E32" s="518"/>
      <c r="F32" s="518"/>
    </row>
    <row r="33" spans="1:13">
      <c r="A33" s="30" t="s">
        <v>85</v>
      </c>
      <c r="B33" s="55">
        <f ca="1">B31/B32</f>
        <v>63.219281373227773</v>
      </c>
    </row>
    <row r="34" spans="1:13">
      <c r="A34" s="30" t="s">
        <v>91</v>
      </c>
      <c r="B34" s="43">
        <f>'Input sheet'!B22</f>
        <v>80.569999999999993</v>
      </c>
    </row>
    <row r="35" spans="1:13">
      <c r="A35" s="30" t="s">
        <v>43</v>
      </c>
      <c r="B35" s="46">
        <f ca="1">B34/B33</f>
        <v>1.2744529556471664</v>
      </c>
    </row>
    <row r="37" spans="1:13" ht="16.2">
      <c r="A37" s="32" t="s">
        <v>11</v>
      </c>
      <c r="B37" s="40"/>
      <c r="C37" s="49"/>
      <c r="D37" s="49"/>
      <c r="E37" s="49"/>
      <c r="F37" s="49"/>
      <c r="G37" s="49"/>
      <c r="H37" s="49"/>
      <c r="I37" s="49"/>
      <c r="J37" s="49"/>
      <c r="K37" s="49"/>
      <c r="L37" s="49"/>
      <c r="M37" s="49" t="s">
        <v>36</v>
      </c>
    </row>
    <row r="38" spans="1:13">
      <c r="A38" s="30" t="s">
        <v>31</v>
      </c>
      <c r="B38" s="40"/>
      <c r="C38" s="56">
        <f>'Input sheet'!B31</f>
        <v>1.8</v>
      </c>
      <c r="D38" s="56">
        <f>'Input sheet'!B31</f>
        <v>1.8</v>
      </c>
      <c r="E38" s="56">
        <f t="shared" ref="E38:L38" si="7">D38</f>
        <v>1.8</v>
      </c>
      <c r="F38" s="56">
        <f t="shared" si="7"/>
        <v>1.8</v>
      </c>
      <c r="G38" s="56">
        <f>F38</f>
        <v>1.8</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1730.6773999999998</v>
      </c>
      <c r="C39" s="58">
        <f t="shared" ref="C39:L39" si="8">B39+C8</f>
        <v>1972.0518061666667</v>
      </c>
      <c r="D39" s="58">
        <f t="shared" si="8"/>
        <v>2235.8740321068331</v>
      </c>
      <c r="E39" s="58">
        <f t="shared" si="8"/>
        <v>2524.2317250594351</v>
      </c>
      <c r="F39" s="58">
        <f t="shared" si="8"/>
        <v>2839.4066834566293</v>
      </c>
      <c r="G39" s="58">
        <f t="shared" si="8"/>
        <v>3149.3405737477897</v>
      </c>
      <c r="H39" s="58">
        <f t="shared" si="8"/>
        <v>3507.4485051805827</v>
      </c>
      <c r="I39" s="58">
        <f t="shared" si="8"/>
        <v>3843.907098804681</v>
      </c>
      <c r="J39" s="58">
        <f t="shared" si="8"/>
        <v>4150.8298847273827</v>
      </c>
      <c r="K39" s="58">
        <f t="shared" si="8"/>
        <v>4420.5706113810002</v>
      </c>
      <c r="L39" s="58">
        <f t="shared" si="8"/>
        <v>4702.8165181222794</v>
      </c>
      <c r="M39" s="49"/>
    </row>
    <row r="40" spans="1:13">
      <c r="A40" s="30" t="s">
        <v>13</v>
      </c>
      <c r="B40" s="45">
        <f>B7/B39</f>
        <v>0.27057503033205382</v>
      </c>
      <c r="C40" s="41">
        <f>C7/B39</f>
        <v>0.29828192033362205</v>
      </c>
      <c r="D40" s="41">
        <f t="shared" ref="D40:L40" si="9">D7/C39</f>
        <v>0.31252868684611118</v>
      </c>
      <c r="E40" s="41">
        <f t="shared" si="9"/>
        <v>0.31401790215018871</v>
      </c>
      <c r="F40" s="41">
        <f t="shared" si="9"/>
        <v>0.31633823455004023</v>
      </c>
      <c r="G40" s="41">
        <f t="shared" si="9"/>
        <v>0.31935427252227694</v>
      </c>
      <c r="H40" s="41">
        <f t="shared" si="9"/>
        <v>0.30467563261054736</v>
      </c>
      <c r="I40" s="41">
        <f t="shared" si="9"/>
        <v>0.28682455964114695</v>
      </c>
      <c r="J40" s="41">
        <f t="shared" si="9"/>
        <v>0.27185226824207959</v>
      </c>
      <c r="K40" s="41">
        <f t="shared" si="9"/>
        <v>0.25904196620429759</v>
      </c>
      <c r="L40" s="41">
        <f t="shared" si="9"/>
        <v>0.247901068129562</v>
      </c>
      <c r="M40" s="41">
        <f>IF('Input sheet'!B48="Yes",'Input sheet'!B49,'Valuation output'!L12)</f>
        <v>8.9659999999999976E-2</v>
      </c>
    </row>
  </sheetData>
  <mergeCells count="1">
    <mergeCell ref="D27:F32"/>
  </mergeCells>
  <phoneticPr fontId="6" type="noConversion"/>
  <pageMargins left="0.75" right="0.75" top="1" bottom="1" header="0.5" footer="0.5"/>
  <pageSetup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F3" zoomScale="116" zoomScaleNormal="116" workbookViewId="0">
      <selection activeCell="A3" sqref="A3:G6"/>
    </sheetView>
  </sheetViews>
  <sheetFormatPr defaultColWidth="11.375" defaultRowHeight="15.6"/>
  <cols>
    <col min="1" max="1" width="20.25" style="130" customWidth="1"/>
    <col min="2" max="2" width="19.375" style="130" customWidth="1"/>
    <col min="3" max="3" width="17.75" style="130" customWidth="1"/>
    <col min="4" max="4" width="16.375" style="130" customWidth="1"/>
    <col min="5" max="5" width="19.125" style="130" customWidth="1"/>
    <col min="6" max="6" width="24.75" style="132" customWidth="1"/>
    <col min="7" max="7" width="37.25" style="130" customWidth="1"/>
    <col min="8" max="8" width="17" customWidth="1"/>
    <col min="13" max="13" width="12.375" bestFit="1" customWidth="1"/>
  </cols>
  <sheetData>
    <row r="1" spans="1:11">
      <c r="A1" s="525" t="str">
        <f>'Input sheet'!B4</f>
        <v>Logitech</v>
      </c>
      <c r="B1" s="526"/>
      <c r="C1" s="526"/>
      <c r="D1" s="526"/>
      <c r="E1" s="526"/>
      <c r="F1" s="527"/>
      <c r="G1" s="152">
        <f>'Input sheet'!B3</f>
        <v>43935</v>
      </c>
    </row>
    <row r="2" spans="1:11">
      <c r="A2" s="570" t="s">
        <v>630</v>
      </c>
      <c r="B2" s="570"/>
      <c r="C2" s="570"/>
      <c r="D2" s="570"/>
      <c r="E2" s="570"/>
      <c r="F2" s="570"/>
      <c r="G2" s="570"/>
    </row>
    <row r="3" spans="1:11" ht="15.9" customHeight="1">
      <c r="A3" s="530" t="s">
        <v>631</v>
      </c>
      <c r="B3" s="531"/>
      <c r="C3" s="531"/>
      <c r="D3" s="531"/>
      <c r="E3" s="531"/>
      <c r="F3" s="531"/>
      <c r="G3" s="532"/>
      <c r="H3" s="539" t="s">
        <v>522</v>
      </c>
      <c r="I3" s="540"/>
      <c r="J3" s="540"/>
      <c r="K3" s="541"/>
    </row>
    <row r="4" spans="1:11" ht="15.9" customHeight="1">
      <c r="A4" s="533"/>
      <c r="B4" s="534"/>
      <c r="C4" s="534"/>
      <c r="D4" s="534"/>
      <c r="E4" s="534"/>
      <c r="F4" s="534"/>
      <c r="G4" s="535"/>
      <c r="H4" s="542"/>
      <c r="I4" s="543"/>
      <c r="J4" s="543"/>
      <c r="K4" s="544"/>
    </row>
    <row r="5" spans="1:11" ht="12" customHeight="1">
      <c r="A5" s="533"/>
      <c r="B5" s="534"/>
      <c r="C5" s="534"/>
      <c r="D5" s="534"/>
      <c r="E5" s="534"/>
      <c r="F5" s="534"/>
      <c r="G5" s="535"/>
      <c r="H5" s="542"/>
      <c r="I5" s="543"/>
      <c r="J5" s="543"/>
      <c r="K5" s="544"/>
    </row>
    <row r="6" spans="1:11" ht="17.100000000000001" customHeight="1">
      <c r="A6" s="536"/>
      <c r="B6" s="537"/>
      <c r="C6" s="537"/>
      <c r="D6" s="537"/>
      <c r="E6" s="537"/>
      <c r="F6" s="537"/>
      <c r="G6" s="538"/>
      <c r="H6" s="545"/>
      <c r="I6" s="546"/>
      <c r="J6" s="546"/>
      <c r="K6" s="547"/>
    </row>
    <row r="7" spans="1:11">
      <c r="A7" s="571" t="s">
        <v>502</v>
      </c>
      <c r="B7" s="572"/>
      <c r="C7" s="572"/>
      <c r="D7" s="572"/>
      <c r="E7" s="572"/>
      <c r="F7" s="572"/>
      <c r="G7" s="573"/>
    </row>
    <row r="8" spans="1:11">
      <c r="A8" s="115"/>
      <c r="B8" s="112" t="s">
        <v>503</v>
      </c>
      <c r="C8" s="173" t="s">
        <v>621</v>
      </c>
      <c r="D8" s="113" t="s">
        <v>619</v>
      </c>
      <c r="E8" s="112" t="s">
        <v>504</v>
      </c>
      <c r="F8" s="112" t="s">
        <v>36</v>
      </c>
      <c r="G8" s="114" t="s">
        <v>511</v>
      </c>
    </row>
    <row r="9" spans="1:11">
      <c r="A9" s="116" t="s">
        <v>512</v>
      </c>
      <c r="B9" s="165">
        <f>'Valuation output'!B3</f>
        <v>4247.0569999999998</v>
      </c>
      <c r="C9" s="174">
        <f>'Input sheet'!B26</f>
        <v>0.1</v>
      </c>
      <c r="D9" s="155">
        <f>'Input sheet'!B28</f>
        <v>9.2999999999999999E-2</v>
      </c>
      <c r="E9" s="155" t="s">
        <v>868</v>
      </c>
      <c r="F9" s="117">
        <f>'Valuation output'!M2</f>
        <v>4.6359999999999998E-2</v>
      </c>
      <c r="G9" s="242" t="s">
        <v>632</v>
      </c>
      <c r="H9" s="548" t="s">
        <v>523</v>
      </c>
      <c r="I9" s="549"/>
      <c r="J9" s="549"/>
      <c r="K9" s="550"/>
    </row>
    <row r="10" spans="1:11" ht="46.8">
      <c r="A10" s="116" t="s">
        <v>513</v>
      </c>
      <c r="B10" s="117">
        <f>'Valuation output'!B4</f>
        <v>0.12971697813332855</v>
      </c>
      <c r="C10" s="174">
        <f>'Input sheet'!B27</f>
        <v>0.13</v>
      </c>
      <c r="D10" s="156" t="s">
        <v>869</v>
      </c>
      <c r="E10" s="157">
        <f>'Valuation output'!G4</f>
        <v>0.16</v>
      </c>
      <c r="F10" s="117">
        <f>'Valuation output'!M4</f>
        <v>0.16</v>
      </c>
      <c r="G10" s="243" t="s">
        <v>633</v>
      </c>
      <c r="H10" s="551"/>
      <c r="I10" s="552"/>
      <c r="J10" s="552"/>
      <c r="K10" s="553"/>
    </row>
    <row r="11" spans="1:11">
      <c r="A11" s="116" t="s">
        <v>130</v>
      </c>
      <c r="B11" s="117">
        <f>'Valuation output'!B6</f>
        <v>0.15</v>
      </c>
      <c r="C11" s="175"/>
      <c r="D11" s="155">
        <f>B11</f>
        <v>0.15</v>
      </c>
      <c r="E11" s="155" t="s">
        <v>868</v>
      </c>
      <c r="F11" s="117">
        <f>'Valuation output'!M6</f>
        <v>0.25</v>
      </c>
      <c r="G11" s="244" t="s">
        <v>634</v>
      </c>
      <c r="H11" s="551"/>
      <c r="I11" s="552"/>
      <c r="J11" s="552"/>
      <c r="K11" s="553"/>
    </row>
    <row r="12" spans="1:11">
      <c r="A12" s="116" t="s">
        <v>870</v>
      </c>
      <c r="B12" s="118"/>
      <c r="C12" s="176">
        <f>'Input sheet'!B31</f>
        <v>1.8</v>
      </c>
      <c r="D12" s="154">
        <f>'Input sheet'!B31</f>
        <v>1.8</v>
      </c>
      <c r="E12" s="153">
        <f>'Input sheet'!B32</f>
        <v>1.5</v>
      </c>
      <c r="F12" s="119">
        <f>'Valuation output'!M2/'Valuation output'!M40</f>
        <v>0.51706446575953613</v>
      </c>
      <c r="G12" s="244" t="s">
        <v>835</v>
      </c>
      <c r="H12" s="551"/>
      <c r="I12" s="552"/>
      <c r="J12" s="552"/>
      <c r="K12" s="553"/>
    </row>
    <row r="13" spans="1:11">
      <c r="A13" s="133" t="s">
        <v>525</v>
      </c>
      <c r="B13" s="135">
        <f>'Valuation output'!B40</f>
        <v>0.27057503033205382</v>
      </c>
      <c r="C13" s="117" t="s">
        <v>526</v>
      </c>
      <c r="D13" s="568">
        <f>Diagnostics!C27</f>
        <v>0.21115636292960388</v>
      </c>
      <c r="E13" s="569"/>
      <c r="F13" s="134">
        <f>'Valuation output'!M40</f>
        <v>8.9659999999999976E-2</v>
      </c>
      <c r="G13" s="245" t="s">
        <v>836</v>
      </c>
      <c r="H13" s="551"/>
      <c r="I13" s="552"/>
      <c r="J13" s="552"/>
      <c r="K13" s="553"/>
    </row>
    <row r="14" spans="1:11" ht="16.2" thickBot="1">
      <c r="A14" s="120" t="s">
        <v>514</v>
      </c>
      <c r="B14" s="136"/>
      <c r="C14" s="118"/>
      <c r="D14" s="156">
        <f>'Valuation output'!C12</f>
        <v>9.4957943460060895E-2</v>
      </c>
      <c r="E14" s="157"/>
      <c r="F14" s="121">
        <f>'Valuation output'!M12</f>
        <v>8.965999999999999E-2</v>
      </c>
      <c r="G14" s="246" t="s">
        <v>635</v>
      </c>
      <c r="H14" s="554"/>
      <c r="I14" s="555"/>
      <c r="J14" s="555"/>
      <c r="K14" s="556"/>
    </row>
    <row r="15" spans="1:11" ht="16.2" thickBot="1">
      <c r="A15" s="574" t="s">
        <v>506</v>
      </c>
      <c r="B15" s="574"/>
      <c r="C15" s="574"/>
      <c r="D15" s="574"/>
      <c r="E15" s="574"/>
      <c r="F15" s="574"/>
      <c r="G15" s="574"/>
    </row>
    <row r="16" spans="1:11">
      <c r="A16" s="111"/>
      <c r="B16" s="162" t="s">
        <v>5</v>
      </c>
      <c r="C16" s="162" t="s">
        <v>505</v>
      </c>
      <c r="D16" s="163" t="s">
        <v>517</v>
      </c>
      <c r="E16" s="163" t="s">
        <v>507</v>
      </c>
      <c r="F16" s="163" t="s">
        <v>515</v>
      </c>
      <c r="G16" s="164" t="s">
        <v>10</v>
      </c>
      <c r="H16" s="557" t="s">
        <v>524</v>
      </c>
      <c r="I16" s="558"/>
      <c r="J16" s="558"/>
      <c r="K16" s="559"/>
    </row>
    <row r="17" spans="1:11">
      <c r="A17" s="122">
        <v>1</v>
      </c>
      <c r="B17" s="165">
        <f>'Valuation output'!C3</f>
        <v>4671.7627000000002</v>
      </c>
      <c r="C17" s="123">
        <f>'Valuation output'!C4</f>
        <v>0.13</v>
      </c>
      <c r="D17" s="165">
        <f>B17*C17</f>
        <v>607.32915100000002</v>
      </c>
      <c r="E17" s="165">
        <f>'Valuation output'!C7</f>
        <v>516.22977835000006</v>
      </c>
      <c r="F17" s="165">
        <f>'Valuation output'!C8</f>
        <v>241.37440616666683</v>
      </c>
      <c r="G17" s="167">
        <f>E17-F17</f>
        <v>274.8553721833332</v>
      </c>
      <c r="H17" s="560"/>
      <c r="I17" s="561"/>
      <c r="J17" s="561"/>
      <c r="K17" s="562"/>
    </row>
    <row r="18" spans="1:11">
      <c r="A18" s="122">
        <v>2</v>
      </c>
      <c r="B18" s="165">
        <f>'Valuation output'!D3</f>
        <v>5106.2366311000005</v>
      </c>
      <c r="C18" s="123">
        <f>'Valuation output'!D4</f>
        <v>0.14200000000000002</v>
      </c>
      <c r="D18" s="165">
        <f t="shared" ref="D18:D27" si="0">B18*C18</f>
        <v>725.08560161620017</v>
      </c>
      <c r="E18" s="165">
        <f>'Valuation output'!D7</f>
        <v>616.32276137377016</v>
      </c>
      <c r="F18" s="165">
        <f>'Valuation output'!D8</f>
        <v>263.82222594016639</v>
      </c>
      <c r="G18" s="167">
        <f t="shared" ref="G18:G27" si="1">E18-F18</f>
        <v>352.50053543360377</v>
      </c>
      <c r="H18" s="560"/>
      <c r="I18" s="561"/>
      <c r="J18" s="561"/>
      <c r="K18" s="562"/>
    </row>
    <row r="19" spans="1:11">
      <c r="A19" s="122">
        <v>3</v>
      </c>
      <c r="B19" s="165">
        <f>'Valuation output'!E3</f>
        <v>5581.1166377923</v>
      </c>
      <c r="C19" s="123">
        <f>'Valuation output'!E4</f>
        <v>0.14799999999999999</v>
      </c>
      <c r="D19" s="165">
        <f t="shared" si="0"/>
        <v>826.00526239326041</v>
      </c>
      <c r="E19" s="165">
        <f>'Valuation output'!E7</f>
        <v>702.10447303427134</v>
      </c>
      <c r="F19" s="165">
        <f>'Valuation output'!E8</f>
        <v>288.35769295260229</v>
      </c>
      <c r="G19" s="167">
        <f t="shared" si="1"/>
        <v>413.74678008166904</v>
      </c>
      <c r="H19" s="560"/>
      <c r="I19" s="561"/>
      <c r="J19" s="561"/>
      <c r="K19" s="562"/>
    </row>
    <row r="20" spans="1:11">
      <c r="A20" s="122">
        <v>4</v>
      </c>
      <c r="B20" s="165">
        <f>'Valuation output'!F3</f>
        <v>6100.1604851069842</v>
      </c>
      <c r="C20" s="123">
        <f>'Valuation output'!F4</f>
        <v>0.154</v>
      </c>
      <c r="D20" s="165">
        <f t="shared" si="0"/>
        <v>939.42471470647558</v>
      </c>
      <c r="E20" s="165">
        <f>'Valuation output'!F7</f>
        <v>798.51100750050432</v>
      </c>
      <c r="F20" s="165">
        <f>'Valuation output'!F8</f>
        <v>315.1749583971943</v>
      </c>
      <c r="G20" s="167">
        <f t="shared" si="1"/>
        <v>483.33604910331002</v>
      </c>
      <c r="H20" s="560"/>
      <c r="I20" s="561"/>
      <c r="J20" s="561"/>
      <c r="K20" s="562"/>
    </row>
    <row r="21" spans="1:11">
      <c r="A21" s="122">
        <v>5</v>
      </c>
      <c r="B21" s="165">
        <f>'Valuation output'!G3</f>
        <v>6667.475410221934</v>
      </c>
      <c r="C21" s="123">
        <f>'Valuation output'!G4</f>
        <v>0.16</v>
      </c>
      <c r="D21" s="165">
        <f t="shared" si="0"/>
        <v>1066.7960656355094</v>
      </c>
      <c r="E21" s="165">
        <f>'Valuation output'!G7</f>
        <v>906.77665579018299</v>
      </c>
      <c r="F21" s="165">
        <f>'Valuation output'!G8</f>
        <v>309.93389029116059</v>
      </c>
      <c r="G21" s="167">
        <f t="shared" si="1"/>
        <v>596.84276549902233</v>
      </c>
      <c r="H21" s="560"/>
      <c r="I21" s="561"/>
      <c r="J21" s="561"/>
      <c r="K21" s="562"/>
    </row>
    <row r="22" spans="1:11">
      <c r="A22" s="122">
        <v>6</v>
      </c>
      <c r="B22" s="165">
        <f>'Valuation output'!H3</f>
        <v>7225.3564127460231</v>
      </c>
      <c r="C22" s="123">
        <f>'Valuation output'!H4</f>
        <v>0.16</v>
      </c>
      <c r="D22" s="165">
        <f t="shared" si="0"/>
        <v>1156.0570260393638</v>
      </c>
      <c r="E22" s="165">
        <f>'Valuation output'!H7</f>
        <v>959.52733161267201</v>
      </c>
      <c r="F22" s="165">
        <f>'Valuation output'!H8</f>
        <v>358.10793143279324</v>
      </c>
      <c r="G22" s="167">
        <f t="shared" si="1"/>
        <v>601.41940017987872</v>
      </c>
      <c r="H22" s="560"/>
      <c r="I22" s="561"/>
      <c r="J22" s="561"/>
      <c r="K22" s="562"/>
    </row>
    <row r="23" spans="1:11">
      <c r="A23" s="122">
        <v>7</v>
      </c>
      <c r="B23" s="165">
        <f>'Valuation output'!I3</f>
        <v>7762.518309895213</v>
      </c>
      <c r="C23" s="123">
        <f>'Valuation output'!I4</f>
        <v>0.16</v>
      </c>
      <c r="D23" s="165">
        <f t="shared" si="0"/>
        <v>1242.0029295832342</v>
      </c>
      <c r="E23" s="165">
        <f>'Valuation output'!I7</f>
        <v>1006.0223729624197</v>
      </c>
      <c r="F23" s="165">
        <f>'Valuation output'!I8</f>
        <v>336.45859362409828</v>
      </c>
      <c r="G23" s="167">
        <f t="shared" si="1"/>
        <v>669.56377933832141</v>
      </c>
      <c r="H23" s="560"/>
      <c r="I23" s="561"/>
      <c r="J23" s="561"/>
      <c r="K23" s="562"/>
    </row>
    <row r="24" spans="1:11">
      <c r="A24" s="122">
        <v>8</v>
      </c>
      <c r="B24" s="165">
        <f>'Valuation output'!J3</f>
        <v>8267.2062003313604</v>
      </c>
      <c r="C24" s="123">
        <f>'Valuation output'!J4</f>
        <v>0.16</v>
      </c>
      <c r="D24" s="165">
        <f t="shared" si="0"/>
        <v>1322.7529920530176</v>
      </c>
      <c r="E24" s="165">
        <f>'Valuation output'!J7</f>
        <v>1044.974863721884</v>
      </c>
      <c r="F24" s="165">
        <f>'Valuation output'!J8</f>
        <v>306.92278592270185</v>
      </c>
      <c r="G24" s="167">
        <f t="shared" si="1"/>
        <v>738.05207779918214</v>
      </c>
      <c r="H24" s="560"/>
      <c r="I24" s="561"/>
      <c r="J24" s="561"/>
      <c r="K24" s="562"/>
    </row>
    <row r="25" spans="1:11">
      <c r="A25" s="122">
        <v>9</v>
      </c>
      <c r="B25" s="165">
        <f>'Valuation output'!K3</f>
        <v>8727.5903792154131</v>
      </c>
      <c r="C25" s="123">
        <f>'Valuation output'!K4</f>
        <v>0.16</v>
      </c>
      <c r="D25" s="165">
        <f t="shared" si="0"/>
        <v>1396.4144606744662</v>
      </c>
      <c r="E25" s="165">
        <f>'Valuation output'!K7</f>
        <v>1075.2391347193391</v>
      </c>
      <c r="F25" s="165">
        <f>'Valuation output'!K8</f>
        <v>269.74072665361746</v>
      </c>
      <c r="G25" s="167">
        <f t="shared" si="1"/>
        <v>805.49840806572161</v>
      </c>
      <c r="H25" s="560"/>
      <c r="I25" s="561"/>
      <c r="J25" s="561"/>
      <c r="K25" s="562"/>
    </row>
    <row r="26" spans="1:11">
      <c r="A26" s="122">
        <v>10</v>
      </c>
      <c r="B26" s="165">
        <f>'Valuation output'!L3</f>
        <v>9132.2014691958393</v>
      </c>
      <c r="C26" s="123">
        <f>'Valuation output'!L4</f>
        <v>0.16</v>
      </c>
      <c r="D26" s="165">
        <f t="shared" si="0"/>
        <v>1461.1522350713344</v>
      </c>
      <c r="E26" s="165">
        <f>'Valuation output'!L7</f>
        <v>1095.8641763035009</v>
      </c>
      <c r="F26" s="165">
        <f>'Valuation output'!L8</f>
        <v>282.2459067412795</v>
      </c>
      <c r="G26" s="167">
        <f t="shared" si="1"/>
        <v>813.61826956222149</v>
      </c>
      <c r="H26" s="560"/>
      <c r="I26" s="561"/>
      <c r="J26" s="561"/>
      <c r="K26" s="562"/>
    </row>
    <row r="27" spans="1:11" ht="16.2" thickBot="1">
      <c r="A27" s="124" t="s">
        <v>38</v>
      </c>
      <c r="B27" s="166">
        <f>'Valuation output'!M3</f>
        <v>9555.5703293077586</v>
      </c>
      <c r="C27" s="125">
        <f>'Valuation output'!M4</f>
        <v>0.16</v>
      </c>
      <c r="D27" s="165">
        <f t="shared" si="0"/>
        <v>1528.8912526892414</v>
      </c>
      <c r="E27" s="166">
        <f>'Valuation output'!M7</f>
        <v>1146.6684395169309</v>
      </c>
      <c r="F27" s="166">
        <f>'Valuation output'!M8</f>
        <v>592.90150408214288</v>
      </c>
      <c r="G27" s="167">
        <f t="shared" si="1"/>
        <v>553.76693543478802</v>
      </c>
      <c r="H27" s="563"/>
      <c r="I27" s="564"/>
      <c r="J27" s="564"/>
      <c r="K27" s="565"/>
    </row>
    <row r="28" spans="1:11" ht="16.2" thickBot="1">
      <c r="A28" s="574" t="s">
        <v>508</v>
      </c>
      <c r="B28" s="574"/>
      <c r="C28" s="574"/>
      <c r="D28" s="574"/>
      <c r="E28" s="574"/>
      <c r="F28" s="574"/>
      <c r="G28" s="574"/>
    </row>
    <row r="29" spans="1:11">
      <c r="A29" s="528" t="s">
        <v>509</v>
      </c>
      <c r="B29" s="529"/>
      <c r="C29" s="529"/>
      <c r="D29" s="448">
        <f>'Valuation output'!B18</f>
        <v>12789.074721357694</v>
      </c>
      <c r="E29" s="126"/>
      <c r="F29" s="127"/>
      <c r="G29" s="128"/>
      <c r="H29" s="566" t="s">
        <v>527</v>
      </c>
      <c r="I29" s="552"/>
      <c r="J29" s="552"/>
      <c r="K29" s="552"/>
    </row>
    <row r="30" spans="1:11">
      <c r="A30" s="519" t="s">
        <v>510</v>
      </c>
      <c r="B30" s="520"/>
      <c r="C30" s="520"/>
      <c r="D30" s="448">
        <f>'Valuation output'!B19</f>
        <v>5238.1742555567471</v>
      </c>
      <c r="E30" s="129"/>
      <c r="F30" s="130"/>
      <c r="G30" s="131"/>
      <c r="H30" s="566"/>
      <c r="I30" s="552"/>
      <c r="J30" s="552"/>
      <c r="K30" s="552"/>
    </row>
    <row r="31" spans="1:11">
      <c r="A31" s="519" t="s">
        <v>39</v>
      </c>
      <c r="B31" s="520"/>
      <c r="C31" s="520"/>
      <c r="D31" s="448">
        <f>'Valuation output'!B20</f>
        <v>3332.8369607002815</v>
      </c>
      <c r="E31" s="129"/>
      <c r="F31" s="130"/>
      <c r="G31" s="131"/>
      <c r="H31" s="566"/>
      <c r="I31" s="552"/>
      <c r="J31" s="552"/>
      <c r="K31" s="552"/>
    </row>
    <row r="32" spans="1:11">
      <c r="A32" s="519" t="s">
        <v>37</v>
      </c>
      <c r="B32" s="520"/>
      <c r="C32" s="520"/>
      <c r="D32" s="448">
        <f>'Valuation output'!B21</f>
        <v>8571.0112162570294</v>
      </c>
      <c r="E32" s="129"/>
      <c r="F32" s="130"/>
      <c r="G32" s="131"/>
      <c r="H32" s="566"/>
      <c r="I32" s="552"/>
      <c r="J32" s="552"/>
      <c r="K32" s="552"/>
    </row>
    <row r="33" spans="1:13">
      <c r="A33" s="519" t="s">
        <v>518</v>
      </c>
      <c r="B33" s="520"/>
      <c r="C33" s="520"/>
      <c r="D33" s="448">
        <f>D32-'Valuation output'!B24</f>
        <v>0</v>
      </c>
      <c r="E33" s="567" t="s">
        <v>100</v>
      </c>
      <c r="F33" s="567"/>
      <c r="G33" s="394">
        <f>'Valuation output'!B22</f>
        <v>0</v>
      </c>
      <c r="H33" s="552"/>
      <c r="I33" s="552"/>
      <c r="J33" s="552"/>
      <c r="K33" s="552"/>
    </row>
    <row r="34" spans="1:13">
      <c r="A34" s="519" t="s">
        <v>606</v>
      </c>
      <c r="B34" s="520"/>
      <c r="C34" s="520"/>
      <c r="D34" s="448">
        <f>'Valuation output'!B25+'Valuation output'!B26</f>
        <v>77.644999999999996</v>
      </c>
      <c r="E34" s="129"/>
      <c r="F34" s="130"/>
      <c r="G34" s="131"/>
      <c r="H34" s="566"/>
      <c r="I34" s="552"/>
      <c r="J34" s="552"/>
      <c r="K34" s="552"/>
    </row>
    <row r="35" spans="1:13">
      <c r="A35" s="519" t="s">
        <v>519</v>
      </c>
      <c r="B35" s="520"/>
      <c r="C35" s="520"/>
      <c r="D35" s="448">
        <f>'Valuation output'!B27+'Valuation output'!B28</f>
        <v>1445.9730000000002</v>
      </c>
      <c r="E35" s="129"/>
      <c r="F35" s="130"/>
      <c r="G35" s="131"/>
      <c r="H35" s="566"/>
      <c r="I35" s="552"/>
      <c r="J35" s="552"/>
      <c r="K35" s="552"/>
    </row>
    <row r="36" spans="1:13">
      <c r="A36" s="519" t="s">
        <v>45</v>
      </c>
      <c r="B36" s="520"/>
      <c r="C36" s="520"/>
      <c r="D36" s="448">
        <f>D32-D33-D34+D35</f>
        <v>9939.339216257029</v>
      </c>
      <c r="E36" s="129"/>
      <c r="F36" s="130"/>
      <c r="G36" s="131"/>
      <c r="H36" s="566"/>
      <c r="I36" s="552"/>
      <c r="J36" s="552"/>
      <c r="K36" s="552"/>
    </row>
    <row r="37" spans="1:13">
      <c r="A37" s="519" t="s">
        <v>520</v>
      </c>
      <c r="B37" s="520"/>
      <c r="C37" s="520"/>
      <c r="D37" s="448">
        <f ca="1">'Valuation output'!B30</f>
        <v>151.73241316731608</v>
      </c>
      <c r="E37" s="129"/>
      <c r="F37" s="130"/>
      <c r="G37" s="131"/>
      <c r="H37" s="566"/>
      <c r="I37" s="552"/>
      <c r="J37" s="552"/>
      <c r="K37" s="552"/>
    </row>
    <row r="38" spans="1:13" ht="16.2" thickBot="1">
      <c r="A38" s="522" t="s">
        <v>516</v>
      </c>
      <c r="B38" s="523"/>
      <c r="C38" s="524"/>
      <c r="D38" s="449">
        <f>'Valuation output'!B32</f>
        <v>154.819963</v>
      </c>
      <c r="G38" s="131"/>
      <c r="H38" s="566"/>
      <c r="I38" s="552"/>
      <c r="J38" s="552"/>
      <c r="K38" s="552"/>
    </row>
    <row r="39" spans="1:13" ht="16.2" thickBot="1">
      <c r="A39" s="575" t="s">
        <v>496</v>
      </c>
      <c r="B39" s="576"/>
      <c r="C39" s="577"/>
      <c r="D39" s="448">
        <f ca="1">(D36-D37)/D38</f>
        <v>63.219281373227773</v>
      </c>
      <c r="E39" s="521" t="s">
        <v>521</v>
      </c>
      <c r="F39" s="521"/>
      <c r="G39" s="137">
        <f>'Input sheet'!B22</f>
        <v>80.569999999999993</v>
      </c>
      <c r="H39" s="566"/>
      <c r="I39" s="552"/>
      <c r="J39" s="552"/>
      <c r="K39" s="552"/>
      <c r="M39" s="151"/>
    </row>
    <row r="40" spans="1:13">
      <c r="M40" s="144"/>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375" defaultRowHeight="13.2"/>
  <cols>
    <col min="1" max="1" width="27.875" style="300" customWidth="1"/>
    <col min="2" max="2" width="13" style="300" customWidth="1"/>
    <col min="3" max="3" width="10.875" style="300"/>
    <col min="4" max="4" width="16.125" style="300" customWidth="1"/>
    <col min="5" max="5" width="12.75" style="300" bestFit="1" customWidth="1"/>
    <col min="6" max="10" width="11.375" style="300" bestFit="1" customWidth="1"/>
    <col min="11" max="13" width="13" style="300" bestFit="1" customWidth="1"/>
    <col min="14" max="14" width="13.75" style="300" bestFit="1" customWidth="1"/>
    <col min="15" max="15" width="16" style="300" customWidth="1"/>
    <col min="16" max="16" width="10.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8" thickBot="1">
      <c r="A2" s="299"/>
      <c r="B2" s="299"/>
      <c r="C2" s="299"/>
      <c r="D2" s="299"/>
      <c r="E2" s="299"/>
      <c r="F2" s="299"/>
      <c r="G2" s="299"/>
      <c r="H2" s="299"/>
      <c r="I2" s="299"/>
      <c r="J2" s="299"/>
      <c r="K2" s="299"/>
      <c r="L2" s="299"/>
      <c r="M2" s="299"/>
      <c r="N2" s="299"/>
      <c r="O2" s="299"/>
      <c r="P2" s="299"/>
    </row>
    <row r="3" spans="1:16" ht="16.2" thickBot="1">
      <c r="A3" s="594" t="str">
        <f>'Input sheet'!B4</f>
        <v>Logitech</v>
      </c>
      <c r="B3" s="595"/>
      <c r="C3" s="595"/>
      <c r="D3" s="595"/>
      <c r="E3" s="595"/>
      <c r="F3" s="595"/>
      <c r="G3" s="595"/>
      <c r="H3" s="595"/>
      <c r="I3" s="595"/>
      <c r="J3" s="595"/>
      <c r="K3" s="595"/>
      <c r="L3" s="595"/>
      <c r="M3" s="595"/>
      <c r="N3" s="596"/>
      <c r="O3" s="586">
        <f>'Input sheet'!B3</f>
        <v>43935</v>
      </c>
      <c r="P3" s="587"/>
    </row>
    <row r="4" spans="1:16" ht="13.8" thickBot="1">
      <c r="A4" s="451"/>
      <c r="P4" s="452"/>
    </row>
    <row r="5" spans="1:16" ht="13.8" thickBot="1">
      <c r="A5" s="583" t="s">
        <v>853</v>
      </c>
      <c r="B5" s="584"/>
      <c r="C5" s="585"/>
      <c r="E5" s="578" t="s">
        <v>849</v>
      </c>
      <c r="F5" s="579"/>
      <c r="H5" s="578" t="s">
        <v>850</v>
      </c>
      <c r="I5" s="579"/>
      <c r="K5" s="578" t="s">
        <v>851</v>
      </c>
      <c r="L5" s="579"/>
      <c r="P5" s="452"/>
    </row>
    <row r="6" spans="1:16" ht="14.1" customHeight="1">
      <c r="A6" s="451"/>
      <c r="B6" s="374" t="s">
        <v>221</v>
      </c>
      <c r="C6" s="374" t="s">
        <v>852</v>
      </c>
      <c r="E6" s="588" t="str">
        <f>'Stories to Numbers'!G9</f>
        <v>Disruption platform in multiple businesses</v>
      </c>
      <c r="F6" s="589"/>
      <c r="H6" s="588" t="str">
        <f>'Stories to Numbers'!G10</f>
        <v>Margins improve, aided by cloud business &amp; continued economies of scale.</v>
      </c>
      <c r="I6" s="589"/>
      <c r="K6" s="588" t="str">
        <f>'Stories to Numbers'!G12</f>
        <v>Maintained at Amazon's current level</v>
      </c>
      <c r="L6" s="589"/>
      <c r="O6" s="597" t="s">
        <v>535</v>
      </c>
      <c r="P6" s="598"/>
    </row>
    <row r="7" spans="1:16">
      <c r="A7" s="453" t="s">
        <v>844</v>
      </c>
      <c r="B7" s="360">
        <f>'Input sheet'!I25</f>
        <v>-8.4776643170412891E-2</v>
      </c>
      <c r="C7" s="360">
        <f>'Input sheet'!K25</f>
        <v>5.7764980544747248E-3</v>
      </c>
      <c r="E7" s="590"/>
      <c r="F7" s="591"/>
      <c r="H7" s="590"/>
      <c r="I7" s="591"/>
      <c r="K7" s="590"/>
      <c r="L7" s="591"/>
      <c r="O7" s="358" t="s">
        <v>848</v>
      </c>
      <c r="P7" s="454">
        <f>O16</f>
        <v>4.6359999999999998E-2</v>
      </c>
    </row>
    <row r="8" spans="1:16">
      <c r="A8" s="453" t="s">
        <v>845</v>
      </c>
      <c r="B8" s="368">
        <f>'Valuation output'!B3</f>
        <v>4247.0569999999998</v>
      </c>
      <c r="E8" s="590"/>
      <c r="F8" s="591"/>
      <c r="H8" s="590"/>
      <c r="I8" s="591"/>
      <c r="K8" s="590"/>
      <c r="L8" s="591"/>
      <c r="O8" s="358" t="s">
        <v>135</v>
      </c>
      <c r="P8" s="454">
        <f>'Valuation output'!M12</f>
        <v>8.965999999999999E-2</v>
      </c>
    </row>
    <row r="9" spans="1:16">
      <c r="A9" s="453" t="s">
        <v>505</v>
      </c>
      <c r="B9" s="360">
        <f>'Valuation output'!B4</f>
        <v>0.12971697813332855</v>
      </c>
      <c r="C9" s="360">
        <f>'Input sheet'!K26</f>
        <v>0.11390914392035238</v>
      </c>
      <c r="E9" s="590"/>
      <c r="F9" s="591"/>
      <c r="H9" s="590"/>
      <c r="I9" s="591"/>
      <c r="K9" s="590"/>
      <c r="L9" s="591"/>
      <c r="O9" s="358" t="s">
        <v>525</v>
      </c>
      <c r="P9" s="454">
        <f>'Valuation output'!M40</f>
        <v>8.9659999999999976E-2</v>
      </c>
    </row>
    <row r="10" spans="1:16">
      <c r="A10" s="453" t="s">
        <v>846</v>
      </c>
      <c r="B10" s="368">
        <f>'Valuation output'!B5</f>
        <v>550.91539999999998</v>
      </c>
      <c r="E10" s="590"/>
      <c r="F10" s="591"/>
      <c r="H10" s="590"/>
      <c r="I10" s="591"/>
      <c r="K10" s="590"/>
      <c r="L10" s="591"/>
      <c r="O10" s="358" t="s">
        <v>471</v>
      </c>
      <c r="P10" s="454">
        <f>P7/P9</f>
        <v>0.51706446575953613</v>
      </c>
    </row>
    <row r="11" spans="1:16">
      <c r="A11" s="453" t="s">
        <v>507</v>
      </c>
      <c r="B11" s="368">
        <f>'Valuation output'!B7</f>
        <v>468.27808999999996</v>
      </c>
      <c r="E11" s="590"/>
      <c r="F11" s="591"/>
      <c r="H11" s="590"/>
      <c r="I11" s="591"/>
      <c r="K11" s="590"/>
      <c r="L11" s="591"/>
      <c r="P11" s="455"/>
    </row>
    <row r="12" spans="1:16">
      <c r="A12" s="451"/>
      <c r="E12" s="592"/>
      <c r="F12" s="593"/>
      <c r="H12" s="592"/>
      <c r="I12" s="593"/>
      <c r="K12" s="592"/>
      <c r="L12" s="593"/>
      <c r="P12" s="455"/>
    </row>
    <row r="13" spans="1:16">
      <c r="A13" s="451"/>
      <c r="P13" s="455"/>
    </row>
    <row r="14" spans="1:16" ht="13.8" thickBot="1">
      <c r="A14" s="451"/>
      <c r="P14" s="452"/>
    </row>
    <row r="15" spans="1:16">
      <c r="A15" s="456" t="str">
        <f>'Valuation output'!A19</f>
        <v>PV(Terminal value)</v>
      </c>
      <c r="B15" s="369">
        <f>'Valuation output'!B19</f>
        <v>5238.1742555567471</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3332.8369607002815</v>
      </c>
      <c r="D16" s="358" t="s">
        <v>844</v>
      </c>
      <c r="E16" s="360">
        <f>'Valuation output'!C2</f>
        <v>0.1</v>
      </c>
      <c r="F16" s="360">
        <f>'Valuation output'!D2</f>
        <v>9.2999999999999999E-2</v>
      </c>
      <c r="G16" s="360">
        <f>'Valuation output'!E2</f>
        <v>9.2999999999999999E-2</v>
      </c>
      <c r="H16" s="360">
        <f>'Valuation output'!F2</f>
        <v>9.2999999999999999E-2</v>
      </c>
      <c r="I16" s="360">
        <f>'Valuation output'!G2</f>
        <v>9.2999999999999999E-2</v>
      </c>
      <c r="J16" s="360">
        <f>'Valuation output'!H2</f>
        <v>8.3671999999999996E-2</v>
      </c>
      <c r="K16" s="360">
        <f>'Valuation output'!I2</f>
        <v>7.4343999999999993E-2</v>
      </c>
      <c r="L16" s="360">
        <f>'Valuation output'!J2</f>
        <v>6.5016000000000004E-2</v>
      </c>
      <c r="M16" s="360">
        <f>'Valuation output'!K2</f>
        <v>5.5688000000000001E-2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4671.7627000000002</v>
      </c>
      <c r="F17" s="364">
        <f>'Valuation output'!D3</f>
        <v>5106.2366311000005</v>
      </c>
      <c r="G17" s="364">
        <f>'Valuation output'!E3</f>
        <v>5581.1166377923</v>
      </c>
      <c r="H17" s="364">
        <f>'Valuation output'!F3</f>
        <v>6100.1604851069842</v>
      </c>
      <c r="I17" s="364">
        <f>'Valuation output'!G3</f>
        <v>6667.475410221934</v>
      </c>
      <c r="J17" s="364">
        <f>'Valuation output'!H3</f>
        <v>7225.3564127460231</v>
      </c>
      <c r="K17" s="364">
        <f>'Valuation output'!I3</f>
        <v>7762.518309895213</v>
      </c>
      <c r="L17" s="364">
        <f>'Valuation output'!J3</f>
        <v>8267.2062003313604</v>
      </c>
      <c r="M17" s="364">
        <f>'Valuation output'!K3</f>
        <v>8727.5903792154131</v>
      </c>
      <c r="N17" s="364">
        <f>'Valuation output'!L3</f>
        <v>9132.2014691958393</v>
      </c>
      <c r="O17" s="365">
        <f>'Valuation output'!M3</f>
        <v>9555.5703293077586</v>
      </c>
      <c r="P17" s="452"/>
    </row>
    <row r="18" spans="1:16">
      <c r="A18" s="458" t="str">
        <f>'Valuation output'!A24</f>
        <v>Value of operating assets =</v>
      </c>
      <c r="B18" s="372">
        <f>'Valuation output'!B24</f>
        <v>8571.0112162570294</v>
      </c>
      <c r="D18" s="358" t="s">
        <v>505</v>
      </c>
      <c r="E18" s="360">
        <f>'Valuation output'!C4</f>
        <v>0.13</v>
      </c>
      <c r="F18" s="360">
        <f>'Valuation output'!D4</f>
        <v>0.14200000000000002</v>
      </c>
      <c r="G18" s="360">
        <f>'Valuation output'!E4</f>
        <v>0.14799999999999999</v>
      </c>
      <c r="H18" s="360">
        <f>'Valuation output'!F4</f>
        <v>0.154</v>
      </c>
      <c r="I18" s="360">
        <f>'Valuation output'!G4</f>
        <v>0.16</v>
      </c>
      <c r="J18" s="360">
        <f>'Valuation output'!H4</f>
        <v>0.16</v>
      </c>
      <c r="K18" s="360">
        <f>'Valuation output'!I4</f>
        <v>0.16</v>
      </c>
      <c r="L18" s="360">
        <f>'Valuation output'!J4</f>
        <v>0.16</v>
      </c>
      <c r="M18" s="360">
        <f>'Valuation output'!K4</f>
        <v>0.16</v>
      </c>
      <c r="N18" s="360">
        <f>'Valuation output'!L4</f>
        <v>0.16</v>
      </c>
      <c r="O18" s="363">
        <f>'Valuation output'!M4</f>
        <v>0.16</v>
      </c>
      <c r="P18" s="452"/>
    </row>
    <row r="19" spans="1:16">
      <c r="A19" s="458" t="str">
        <f>'Valuation output'!A25</f>
        <v xml:space="preserve"> - Debt</v>
      </c>
      <c r="B19" s="372">
        <f>'Valuation output'!B25</f>
        <v>77.644999999999996</v>
      </c>
      <c r="D19" s="358" t="s">
        <v>846</v>
      </c>
      <c r="E19" s="364">
        <f>'Valuation output'!C5</f>
        <v>607.32915100000002</v>
      </c>
      <c r="F19" s="364">
        <f>'Valuation output'!D5</f>
        <v>725.08560161620017</v>
      </c>
      <c r="G19" s="364">
        <f>'Valuation output'!E5</f>
        <v>826.00526239326041</v>
      </c>
      <c r="H19" s="364">
        <f>'Valuation output'!F5</f>
        <v>939.42471470647558</v>
      </c>
      <c r="I19" s="364">
        <f>'Valuation output'!G5</f>
        <v>1066.7960656355094</v>
      </c>
      <c r="J19" s="364">
        <f>'Valuation output'!H5</f>
        <v>1156.0570260393638</v>
      </c>
      <c r="K19" s="364">
        <f>'Valuation output'!I5</f>
        <v>1242.0029295832342</v>
      </c>
      <c r="L19" s="364">
        <f>'Valuation output'!J5</f>
        <v>1322.7529920530176</v>
      </c>
      <c r="M19" s="364">
        <f>'Valuation output'!K5</f>
        <v>1396.4144606744662</v>
      </c>
      <c r="N19" s="364">
        <f>'Valuation output'!L5</f>
        <v>1461.1522350713344</v>
      </c>
      <c r="O19" s="365">
        <f>'Valuation output'!M5</f>
        <v>1528.8912526892414</v>
      </c>
      <c r="P19" s="452"/>
    </row>
    <row r="20" spans="1:16">
      <c r="A20" s="458" t="str">
        <f>'Valuation output'!A26</f>
        <v xml:space="preserve"> - Minority interests</v>
      </c>
      <c r="B20" s="372">
        <f>'Valuation output'!B26</f>
        <v>0</v>
      </c>
      <c r="D20" s="358" t="s">
        <v>507</v>
      </c>
      <c r="E20" s="364">
        <f>'Valuation output'!C7</f>
        <v>516.22977835000006</v>
      </c>
      <c r="F20" s="364">
        <f>'Valuation output'!D7</f>
        <v>616.32276137377016</v>
      </c>
      <c r="G20" s="364">
        <f>'Valuation output'!E7</f>
        <v>702.10447303427134</v>
      </c>
      <c r="H20" s="364">
        <f>'Valuation output'!F7</f>
        <v>798.51100750050432</v>
      </c>
      <c r="I20" s="364">
        <f>'Valuation output'!G7</f>
        <v>906.77665579018299</v>
      </c>
      <c r="J20" s="364">
        <f>'Valuation output'!H7</f>
        <v>959.52733161267201</v>
      </c>
      <c r="K20" s="364">
        <f>'Valuation output'!I7</f>
        <v>1006.0223729624197</v>
      </c>
      <c r="L20" s="364">
        <f>'Valuation output'!J7</f>
        <v>1044.974863721884</v>
      </c>
      <c r="M20" s="364">
        <f>'Valuation output'!K7</f>
        <v>1075.2391347193391</v>
      </c>
      <c r="N20" s="364">
        <f>'Valuation output'!L7</f>
        <v>1095.8641763035009</v>
      </c>
      <c r="O20" s="365">
        <f>'Valuation output'!M7</f>
        <v>1146.6684395169309</v>
      </c>
      <c r="P20" s="452"/>
    </row>
    <row r="21" spans="1:16">
      <c r="A21" s="458" t="str">
        <f>'Valuation output'!A27</f>
        <v xml:space="preserve"> +  Cash</v>
      </c>
      <c r="B21" s="372">
        <f>'Valuation output'!B27</f>
        <v>1412.65</v>
      </c>
      <c r="D21" s="358" t="s">
        <v>533</v>
      </c>
      <c r="E21" s="364">
        <f>'Valuation output'!C8</f>
        <v>241.37440616666683</v>
      </c>
      <c r="F21" s="364">
        <f>'Valuation output'!D8</f>
        <v>263.82222594016639</v>
      </c>
      <c r="G21" s="364">
        <f>'Valuation output'!E8</f>
        <v>288.35769295260229</v>
      </c>
      <c r="H21" s="364">
        <f>'Valuation output'!F8</f>
        <v>315.1749583971943</v>
      </c>
      <c r="I21" s="364">
        <f>'Valuation output'!G8</f>
        <v>309.93389029116059</v>
      </c>
      <c r="J21" s="364">
        <f>'Valuation output'!H8</f>
        <v>358.10793143279324</v>
      </c>
      <c r="K21" s="364">
        <f>'Valuation output'!I8</f>
        <v>336.45859362409828</v>
      </c>
      <c r="L21" s="364">
        <f>'Valuation output'!J8</f>
        <v>306.92278592270185</v>
      </c>
      <c r="M21" s="364">
        <f>'Valuation output'!K8</f>
        <v>269.74072665361746</v>
      </c>
      <c r="N21" s="364">
        <f>'Valuation output'!L8</f>
        <v>282.2459067412795</v>
      </c>
      <c r="O21" s="365">
        <f>'Valuation output'!M8</f>
        <v>592.90150408214288</v>
      </c>
      <c r="P21" s="452"/>
    </row>
    <row r="22" spans="1:16">
      <c r="A22" s="458" t="str">
        <f>'Valuation output'!A28</f>
        <v xml:space="preserve"> + Non-operating assets</v>
      </c>
      <c r="B22" s="372">
        <f>'Valuation output'!B28</f>
        <v>33.323</v>
      </c>
      <c r="D22" s="359" t="s">
        <v>10</v>
      </c>
      <c r="E22" s="365">
        <f>'Valuation output'!C9</f>
        <v>274.8553721833332</v>
      </c>
      <c r="F22" s="365">
        <f>'Valuation output'!D9</f>
        <v>352.50053543360377</v>
      </c>
      <c r="G22" s="365">
        <f>'Valuation output'!E9</f>
        <v>413.74678008166904</v>
      </c>
      <c r="H22" s="365">
        <f>'Valuation output'!F9</f>
        <v>483.33604910331002</v>
      </c>
      <c r="I22" s="365">
        <f>'Valuation output'!G9</f>
        <v>596.84276549902233</v>
      </c>
      <c r="J22" s="365">
        <f>'Valuation output'!H9</f>
        <v>601.41940017987872</v>
      </c>
      <c r="K22" s="365">
        <f>'Valuation output'!I9</f>
        <v>669.56377933832141</v>
      </c>
      <c r="L22" s="365">
        <f>'Valuation output'!J9</f>
        <v>738.05207779918214</v>
      </c>
      <c r="M22" s="365">
        <f>'Valuation output'!K9</f>
        <v>805.49840806572161</v>
      </c>
      <c r="N22" s="365">
        <f>'Valuation output'!L9</f>
        <v>813.61826956222149</v>
      </c>
      <c r="O22" s="365">
        <f>'Valuation output'!M9</f>
        <v>553.76693543478802</v>
      </c>
      <c r="P22" s="452"/>
    </row>
    <row r="23" spans="1:16">
      <c r="A23" s="458" t="str">
        <f>'Valuation output'!A29</f>
        <v>Value of equity</v>
      </c>
      <c r="B23" s="372">
        <f>'Valuation output'!B29</f>
        <v>9939.339216257029</v>
      </c>
      <c r="N23" s="367">
        <f>'Valuation output'!B18</f>
        <v>12789.074721357694</v>
      </c>
      <c r="P23" s="452"/>
    </row>
    <row r="24" spans="1:16">
      <c r="A24" s="458" t="str">
        <f>'Valuation output'!A30</f>
        <v xml:space="preserve"> - Value of options</v>
      </c>
      <c r="B24" s="372">
        <f ca="1">'Valuation output'!B30</f>
        <v>151.73241316731608</v>
      </c>
      <c r="P24" s="452"/>
    </row>
    <row r="25" spans="1:16">
      <c r="A25" s="458" t="str">
        <f>'Valuation output'!A31</f>
        <v>Value of equity in common stock</v>
      </c>
      <c r="B25" s="372">
        <f ca="1">'Valuation output'!B31</f>
        <v>9787.6068030897131</v>
      </c>
      <c r="D25" s="359" t="s">
        <v>534</v>
      </c>
      <c r="E25" s="363">
        <f>'Valuation output'!C12</f>
        <v>9.4957943460060895E-2</v>
      </c>
      <c r="F25" s="363">
        <f>'Valuation output'!D12</f>
        <v>9.4957943460060895E-2</v>
      </c>
      <c r="G25" s="363">
        <f>'Valuation output'!E12</f>
        <v>9.4957943460060895E-2</v>
      </c>
      <c r="H25" s="363">
        <f>'Valuation output'!F12</f>
        <v>9.4957943460060895E-2</v>
      </c>
      <c r="I25" s="363">
        <f>'Valuation output'!G12</f>
        <v>9.4957943460060895E-2</v>
      </c>
      <c r="J25" s="363">
        <f>'Valuation output'!H12</f>
        <v>9.3898354768048711E-2</v>
      </c>
      <c r="K25" s="363">
        <f>'Valuation output'!I12</f>
        <v>9.2838766076036527E-2</v>
      </c>
      <c r="L25" s="363">
        <f>'Valuation output'!J12</f>
        <v>9.1779177384024344E-2</v>
      </c>
      <c r="M25" s="363">
        <f>'Valuation output'!K12</f>
        <v>9.071958869201216E-2</v>
      </c>
      <c r="N25" s="363">
        <f>'Valuation output'!L12</f>
        <v>8.9659999999999976E-2</v>
      </c>
      <c r="O25" s="450"/>
      <c r="P25" s="452"/>
    </row>
    <row r="26" spans="1:16">
      <c r="A26" s="460" t="str">
        <f>'Valuation output'!A32</f>
        <v>Number of shares</v>
      </c>
      <c r="B26" s="373">
        <f>'Valuation output'!B32</f>
        <v>154.819963</v>
      </c>
      <c r="D26" s="358" t="s">
        <v>847</v>
      </c>
      <c r="E26" s="366">
        <f>'Valuation output'!C13</f>
        <v>0.91327708609520253</v>
      </c>
      <c r="F26" s="366">
        <f>'Valuation output'!D13</f>
        <v>0.83407503598654398</v>
      </c>
      <c r="G26" s="366">
        <f>'Valuation output'!E13</f>
        <v>0.76174161845054211</v>
      </c>
      <c r="H26" s="366">
        <f>'Valuation output'!F13</f>
        <v>0.69568116565595461</v>
      </c>
      <c r="I26" s="366">
        <f>'Valuation output'!G13</f>
        <v>0.63534966782158409</v>
      </c>
      <c r="J26" s="366">
        <f>'Valuation output'!H13</f>
        <v>0.58081234426603034</v>
      </c>
      <c r="K26" s="366">
        <f>'Valuation output'!I13</f>
        <v>0.53147121267623398</v>
      </c>
      <c r="L26" s="366">
        <f>'Valuation output'!J13</f>
        <v>0.4867936883992186</v>
      </c>
      <c r="M26" s="366">
        <f>'Valuation output'!K13</f>
        <v>0.44630507551714571</v>
      </c>
      <c r="N26" s="366">
        <f>'Valuation output'!L13</f>
        <v>0.40958195723174723</v>
      </c>
      <c r="P26" s="452"/>
    </row>
    <row r="27" spans="1:16">
      <c r="A27" s="461" t="str">
        <f>'Valuation output'!A33</f>
        <v>Estimated value /share</v>
      </c>
      <c r="B27" s="376">
        <f ca="1">'Valuation output'!B33</f>
        <v>63.219281373227773</v>
      </c>
      <c r="P27" s="452"/>
    </row>
    <row r="28" spans="1:16">
      <c r="A28" s="462"/>
      <c r="B28" s="379"/>
      <c r="D28" s="359" t="s">
        <v>532</v>
      </c>
      <c r="E28" s="375">
        <f>'Valuation output'!C38</f>
        <v>1.8</v>
      </c>
      <c r="F28" s="375">
        <f>'Valuation output'!D38</f>
        <v>1.8</v>
      </c>
      <c r="G28" s="375">
        <f>'Valuation output'!E38</f>
        <v>1.8</v>
      </c>
      <c r="H28" s="375">
        <f>'Valuation output'!F38</f>
        <v>1.8</v>
      </c>
      <c r="I28" s="375">
        <f>'Valuation output'!G38</f>
        <v>1.8</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80.569999999999993</v>
      </c>
      <c r="D29" s="358" t="s">
        <v>854</v>
      </c>
      <c r="E29" s="360">
        <f>'Valuation output'!C40</f>
        <v>0.29828192033362205</v>
      </c>
      <c r="F29" s="360">
        <f>'Valuation output'!D40</f>
        <v>0.31252868684611118</v>
      </c>
      <c r="G29" s="360">
        <f>'Valuation output'!E40</f>
        <v>0.31401790215018871</v>
      </c>
      <c r="H29" s="360">
        <f>'Valuation output'!F40</f>
        <v>0.31633823455004023</v>
      </c>
      <c r="I29" s="360">
        <f>'Valuation output'!G40</f>
        <v>0.31935427252227694</v>
      </c>
      <c r="J29" s="360">
        <f>'Valuation output'!H40</f>
        <v>0.30467563261054736</v>
      </c>
      <c r="K29" s="360">
        <f>'Valuation output'!I40</f>
        <v>0.28682455964114695</v>
      </c>
      <c r="L29" s="360">
        <f>'Valuation output'!J40</f>
        <v>0.27185226824207959</v>
      </c>
      <c r="M29" s="360">
        <f>'Valuation output'!K40</f>
        <v>0.25904196620429759</v>
      </c>
      <c r="N29" s="360">
        <f>'Valuation output'!L40</f>
        <v>0.247901068129562</v>
      </c>
      <c r="O29" s="360">
        <f>'Valuation output'!M40</f>
        <v>8.9659999999999976E-2</v>
      </c>
      <c r="P29" s="452"/>
    </row>
    <row r="30" spans="1:16">
      <c r="A30" s="458" t="s">
        <v>857</v>
      </c>
      <c r="B30" s="378">
        <f ca="1">B29/B27-1</f>
        <v>0.27445295564716643</v>
      </c>
      <c r="P30" s="452"/>
    </row>
    <row r="31" spans="1:16" ht="13.8" thickBot="1">
      <c r="A31" s="451"/>
      <c r="P31" s="452"/>
    </row>
    <row r="32" spans="1:16">
      <c r="A32" s="451"/>
      <c r="D32" s="578" t="s">
        <v>858</v>
      </c>
      <c r="E32" s="579"/>
      <c r="G32" s="578" t="s">
        <v>859</v>
      </c>
      <c r="H32" s="580"/>
      <c r="I32" s="579"/>
      <c r="P32" s="452"/>
    </row>
    <row r="33" spans="1:16" ht="14.1" customHeight="1">
      <c r="A33" s="451"/>
      <c r="D33" s="581" t="str">
        <f>'Stories to Numbers'!G14</f>
        <v>Cost of capital close to median company</v>
      </c>
      <c r="E33" s="581"/>
      <c r="G33" s="581" t="str">
        <f>'Stories to Numbers'!G13</f>
        <v>Strong competitive edges</v>
      </c>
      <c r="H33" s="581"/>
      <c r="I33" s="581"/>
      <c r="P33" s="452"/>
    </row>
    <row r="34" spans="1:16">
      <c r="A34" s="451"/>
      <c r="D34" s="581"/>
      <c r="E34" s="581"/>
      <c r="G34" s="581"/>
      <c r="H34" s="581"/>
      <c r="I34" s="581"/>
      <c r="P34" s="452"/>
    </row>
    <row r="35" spans="1:16">
      <c r="A35" s="451"/>
      <c r="D35" s="581"/>
      <c r="E35" s="581"/>
      <c r="G35" s="581"/>
      <c r="H35" s="581"/>
      <c r="I35" s="581"/>
      <c r="P35" s="452"/>
    </row>
    <row r="36" spans="1:16">
      <c r="A36" s="451"/>
      <c r="D36" s="581"/>
      <c r="E36" s="581"/>
      <c r="G36" s="581"/>
      <c r="H36" s="581"/>
      <c r="I36" s="581"/>
      <c r="P36" s="452"/>
    </row>
    <row r="37" spans="1:16">
      <c r="A37" s="451"/>
      <c r="D37" s="581"/>
      <c r="E37" s="581"/>
      <c r="G37" s="581"/>
      <c r="H37" s="581"/>
      <c r="I37" s="581"/>
      <c r="P37" s="452"/>
    </row>
    <row r="38" spans="1:16" ht="13.8" thickBot="1">
      <c r="A38" s="463"/>
      <c r="B38" s="464"/>
      <c r="C38" s="464"/>
      <c r="D38" s="582"/>
      <c r="E38" s="582"/>
      <c r="F38" s="464"/>
      <c r="G38" s="582"/>
      <c r="H38" s="582"/>
      <c r="I38" s="582"/>
      <c r="J38" s="464"/>
      <c r="K38" s="464"/>
      <c r="L38" s="464"/>
      <c r="M38" s="464"/>
      <c r="N38" s="464"/>
      <c r="O38" s="464"/>
      <c r="P38" s="465"/>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25" zoomScaleNormal="125" workbookViewId="0">
      <selection activeCell="A25" sqref="A25"/>
    </sheetView>
  </sheetViews>
  <sheetFormatPr defaultColWidth="10.875" defaultRowHeight="15"/>
  <cols>
    <col min="1" max="1" width="61.75" style="4" customWidth="1"/>
    <col min="2" max="2" width="17.75" style="247" customWidth="1"/>
    <col min="3" max="3" width="21" style="247" customWidth="1"/>
    <col min="4" max="4" width="20.375" style="247" customWidth="1"/>
    <col min="5" max="5" width="17.75" style="247" customWidth="1"/>
    <col min="6" max="6" width="11.125" style="4" customWidth="1"/>
    <col min="7" max="7" width="72" style="4" customWidth="1"/>
    <col min="8" max="16384" width="10.875" style="4"/>
  </cols>
  <sheetData>
    <row r="1" spans="1:7" ht="15.6">
      <c r="A1" s="251" t="s">
        <v>777</v>
      </c>
      <c r="B1" s="252"/>
      <c r="C1" s="253"/>
      <c r="D1" s="601" t="s">
        <v>775</v>
      </c>
      <c r="E1" s="602"/>
      <c r="G1" s="248" t="s">
        <v>781</v>
      </c>
    </row>
    <row r="2" spans="1:7" ht="30.6">
      <c r="A2" s="254"/>
      <c r="B2" s="255" t="s">
        <v>742</v>
      </c>
      <c r="C2" s="255" t="s">
        <v>773</v>
      </c>
      <c r="D2" s="255" t="s">
        <v>621</v>
      </c>
      <c r="E2" s="256" t="s">
        <v>619</v>
      </c>
      <c r="G2" s="263" t="s">
        <v>779</v>
      </c>
    </row>
    <row r="3" spans="1:7" ht="45">
      <c r="A3" s="466" t="s">
        <v>774</v>
      </c>
      <c r="B3" s="468">
        <f>'Input sheet'!J25</f>
        <v>2.3118148148148145E-2</v>
      </c>
      <c r="C3" s="468">
        <f>'Input sheet'!I25</f>
        <v>-8.4776643170412891E-2</v>
      </c>
      <c r="D3" s="468">
        <f>'Valuation output'!C2</f>
        <v>0.1</v>
      </c>
      <c r="E3" s="468">
        <f>'Valuation output'!D2</f>
        <v>9.2999999999999999E-2</v>
      </c>
      <c r="G3" s="263" t="s">
        <v>780</v>
      </c>
    </row>
    <row r="4" spans="1:7" ht="15.6" thickBot="1"/>
    <row r="5" spans="1:7" ht="15.6">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4247.0569999999998</v>
      </c>
      <c r="C7" s="467">
        <f>'Valuation output'!C3</f>
        <v>4671.7627000000002</v>
      </c>
      <c r="D7" s="467">
        <f>'Valuation output'!G3</f>
        <v>6667.475410221934</v>
      </c>
      <c r="E7" s="467">
        <f>'Valuation output'!L3</f>
        <v>9132.2014691958393</v>
      </c>
      <c r="G7" s="249" t="s">
        <v>783</v>
      </c>
    </row>
    <row r="8" spans="1:7">
      <c r="G8" s="249" t="s">
        <v>784</v>
      </c>
    </row>
    <row r="9" spans="1:7">
      <c r="G9" s="249" t="s">
        <v>785</v>
      </c>
    </row>
    <row r="10" spans="1:7" ht="15.6" thickBot="1"/>
    <row r="11" spans="1:7" ht="15.6">
      <c r="A11" s="259" t="s">
        <v>789</v>
      </c>
      <c r="B11" s="260" t="s">
        <v>773</v>
      </c>
      <c r="C11" s="260" t="s">
        <v>621</v>
      </c>
      <c r="D11" s="260" t="s">
        <v>379</v>
      </c>
      <c r="E11" s="261" t="s">
        <v>776</v>
      </c>
      <c r="G11" s="249" t="s">
        <v>786</v>
      </c>
    </row>
    <row r="12" spans="1:7" ht="30">
      <c r="A12" s="466" t="s">
        <v>505</v>
      </c>
      <c r="B12" s="468">
        <f>'Valuation output'!B4</f>
        <v>0.12971697813332855</v>
      </c>
      <c r="C12" s="468">
        <f>'Valuation output'!C4</f>
        <v>0.13</v>
      </c>
      <c r="D12" s="468">
        <f>'Valuation output'!G4</f>
        <v>0.16</v>
      </c>
      <c r="E12" s="468">
        <f>'Valuation output'!M4</f>
        <v>0.16</v>
      </c>
      <c r="G12" s="263" t="s">
        <v>787</v>
      </c>
    </row>
    <row r="13" spans="1:7">
      <c r="G13" s="249" t="s">
        <v>788</v>
      </c>
    </row>
    <row r="14" spans="1:7" ht="15.6" thickBot="1"/>
    <row r="15" spans="1:7" ht="15.6">
      <c r="A15" s="259" t="s">
        <v>806</v>
      </c>
      <c r="B15" s="253"/>
      <c r="C15" s="253"/>
      <c r="D15" s="253"/>
      <c r="E15" s="257"/>
    </row>
    <row r="16" spans="1:7" ht="15.6">
      <c r="A16" s="254"/>
      <c r="B16" s="255" t="s">
        <v>773</v>
      </c>
      <c r="C16" s="255" t="s">
        <v>621</v>
      </c>
      <c r="D16" s="255" t="s">
        <v>379</v>
      </c>
      <c r="E16" s="256" t="s">
        <v>776</v>
      </c>
      <c r="G16" s="249" t="s">
        <v>790</v>
      </c>
    </row>
    <row r="17" spans="1:7">
      <c r="A17" s="466" t="s">
        <v>532</v>
      </c>
      <c r="B17" s="469">
        <f>'Input sheet'!I27</f>
        <v>2.4539853585653804</v>
      </c>
      <c r="C17" s="469">
        <f>'Valuation output'!C38</f>
        <v>1.8</v>
      </c>
      <c r="D17" s="469">
        <f>'Valuation output'!G38</f>
        <v>1.8</v>
      </c>
      <c r="E17" s="469">
        <f>'Valuation output'!L38</f>
        <v>1.5</v>
      </c>
      <c r="G17" s="249" t="s">
        <v>791</v>
      </c>
    </row>
    <row r="18" spans="1:7">
      <c r="A18" s="254"/>
      <c r="E18" s="258"/>
      <c r="G18" s="249" t="s">
        <v>792</v>
      </c>
    </row>
    <row r="19" spans="1:7" ht="15.6">
      <c r="A19" s="262" t="s">
        <v>798</v>
      </c>
      <c r="E19" s="258"/>
    </row>
    <row r="20" spans="1:7" ht="15.6">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5181.3670652465662</v>
      </c>
      <c r="C21" s="471">
        <f>B21/B21</f>
        <v>1</v>
      </c>
      <c r="E21" s="258"/>
      <c r="G21" s="249" t="s">
        <v>799</v>
      </c>
    </row>
    <row r="22" spans="1:7">
      <c r="A22" s="466" t="s">
        <v>796</v>
      </c>
      <c r="B22" s="474">
        <f>B21-B23</f>
        <v>1848.5301045462847</v>
      </c>
      <c r="C22" s="475">
        <f>B22/B21</f>
        <v>0.35676493891835831</v>
      </c>
      <c r="E22" s="258"/>
      <c r="G22" s="249" t="s">
        <v>805</v>
      </c>
    </row>
    <row r="23" spans="1:7">
      <c r="A23" s="254" t="s">
        <v>797</v>
      </c>
      <c r="B23" s="472">
        <f>'Valuation output'!B20</f>
        <v>3332.8369607002815</v>
      </c>
      <c r="C23" s="473">
        <f>C21-C22</f>
        <v>0.64323506108164175</v>
      </c>
      <c r="E23" s="258"/>
    </row>
    <row r="24" spans="1:7">
      <c r="A24" s="254"/>
      <c r="E24" s="258"/>
    </row>
    <row r="25" spans="1:7" ht="15.6">
      <c r="A25" s="262" t="s">
        <v>800</v>
      </c>
      <c r="E25" s="258"/>
    </row>
    <row r="26" spans="1:7" ht="15.6">
      <c r="A26" s="254"/>
      <c r="B26" s="255" t="s">
        <v>801</v>
      </c>
      <c r="C26" s="255" t="s">
        <v>802</v>
      </c>
      <c r="D26" s="255" t="s">
        <v>803</v>
      </c>
      <c r="E26" s="256" t="s">
        <v>804</v>
      </c>
    </row>
    <row r="27" spans="1:7">
      <c r="A27" s="466" t="s">
        <v>525</v>
      </c>
      <c r="B27" s="468">
        <f>'Valuation output'!B40</f>
        <v>0.27057503033205382</v>
      </c>
      <c r="C27" s="475">
        <f>('Valuation output'!L7-'Valuation output'!B7)/('Valuation output'!L39-'Valuation output'!B39)</f>
        <v>0.21115636292960388</v>
      </c>
      <c r="D27" s="468">
        <f>'Valuation output'!L40</f>
        <v>0.247901068129562</v>
      </c>
      <c r="E27" s="468">
        <f>'Valuation output'!M40</f>
        <v>8.9659999999999976E-2</v>
      </c>
    </row>
    <row r="28" spans="1:7" ht="15.6" thickBot="1"/>
    <row r="29" spans="1:7" ht="15.6">
      <c r="A29" s="259" t="s">
        <v>807</v>
      </c>
      <c r="B29" s="253"/>
      <c r="C29" s="253"/>
      <c r="D29" s="253"/>
      <c r="E29" s="257"/>
    </row>
    <row r="30" spans="1:7" ht="15.6">
      <c r="A30" s="254"/>
      <c r="B30" s="255" t="s">
        <v>742</v>
      </c>
      <c r="C30" s="255" t="s">
        <v>810</v>
      </c>
      <c r="D30" s="255" t="s">
        <v>811</v>
      </c>
      <c r="E30" s="256" t="s">
        <v>808</v>
      </c>
      <c r="G30" s="249" t="s">
        <v>817</v>
      </c>
    </row>
    <row r="31" spans="1:7">
      <c r="A31" s="466" t="s">
        <v>135</v>
      </c>
      <c r="B31" s="475">
        <f>'Input sheet'!J31</f>
        <v>8.7884327608428986E-2</v>
      </c>
      <c r="C31" s="475">
        <f>(1/'Valuation output'!L13)^(1/10)-1</f>
        <v>9.3366890290072835E-2</v>
      </c>
      <c r="D31" s="475">
        <f>'Valuation output'!C12</f>
        <v>9.4957943460060895E-2</v>
      </c>
      <c r="E31" s="475">
        <f>'Valuation output'!M12</f>
        <v>8.965999999999999E-2</v>
      </c>
      <c r="G31" s="249" t="s">
        <v>818</v>
      </c>
    </row>
    <row r="32" spans="1:7">
      <c r="A32" s="254"/>
      <c r="E32" s="258"/>
      <c r="G32" s="249" t="s">
        <v>819</v>
      </c>
    </row>
    <row r="33" spans="1:6" ht="15.6" thickBot="1">
      <c r="A33" s="466" t="s">
        <v>809</v>
      </c>
      <c r="B33" s="468">
        <f>'Valuation output'!B22</f>
        <v>0</v>
      </c>
      <c r="C33" s="264"/>
      <c r="D33" s="264"/>
      <c r="E33" s="265"/>
    </row>
    <row r="34" spans="1:6" ht="15.6" thickBot="1"/>
    <row r="35" spans="1:6" ht="15.6">
      <c r="A35" s="259" t="s">
        <v>812</v>
      </c>
      <c r="B35" s="253"/>
      <c r="C35" s="253"/>
      <c r="D35" s="253"/>
      <c r="E35" s="257"/>
    </row>
    <row r="36" spans="1:6" s="76" customFormat="1" ht="13.8" thickBot="1">
      <c r="A36" s="270" t="s">
        <v>22</v>
      </c>
      <c r="B36" s="266">
        <f ca="1">'Valuation output'!B33/'Valuation output'!B34</f>
        <v>0.78465038318515301</v>
      </c>
      <c r="C36" s="271"/>
      <c r="D36" s="271"/>
      <c r="E36" s="272"/>
    </row>
    <row r="37" spans="1:6" s="76" customFormat="1" ht="15.6" thickBot="1">
      <c r="A37" s="78"/>
      <c r="B37" s="599" t="str">
        <f ca="1">IF(B36="NA","Value is negative. See below",IF(B36&gt;2,"Value seems high. See below",IF(B36&lt;0.5,"Value seems low. See below"," ")))</f>
        <v xml:space="preserve"> </v>
      </c>
      <c r="C37" s="600"/>
      <c r="D37" s="271"/>
      <c r="E37" s="272"/>
      <c r="F37" s="6"/>
    </row>
    <row r="38" spans="1:6" s="6" customFormat="1" ht="39.6">
      <c r="A38" s="277" t="s">
        <v>4</v>
      </c>
      <c r="B38" s="476" t="s">
        <v>0</v>
      </c>
      <c r="C38" s="477" t="s">
        <v>1</v>
      </c>
      <c r="D38" s="273"/>
      <c r="E38" s="274"/>
    </row>
    <row r="39" spans="1:6" s="6" customFormat="1" ht="35.1" customHeight="1">
      <c r="A39" s="267" t="s">
        <v>813</v>
      </c>
      <c r="B39" s="478" t="s">
        <v>2</v>
      </c>
      <c r="C39" s="478" t="s">
        <v>3</v>
      </c>
      <c r="D39" s="273"/>
      <c r="E39" s="274"/>
    </row>
    <row r="40" spans="1:6" s="6" customFormat="1" ht="39.6">
      <c r="A40" s="267" t="s">
        <v>814</v>
      </c>
      <c r="B40" s="479" t="s">
        <v>139</v>
      </c>
      <c r="C40" s="478" t="s">
        <v>140</v>
      </c>
      <c r="D40" s="273" t="s">
        <v>143</v>
      </c>
      <c r="E40" s="274"/>
    </row>
    <row r="41" spans="1:6" s="6" customFormat="1" ht="33.9"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7" sqref="B17"/>
    </sheetView>
  </sheetViews>
  <sheetFormatPr defaultColWidth="11.375" defaultRowHeight="15.6"/>
  <cols>
    <col min="1" max="1" width="44.25" style="191" customWidth="1"/>
    <col min="2" max="2" width="28.125" style="191" customWidth="1"/>
    <col min="3" max="3" width="30.75" style="191" customWidth="1"/>
    <col min="4" max="4" width="24.875" style="191" customWidth="1"/>
    <col min="5" max="7" width="44.25" style="130" customWidth="1"/>
  </cols>
  <sheetData>
    <row r="1" spans="1:7" ht="18.899999999999999" customHeight="1">
      <c r="A1" s="603" t="s">
        <v>820</v>
      </c>
      <c r="B1" s="604"/>
      <c r="C1" s="604"/>
      <c r="D1" s="604"/>
    </row>
    <row r="2" spans="1:7" ht="38.1" customHeight="1">
      <c r="A2" s="603"/>
      <c r="B2" s="604"/>
      <c r="C2" s="604"/>
      <c r="D2" s="604"/>
    </row>
    <row r="3" spans="1:7" s="297" customFormat="1" ht="17.399999999999999">
      <c r="A3" s="239" t="s">
        <v>52</v>
      </c>
      <c r="B3" s="239"/>
      <c r="C3" s="239"/>
      <c r="D3" s="239"/>
      <c r="E3" s="239"/>
      <c r="F3" s="239"/>
      <c r="G3" s="239"/>
    </row>
    <row r="4" spans="1:7" s="298" customFormat="1" ht="15">
      <c r="A4" s="191" t="s">
        <v>53</v>
      </c>
      <c r="B4" s="278">
        <f>'Input sheet'!B22</f>
        <v>80.569999999999993</v>
      </c>
      <c r="C4" s="191"/>
      <c r="D4" s="191"/>
      <c r="E4" s="191"/>
    </row>
    <row r="5" spans="1:7" s="298" customFormat="1" ht="15">
      <c r="A5" s="191" t="s">
        <v>54</v>
      </c>
      <c r="B5" s="279">
        <f>'Input sheet'!B39</f>
        <v>60.86</v>
      </c>
      <c r="C5" s="191"/>
      <c r="D5" s="191"/>
      <c r="E5" s="191"/>
    </row>
    <row r="6" spans="1:7" s="298" customFormat="1" ht="15">
      <c r="A6" s="191" t="s">
        <v>55</v>
      </c>
      <c r="B6" s="280">
        <f>'Input sheet'!B40</f>
        <v>7</v>
      </c>
      <c r="C6" s="191"/>
      <c r="D6" s="191"/>
      <c r="E6" s="191"/>
    </row>
    <row r="7" spans="1:7" s="298" customFormat="1" ht="15">
      <c r="A7" s="191" t="s">
        <v>56</v>
      </c>
      <c r="B7" s="281">
        <f>'Input sheet'!B41</f>
        <v>0.33</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3.5310000000000001</v>
      </c>
      <c r="C10" s="191"/>
      <c r="D10" s="191"/>
      <c r="E10" s="191"/>
    </row>
    <row r="11" spans="1:7" s="298" customFormat="1" ht="15">
      <c r="A11" s="191" t="s">
        <v>61</v>
      </c>
      <c r="B11" s="283">
        <f>'Input sheet'!B21</f>
        <v>154.819963</v>
      </c>
      <c r="C11" s="191"/>
      <c r="D11" s="191"/>
      <c r="E11" s="191"/>
    </row>
    <row r="12" spans="1:7" s="298" customFormat="1" ht="15">
      <c r="A12" s="191"/>
      <c r="B12" s="191"/>
      <c r="C12" s="191"/>
      <c r="D12" s="191"/>
      <c r="E12" s="191"/>
      <c r="F12" s="191"/>
      <c r="G12" s="191"/>
    </row>
    <row r="13" spans="1:7" s="299" customFormat="1">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80.569999999999993</v>
      </c>
      <c r="C15" s="286" t="s">
        <v>64</v>
      </c>
      <c r="D15" s="289">
        <f>B10</f>
        <v>3.5310000000000001</v>
      </c>
      <c r="E15" s="301"/>
    </row>
    <row r="16" spans="1:7" s="300" customFormat="1">
      <c r="A16" s="286" t="s">
        <v>65</v>
      </c>
      <c r="B16" s="296">
        <f>B5</f>
        <v>60.86</v>
      </c>
      <c r="C16" s="286" t="s">
        <v>66</v>
      </c>
      <c r="D16" s="290">
        <f>B11</f>
        <v>154.819963</v>
      </c>
      <c r="E16" s="301"/>
    </row>
    <row r="17" spans="1:7" s="300" customFormat="1">
      <c r="A17" s="286" t="s">
        <v>67</v>
      </c>
      <c r="B17" s="303">
        <f ca="1">(B15*D16+B28*D15)/(D16+D15)</f>
        <v>79.731607518404005</v>
      </c>
      <c r="C17" s="286" t="s">
        <v>68</v>
      </c>
      <c r="D17" s="291">
        <f>B9</f>
        <v>4.6359999999999998E-2</v>
      </c>
      <c r="E17" s="191"/>
    </row>
    <row r="18" spans="1:7" s="300" customFormat="1">
      <c r="A18" s="286" t="s">
        <v>69</v>
      </c>
      <c r="B18" s="296">
        <f>B16</f>
        <v>60.86</v>
      </c>
      <c r="C18" s="286" t="s">
        <v>70</v>
      </c>
      <c r="D18" s="292">
        <f>B7^2</f>
        <v>0.10890000000000001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1.1175836150546741</v>
      </c>
      <c r="C22" s="191"/>
      <c r="D22" s="191"/>
      <c r="E22" s="191"/>
      <c r="F22" s="191"/>
      <c r="G22" s="191"/>
    </row>
    <row r="23" spans="1:7" s="300" customFormat="1" ht="15">
      <c r="A23" s="191" t="s">
        <v>75</v>
      </c>
      <c r="B23" s="295">
        <f ca="1">NORMSDIST(B22)</f>
        <v>0.8681275650597956</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0.24448568240335911</v>
      </c>
      <c r="C25" s="191"/>
      <c r="D25" s="191"/>
      <c r="E25" s="191"/>
      <c r="F25" s="191"/>
      <c r="G25" s="191"/>
    </row>
    <row r="26" spans="1:7" s="300" customFormat="1" ht="15">
      <c r="A26" s="191" t="s">
        <v>77</v>
      </c>
      <c r="B26" s="295">
        <f ca="1">NORMSDIST(B25)</f>
        <v>0.59657265531289838</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42.971513216458817</v>
      </c>
      <c r="C28" s="191"/>
      <c r="D28" s="191"/>
      <c r="E28" s="191"/>
      <c r="F28" s="302"/>
    </row>
    <row r="29" spans="1:7" s="300" customFormat="1" thickBot="1">
      <c r="A29" s="191" t="s">
        <v>79</v>
      </c>
      <c r="B29" s="288">
        <f ca="1">B28*B10</f>
        <v>151.73241316731608</v>
      </c>
      <c r="C29" s="191"/>
      <c r="D29" s="191"/>
      <c r="E29" s="191"/>
    </row>
  </sheetData>
  <mergeCells count="1">
    <mergeCell ref="A1:D2"/>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375" defaultRowHeight="15"/>
  <cols>
    <col min="1" max="4" width="11.125" style="191" bestFit="1" customWidth="1"/>
    <col min="5" max="5" width="10.875" style="191"/>
    <col min="6" max="6" width="12.875" style="191" bestFit="1" customWidth="1"/>
    <col min="7" max="7" width="10.875" style="191"/>
    <col min="8" max="8" width="11.125" style="191" bestFit="1" customWidth="1"/>
    <col min="9" max="10" width="10.875" style="191"/>
    <col min="11" max="20" width="11.125" style="191" bestFit="1" customWidth="1"/>
  </cols>
  <sheetData>
    <row r="1" spans="1:20">
      <c r="A1" s="608" t="s">
        <v>772</v>
      </c>
      <c r="B1" s="609"/>
      <c r="C1" s="609"/>
      <c r="D1" s="609"/>
      <c r="E1" s="609"/>
      <c r="F1" s="609"/>
      <c r="G1" s="609"/>
      <c r="H1" s="609"/>
      <c r="I1" s="609"/>
      <c r="J1" s="609"/>
      <c r="K1" s="609"/>
      <c r="L1" s="610"/>
    </row>
    <row r="2" spans="1:20" ht="21" customHeight="1" thickBot="1">
      <c r="A2" s="611"/>
      <c r="B2" s="612"/>
      <c r="C2" s="612"/>
      <c r="D2" s="612"/>
      <c r="E2" s="612"/>
      <c r="F2" s="612"/>
      <c r="G2" s="612"/>
      <c r="H2" s="612"/>
      <c r="I2" s="612"/>
      <c r="J2" s="612"/>
      <c r="K2" s="612"/>
      <c r="L2" s="613"/>
    </row>
    <row r="4" spans="1:20" ht="15.6">
      <c r="A4" s="239" t="s">
        <v>195</v>
      </c>
    </row>
    <row r="5" spans="1:20" ht="15.6">
      <c r="A5" s="239" t="s">
        <v>196</v>
      </c>
    </row>
    <row r="6" spans="1:20" s="73" customFormat="1" ht="16.2"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6"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6" thickBot="1">
      <c r="A8" s="191" t="s">
        <v>199</v>
      </c>
      <c r="B8" s="191"/>
      <c r="C8" s="191"/>
      <c r="D8" s="191"/>
      <c r="E8" s="191"/>
      <c r="F8" s="309">
        <f>IF('Input sheet'!B17="Yes",'Input sheet'!B12+'Operating lease converter'!F32,'Input sheet'!B12)</f>
        <v>495.96</v>
      </c>
      <c r="G8" s="191" t="s">
        <v>200</v>
      </c>
      <c r="H8" s="191"/>
      <c r="I8" s="191"/>
      <c r="J8" s="191"/>
      <c r="K8" s="191"/>
      <c r="L8" s="191"/>
      <c r="M8" s="191"/>
      <c r="N8" s="191"/>
      <c r="O8" s="191"/>
      <c r="P8" s="191"/>
      <c r="Q8" s="191"/>
      <c r="R8" s="191"/>
      <c r="S8" s="191"/>
      <c r="T8" s="191"/>
    </row>
    <row r="9" spans="1:20" s="74" customFormat="1" ht="15.6"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6"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2"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2"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2"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2"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2"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2"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6">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6.2"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2" thickBot="1">
      <c r="A19" s="239" t="s">
        <v>209</v>
      </c>
      <c r="B19" s="191"/>
      <c r="C19" s="191"/>
      <c r="D19" s="191"/>
      <c r="E19" s="191"/>
      <c r="F19" s="191"/>
      <c r="G19" s="191"/>
      <c r="H19" s="191"/>
      <c r="I19" s="191"/>
      <c r="J19" s="605" t="s">
        <v>620</v>
      </c>
      <c r="K19" s="606"/>
      <c r="L19" s="606"/>
      <c r="M19" s="606"/>
      <c r="N19" s="606"/>
      <c r="O19" s="606"/>
      <c r="P19" s="606"/>
      <c r="Q19" s="606"/>
      <c r="R19" s="606"/>
      <c r="S19" s="606"/>
      <c r="T19" s="607"/>
    </row>
    <row r="20" spans="1:20" s="74" customFormat="1" ht="15.6">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ht="15.6">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6">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ht="15.6">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ht="15.6">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D47" zoomScale="141" zoomScaleNormal="141" workbookViewId="0">
      <selection activeCell="B66" sqref="B66"/>
    </sheetView>
  </sheetViews>
  <sheetFormatPr defaultColWidth="11.375" defaultRowHeight="11.4"/>
  <cols>
    <col min="1" max="1" width="28.25" style="298" customWidth="1"/>
    <col min="2" max="2" width="17.25" style="298" customWidth="1"/>
    <col min="3" max="3" width="11" style="298" bestFit="1" customWidth="1"/>
    <col min="4" max="4" width="13.75" style="298" customWidth="1"/>
    <col min="5" max="5" width="11.125" style="298" bestFit="1" customWidth="1"/>
    <col min="6" max="6" width="12.125" style="298" bestFit="1" customWidth="1"/>
    <col min="7" max="10" width="10.875" style="298"/>
  </cols>
  <sheetData>
    <row r="1" spans="1:10" s="5" customFormat="1" ht="17.399999999999999">
      <c r="A1" s="325" t="s">
        <v>381</v>
      </c>
      <c r="B1" s="325"/>
      <c r="C1" s="325"/>
      <c r="D1" s="325"/>
      <c r="E1" s="325"/>
      <c r="F1" s="325"/>
      <c r="G1" s="325"/>
      <c r="H1" s="325"/>
      <c r="I1" s="325"/>
      <c r="J1" s="325"/>
    </row>
    <row r="2" spans="1:10" s="6" customFormat="1" ht="13.2">
      <c r="A2" s="300" t="s">
        <v>382</v>
      </c>
      <c r="B2" s="300"/>
      <c r="C2" s="300"/>
      <c r="D2" s="300"/>
      <c r="E2" s="300"/>
      <c r="F2" s="300"/>
      <c r="G2" s="300"/>
      <c r="H2" s="300"/>
      <c r="I2" s="300"/>
      <c r="J2" s="300"/>
    </row>
    <row r="3" spans="1:10" s="6" customFormat="1" ht="13.2">
      <c r="A3" s="300" t="s">
        <v>383</v>
      </c>
      <c r="B3" s="300"/>
      <c r="C3" s="300"/>
      <c r="D3" s="300"/>
      <c r="E3" s="300"/>
      <c r="F3" s="300"/>
      <c r="G3" s="300"/>
      <c r="H3" s="300"/>
      <c r="I3" s="300"/>
      <c r="J3" s="300"/>
    </row>
    <row r="4" spans="1:10" s="6" customFormat="1" ht="13.2">
      <c r="A4" s="300"/>
      <c r="B4" s="300"/>
      <c r="C4" s="300"/>
      <c r="D4" s="300"/>
      <c r="E4" s="300"/>
      <c r="F4" s="300"/>
      <c r="G4" s="300"/>
      <c r="H4" s="300"/>
      <c r="I4" s="300"/>
      <c r="J4" s="300"/>
    </row>
    <row r="5" spans="1:10" s="6" customFormat="1" ht="13.2">
      <c r="A5" s="304" t="s">
        <v>4</v>
      </c>
      <c r="B5" s="300"/>
      <c r="C5" s="300"/>
      <c r="D5" s="300"/>
      <c r="E5" s="300"/>
      <c r="F5" s="300"/>
      <c r="G5" s="300"/>
      <c r="H5" s="300"/>
      <c r="I5" s="300"/>
      <c r="J5" s="300"/>
    </row>
    <row r="6" spans="1:10" s="6" customFormat="1" ht="13.2">
      <c r="A6" s="300" t="s">
        <v>384</v>
      </c>
      <c r="B6" s="300"/>
      <c r="C6" s="300"/>
      <c r="D6" s="300"/>
      <c r="E6" s="300"/>
      <c r="F6" s="326">
        <v>5</v>
      </c>
      <c r="G6" s="300" t="s">
        <v>385</v>
      </c>
      <c r="H6" s="300"/>
      <c r="I6" s="300"/>
      <c r="J6" s="300"/>
    </row>
    <row r="7" spans="1:10" s="6" customFormat="1" ht="13.2">
      <c r="A7" s="300" t="s">
        <v>386</v>
      </c>
      <c r="B7" s="300"/>
      <c r="C7" s="300"/>
      <c r="D7" s="300"/>
      <c r="E7" s="300"/>
      <c r="F7" s="327">
        <f>70.63+70.559+68.559+72.704</f>
        <v>282.452</v>
      </c>
      <c r="G7" s="300" t="s">
        <v>387</v>
      </c>
      <c r="H7" s="300"/>
      <c r="I7" s="300"/>
      <c r="J7" s="300"/>
    </row>
    <row r="8" spans="1:10" s="6" customFormat="1" ht="13.2">
      <c r="A8" s="300" t="s">
        <v>388</v>
      </c>
      <c r="B8" s="300"/>
      <c r="C8" s="300"/>
      <c r="D8" s="300"/>
      <c r="E8" s="300"/>
      <c r="F8" s="300"/>
      <c r="G8" s="300"/>
      <c r="H8" s="300"/>
      <c r="I8" s="300"/>
      <c r="J8" s="300"/>
    </row>
    <row r="9" spans="1:10" s="6" customFormat="1" ht="13.2">
      <c r="A9" s="300" t="s">
        <v>389</v>
      </c>
      <c r="B9" s="300"/>
      <c r="C9" s="300"/>
      <c r="D9" s="300"/>
      <c r="E9" s="300"/>
      <c r="F9" s="300"/>
      <c r="G9" s="300"/>
      <c r="H9" s="300"/>
      <c r="I9" s="300"/>
      <c r="J9" s="300"/>
    </row>
    <row r="10" spans="1:10" s="95" customFormat="1" ht="13.2">
      <c r="A10" s="336" t="s">
        <v>108</v>
      </c>
      <c r="B10" s="336" t="s">
        <v>390</v>
      </c>
      <c r="C10" s="329"/>
      <c r="D10" s="329"/>
      <c r="E10" s="329"/>
      <c r="F10" s="329"/>
      <c r="G10" s="329"/>
      <c r="H10" s="329"/>
      <c r="I10" s="329"/>
      <c r="J10" s="330"/>
    </row>
    <row r="11" spans="1:10" s="95" customFormat="1" ht="13.2">
      <c r="A11" s="421">
        <v>-1</v>
      </c>
      <c r="B11" s="422">
        <v>280.79599999999999</v>
      </c>
      <c r="C11" s="329" t="s">
        <v>977</v>
      </c>
      <c r="D11" s="329"/>
      <c r="E11" s="329"/>
      <c r="F11" s="329"/>
      <c r="G11" s="329"/>
      <c r="H11" s="329"/>
      <c r="I11" s="329"/>
      <c r="J11" s="330"/>
    </row>
    <row r="12" spans="1:10" s="95" customFormat="1" ht="13.2">
      <c r="A12" s="421">
        <f>IF((0-A11)&lt;$F$6,IF(A11&gt;-1,,A11-1),)</f>
        <v>-2</v>
      </c>
      <c r="B12" s="422">
        <v>291.84399999999999</v>
      </c>
      <c r="C12" s="329" t="s">
        <v>978</v>
      </c>
      <c r="D12" s="329"/>
      <c r="E12" s="329"/>
      <c r="F12" s="329"/>
      <c r="G12" s="329"/>
      <c r="H12" s="329"/>
      <c r="I12" s="329"/>
      <c r="J12" s="330"/>
    </row>
    <row r="13" spans="1:10" s="95" customFormat="1" ht="13.2">
      <c r="A13" s="421">
        <f t="shared" ref="A13:A20" si="0">IF((0-A12)&lt;$F$6,IF(A12&gt;-1,,A12-1),)</f>
        <v>-3</v>
      </c>
      <c r="B13" s="422">
        <v>226.023</v>
      </c>
      <c r="C13" s="329"/>
      <c r="D13" s="329"/>
      <c r="E13" s="329"/>
      <c r="F13" s="329"/>
      <c r="G13" s="329"/>
      <c r="H13" s="329"/>
      <c r="I13" s="329"/>
      <c r="J13" s="330"/>
    </row>
    <row r="14" spans="1:10" s="95" customFormat="1" ht="13.2">
      <c r="A14" s="421">
        <f t="shared" si="0"/>
        <v>-4</v>
      </c>
      <c r="B14" s="422">
        <v>177.59</v>
      </c>
      <c r="C14" s="329"/>
      <c r="D14" s="329"/>
      <c r="E14" s="329"/>
      <c r="F14" s="329"/>
      <c r="G14" s="329"/>
      <c r="H14" s="329"/>
      <c r="I14" s="329"/>
      <c r="J14" s="330"/>
    </row>
    <row r="15" spans="1:10" s="95" customFormat="1" ht="13.2">
      <c r="A15" s="421">
        <f t="shared" si="0"/>
        <v>-5</v>
      </c>
      <c r="B15" s="422">
        <v>161.22999999999999</v>
      </c>
      <c r="C15" s="329"/>
      <c r="D15" s="329"/>
      <c r="E15" s="329"/>
      <c r="F15" s="329"/>
      <c r="G15" s="329"/>
      <c r="H15" s="329"/>
      <c r="I15" s="329"/>
      <c r="J15" s="330"/>
    </row>
    <row r="16" spans="1:10" s="95" customFormat="1" ht="13.2">
      <c r="A16" s="421">
        <f t="shared" si="0"/>
        <v>0</v>
      </c>
      <c r="B16" s="422"/>
      <c r="C16" s="329"/>
      <c r="D16" s="329"/>
      <c r="E16" s="329"/>
      <c r="F16" s="329"/>
      <c r="G16" s="329"/>
      <c r="H16" s="329"/>
      <c r="I16" s="329"/>
      <c r="J16" s="330"/>
    </row>
    <row r="17" spans="1:10" s="95" customFormat="1" ht="13.2">
      <c r="A17" s="421">
        <f t="shared" si="0"/>
        <v>0</v>
      </c>
      <c r="B17" s="422"/>
      <c r="C17" s="329"/>
      <c r="D17" s="329"/>
      <c r="E17" s="329"/>
      <c r="F17" s="329"/>
      <c r="G17" s="329"/>
      <c r="H17" s="329"/>
      <c r="I17" s="329"/>
      <c r="J17" s="330"/>
    </row>
    <row r="18" spans="1:10" s="95" customFormat="1" ht="13.2">
      <c r="A18" s="421">
        <f t="shared" si="0"/>
        <v>0</v>
      </c>
      <c r="B18" s="422"/>
      <c r="C18" s="329"/>
      <c r="D18" s="329"/>
      <c r="E18" s="329"/>
      <c r="F18" s="329"/>
      <c r="G18" s="329"/>
      <c r="H18" s="329"/>
      <c r="I18" s="329"/>
      <c r="J18" s="330"/>
    </row>
    <row r="19" spans="1:10" s="95" customFormat="1" ht="13.2">
      <c r="A19" s="421">
        <f t="shared" si="0"/>
        <v>0</v>
      </c>
      <c r="B19" s="422"/>
      <c r="C19" s="329"/>
      <c r="D19" s="329"/>
      <c r="E19" s="329"/>
      <c r="F19" s="329"/>
      <c r="G19" s="329"/>
      <c r="H19" s="329"/>
      <c r="I19" s="329"/>
      <c r="J19" s="330"/>
    </row>
    <row r="20" spans="1:10" s="95" customFormat="1" ht="13.2">
      <c r="A20" s="421">
        <f t="shared" si="0"/>
        <v>0</v>
      </c>
      <c r="B20" s="422"/>
      <c r="C20" s="329"/>
      <c r="D20" s="329"/>
      <c r="E20" s="329"/>
      <c r="F20" s="329"/>
      <c r="G20" s="329"/>
      <c r="H20" s="329"/>
      <c r="I20" s="329"/>
      <c r="J20" s="330"/>
    </row>
    <row r="21" spans="1:10" s="95" customFormat="1" ht="13.2">
      <c r="A21" s="329"/>
      <c r="B21" s="329"/>
      <c r="C21" s="329"/>
      <c r="D21" s="329"/>
      <c r="E21" s="329"/>
      <c r="F21" s="329"/>
      <c r="G21" s="329"/>
      <c r="H21" s="329"/>
      <c r="I21" s="329"/>
      <c r="J21" s="330"/>
    </row>
    <row r="22" spans="1:10" s="95" customFormat="1" ht="13.2">
      <c r="A22" s="332" t="s">
        <v>112</v>
      </c>
      <c r="B22" s="329"/>
      <c r="C22" s="329"/>
      <c r="D22" s="329"/>
      <c r="E22" s="329"/>
      <c r="F22" s="329"/>
      <c r="G22" s="329"/>
      <c r="H22" s="329"/>
      <c r="I22" s="329"/>
      <c r="J22" s="330"/>
    </row>
    <row r="23" spans="1:10" s="95" customFormat="1" ht="13.2">
      <c r="A23" s="328" t="s">
        <v>108</v>
      </c>
      <c r="B23" s="328" t="s">
        <v>391</v>
      </c>
      <c r="C23" s="333" t="s">
        <v>392</v>
      </c>
      <c r="D23" s="334"/>
      <c r="E23" s="329" t="s">
        <v>393</v>
      </c>
      <c r="F23" s="329"/>
      <c r="G23" s="329"/>
      <c r="H23" s="329"/>
      <c r="I23" s="329"/>
      <c r="J23" s="330"/>
    </row>
    <row r="24" spans="1:10" s="95" customFormat="1" ht="13.2">
      <c r="A24" s="328" t="s">
        <v>394</v>
      </c>
      <c r="B24" s="328">
        <f>F7</f>
        <v>282.452</v>
      </c>
      <c r="C24" s="328">
        <f>1</f>
        <v>1</v>
      </c>
      <c r="D24" s="328">
        <f>B24*C24</f>
        <v>282.452</v>
      </c>
      <c r="E24" s="329"/>
      <c r="F24" s="329"/>
      <c r="G24" s="329"/>
      <c r="H24" s="329"/>
      <c r="I24" s="329"/>
      <c r="J24" s="330"/>
    </row>
    <row r="25" spans="1:10" s="95" customFormat="1" ht="13.2">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3.2">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3.2">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3.2">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3.2">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3.2">
      <c r="A30" s="331">
        <f t="shared" si="2"/>
        <v>0</v>
      </c>
      <c r="B30" s="328">
        <f t="shared" si="2"/>
        <v>0</v>
      </c>
      <c r="C30" s="328">
        <f t="shared" si="4"/>
        <v>0</v>
      </c>
      <c r="D30" s="328">
        <f t="shared" si="3"/>
        <v>0</v>
      </c>
      <c r="E30" s="335">
        <f t="shared" si="1"/>
        <v>0</v>
      </c>
      <c r="F30" s="329"/>
      <c r="G30" s="329"/>
      <c r="H30" s="329"/>
      <c r="I30" s="329"/>
      <c r="J30" s="330"/>
    </row>
    <row r="31" spans="1:10" s="95" customFormat="1" ht="13.2">
      <c r="A31" s="331">
        <f t="shared" si="2"/>
        <v>0</v>
      </c>
      <c r="B31" s="328">
        <f t="shared" si="2"/>
        <v>0</v>
      </c>
      <c r="C31" s="328">
        <f t="shared" si="4"/>
        <v>0</v>
      </c>
      <c r="D31" s="328">
        <f t="shared" si="3"/>
        <v>0</v>
      </c>
      <c r="E31" s="335">
        <f t="shared" si="1"/>
        <v>0</v>
      </c>
      <c r="F31" s="329"/>
      <c r="G31" s="329"/>
      <c r="H31" s="329"/>
      <c r="I31" s="329"/>
      <c r="J31" s="330"/>
    </row>
    <row r="32" spans="1:10" s="95" customFormat="1" ht="13.2">
      <c r="A32" s="331">
        <f t="shared" si="2"/>
        <v>0</v>
      </c>
      <c r="B32" s="328">
        <f t="shared" si="2"/>
        <v>0</v>
      </c>
      <c r="C32" s="328">
        <f t="shared" si="4"/>
        <v>0</v>
      </c>
      <c r="D32" s="328">
        <f t="shared" si="3"/>
        <v>0</v>
      </c>
      <c r="E32" s="335">
        <f t="shared" si="1"/>
        <v>0</v>
      </c>
      <c r="F32" s="329"/>
      <c r="G32" s="329"/>
      <c r="H32" s="329"/>
      <c r="I32" s="329"/>
      <c r="J32" s="330"/>
    </row>
    <row r="33" spans="1:10" s="95" customFormat="1" ht="13.2">
      <c r="A33" s="331">
        <f t="shared" si="2"/>
        <v>0</v>
      </c>
      <c r="B33" s="328">
        <f t="shared" si="2"/>
        <v>0</v>
      </c>
      <c r="C33" s="328">
        <f t="shared" si="4"/>
        <v>0</v>
      </c>
      <c r="D33" s="328">
        <f t="shared" si="3"/>
        <v>0</v>
      </c>
      <c r="E33" s="335">
        <f t="shared" si="1"/>
        <v>0</v>
      </c>
      <c r="F33" s="329"/>
      <c r="G33" s="329"/>
      <c r="H33" s="329"/>
      <c r="I33" s="329"/>
      <c r="J33" s="330"/>
    </row>
    <row r="34" spans="1:10" s="95" customFormat="1" ht="15.9"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8" thickBot="1">
      <c r="A35" s="300" t="s">
        <v>395</v>
      </c>
      <c r="B35" s="300"/>
      <c r="C35" s="300"/>
      <c r="D35" s="338">
        <f>SUM(D24:D34)</f>
        <v>808.12239999999997</v>
      </c>
      <c r="E35" s="338">
        <f>SUM(E25:E34)</f>
        <v>227.4966</v>
      </c>
      <c r="F35" s="300"/>
      <c r="G35" s="300"/>
      <c r="H35" s="300"/>
      <c r="I35" s="300"/>
      <c r="J35" s="300"/>
    </row>
    <row r="36" spans="1:10" ht="12" thickBot="1">
      <c r="D36" s="339"/>
      <c r="E36" s="339"/>
    </row>
    <row r="37" spans="1:10" s="6" customFormat="1" ht="13.8" thickBot="1">
      <c r="A37" s="300" t="s">
        <v>396</v>
      </c>
      <c r="B37" s="300"/>
      <c r="C37" s="300"/>
      <c r="D37" s="338">
        <f>E35</f>
        <v>227.4966</v>
      </c>
      <c r="E37" s="340"/>
      <c r="F37" s="300"/>
      <c r="G37" s="300"/>
      <c r="H37" s="300"/>
      <c r="I37" s="300"/>
      <c r="J37" s="300"/>
    </row>
    <row r="38" spans="1:10" s="6" customFormat="1" ht="13.8" thickBot="1">
      <c r="A38" s="300"/>
      <c r="B38" s="300"/>
      <c r="C38" s="300"/>
      <c r="D38" s="300"/>
      <c r="E38" s="300"/>
      <c r="F38" s="300"/>
      <c r="G38" s="300"/>
      <c r="H38" s="300"/>
      <c r="I38" s="300"/>
      <c r="J38" s="300"/>
    </row>
    <row r="39" spans="1:10" s="6" customFormat="1" ht="13.2">
      <c r="A39" s="300" t="s">
        <v>397</v>
      </c>
      <c r="B39" s="300"/>
      <c r="C39" s="300"/>
      <c r="D39" s="341">
        <f>F7-D37</f>
        <v>54.955399999999997</v>
      </c>
      <c r="E39" s="300" t="s">
        <v>398</v>
      </c>
      <c r="F39" s="300"/>
      <c r="G39" s="300"/>
      <c r="H39" s="300"/>
      <c r="I39" s="300"/>
      <c r="J39" s="300"/>
    </row>
    <row r="40" spans="1:10" ht="13.2">
      <c r="A40" s="298" t="s">
        <v>399</v>
      </c>
      <c r="D40" s="342">
        <f>D39*'Input sheet'!B24</f>
        <v>13.738849999999999</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Input sheet</vt:lpstr>
      <vt:lpstr>revenues</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2024-04-17T15:48:22Z</dcterms:modified>
</cp:coreProperties>
</file>