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gi\"/>
    </mc:Choice>
  </mc:AlternateContent>
  <xr:revisionPtr revIDLastSave="0" documentId="13_ncr:1_{877B3A9E-3553-4AD8-A036-2E9A1DF05C6C}" xr6:coauthVersionLast="47" xr6:coauthVersionMax="47" xr10:uidLastSave="{00000000-0000-0000-0000-000000000000}"/>
  <bookViews>
    <workbookView xWindow="-108" yWindow="-108" windowWidth="23256" windowHeight="12456" xr2:uid="{9D3A19D8-55D8-46DD-A2B2-6A867578918F}"/>
  </bookViews>
  <sheets>
    <sheet name="main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1" l="1"/>
  <c r="U5" i="1"/>
  <c r="U3" i="1"/>
  <c r="BH25" i="2"/>
  <c r="BI25" i="2"/>
  <c r="BJ25" i="2"/>
  <c r="BK25" i="2"/>
  <c r="BL25" i="2"/>
  <c r="BM25" i="2"/>
  <c r="BN25" i="2"/>
  <c r="BO25" i="2"/>
  <c r="BP25" i="2"/>
  <c r="BQ25" i="2"/>
  <c r="BR25" i="2"/>
  <c r="BS25" i="2"/>
  <c r="BG25" i="2"/>
  <c r="BH24" i="2"/>
  <c r="BI24" i="2"/>
  <c r="BJ24" i="2"/>
  <c r="BK24" i="2"/>
  <c r="BL24" i="2"/>
  <c r="BN24" i="2"/>
  <c r="BO24" i="2"/>
  <c r="BP24" i="2"/>
  <c r="BQ24" i="2"/>
  <c r="BR24" i="2"/>
  <c r="BS24" i="2"/>
  <c r="BG24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C25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AL13" i="2"/>
  <c r="AH13" i="2"/>
  <c r="AD13" i="2"/>
  <c r="AD14" i="2" s="1"/>
  <c r="Z13" i="2"/>
  <c r="V13" i="2"/>
  <c r="R13" i="2"/>
  <c r="R14" i="2" s="1"/>
  <c r="N13" i="2"/>
  <c r="J13" i="2"/>
  <c r="BH13" i="2" s="1"/>
  <c r="D14" i="2"/>
  <c r="E14" i="2"/>
  <c r="F14" i="2"/>
  <c r="G14" i="2"/>
  <c r="H14" i="2"/>
  <c r="I14" i="2"/>
  <c r="K14" i="2"/>
  <c r="L14" i="2"/>
  <c r="M14" i="2"/>
  <c r="O14" i="2"/>
  <c r="P14" i="2"/>
  <c r="Q14" i="2"/>
  <c r="S14" i="2"/>
  <c r="T14" i="2"/>
  <c r="U14" i="2"/>
  <c r="W14" i="2"/>
  <c r="X14" i="2"/>
  <c r="Y14" i="2"/>
  <c r="AA14" i="2"/>
  <c r="AB14" i="2"/>
  <c r="AC14" i="2"/>
  <c r="AE14" i="2"/>
  <c r="AF14" i="2"/>
  <c r="AG14" i="2"/>
  <c r="AI14" i="2"/>
  <c r="AJ14" i="2"/>
  <c r="AK14" i="2"/>
  <c r="AO14" i="2"/>
  <c r="AP14" i="2"/>
  <c r="AQ14" i="2"/>
  <c r="AR14" i="2"/>
  <c r="AS14" i="2"/>
  <c r="AT14" i="2"/>
  <c r="AU14" i="2"/>
  <c r="AV14" i="2"/>
  <c r="AW14" i="2"/>
  <c r="AX14" i="2"/>
  <c r="AY14" i="2"/>
  <c r="BS14" i="2" s="1"/>
  <c r="AZ14" i="2"/>
  <c r="BA14" i="2"/>
  <c r="BB14" i="2"/>
  <c r="BC14" i="2"/>
  <c r="C14" i="2"/>
  <c r="C24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D22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D21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G19" i="2"/>
  <c r="BI18" i="2"/>
  <c r="BJ18" i="2"/>
  <c r="BK18" i="2"/>
  <c r="BL18" i="2"/>
  <c r="BM18" i="2"/>
  <c r="BN18" i="2"/>
  <c r="BO18" i="2"/>
  <c r="BP18" i="2"/>
  <c r="BQ18" i="2"/>
  <c r="BR18" i="2"/>
  <c r="BS18" i="2"/>
  <c r="BH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G18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G12" i="2"/>
  <c r="BH12" i="2"/>
  <c r="BI12" i="2"/>
  <c r="BJ12" i="2"/>
  <c r="BK12" i="2"/>
  <c r="BL12" i="2"/>
  <c r="BM12" i="2"/>
  <c r="BN12" i="2"/>
  <c r="BO12" i="2"/>
  <c r="BQ12" i="2"/>
  <c r="BR12" i="2"/>
  <c r="BS12" i="2"/>
  <c r="BG13" i="2"/>
  <c r="BP13" i="2"/>
  <c r="BQ13" i="2"/>
  <c r="BR13" i="2"/>
  <c r="BS13" i="2"/>
  <c r="BG14" i="2"/>
  <c r="BD5" i="2"/>
  <c r="BD10" i="2" s="1"/>
  <c r="BD12" i="2" s="1"/>
  <c r="BS3" i="2"/>
  <c r="BR3" i="2"/>
  <c r="BQ3" i="2"/>
  <c r="BP3" i="2"/>
  <c r="BK3" i="2"/>
  <c r="BC5" i="2"/>
  <c r="BC10" i="2" s="1"/>
  <c r="BC12" i="2" s="1"/>
  <c r="BB5" i="2"/>
  <c r="BB10" i="2" s="1"/>
  <c r="BB12" i="2" s="1"/>
  <c r="BB3" i="2"/>
  <c r="BA5" i="2"/>
  <c r="BA10" i="2" s="1"/>
  <c r="BA12" i="2" s="1"/>
  <c r="AL14" i="2"/>
  <c r="AL11" i="2"/>
  <c r="AL9" i="2"/>
  <c r="AL8" i="2"/>
  <c r="AL7" i="2"/>
  <c r="AL6" i="2"/>
  <c r="AL4" i="2"/>
  <c r="AL3" i="2"/>
  <c r="BO3" i="2" s="1"/>
  <c r="AJ5" i="2"/>
  <c r="AJ10" i="2" s="1"/>
  <c r="AJ12" i="2" s="1"/>
  <c r="AK5" i="2"/>
  <c r="AK10" i="2" s="1"/>
  <c r="AK12" i="2" s="1"/>
  <c r="AI12" i="2"/>
  <c r="AI5" i="2"/>
  <c r="AI10" i="2" s="1"/>
  <c r="AH14" i="2"/>
  <c r="AH11" i="2"/>
  <c r="AH9" i="2"/>
  <c r="AH8" i="2"/>
  <c r="AH6" i="2"/>
  <c r="AH4" i="2"/>
  <c r="AH3" i="2"/>
  <c r="BN3" i="2" s="1"/>
  <c r="AD11" i="2"/>
  <c r="AD9" i="2"/>
  <c r="AD8" i="2"/>
  <c r="AD7" i="2"/>
  <c r="AD6" i="2"/>
  <c r="AD4" i="2"/>
  <c r="AD3" i="2"/>
  <c r="BM3" i="2" s="1"/>
  <c r="AG5" i="2"/>
  <c r="AG10" i="2" s="1"/>
  <c r="AG12" i="2" s="1"/>
  <c r="AF5" i="2"/>
  <c r="AF10" i="2" s="1"/>
  <c r="AF12" i="2" s="1"/>
  <c r="AE7" i="2"/>
  <c r="AH7" i="2" s="1"/>
  <c r="AE5" i="2"/>
  <c r="AC5" i="2"/>
  <c r="AC10" i="2" s="1"/>
  <c r="AC12" i="2" s="1"/>
  <c r="AB5" i="2"/>
  <c r="AB10" i="2" s="1"/>
  <c r="AB12" i="2" s="1"/>
  <c r="AA5" i="2"/>
  <c r="AA10" i="2" s="1"/>
  <c r="BJ3" i="2"/>
  <c r="BL3" i="2"/>
  <c r="Z14" i="2"/>
  <c r="Z9" i="2"/>
  <c r="Z8" i="2"/>
  <c r="Z7" i="2"/>
  <c r="Z6" i="2"/>
  <c r="Z4" i="2"/>
  <c r="Z3" i="2"/>
  <c r="Z5" i="2"/>
  <c r="V14" i="2"/>
  <c r="V11" i="2"/>
  <c r="V8" i="2"/>
  <c r="V7" i="2"/>
  <c r="V6" i="2"/>
  <c r="V4" i="2"/>
  <c r="V3" i="2"/>
  <c r="Y11" i="2"/>
  <c r="Y5" i="2"/>
  <c r="X5" i="2"/>
  <c r="X10" i="2" s="1"/>
  <c r="W5" i="2"/>
  <c r="W10" i="2" s="1"/>
  <c r="W12" i="2" s="1"/>
  <c r="U5" i="2"/>
  <c r="U10" i="2" s="1"/>
  <c r="U12" i="2" s="1"/>
  <c r="T5" i="2"/>
  <c r="T10" i="2" s="1"/>
  <c r="T12" i="2" s="1"/>
  <c r="S5" i="2"/>
  <c r="R11" i="2"/>
  <c r="R8" i="2"/>
  <c r="R7" i="2"/>
  <c r="R6" i="2"/>
  <c r="R4" i="2"/>
  <c r="R3" i="2"/>
  <c r="R5" i="2"/>
  <c r="N11" i="2"/>
  <c r="N8" i="2"/>
  <c r="N7" i="2"/>
  <c r="N6" i="2"/>
  <c r="N4" i="2"/>
  <c r="N3" i="2"/>
  <c r="BI3" i="2" s="1"/>
  <c r="Q5" i="2"/>
  <c r="Q10" i="2" s="1"/>
  <c r="Q12" i="2" s="1"/>
  <c r="O5" i="2"/>
  <c r="P5" i="2"/>
  <c r="L11" i="2"/>
  <c r="O10" i="2"/>
  <c r="O12" i="2" s="1"/>
  <c r="M5" i="2"/>
  <c r="M10" i="2" s="1"/>
  <c r="L5" i="2"/>
  <c r="L10" i="2" s="1"/>
  <c r="I11" i="2"/>
  <c r="K5" i="2"/>
  <c r="K10" i="2" s="1"/>
  <c r="J8" i="2"/>
  <c r="J7" i="2"/>
  <c r="J6" i="2"/>
  <c r="J4" i="2"/>
  <c r="J3" i="2"/>
  <c r="BH3" i="2" s="1"/>
  <c r="F8" i="2"/>
  <c r="F7" i="2"/>
  <c r="F6" i="2"/>
  <c r="F4" i="2"/>
  <c r="F3" i="2"/>
  <c r="F5" i="2" s="1"/>
  <c r="BG3" i="2"/>
  <c r="BI1" i="2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BH1" i="2"/>
  <c r="BG1" i="2"/>
  <c r="I5" i="2"/>
  <c r="I10" i="2" s="1"/>
  <c r="E11" i="2"/>
  <c r="C11" i="2"/>
  <c r="F11" i="2" s="1"/>
  <c r="H11" i="2"/>
  <c r="J11" i="2" s="1"/>
  <c r="H5" i="2"/>
  <c r="H10" i="2" s="1"/>
  <c r="D11" i="2"/>
  <c r="G11" i="2"/>
  <c r="D5" i="2"/>
  <c r="D10" i="2" s="1"/>
  <c r="E5" i="2"/>
  <c r="E10" i="2" s="1"/>
  <c r="E12" i="2" s="1"/>
  <c r="G5" i="2"/>
  <c r="G10" i="2" s="1"/>
  <c r="C10" i="2"/>
  <c r="C12" i="2" s="1"/>
  <c r="C5" i="2"/>
  <c r="AZ11" i="2"/>
  <c r="AZ5" i="2"/>
  <c r="AM5" i="2"/>
  <c r="AN5" i="2"/>
  <c r="AN10" i="2" s="1"/>
  <c r="AO11" i="2"/>
  <c r="AO5" i="2"/>
  <c r="AO10" i="2" s="1"/>
  <c r="AP11" i="2"/>
  <c r="AP5" i="2"/>
  <c r="AV11" i="2"/>
  <c r="AV5" i="2"/>
  <c r="AV10" i="2" s="1"/>
  <c r="AT11" i="2"/>
  <c r="AS11" i="2"/>
  <c r="AS5" i="2"/>
  <c r="AS10" i="2" s="1"/>
  <c r="AS12" i="2" s="1"/>
  <c r="AR11" i="2"/>
  <c r="AR5" i="2"/>
  <c r="AR10" i="2" s="1"/>
  <c r="AX11" i="2"/>
  <c r="AW11" i="2"/>
  <c r="AW5" i="2"/>
  <c r="AQ11" i="2"/>
  <c r="AQ5" i="2"/>
  <c r="AQ10" i="2" s="1"/>
  <c r="AT5" i="2"/>
  <c r="AT10" i="2" s="1"/>
  <c r="AX5" i="2"/>
  <c r="AX10" i="2" s="1"/>
  <c r="AU11" i="2"/>
  <c r="AY11" i="2"/>
  <c r="AD24" i="2" l="1"/>
  <c r="BD14" i="2"/>
  <c r="BD16" i="2" s="1"/>
  <c r="BO13" i="2"/>
  <c r="BO14" i="2"/>
  <c r="BN13" i="2"/>
  <c r="BN14" i="2"/>
  <c r="BM13" i="2"/>
  <c r="BM24" i="2" s="1"/>
  <c r="BM14" i="2"/>
  <c r="BL13" i="2"/>
  <c r="BL14" i="2"/>
  <c r="BK14" i="2"/>
  <c r="BK13" i="2"/>
  <c r="BJ13" i="2"/>
  <c r="BJ14" i="2"/>
  <c r="N14" i="2"/>
  <c r="BI14" i="2" s="1"/>
  <c r="J14" i="2"/>
  <c r="BC16" i="2"/>
  <c r="BB16" i="2"/>
  <c r="BR14" i="2"/>
  <c r="BA16" i="2"/>
  <c r="AS16" i="2"/>
  <c r="BQ14" i="2"/>
  <c r="AA12" i="2"/>
  <c r="K12" i="2"/>
  <c r="X12" i="2"/>
  <c r="P10" i="2"/>
  <c r="P12" i="2" s="1"/>
  <c r="AH5" i="2"/>
  <c r="AH10" i="2" s="1"/>
  <c r="AH12" i="2" s="1"/>
  <c r="Y10" i="2"/>
  <c r="AQ12" i="2"/>
  <c r="AQ16" i="2" s="1"/>
  <c r="AN12" i="2"/>
  <c r="J5" i="2"/>
  <c r="S10" i="2"/>
  <c r="Z11" i="2"/>
  <c r="AE10" i="2"/>
  <c r="AE12" i="2" s="1"/>
  <c r="Z10" i="2"/>
  <c r="D12" i="2"/>
  <c r="AL5" i="2"/>
  <c r="AL10" i="2" s="1"/>
  <c r="AL12" i="2" s="1"/>
  <c r="AD5" i="2"/>
  <c r="V5" i="2"/>
  <c r="V10" i="2" s="1"/>
  <c r="V12" i="2" s="1"/>
  <c r="R10" i="2"/>
  <c r="R12" i="2" s="1"/>
  <c r="N5" i="2"/>
  <c r="M12" i="2"/>
  <c r="L12" i="2"/>
  <c r="N10" i="2"/>
  <c r="N12" i="2" s="1"/>
  <c r="F10" i="2"/>
  <c r="I12" i="2"/>
  <c r="H12" i="2"/>
  <c r="G12" i="2"/>
  <c r="AR12" i="2"/>
  <c r="AR16" i="2" s="1"/>
  <c r="AO12" i="2"/>
  <c r="AO16" i="2" s="1"/>
  <c r="AM10" i="2"/>
  <c r="AM12" i="2" s="1"/>
  <c r="AP10" i="2"/>
  <c r="AP12" i="2" s="1"/>
  <c r="AX12" i="2"/>
  <c r="AX16" i="2" s="1"/>
  <c r="AW10" i="2"/>
  <c r="AW12" i="2" s="1"/>
  <c r="AV12" i="2"/>
  <c r="AZ10" i="2"/>
  <c r="AZ12" i="2" s="1"/>
  <c r="AT12" i="2"/>
  <c r="AU5" i="2"/>
  <c r="AY5" i="2"/>
  <c r="U4" i="1"/>
  <c r="U7" i="1" s="1"/>
  <c r="AN14" i="2" l="1"/>
  <c r="BP12" i="2"/>
  <c r="AM14" i="2"/>
  <c r="BI13" i="2"/>
  <c r="J10" i="2"/>
  <c r="AD10" i="2"/>
  <c r="Y12" i="2"/>
  <c r="Z12" i="2"/>
  <c r="S12" i="2"/>
  <c r="F12" i="2"/>
  <c r="AP16" i="2"/>
  <c r="AU10" i="2"/>
  <c r="AU12" i="2" s="1"/>
  <c r="AV16" i="2"/>
  <c r="AT16" i="2"/>
  <c r="AW16" i="2"/>
  <c r="AY10" i="2"/>
  <c r="AY12" i="2" s="1"/>
  <c r="AN16" i="2" l="1"/>
  <c r="BP14" i="2"/>
  <c r="AM16" i="2"/>
  <c r="J12" i="2"/>
  <c r="AD12" i="2"/>
  <c r="AZ16" i="2"/>
  <c r="AY16" i="2"/>
  <c r="AU16" i="2"/>
  <c r="BH14" i="2" l="1"/>
</calcChain>
</file>

<file path=xl/sharedStrings.xml><?xml version="1.0" encoding="utf-8"?>
<sst xmlns="http://schemas.openxmlformats.org/spreadsheetml/2006/main" count="83" uniqueCount="81">
  <si>
    <t>Shares</t>
  </si>
  <si>
    <t>Market Cap</t>
  </si>
  <si>
    <t>Cash</t>
  </si>
  <si>
    <t>Debt</t>
  </si>
  <si>
    <t>EV</t>
  </si>
  <si>
    <t>Price</t>
  </si>
  <si>
    <t>Q123</t>
  </si>
  <si>
    <t>main</t>
  </si>
  <si>
    <t>Q120</t>
  </si>
  <si>
    <t>Q121</t>
  </si>
  <si>
    <t>Q220</t>
  </si>
  <si>
    <t>Q320</t>
  </si>
  <si>
    <t>Q420</t>
  </si>
  <si>
    <t>Q221</t>
  </si>
  <si>
    <t>Q321</t>
  </si>
  <si>
    <t>Q421</t>
  </si>
  <si>
    <t>Q122</t>
  </si>
  <si>
    <t>Q222</t>
  </si>
  <si>
    <t>Q322</t>
  </si>
  <si>
    <t>Q422</t>
  </si>
  <si>
    <t>Revenue</t>
  </si>
  <si>
    <t>COGS</t>
  </si>
  <si>
    <t>R&amp;D</t>
  </si>
  <si>
    <t>S&amp;M</t>
  </si>
  <si>
    <t>G&amp;A</t>
  </si>
  <si>
    <t xml:space="preserve">Restructuring </t>
  </si>
  <si>
    <t>Operating Income</t>
  </si>
  <si>
    <t>Interest Income</t>
  </si>
  <si>
    <t>Pretax Income</t>
  </si>
  <si>
    <t>Tax</t>
  </si>
  <si>
    <t>NI</t>
  </si>
  <si>
    <t>EPS</t>
  </si>
  <si>
    <t>cogs q/q</t>
  </si>
  <si>
    <t>revenue q/q</t>
  </si>
  <si>
    <t>revenue y/y</t>
  </si>
  <si>
    <t>cogs y/y</t>
  </si>
  <si>
    <t>Q223</t>
  </si>
  <si>
    <t>TAX RATE</t>
  </si>
  <si>
    <t>GROSS MARGIN</t>
  </si>
  <si>
    <t>Q111</t>
  </si>
  <si>
    <t>Q211</t>
  </si>
  <si>
    <t>Q311</t>
  </si>
  <si>
    <t>Q411</t>
  </si>
  <si>
    <t>Q112</t>
  </si>
  <si>
    <t>Q212</t>
  </si>
  <si>
    <t>Q312</t>
  </si>
  <si>
    <t>Q412</t>
  </si>
  <si>
    <t>Q113</t>
  </si>
  <si>
    <t>Q213</t>
  </si>
  <si>
    <t>Q313</t>
  </si>
  <si>
    <t>Q413</t>
  </si>
  <si>
    <t>Q114</t>
  </si>
  <si>
    <t>Q214</t>
  </si>
  <si>
    <t>Q314</t>
  </si>
  <si>
    <t>Q414</t>
  </si>
  <si>
    <t>Q115</t>
  </si>
  <si>
    <t>Q215</t>
  </si>
  <si>
    <t>Q315</t>
  </si>
  <si>
    <t>Q415</t>
  </si>
  <si>
    <t>Q116</t>
  </si>
  <si>
    <t>Q216</t>
  </si>
  <si>
    <t>Q316</t>
  </si>
  <si>
    <t>Q416</t>
  </si>
  <si>
    <t>Q117</t>
  </si>
  <si>
    <t>Q217</t>
  </si>
  <si>
    <t>Q317</t>
  </si>
  <si>
    <t>Q417</t>
  </si>
  <si>
    <t>Q118</t>
  </si>
  <si>
    <t>Q218</t>
  </si>
  <si>
    <t>Q318</t>
  </si>
  <si>
    <t>Q418</t>
  </si>
  <si>
    <t>Q119</t>
  </si>
  <si>
    <t>Q219</t>
  </si>
  <si>
    <t>Q319</t>
  </si>
  <si>
    <t>Q419</t>
  </si>
  <si>
    <t>Q323</t>
  </si>
  <si>
    <t>Q423</t>
  </si>
  <si>
    <t>Q124</t>
  </si>
  <si>
    <t>Q224</t>
  </si>
  <si>
    <t>mlns</t>
  </si>
  <si>
    <t>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</si>
</sst>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1" fontId="0" fillId="0" borderId="0" xfId="0" applyNumberFormat="1"/>
    <xf numFmtId="0" fontId="1" fillId="0" borderId="0" xfId="1"/>
    <xf numFmtId="0" fontId="0" fillId="0" borderId="1" xfId="0" applyBorder="1"/>
    <xf numFmtId="43" fontId="0" fillId="0" borderId="0" xfId="0" applyNumberFormat="1"/>
    <xf numFmtId="43" fontId="0" fillId="0" borderId="0" xfId="0" applyNumberFormat="1" applyAlignment="1">
      <alignment wrapText="1"/>
    </xf>
    <xf numFmtId="44" fontId="0" fillId="0" borderId="0" xfId="0" applyNumberFormat="1"/>
    <xf numFmtId="10" fontId="0" fillId="0" borderId="0" xfId="0" applyNumberFormat="1"/>
    <xf numFmtId="2" fontId="0" fillId="0" borderId="0" xfId="0" applyNumberFormat="1"/>
    <xf numFmtId="9" fontId="0" fillId="0" borderId="0" xfId="2" applyFont="1"/>
    <xf numFmtId="43" fontId="0" fillId="2" borderId="0" xfId="0" applyNumberForma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2BC0-095C-4BC8-B1B5-A4B81FD8BCF8}">
  <dimension ref="T2:V8"/>
  <sheetViews>
    <sheetView tabSelected="1" workbookViewId="0">
      <selection activeCell="V7" sqref="V7"/>
    </sheetView>
  </sheetViews>
  <sheetFormatPr defaultRowHeight="14.4" x14ac:dyDescent="0.3"/>
  <cols>
    <col min="20" max="20" width="10.44140625" bestFit="1" customWidth="1"/>
  </cols>
  <sheetData>
    <row r="2" spans="20:22" x14ac:dyDescent="0.3">
      <c r="T2" t="s">
        <v>5</v>
      </c>
      <c r="U2">
        <v>108</v>
      </c>
    </row>
    <row r="3" spans="20:22" x14ac:dyDescent="0.3">
      <c r="T3" t="s">
        <v>0</v>
      </c>
      <c r="U3" s="8">
        <f>Sheet2!BD15</f>
        <v>135.89099999999999</v>
      </c>
      <c r="V3" t="s">
        <v>78</v>
      </c>
    </row>
    <row r="4" spans="20:22" x14ac:dyDescent="0.3">
      <c r="T4" t="s">
        <v>1</v>
      </c>
      <c r="U4" s="1">
        <f>U3*U2</f>
        <v>14676.227999999999</v>
      </c>
    </row>
    <row r="5" spans="20:22" x14ac:dyDescent="0.3">
      <c r="T5" t="s">
        <v>2</v>
      </c>
      <c r="U5" s="1">
        <f>252.102+1394.302</f>
        <v>1646.404</v>
      </c>
    </row>
    <row r="6" spans="20:22" x14ac:dyDescent="0.3">
      <c r="T6" t="s">
        <v>3</v>
      </c>
      <c r="U6" s="1">
        <f>98.592+1200.432</f>
        <v>1299.0240000000001</v>
      </c>
    </row>
    <row r="7" spans="20:22" x14ac:dyDescent="0.3">
      <c r="T7" t="s">
        <v>4</v>
      </c>
      <c r="U7" s="1">
        <f>U4+U6-U5</f>
        <v>14328.847999999998</v>
      </c>
    </row>
    <row r="8" spans="20:22" x14ac:dyDescent="0.3">
      <c r="U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BA9C-280B-48F5-96D3-D249F6D12B9C}">
  <dimension ref="A1:CB1048576"/>
  <sheetViews>
    <sheetView zoomScaleNormal="100" workbookViewId="0">
      <pane xSplit="1" topLeftCell="BF1" activePane="topRight" state="frozen"/>
      <selection pane="topRight" activeCell="BS18" sqref="BS18"/>
    </sheetView>
  </sheetViews>
  <sheetFormatPr defaultRowHeight="14.4" x14ac:dyDescent="0.3"/>
  <cols>
    <col min="1" max="1" width="15.6640625" bestFit="1" customWidth="1"/>
    <col min="3" max="42" width="9.109375" bestFit="1" customWidth="1"/>
    <col min="43" max="43" width="9.6640625" bestFit="1" customWidth="1"/>
    <col min="44" max="50" width="9.109375" bestFit="1" customWidth="1"/>
    <col min="51" max="51" width="9.109375" style="3" bestFit="1" customWidth="1"/>
    <col min="52" max="56" width="9.109375" bestFit="1" customWidth="1"/>
    <col min="59" max="68" width="9" bestFit="1" customWidth="1"/>
    <col min="69" max="71" width="9.109375" bestFit="1" customWidth="1"/>
  </cols>
  <sheetData>
    <row r="1" spans="1:80" x14ac:dyDescent="0.3">
      <c r="A1" s="2" t="s">
        <v>7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  <c r="AM1" t="s">
        <v>8</v>
      </c>
      <c r="AN1" t="s">
        <v>10</v>
      </c>
      <c r="AO1" t="s">
        <v>11</v>
      </c>
      <c r="AP1" t="s">
        <v>12</v>
      </c>
      <c r="AQ1" t="s">
        <v>9</v>
      </c>
      <c r="AR1" t="s">
        <v>13</v>
      </c>
      <c r="AS1" t="s">
        <v>14</v>
      </c>
      <c r="AT1" t="s">
        <v>15</v>
      </c>
      <c r="AU1" t="s">
        <v>16</v>
      </c>
      <c r="AV1" t="s">
        <v>17</v>
      </c>
      <c r="AW1" t="s">
        <v>18</v>
      </c>
      <c r="AX1" t="s">
        <v>19</v>
      </c>
      <c r="AY1" t="s">
        <v>6</v>
      </c>
      <c r="AZ1" t="s">
        <v>36</v>
      </c>
      <c r="BA1" t="s">
        <v>75</v>
      </c>
      <c r="BB1" t="s">
        <v>76</v>
      </c>
      <c r="BC1" t="s">
        <v>77</v>
      </c>
      <c r="BD1" t="s">
        <v>78</v>
      </c>
      <c r="BG1">
        <f>2011</f>
        <v>2011</v>
      </c>
      <c r="BH1">
        <f>BG1+1</f>
        <v>2012</v>
      </c>
      <c r="BI1">
        <f t="shared" ref="BI1:CB1" si="0">BH1+1</f>
        <v>2013</v>
      </c>
      <c r="BJ1">
        <f t="shared" si="0"/>
        <v>2014</v>
      </c>
      <c r="BK1">
        <f t="shared" si="0"/>
        <v>2015</v>
      </c>
      <c r="BL1">
        <f t="shared" si="0"/>
        <v>2016</v>
      </c>
      <c r="BM1">
        <f t="shared" si="0"/>
        <v>2017</v>
      </c>
      <c r="BN1">
        <f t="shared" si="0"/>
        <v>2018</v>
      </c>
      <c r="BO1">
        <f t="shared" si="0"/>
        <v>2019</v>
      </c>
      <c r="BP1">
        <f t="shared" si="0"/>
        <v>2020</v>
      </c>
      <c r="BQ1">
        <f t="shared" si="0"/>
        <v>2021</v>
      </c>
      <c r="BR1">
        <f t="shared" si="0"/>
        <v>2022</v>
      </c>
      <c r="BS1">
        <f t="shared" si="0"/>
        <v>2023</v>
      </c>
      <c r="BT1">
        <f t="shared" si="0"/>
        <v>2024</v>
      </c>
      <c r="BU1">
        <f t="shared" si="0"/>
        <v>2025</v>
      </c>
      <c r="BV1">
        <f t="shared" si="0"/>
        <v>2026</v>
      </c>
      <c r="BW1">
        <f t="shared" si="0"/>
        <v>2027</v>
      </c>
      <c r="BX1">
        <f t="shared" si="0"/>
        <v>2028</v>
      </c>
      <c r="BY1">
        <f t="shared" si="0"/>
        <v>2029</v>
      </c>
      <c r="BZ1">
        <f t="shared" si="0"/>
        <v>2030</v>
      </c>
      <c r="CA1">
        <f t="shared" si="0"/>
        <v>2031</v>
      </c>
      <c r="CB1">
        <f t="shared" si="0"/>
        <v>2032</v>
      </c>
    </row>
    <row r="2" spans="1:80" x14ac:dyDescent="0.3">
      <c r="B2" t="s">
        <v>79</v>
      </c>
      <c r="AY2"/>
    </row>
    <row r="3" spans="1:80" x14ac:dyDescent="0.3">
      <c r="A3" t="s">
        <v>20</v>
      </c>
      <c r="B3" s="4"/>
      <c r="C3" s="4">
        <v>18.068999999999999</v>
      </c>
      <c r="D3" s="4">
        <v>29.591999999999999</v>
      </c>
      <c r="E3" s="4">
        <v>44.728000000000002</v>
      </c>
      <c r="F3" s="4">
        <f>149.523-SUM(C3:E3)</f>
        <v>57.133999999999986</v>
      </c>
      <c r="G3" s="4">
        <v>42.6</v>
      </c>
      <c r="H3" s="4">
        <v>55.697000000000003</v>
      </c>
      <c r="I3" s="4">
        <v>60.813000000000002</v>
      </c>
      <c r="J3" s="4">
        <f>216.678-SUM(G3:I3)</f>
        <v>57.567999999999984</v>
      </c>
      <c r="K3" s="4">
        <v>45.576999999999998</v>
      </c>
      <c r="L3" s="4">
        <v>58.167000000000002</v>
      </c>
      <c r="M3" s="4">
        <v>62.045999999999999</v>
      </c>
      <c r="N3" s="4">
        <f>232.846-SUM(K3:M3)</f>
        <v>67.056000000000012</v>
      </c>
      <c r="O3" s="4">
        <v>57.58</v>
      </c>
      <c r="P3" s="4">
        <v>82.004000000000005</v>
      </c>
      <c r="Q3" s="4">
        <v>99.113</v>
      </c>
      <c r="R3" s="4">
        <f>343.904-SUM(O3:Q3)</f>
        <v>105.20699999999999</v>
      </c>
      <c r="S3" s="4">
        <v>86.653000000000006</v>
      </c>
      <c r="T3" s="4">
        <v>102.093</v>
      </c>
      <c r="U3" s="4">
        <v>102.874</v>
      </c>
      <c r="V3" s="4">
        <f>357.249-SUM(S3:U3)</f>
        <v>65.629000000000019</v>
      </c>
      <c r="W3" s="4">
        <v>64.120999999999995</v>
      </c>
      <c r="X3" s="4">
        <v>79.185000000000002</v>
      </c>
      <c r="Y3" s="4">
        <v>88.683999999999997</v>
      </c>
      <c r="Z3" s="4">
        <f>322.591-SUM(W3:Y3)</f>
        <v>90.601000000000028</v>
      </c>
      <c r="AA3" s="4">
        <v>54.750999999999998</v>
      </c>
      <c r="AB3" s="4">
        <v>74.706999999999994</v>
      </c>
      <c r="AC3" s="4">
        <v>77.037999999999997</v>
      </c>
      <c r="AD3" s="4">
        <f>286.166-SUM(AA3:AC3)</f>
        <v>79.670000000000016</v>
      </c>
      <c r="AE3" s="4">
        <v>69.971999999999994</v>
      </c>
      <c r="AF3" s="4">
        <v>75.896000000000001</v>
      </c>
      <c r="AG3" s="4">
        <v>78.001999999999995</v>
      </c>
      <c r="AH3" s="4">
        <f>316.159-SUM(AE3:AG3)</f>
        <v>92.288999999999987</v>
      </c>
      <c r="AI3" s="4">
        <v>100.15</v>
      </c>
      <c r="AJ3" s="4">
        <v>134.09399999999999</v>
      </c>
      <c r="AK3" s="4">
        <v>180.05699999999999</v>
      </c>
      <c r="AL3" s="4">
        <f>624.333-SUM(AI3:AK3)</f>
        <v>210.03199999999998</v>
      </c>
      <c r="AM3" s="4">
        <v>205.54499999999999</v>
      </c>
      <c r="AN3" s="4">
        <v>125.538</v>
      </c>
      <c r="AO3" s="4">
        <v>178.50299999999999</v>
      </c>
      <c r="AP3" s="4">
        <v>264.839</v>
      </c>
      <c r="AQ3" s="4">
        <v>301.75400000000002</v>
      </c>
      <c r="AR3" s="4">
        <v>316.05700000000002</v>
      </c>
      <c r="AS3" s="4">
        <v>351.51900000000001</v>
      </c>
      <c r="AT3" s="4">
        <v>412.71899999999999</v>
      </c>
      <c r="AU3" s="4">
        <v>441.29199999999997</v>
      </c>
      <c r="AV3" s="4">
        <v>530.19600000000003</v>
      </c>
      <c r="AW3" s="4">
        <v>634.71299999999997</v>
      </c>
      <c r="AX3" s="4">
        <v>724.65200000000004</v>
      </c>
      <c r="AY3" s="4">
        <v>726.01599999999996</v>
      </c>
      <c r="AZ3" s="4">
        <v>711.11800000000005</v>
      </c>
      <c r="BA3" s="4">
        <v>551.08199999999999</v>
      </c>
      <c r="BB3" s="4">
        <f>302.57</f>
        <v>302.57</v>
      </c>
      <c r="BC3" s="4">
        <v>263.339</v>
      </c>
      <c r="BD3" s="4">
        <v>303.45800000000003</v>
      </c>
      <c r="BE3" s="4"/>
      <c r="BF3" s="4"/>
      <c r="BG3" s="4">
        <f>SUM(C3:F3)</f>
        <v>149.523</v>
      </c>
      <c r="BH3" s="4">
        <f>SUM(G3:J3)</f>
        <v>216.678</v>
      </c>
      <c r="BI3" s="4">
        <f>SUM(K3:N3)</f>
        <v>232.846</v>
      </c>
      <c r="BJ3" s="4">
        <f>SUM(O3:R3)</f>
        <v>343.904</v>
      </c>
      <c r="BK3" s="4">
        <f>SUM(S3:V3)</f>
        <v>357.24900000000002</v>
      </c>
      <c r="BL3" s="4">
        <f>SUM(W3:Z3)</f>
        <v>322.59100000000001</v>
      </c>
      <c r="BM3" s="4">
        <f>SUM(AA3:AD3)</f>
        <v>286.166</v>
      </c>
      <c r="BN3" s="4">
        <f>SUM(AE3:AH3)</f>
        <v>316.15899999999999</v>
      </c>
      <c r="BO3" s="4">
        <f>SUM(AI3:AL3)</f>
        <v>624.33299999999997</v>
      </c>
      <c r="BP3" s="4">
        <f>SUM(AM3:AP3)</f>
        <v>774.42499999999995</v>
      </c>
      <c r="BQ3" s="4">
        <f>SUM(AQ3:AT3)</f>
        <v>1382.049</v>
      </c>
      <c r="BR3" s="4">
        <f>SUM(AU3:AX3)</f>
        <v>2330.8530000000001</v>
      </c>
      <c r="BS3" s="4">
        <f>SUM(AY3:BB3)</f>
        <v>2290.7860000000001</v>
      </c>
    </row>
    <row r="4" spans="1:80" x14ac:dyDescent="0.3">
      <c r="A4" t="s">
        <v>21</v>
      </c>
      <c r="B4" s="4"/>
      <c r="C4" s="4">
        <v>15.420999999999999</v>
      </c>
      <c r="D4" s="4">
        <v>24.785</v>
      </c>
      <c r="E4" s="4">
        <v>36.185000000000002</v>
      </c>
      <c r="F4" s="4">
        <f>120.454-SUM(C4:E4)</f>
        <v>44.062999999999988</v>
      </c>
      <c r="G4" s="4">
        <v>33.292999999999999</v>
      </c>
      <c r="H4" s="4">
        <v>42.095999999999997</v>
      </c>
      <c r="I4" s="4">
        <v>44.488999999999997</v>
      </c>
      <c r="J4" s="4">
        <f>161.39-SUM(G4:I4)</f>
        <v>41.512</v>
      </c>
      <c r="K4" s="4">
        <v>33.375999999999998</v>
      </c>
      <c r="L4" s="4">
        <v>41.883000000000003</v>
      </c>
      <c r="M4" s="4">
        <v>44.610999999999997</v>
      </c>
      <c r="N4" s="4">
        <f>165.43-SUM(K4:M4)</f>
        <v>45.56</v>
      </c>
      <c r="O4" s="4">
        <v>38.924999999999997</v>
      </c>
      <c r="P4" s="4">
        <v>55.171999999999997</v>
      </c>
      <c r="Q4" s="4">
        <v>66.591999999999999</v>
      </c>
      <c r="R4" s="4">
        <f>230.861-SUM(O4:Q4)</f>
        <v>70.171999999999997</v>
      </c>
      <c r="S4" s="4">
        <v>58.628999999999998</v>
      </c>
      <c r="T4" s="4">
        <v>69.066000000000003</v>
      </c>
      <c r="U4" s="4">
        <v>71.408000000000001</v>
      </c>
      <c r="V4" s="4">
        <f>249.032-SUM(S4:U4)</f>
        <v>49.929000000000002</v>
      </c>
      <c r="W4" s="4">
        <v>52.360999999999997</v>
      </c>
      <c r="X4" s="4">
        <v>65.049000000000007</v>
      </c>
      <c r="Y4" s="4">
        <v>72.805000000000007</v>
      </c>
      <c r="Z4" s="4">
        <f>264.583-SUM(W4:Y4)</f>
        <v>74.368000000000023</v>
      </c>
      <c r="AA4" s="4">
        <v>47.703000000000003</v>
      </c>
      <c r="AB4" s="4">
        <v>61.156999999999996</v>
      </c>
      <c r="AC4" s="4">
        <v>60.576999999999998</v>
      </c>
      <c r="AD4" s="4">
        <f>230.123-SUM(AA4:AC4)</f>
        <v>60.685999999999979</v>
      </c>
      <c r="AE4" s="4">
        <v>51.656999999999996</v>
      </c>
      <c r="AF4" s="4">
        <v>53.195</v>
      </c>
      <c r="AG4" s="4">
        <v>52.738</v>
      </c>
      <c r="AH4" s="4">
        <f>221.714-SUM(AE4:AG4)</f>
        <v>64.123999999999995</v>
      </c>
      <c r="AI4" s="4">
        <v>66.811000000000007</v>
      </c>
      <c r="AJ4" s="4">
        <v>88.775000000000006</v>
      </c>
      <c r="AK4" s="4">
        <v>115.351</v>
      </c>
      <c r="AL4" s="4">
        <f>403.088-SUM(AI4:AK4)</f>
        <v>132.15100000000001</v>
      </c>
      <c r="AM4" s="4">
        <v>124.87</v>
      </c>
      <c r="AN4" s="4">
        <v>77.150999999999996</v>
      </c>
      <c r="AO4" s="4">
        <v>83.522000000000006</v>
      </c>
      <c r="AP4" s="4">
        <v>142.90100000000001</v>
      </c>
      <c r="AQ4" s="4">
        <v>178.80500000000001</v>
      </c>
      <c r="AR4" s="4">
        <v>188.256</v>
      </c>
      <c r="AS4" s="4">
        <v>211.161</v>
      </c>
      <c r="AT4" s="4">
        <v>249.405</v>
      </c>
      <c r="AU4" s="4">
        <v>264.31900000000002</v>
      </c>
      <c r="AV4" s="4">
        <v>311.19099999999997</v>
      </c>
      <c r="AW4" s="4">
        <v>366.79700000000003</v>
      </c>
      <c r="AX4" s="4">
        <v>413.95100000000002</v>
      </c>
      <c r="AY4" s="4">
        <v>399.64499999999998</v>
      </c>
      <c r="AZ4" s="4">
        <v>387.77600000000001</v>
      </c>
      <c r="BA4" s="4">
        <v>289.06900000000002</v>
      </c>
      <c r="BB4" s="4">
        <v>155.90799999999999</v>
      </c>
      <c r="BC4" s="4">
        <v>147.83099999999999</v>
      </c>
      <c r="BD4" s="4">
        <v>166.292</v>
      </c>
      <c r="BE4" s="4"/>
      <c r="BF4" s="4"/>
      <c r="BG4" s="4">
        <f t="shared" ref="BG4:BG14" si="1">SUM(C4:F4)</f>
        <v>120.45399999999999</v>
      </c>
      <c r="BH4" s="4">
        <f t="shared" ref="BH4:BH14" si="2">SUM(G4:J4)</f>
        <v>161.38999999999999</v>
      </c>
      <c r="BI4" s="4">
        <f t="shared" ref="BI4:BI14" si="3">SUM(K4:N4)</f>
        <v>165.43</v>
      </c>
      <c r="BJ4" s="4">
        <f t="shared" ref="BJ4:BJ14" si="4">SUM(O4:R4)</f>
        <v>230.86099999999999</v>
      </c>
      <c r="BK4" s="4">
        <f t="shared" ref="BK4:BK14" si="5">SUM(S4:V4)</f>
        <v>249.03200000000001</v>
      </c>
      <c r="BL4" s="4">
        <f t="shared" ref="BL4:BL14" si="6">SUM(W4:Z4)</f>
        <v>264.58300000000003</v>
      </c>
      <c r="BM4" s="4">
        <f t="shared" ref="BM4:BM14" si="7">SUM(AA4:AD4)</f>
        <v>230.12299999999999</v>
      </c>
      <c r="BN4" s="4">
        <f t="shared" ref="BN4:BN14" si="8">SUM(AE4:AH4)</f>
        <v>221.714</v>
      </c>
      <c r="BO4" s="4">
        <f t="shared" ref="BO4:BO14" si="9">SUM(AI4:AL4)</f>
        <v>403.08800000000002</v>
      </c>
      <c r="BP4" s="4">
        <f t="shared" ref="BP4:BP14" si="10">SUM(AM4:AP4)</f>
        <v>428.44400000000002</v>
      </c>
      <c r="BQ4" s="4">
        <f t="shared" ref="BQ4:BQ14" si="11">SUM(AQ4:AT4)</f>
        <v>827.62699999999995</v>
      </c>
      <c r="BR4" s="4">
        <f t="shared" ref="BR4:BR14" si="12">SUM(AU4:AX4)</f>
        <v>1356.258</v>
      </c>
      <c r="BS4" s="4">
        <f t="shared" ref="BS4:BS14" si="13">SUM(AY4:BB4)</f>
        <v>1232.3979999999999</v>
      </c>
    </row>
    <row r="5" spans="1:80" x14ac:dyDescent="0.3">
      <c r="A5" t="s">
        <v>80</v>
      </c>
      <c r="B5" s="4"/>
      <c r="C5" s="4">
        <f>C3-C4</f>
        <v>2.6479999999999997</v>
      </c>
      <c r="D5" s="4">
        <f t="shared" ref="D5:K5" si="14">D3-D4</f>
        <v>4.8069999999999986</v>
      </c>
      <c r="E5" s="4">
        <f t="shared" si="14"/>
        <v>8.5429999999999993</v>
      </c>
      <c r="F5" s="4">
        <f t="shared" si="14"/>
        <v>13.070999999999998</v>
      </c>
      <c r="G5" s="4">
        <f t="shared" si="14"/>
        <v>9.3070000000000022</v>
      </c>
      <c r="H5" s="4">
        <f t="shared" si="14"/>
        <v>13.601000000000006</v>
      </c>
      <c r="I5" s="4">
        <f t="shared" si="14"/>
        <v>16.324000000000005</v>
      </c>
      <c r="J5" s="4">
        <f t="shared" si="14"/>
        <v>16.055999999999983</v>
      </c>
      <c r="K5" s="4">
        <f t="shared" si="14"/>
        <v>12.201000000000001</v>
      </c>
      <c r="L5" s="4">
        <f t="shared" ref="L5:AL5" si="15">L3-L4</f>
        <v>16.283999999999999</v>
      </c>
      <c r="M5" s="4">
        <f t="shared" si="15"/>
        <v>17.435000000000002</v>
      </c>
      <c r="N5" s="4">
        <f t="shared" si="15"/>
        <v>21.496000000000009</v>
      </c>
      <c r="O5" s="4">
        <f t="shared" si="15"/>
        <v>18.655000000000001</v>
      </c>
      <c r="P5" s="4">
        <f t="shared" si="15"/>
        <v>26.832000000000008</v>
      </c>
      <c r="Q5" s="4">
        <f t="shared" si="15"/>
        <v>32.521000000000001</v>
      </c>
      <c r="R5" s="4">
        <f t="shared" si="15"/>
        <v>35.034999999999997</v>
      </c>
      <c r="S5" s="4">
        <f t="shared" si="15"/>
        <v>28.024000000000008</v>
      </c>
      <c r="T5" s="4">
        <f t="shared" si="15"/>
        <v>33.027000000000001</v>
      </c>
      <c r="U5" s="4">
        <f t="shared" si="15"/>
        <v>31.465999999999994</v>
      </c>
      <c r="V5" s="4">
        <f t="shared" si="15"/>
        <v>15.700000000000017</v>
      </c>
      <c r="W5" s="4">
        <f t="shared" si="15"/>
        <v>11.759999999999998</v>
      </c>
      <c r="X5" s="4">
        <f t="shared" si="15"/>
        <v>14.135999999999996</v>
      </c>
      <c r="Y5" s="4">
        <f t="shared" si="15"/>
        <v>15.878999999999991</v>
      </c>
      <c r="Z5" s="4">
        <f t="shared" si="15"/>
        <v>16.233000000000004</v>
      </c>
      <c r="AA5" s="4">
        <f t="shared" si="15"/>
        <v>7.0479999999999947</v>
      </c>
      <c r="AB5" s="4">
        <f t="shared" si="15"/>
        <v>13.549999999999997</v>
      </c>
      <c r="AC5" s="4">
        <f t="shared" si="15"/>
        <v>16.460999999999999</v>
      </c>
      <c r="AD5" s="4">
        <f t="shared" si="15"/>
        <v>18.984000000000037</v>
      </c>
      <c r="AE5" s="4">
        <f t="shared" si="15"/>
        <v>18.314999999999998</v>
      </c>
      <c r="AF5" s="4">
        <f t="shared" si="15"/>
        <v>22.701000000000001</v>
      </c>
      <c r="AG5" s="4">
        <f t="shared" si="15"/>
        <v>25.263999999999996</v>
      </c>
      <c r="AH5" s="4">
        <f t="shared" si="15"/>
        <v>28.164999999999992</v>
      </c>
      <c r="AI5" s="4">
        <f t="shared" si="15"/>
        <v>33.338999999999999</v>
      </c>
      <c r="AJ5" s="4">
        <f t="shared" si="15"/>
        <v>45.318999999999988</v>
      </c>
      <c r="AK5" s="4">
        <f t="shared" si="15"/>
        <v>64.705999999999989</v>
      </c>
      <c r="AL5" s="4">
        <f t="shared" si="15"/>
        <v>77.880999999999972</v>
      </c>
      <c r="AM5" s="4">
        <f t="shared" ref="AM5:AZ5" si="16">AM3-AM4</f>
        <v>80.674999999999983</v>
      </c>
      <c r="AN5" s="4">
        <f t="shared" si="16"/>
        <v>48.387</v>
      </c>
      <c r="AO5" s="4">
        <f t="shared" si="16"/>
        <v>94.98099999999998</v>
      </c>
      <c r="AP5" s="4">
        <f t="shared" si="16"/>
        <v>121.93799999999999</v>
      </c>
      <c r="AQ5" s="4">
        <f t="shared" si="16"/>
        <v>122.94900000000001</v>
      </c>
      <c r="AR5" s="4">
        <f t="shared" si="16"/>
        <v>127.80100000000002</v>
      </c>
      <c r="AS5" s="4">
        <f t="shared" si="16"/>
        <v>140.358</v>
      </c>
      <c r="AT5" s="4">
        <f t="shared" si="16"/>
        <v>163.31399999999999</v>
      </c>
      <c r="AU5" s="4">
        <f t="shared" si="16"/>
        <v>176.97299999999996</v>
      </c>
      <c r="AV5" s="4">
        <f t="shared" si="16"/>
        <v>219.00500000000005</v>
      </c>
      <c r="AW5" s="4">
        <f t="shared" si="16"/>
        <v>267.91599999999994</v>
      </c>
      <c r="AX5" s="4">
        <f t="shared" si="16"/>
        <v>310.70100000000002</v>
      </c>
      <c r="AY5" s="4">
        <f t="shared" si="16"/>
        <v>326.37099999999998</v>
      </c>
      <c r="AZ5" s="4">
        <f t="shared" si="16"/>
        <v>323.34200000000004</v>
      </c>
      <c r="BA5" s="4">
        <f>BA3-BA4</f>
        <v>262.01299999999998</v>
      </c>
      <c r="BB5" s="4">
        <f>BB3-BB4</f>
        <v>146.66200000000001</v>
      </c>
      <c r="BC5" s="4">
        <f>BC3-BC4</f>
        <v>115.50800000000001</v>
      </c>
      <c r="BD5" s="4">
        <f>BD3-BD4</f>
        <v>137.16600000000003</v>
      </c>
      <c r="BE5" s="4"/>
      <c r="BF5" s="4"/>
      <c r="BG5" s="4">
        <f t="shared" si="1"/>
        <v>29.068999999999996</v>
      </c>
      <c r="BH5" s="4">
        <f t="shared" si="2"/>
        <v>55.287999999999997</v>
      </c>
      <c r="BI5" s="4">
        <f t="shared" si="3"/>
        <v>67.416000000000011</v>
      </c>
      <c r="BJ5" s="4">
        <f t="shared" si="4"/>
        <v>113.04300000000001</v>
      </c>
      <c r="BK5" s="4">
        <f t="shared" si="5"/>
        <v>108.21700000000001</v>
      </c>
      <c r="BL5" s="4">
        <f t="shared" si="6"/>
        <v>58.007999999999988</v>
      </c>
      <c r="BM5" s="4">
        <f t="shared" si="7"/>
        <v>56.043000000000028</v>
      </c>
      <c r="BN5" s="4">
        <f t="shared" si="8"/>
        <v>94.444999999999993</v>
      </c>
      <c r="BO5" s="4">
        <f t="shared" si="9"/>
        <v>221.24499999999995</v>
      </c>
      <c r="BP5" s="4">
        <f t="shared" si="10"/>
        <v>345.98099999999994</v>
      </c>
      <c r="BQ5" s="4">
        <f t="shared" si="11"/>
        <v>554.42200000000003</v>
      </c>
      <c r="BR5" s="4">
        <f t="shared" si="12"/>
        <v>974.59500000000003</v>
      </c>
      <c r="BS5" s="4">
        <f t="shared" si="13"/>
        <v>1058.3879999999999</v>
      </c>
    </row>
    <row r="6" spans="1:80" x14ac:dyDescent="0.3">
      <c r="A6" t="s">
        <v>22</v>
      </c>
      <c r="B6" s="4"/>
      <c r="C6" s="4">
        <v>5.3449999999999998</v>
      </c>
      <c r="D6" s="4">
        <v>6.1429999999999998</v>
      </c>
      <c r="E6" s="4">
        <v>6.431</v>
      </c>
      <c r="F6" s="4">
        <f>25.099-SUM(C6:E6)</f>
        <v>7.18</v>
      </c>
      <c r="G6" s="4">
        <v>7.8419999999999996</v>
      </c>
      <c r="H6" s="4">
        <v>8.6549999999999994</v>
      </c>
      <c r="I6" s="4">
        <v>10.571</v>
      </c>
      <c r="J6" s="4">
        <f>35.601-SUM(G6:I6)</f>
        <v>8.5330000000000013</v>
      </c>
      <c r="K6" s="4">
        <v>9.0259999999999998</v>
      </c>
      <c r="L6" s="4">
        <v>8.484</v>
      </c>
      <c r="M6" s="4">
        <v>8.2929999999999993</v>
      </c>
      <c r="N6" s="4">
        <f>34.524-SUM(K6:M6)</f>
        <v>8.7210000000000036</v>
      </c>
      <c r="O6" s="4">
        <v>9.0860000000000003</v>
      </c>
      <c r="P6" s="4">
        <v>11.148</v>
      </c>
      <c r="Q6" s="4">
        <v>12.112</v>
      </c>
      <c r="R6" s="4">
        <f>45.386-SUM(O6:Q6)</f>
        <v>13.04</v>
      </c>
      <c r="S6" s="4">
        <v>13.43</v>
      </c>
      <c r="T6" s="4">
        <v>12.786</v>
      </c>
      <c r="U6" s="4">
        <v>12.058999999999999</v>
      </c>
      <c r="V6" s="4">
        <f>50.819-SUM(S6:U6)</f>
        <v>12.544000000000004</v>
      </c>
      <c r="W6" s="4">
        <v>13.066000000000001</v>
      </c>
      <c r="X6" s="4">
        <v>13.090999999999999</v>
      </c>
      <c r="Y6" s="4">
        <v>13.169</v>
      </c>
      <c r="Z6" s="4">
        <f>50.703-SUM(W6:Y6)</f>
        <v>11.377000000000002</v>
      </c>
      <c r="AA6" s="4">
        <v>9.6050000000000004</v>
      </c>
      <c r="AB6" s="4">
        <v>7.9470000000000001</v>
      </c>
      <c r="AC6" s="4">
        <v>7.3970000000000002</v>
      </c>
      <c r="AD6" s="4">
        <f>33.157-SUM(AA6:AC6)</f>
        <v>8.2079999999999984</v>
      </c>
      <c r="AE6" s="4">
        <v>7.62</v>
      </c>
      <c r="AF6" s="4">
        <v>9.4619999999999997</v>
      </c>
      <c r="AG6" s="4">
        <v>8.1649999999999991</v>
      </c>
      <c r="AH6" s="4">
        <f>32.587-SUM(AE6:AG6)</f>
        <v>7.3400000000000034</v>
      </c>
      <c r="AI6" s="4">
        <v>8.5239999999999991</v>
      </c>
      <c r="AJ6" s="4">
        <v>9.6039999999999992</v>
      </c>
      <c r="AK6" s="4">
        <v>11.085000000000001</v>
      </c>
      <c r="AL6" s="4">
        <f>40.381-SUM(AI6:AK6)</f>
        <v>11.167999999999999</v>
      </c>
      <c r="AM6" s="4">
        <v>11.875999999999999</v>
      </c>
      <c r="AN6" s="4">
        <v>13.192</v>
      </c>
      <c r="AO6" s="4">
        <v>15.052</v>
      </c>
      <c r="AP6" s="4">
        <v>15.801</v>
      </c>
      <c r="AQ6" s="4">
        <v>21.818000000000001</v>
      </c>
      <c r="AR6" s="4">
        <v>22.707999999999998</v>
      </c>
      <c r="AS6" s="4">
        <v>29.411000000000001</v>
      </c>
      <c r="AT6" s="4">
        <v>31.588999999999999</v>
      </c>
      <c r="AU6" s="4">
        <v>35.719000000000001</v>
      </c>
      <c r="AV6" s="4">
        <v>39.256</v>
      </c>
      <c r="AW6" s="4">
        <v>44.188000000000002</v>
      </c>
      <c r="AX6" s="4">
        <v>49.683</v>
      </c>
      <c r="AY6" s="4">
        <v>57.128999999999998</v>
      </c>
      <c r="AZ6" s="4">
        <v>60.042999999999999</v>
      </c>
      <c r="BA6" s="4">
        <v>54.872999999999998</v>
      </c>
      <c r="BB6" s="4">
        <v>55.290999999999997</v>
      </c>
      <c r="BC6" s="4">
        <v>54.210999999999999</v>
      </c>
      <c r="BD6" s="4">
        <v>48.871000000000002</v>
      </c>
      <c r="BE6" s="4"/>
      <c r="BF6" s="4"/>
      <c r="BG6" s="4">
        <f t="shared" si="1"/>
        <v>25.099</v>
      </c>
      <c r="BH6" s="4">
        <f t="shared" si="2"/>
        <v>35.600999999999999</v>
      </c>
      <c r="BI6" s="4">
        <f t="shared" si="3"/>
        <v>34.524000000000001</v>
      </c>
      <c r="BJ6" s="4">
        <f t="shared" si="4"/>
        <v>45.386000000000003</v>
      </c>
      <c r="BK6" s="4">
        <f t="shared" si="5"/>
        <v>50.819000000000003</v>
      </c>
      <c r="BL6" s="4">
        <f t="shared" si="6"/>
        <v>50.703000000000003</v>
      </c>
      <c r="BM6" s="4">
        <f t="shared" si="7"/>
        <v>33.156999999999996</v>
      </c>
      <c r="BN6" s="4">
        <f t="shared" si="8"/>
        <v>32.587000000000003</v>
      </c>
      <c r="BO6" s="4">
        <f t="shared" si="9"/>
        <v>40.381</v>
      </c>
      <c r="BP6" s="4">
        <f t="shared" si="10"/>
        <v>55.920999999999999</v>
      </c>
      <c r="BQ6" s="4">
        <f t="shared" si="11"/>
        <v>105.526</v>
      </c>
      <c r="BR6" s="4">
        <f t="shared" si="12"/>
        <v>168.846</v>
      </c>
      <c r="BS6" s="4">
        <f t="shared" si="13"/>
        <v>227.33599999999998</v>
      </c>
    </row>
    <row r="7" spans="1:80" x14ac:dyDescent="0.3">
      <c r="A7" t="s">
        <v>23</v>
      </c>
      <c r="B7" s="4"/>
      <c r="C7" s="4">
        <v>3.01</v>
      </c>
      <c r="D7" s="4">
        <v>4.2649999999999997</v>
      </c>
      <c r="E7" s="4">
        <v>4.5670000000000002</v>
      </c>
      <c r="F7" s="4">
        <f>17.454-SUM(C7:E7)</f>
        <v>5.6120000000000019</v>
      </c>
      <c r="G7" s="4">
        <v>5.0490000000000004</v>
      </c>
      <c r="H7" s="4">
        <v>6.36</v>
      </c>
      <c r="I7" s="4">
        <v>7.0389999999999997</v>
      </c>
      <c r="J7" s="4">
        <f>25.973-SUM(G7:I7)</f>
        <v>7.5249999999999986</v>
      </c>
      <c r="K7" s="4">
        <v>6.85</v>
      </c>
      <c r="L7" s="4">
        <v>7.3650000000000002</v>
      </c>
      <c r="M7" s="4">
        <v>8.5500000000000007</v>
      </c>
      <c r="N7" s="4">
        <f>31.08-SUM(K7:M7)</f>
        <v>8.3149999999999977</v>
      </c>
      <c r="O7" s="4">
        <v>8.8279999999999994</v>
      </c>
      <c r="P7" s="4">
        <v>10.493</v>
      </c>
      <c r="Q7" s="4">
        <v>9.8840000000000003</v>
      </c>
      <c r="R7" s="4">
        <f>41.003-SUM(O7:Q7)</f>
        <v>11.798000000000002</v>
      </c>
      <c r="S7" s="4">
        <v>11.936999999999999</v>
      </c>
      <c r="T7" s="4">
        <v>12.507999999999999</v>
      </c>
      <c r="U7" s="4">
        <v>10.51</v>
      </c>
      <c r="V7" s="4">
        <f>45.877-SUM(S7:U7)</f>
        <v>10.922000000000004</v>
      </c>
      <c r="W7" s="4">
        <v>10.215</v>
      </c>
      <c r="X7" s="4">
        <v>9.9870000000000001</v>
      </c>
      <c r="Y7" s="4">
        <v>11.016</v>
      </c>
      <c r="Z7" s="4">
        <f>38.81-SUM(W7:Y7)</f>
        <v>7.5920000000000059</v>
      </c>
      <c r="AA7" s="4">
        <v>6.4580000000000002</v>
      </c>
      <c r="AB7" s="4">
        <v>6.274</v>
      </c>
      <c r="AC7" s="4">
        <v>5.4530000000000003</v>
      </c>
      <c r="AD7" s="4">
        <f>23.126-SUM(AA7:AC7)</f>
        <v>4.9410000000000025</v>
      </c>
      <c r="AE7" s="5">
        <f>6.227</f>
        <v>6.2270000000000003</v>
      </c>
      <c r="AF7" s="5">
        <v>6.8280000000000003</v>
      </c>
      <c r="AG7" s="5">
        <v>7.375</v>
      </c>
      <c r="AH7" s="4">
        <f>27.047-SUM(AE7:AG7)</f>
        <v>6.6170000000000009</v>
      </c>
      <c r="AI7" s="5">
        <v>7.4329999999999998</v>
      </c>
      <c r="AJ7" s="5">
        <v>9.0540000000000003</v>
      </c>
      <c r="AK7" s="5">
        <v>9.5510000000000002</v>
      </c>
      <c r="AL7" s="4">
        <f>36.728-SUM(AI7:AK7)</f>
        <v>10.689999999999998</v>
      </c>
      <c r="AM7" s="4">
        <v>11.772</v>
      </c>
      <c r="AN7" s="4">
        <v>12.371</v>
      </c>
      <c r="AO7" s="4">
        <v>14.645</v>
      </c>
      <c r="AP7" s="4">
        <v>14.138999999999999</v>
      </c>
      <c r="AQ7" s="4">
        <v>19.622</v>
      </c>
      <c r="AR7" s="4">
        <v>25.585999999999999</v>
      </c>
      <c r="AS7" s="4">
        <v>39.295999999999999</v>
      </c>
      <c r="AT7" s="4">
        <v>44.47</v>
      </c>
      <c r="AU7" s="4">
        <v>41.344000000000001</v>
      </c>
      <c r="AV7" s="4">
        <v>53.588000000000001</v>
      </c>
      <c r="AW7" s="4">
        <v>55.256999999999998</v>
      </c>
      <c r="AX7" s="4">
        <v>64.912999999999997</v>
      </c>
      <c r="AY7" s="4">
        <v>64.620999999999995</v>
      </c>
      <c r="AZ7" s="4">
        <v>58.405000000000001</v>
      </c>
      <c r="BA7" s="4">
        <v>55.356999999999999</v>
      </c>
      <c r="BB7" s="4">
        <v>53.408999999999999</v>
      </c>
      <c r="BC7" s="4">
        <v>53.307000000000002</v>
      </c>
      <c r="BD7" s="4">
        <v>51.774999999999999</v>
      </c>
      <c r="BE7" s="4"/>
      <c r="BF7" s="4"/>
      <c r="BG7" s="4">
        <f t="shared" si="1"/>
        <v>17.454000000000001</v>
      </c>
      <c r="BH7" s="4">
        <f t="shared" si="2"/>
        <v>25.972999999999999</v>
      </c>
      <c r="BI7" s="4">
        <f t="shared" si="3"/>
        <v>31.08</v>
      </c>
      <c r="BJ7" s="4">
        <f t="shared" si="4"/>
        <v>41.003</v>
      </c>
      <c r="BK7" s="4">
        <f t="shared" si="5"/>
        <v>45.877000000000002</v>
      </c>
      <c r="BL7" s="4">
        <f t="shared" si="6"/>
        <v>38.81</v>
      </c>
      <c r="BM7" s="4">
        <f t="shared" si="7"/>
        <v>23.126000000000001</v>
      </c>
      <c r="BN7" s="4">
        <f t="shared" si="8"/>
        <v>27.047000000000001</v>
      </c>
      <c r="BO7" s="4">
        <f t="shared" si="9"/>
        <v>36.728000000000002</v>
      </c>
      <c r="BP7" s="4">
        <f t="shared" si="10"/>
        <v>52.926999999999992</v>
      </c>
      <c r="BQ7" s="4">
        <f t="shared" si="11"/>
        <v>128.97399999999999</v>
      </c>
      <c r="BR7" s="4">
        <f t="shared" si="12"/>
        <v>215.10199999999998</v>
      </c>
      <c r="BS7" s="4">
        <f t="shared" si="13"/>
        <v>231.79199999999997</v>
      </c>
    </row>
    <row r="8" spans="1:80" x14ac:dyDescent="0.3">
      <c r="A8" t="s">
        <v>24</v>
      </c>
      <c r="B8" s="4"/>
      <c r="C8" s="4">
        <v>3.25</v>
      </c>
      <c r="D8" s="4">
        <v>3.8889999999999998</v>
      </c>
      <c r="E8" s="4">
        <v>3.98</v>
      </c>
      <c r="F8" s="4">
        <f>15.228-SUM(C8:E8)</f>
        <v>4.109</v>
      </c>
      <c r="G8" s="4">
        <v>5.6959999999999997</v>
      </c>
      <c r="H8" s="4">
        <v>6.0910000000000002</v>
      </c>
      <c r="I8" s="4">
        <v>6.9109999999999996</v>
      </c>
      <c r="J8" s="4">
        <f>24.875-SUM(G8:I8)</f>
        <v>6.1769999999999996</v>
      </c>
      <c r="K8" s="4">
        <v>6.0359999999999996</v>
      </c>
      <c r="L8" s="4">
        <v>5.9260000000000002</v>
      </c>
      <c r="M8" s="4">
        <v>5.9370000000000003</v>
      </c>
      <c r="N8" s="4">
        <f>23.97-SUM(K8:M8)</f>
        <v>6.070999999999998</v>
      </c>
      <c r="O8" s="4">
        <v>6.5259999999999998</v>
      </c>
      <c r="P8" s="4">
        <v>7.6790000000000003</v>
      </c>
      <c r="Q8" s="4">
        <v>8.6319999999999997</v>
      </c>
      <c r="R8" s="4">
        <f>31.083-SUM(O8:Q8)</f>
        <v>8.2459999999999987</v>
      </c>
      <c r="S8" s="4">
        <v>8.2050000000000001</v>
      </c>
      <c r="T8" s="4">
        <v>8.1020000000000003</v>
      </c>
      <c r="U8" s="4">
        <v>7.1180000000000003</v>
      </c>
      <c r="V8" s="4">
        <f>30.83-SUM(S8:U8)</f>
        <v>7.404999999999994</v>
      </c>
      <c r="W8" s="4">
        <v>7.5670000000000002</v>
      </c>
      <c r="X8" s="4">
        <v>6.8460000000000001</v>
      </c>
      <c r="Y8" s="4">
        <v>6.7080000000000002</v>
      </c>
      <c r="Z8" s="4">
        <f>27.418-SUM(W8:Y8)</f>
        <v>6.296999999999997</v>
      </c>
      <c r="AA8" s="4">
        <v>5.8330000000000002</v>
      </c>
      <c r="AB8" s="4">
        <v>4.9640000000000004</v>
      </c>
      <c r="AC8" s="4">
        <v>5.4409999999999998</v>
      </c>
      <c r="AD8" s="4">
        <f>22.221-SUM(AA8:AC8)</f>
        <v>5.9830000000000005</v>
      </c>
      <c r="AE8" s="4">
        <v>6.9429999999999996</v>
      </c>
      <c r="AF8" s="4">
        <v>6.9690000000000003</v>
      </c>
      <c r="AG8" s="4">
        <v>7.51</v>
      </c>
      <c r="AH8" s="4">
        <f>29.086-SUM(AE8:AG8)</f>
        <v>7.6640000000000015</v>
      </c>
      <c r="AI8" s="4">
        <v>9.8800000000000008</v>
      </c>
      <c r="AJ8" s="4">
        <v>8.5830000000000002</v>
      </c>
      <c r="AK8" s="4">
        <v>9.8949999999999996</v>
      </c>
      <c r="AL8" s="4">
        <f>38.808-SUM(AI8:AK8)</f>
        <v>10.45</v>
      </c>
      <c r="AM8" s="4">
        <v>12.315</v>
      </c>
      <c r="AN8" s="4">
        <v>11.97</v>
      </c>
      <c r="AO8" s="4">
        <v>13.525</v>
      </c>
      <c r="AP8" s="4">
        <v>12.884</v>
      </c>
      <c r="AQ8" s="4">
        <v>20.123000000000001</v>
      </c>
      <c r="AR8" s="4">
        <v>20.106999999999999</v>
      </c>
      <c r="AS8" s="4">
        <v>34.299999999999997</v>
      </c>
      <c r="AT8" s="4">
        <v>29.56</v>
      </c>
      <c r="AU8" s="4">
        <v>38.085999999999999</v>
      </c>
      <c r="AV8" s="4">
        <v>32.125</v>
      </c>
      <c r="AW8" s="4">
        <v>32.436</v>
      </c>
      <c r="AX8" s="4">
        <v>37.354999999999997</v>
      </c>
      <c r="AY8" s="4">
        <v>36.265000000000001</v>
      </c>
      <c r="AZ8" s="4">
        <v>34.396999999999998</v>
      </c>
      <c r="BA8" s="4">
        <v>33.893999999999998</v>
      </c>
      <c r="BB8" s="4">
        <v>33.378999999999998</v>
      </c>
      <c r="BC8" s="4">
        <v>35.182000000000002</v>
      </c>
      <c r="BD8" s="4">
        <v>33.549999999999997</v>
      </c>
      <c r="BE8" s="4"/>
      <c r="BF8" s="4"/>
      <c r="BG8" s="4">
        <f t="shared" si="1"/>
        <v>15.228</v>
      </c>
      <c r="BH8" s="4">
        <f t="shared" si="2"/>
        <v>24.875</v>
      </c>
      <c r="BI8" s="4">
        <f t="shared" si="3"/>
        <v>23.97</v>
      </c>
      <c r="BJ8" s="4">
        <f t="shared" si="4"/>
        <v>31.082999999999998</v>
      </c>
      <c r="BK8" s="4">
        <f t="shared" si="5"/>
        <v>30.83</v>
      </c>
      <c r="BL8" s="4">
        <f t="shared" si="6"/>
        <v>27.417999999999999</v>
      </c>
      <c r="BM8" s="4">
        <f t="shared" si="7"/>
        <v>22.221</v>
      </c>
      <c r="BN8" s="4">
        <f t="shared" si="8"/>
        <v>29.085999999999999</v>
      </c>
      <c r="BO8" s="4">
        <f t="shared" si="9"/>
        <v>38.808</v>
      </c>
      <c r="BP8" s="4">
        <f t="shared" si="10"/>
        <v>50.694000000000003</v>
      </c>
      <c r="BQ8" s="4">
        <f t="shared" si="11"/>
        <v>104.09</v>
      </c>
      <c r="BR8" s="4">
        <f t="shared" si="12"/>
        <v>140.00199999999998</v>
      </c>
      <c r="BS8" s="4">
        <f t="shared" si="13"/>
        <v>137.935</v>
      </c>
    </row>
    <row r="9" spans="1:80" x14ac:dyDescent="0.3">
      <c r="A9" t="s">
        <v>25</v>
      </c>
      <c r="B9" s="4"/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2.7170000000000001</v>
      </c>
      <c r="Z9" s="4">
        <f>3.777-SUM(W9:Y9)</f>
        <v>1.06</v>
      </c>
      <c r="AA9" s="4">
        <v>7.2469999999999999</v>
      </c>
      <c r="AB9" s="4">
        <v>3.609</v>
      </c>
      <c r="AC9" s="4">
        <v>4.0709999999999997</v>
      </c>
      <c r="AD9" s="4">
        <f>16.917-SUM(AA9:AC9)</f>
        <v>1.990000000000002</v>
      </c>
      <c r="AE9" s="4">
        <v>0</v>
      </c>
      <c r="AF9" s="4">
        <v>0</v>
      </c>
      <c r="AG9" s="4">
        <v>2.5880000000000001</v>
      </c>
      <c r="AH9" s="4">
        <f>4.129-SUM(AE9:AG9)</f>
        <v>1.5409999999999995</v>
      </c>
      <c r="AI9" s="4">
        <v>0.36799999999999999</v>
      </c>
      <c r="AJ9" s="4">
        <v>0.63100000000000001</v>
      </c>
      <c r="AK9" s="4">
        <v>0.46899999999999997</v>
      </c>
      <c r="AL9" s="4">
        <f>2.599-SUM(AI9:AK9)</f>
        <v>1.1310000000000002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0.59399999999999997</v>
      </c>
      <c r="AX9" s="4">
        <v>1.79</v>
      </c>
      <c r="AY9" s="4">
        <v>0.69299999999999995</v>
      </c>
      <c r="AZ9" s="4">
        <v>0.17699999999999999</v>
      </c>
      <c r="BA9" s="4">
        <v>0</v>
      </c>
      <c r="BB9" s="4">
        <v>14.814</v>
      </c>
      <c r="BC9" s="4">
        <v>1.907</v>
      </c>
      <c r="BD9" s="4">
        <v>1.171</v>
      </c>
      <c r="BE9" s="4"/>
      <c r="BF9" s="4"/>
      <c r="BG9" s="4">
        <f t="shared" si="1"/>
        <v>0</v>
      </c>
      <c r="BH9" s="4">
        <f t="shared" si="2"/>
        <v>0</v>
      </c>
      <c r="BI9" s="4">
        <f t="shared" si="3"/>
        <v>0</v>
      </c>
      <c r="BJ9" s="4">
        <f t="shared" si="4"/>
        <v>0</v>
      </c>
      <c r="BK9" s="4">
        <f t="shared" si="5"/>
        <v>0</v>
      </c>
      <c r="BL9" s="4">
        <f t="shared" si="6"/>
        <v>3.7770000000000001</v>
      </c>
      <c r="BM9" s="4">
        <f t="shared" si="7"/>
        <v>16.917000000000002</v>
      </c>
      <c r="BN9" s="4">
        <f t="shared" si="8"/>
        <v>4.1289999999999996</v>
      </c>
      <c r="BO9" s="4">
        <f t="shared" si="9"/>
        <v>2.5990000000000002</v>
      </c>
      <c r="BP9" s="4">
        <f t="shared" si="10"/>
        <v>0</v>
      </c>
      <c r="BQ9" s="4">
        <f t="shared" si="11"/>
        <v>0</v>
      </c>
      <c r="BR9" s="4">
        <f t="shared" si="12"/>
        <v>2.3839999999999999</v>
      </c>
      <c r="BS9" s="4">
        <f t="shared" si="13"/>
        <v>15.683999999999999</v>
      </c>
    </row>
    <row r="10" spans="1:80" x14ac:dyDescent="0.3">
      <c r="A10" t="s">
        <v>26</v>
      </c>
      <c r="B10" s="4"/>
      <c r="C10" s="4">
        <f>C5-C6-C7-C8-C9</f>
        <v>-8.9570000000000007</v>
      </c>
      <c r="D10" s="4">
        <f t="shared" ref="D10:K10" si="17">D5-D6-D7-D8-D9</f>
        <v>-9.49</v>
      </c>
      <c r="E10" s="4">
        <f t="shared" si="17"/>
        <v>-6.4350000000000005</v>
      </c>
      <c r="F10" s="4">
        <f t="shared" si="17"/>
        <v>-3.8300000000000036</v>
      </c>
      <c r="G10" s="4">
        <f t="shared" si="17"/>
        <v>-9.2799999999999976</v>
      </c>
      <c r="H10" s="4">
        <f t="shared" si="17"/>
        <v>-7.5049999999999937</v>
      </c>
      <c r="I10" s="4">
        <f t="shared" si="17"/>
        <v>-8.1969999999999938</v>
      </c>
      <c r="J10" s="4">
        <f t="shared" si="17"/>
        <v>-6.1790000000000163</v>
      </c>
      <c r="K10" s="4">
        <f t="shared" si="17"/>
        <v>-9.7109999999999985</v>
      </c>
      <c r="L10" s="4">
        <f>L5-L6-L7-L8-L9</f>
        <v>-5.4910000000000014</v>
      </c>
      <c r="M10" s="4">
        <f>M5-M6-M7-M8-M9</f>
        <v>-5.344999999999998</v>
      </c>
      <c r="N10" s="4">
        <f t="shared" ref="N10:S10" si="18">N5-N6-N7-N8-N9</f>
        <v>-1.61099999999999</v>
      </c>
      <c r="O10" s="4">
        <f t="shared" si="18"/>
        <v>-5.7849999999999984</v>
      </c>
      <c r="P10" s="4">
        <f t="shared" si="18"/>
        <v>-2.4879999999999924</v>
      </c>
      <c r="Q10" s="4">
        <f t="shared" si="18"/>
        <v>1.8929999999999989</v>
      </c>
      <c r="R10" s="4">
        <f t="shared" si="18"/>
        <v>1.950999999999997</v>
      </c>
      <c r="S10" s="4">
        <f t="shared" si="18"/>
        <v>-5.5479999999999912</v>
      </c>
      <c r="T10" s="4">
        <f>T5-T6-T7-T8-T9</f>
        <v>-0.36899999999999977</v>
      </c>
      <c r="U10" s="4">
        <f>U5-U6-U7-U8-U9</f>
        <v>1.7789999999999964</v>
      </c>
      <c r="V10" s="4">
        <f t="shared" ref="V10:AA10" si="19">V5-V6-V7-V8-V9</f>
        <v>-15.170999999999985</v>
      </c>
      <c r="W10" s="4">
        <f t="shared" si="19"/>
        <v>-19.088000000000001</v>
      </c>
      <c r="X10" s="4">
        <f t="shared" si="19"/>
        <v>-15.788000000000004</v>
      </c>
      <c r="Y10" s="4">
        <f t="shared" si="19"/>
        <v>-17.731000000000009</v>
      </c>
      <c r="Z10" s="4">
        <f t="shared" si="19"/>
        <v>-10.093000000000002</v>
      </c>
      <c r="AA10" s="4">
        <f t="shared" si="19"/>
        <v>-22.095000000000006</v>
      </c>
      <c r="AB10" s="4">
        <f t="shared" ref="AB10:AL10" si="20">AB5-AB6-AB7-AB8-AB9</f>
        <v>-9.2440000000000033</v>
      </c>
      <c r="AC10" s="4">
        <f t="shared" si="20"/>
        <v>-5.9010000000000016</v>
      </c>
      <c r="AD10" s="4">
        <f t="shared" si="20"/>
        <v>-2.1379999999999661</v>
      </c>
      <c r="AE10" s="4">
        <f t="shared" si="20"/>
        <v>-2.4750000000000032</v>
      </c>
      <c r="AF10" s="4">
        <f t="shared" si="20"/>
        <v>-0.55799999999999983</v>
      </c>
      <c r="AG10" s="4">
        <f t="shared" si="20"/>
        <v>-0.37400000000000322</v>
      </c>
      <c r="AH10" s="4">
        <f t="shared" si="20"/>
        <v>5.0029999999999868</v>
      </c>
      <c r="AI10" s="4">
        <f t="shared" si="20"/>
        <v>7.1339999999999968</v>
      </c>
      <c r="AJ10" s="4">
        <f t="shared" si="20"/>
        <v>17.446999999999989</v>
      </c>
      <c r="AK10" s="4">
        <f t="shared" si="20"/>
        <v>33.705999999999982</v>
      </c>
      <c r="AL10" s="4">
        <f t="shared" si="20"/>
        <v>44.441999999999965</v>
      </c>
      <c r="AM10" s="4">
        <f t="shared" ref="AM10:AZ10" si="21">AM5-SUM(AM6:AM9)</f>
        <v>44.711999999999982</v>
      </c>
      <c r="AN10" s="4">
        <f t="shared" si="21"/>
        <v>10.853999999999999</v>
      </c>
      <c r="AO10" s="4">
        <f t="shared" si="21"/>
        <v>51.758999999999979</v>
      </c>
      <c r="AP10" s="4">
        <f t="shared" si="21"/>
        <v>79.11399999999999</v>
      </c>
      <c r="AQ10" s="4">
        <f t="shared" si="21"/>
        <v>61.38600000000001</v>
      </c>
      <c r="AR10" s="4">
        <f t="shared" si="21"/>
        <v>59.40000000000002</v>
      </c>
      <c r="AS10" s="4">
        <f t="shared" si="21"/>
        <v>37.351000000000013</v>
      </c>
      <c r="AT10" s="4">
        <f t="shared" si="21"/>
        <v>57.694999999999993</v>
      </c>
      <c r="AU10" s="4">
        <f t="shared" si="21"/>
        <v>61.823999999999955</v>
      </c>
      <c r="AV10" s="4">
        <f t="shared" si="21"/>
        <v>94.036000000000058</v>
      </c>
      <c r="AW10" s="4">
        <f t="shared" si="21"/>
        <v>135.44099999999995</v>
      </c>
      <c r="AX10" s="4">
        <f t="shared" si="21"/>
        <v>156.96000000000004</v>
      </c>
      <c r="AY10" s="4">
        <f t="shared" si="21"/>
        <v>167.66299999999998</v>
      </c>
      <c r="AZ10" s="4">
        <f t="shared" si="21"/>
        <v>170.32000000000005</v>
      </c>
      <c r="BA10" s="4">
        <f>BA5-SUM(BA6:BA9)</f>
        <v>117.88899999999998</v>
      </c>
      <c r="BB10" s="4">
        <f>BB5-SUM(BB6:BB9)</f>
        <v>-10.230999999999966</v>
      </c>
      <c r="BC10" s="4">
        <f>BC5-SUM(BC6:BC9)</f>
        <v>-29.09899999999999</v>
      </c>
      <c r="BD10" s="4">
        <f>BD5-SUM(BD6:BD9)</f>
        <v>1.799000000000035</v>
      </c>
      <c r="BE10" s="4"/>
      <c r="BF10" s="4"/>
      <c r="BG10" s="4">
        <f t="shared" si="1"/>
        <v>-28.71200000000001</v>
      </c>
      <c r="BH10" s="4">
        <f t="shared" si="2"/>
        <v>-31.161000000000001</v>
      </c>
      <c r="BI10" s="4">
        <f t="shared" si="3"/>
        <v>-22.157999999999987</v>
      </c>
      <c r="BJ10" s="4">
        <f t="shared" si="4"/>
        <v>-4.4289999999999949</v>
      </c>
      <c r="BK10" s="4">
        <f t="shared" si="5"/>
        <v>-19.30899999999998</v>
      </c>
      <c r="BL10" s="4">
        <f t="shared" si="6"/>
        <v>-62.700000000000017</v>
      </c>
      <c r="BM10" s="4">
        <f t="shared" si="7"/>
        <v>-39.377999999999972</v>
      </c>
      <c r="BN10" s="4">
        <f t="shared" si="8"/>
        <v>1.5959999999999805</v>
      </c>
      <c r="BO10" s="4">
        <f t="shared" si="9"/>
        <v>102.72899999999993</v>
      </c>
      <c r="BP10" s="4">
        <f t="shared" si="10"/>
        <v>186.43899999999996</v>
      </c>
      <c r="BQ10" s="4">
        <f t="shared" si="11"/>
        <v>215.83200000000005</v>
      </c>
      <c r="BR10" s="4">
        <f t="shared" si="12"/>
        <v>448.26099999999997</v>
      </c>
      <c r="BS10" s="4">
        <f t="shared" si="13"/>
        <v>445.64100000000008</v>
      </c>
    </row>
    <row r="11" spans="1:80" x14ac:dyDescent="0.3">
      <c r="A11" t="s">
        <v>27</v>
      </c>
      <c r="B11" s="4"/>
      <c r="C11" s="4">
        <f>0.004-0.28-0.056</f>
        <v>-0.33200000000000002</v>
      </c>
      <c r="D11" s="4">
        <f>-0.46-0.338</f>
        <v>-0.79800000000000004</v>
      </c>
      <c r="E11" s="4">
        <f>-0.886+0.145</f>
        <v>-0.74099999999999999</v>
      </c>
      <c r="F11" s="4">
        <f>-3.578-(C11+D11+E11)</f>
        <v>-1.7069999999999999</v>
      </c>
      <c r="G11" s="4">
        <f>-1.479+0.64</f>
        <v>-0.83900000000000008</v>
      </c>
      <c r="H11" s="4">
        <f>0.014-3.405-0.338</f>
        <v>-3.7290000000000001</v>
      </c>
      <c r="I11" s="4">
        <f>0.003-0.527-0.056</f>
        <v>-0.58000000000000007</v>
      </c>
      <c r="J11" s="4">
        <f>-6.406-(G11+H11+I11)</f>
        <v>-1.2579999999999991</v>
      </c>
      <c r="K11" s="4">
        <v>-0.51300000000000001</v>
      </c>
      <c r="L11" s="4">
        <f>-0.781</f>
        <v>-0.78100000000000003</v>
      </c>
      <c r="M11" s="4">
        <v>-0.81499999999999995</v>
      </c>
      <c r="N11" s="4">
        <f>-2.892-(K11+L11+M11)</f>
        <v>-0.78299999999999992</v>
      </c>
      <c r="O11" s="4">
        <v>-0.34200000000000003</v>
      </c>
      <c r="P11" s="4">
        <v>-0.42799999999999999</v>
      </c>
      <c r="Q11" s="4">
        <v>-0.95299999999999996</v>
      </c>
      <c r="R11" s="4">
        <f>-2.857-(O11+P11+Q11)</f>
        <v>-1.1340000000000003</v>
      </c>
      <c r="S11" s="4">
        <v>-0.60499999999999998</v>
      </c>
      <c r="T11" s="4">
        <v>-8.0000000000000002E-3</v>
      </c>
      <c r="U11" s="4">
        <v>-0.84399999999999997</v>
      </c>
      <c r="V11" s="4">
        <f>-1.394-(S11+T11+U11)</f>
        <v>6.2999999999999945E-2</v>
      </c>
      <c r="W11" s="4">
        <v>0.52900000000000003</v>
      </c>
      <c r="X11" s="4">
        <v>-0.59099999999999997</v>
      </c>
      <c r="Y11" s="4">
        <f>-0.881</f>
        <v>-0.88100000000000001</v>
      </c>
      <c r="Z11" s="4">
        <f>-3.287-(W11+X11+Y11)</f>
        <v>-2.3439999999999999</v>
      </c>
      <c r="AA11" s="4">
        <v>-1.079</v>
      </c>
      <c r="AB11" s="4">
        <v>-1.992</v>
      </c>
      <c r="AC11" s="4">
        <v>-1.137</v>
      </c>
      <c r="AD11" s="4">
        <f>-5.963-(AA11+AB11+AC11)</f>
        <v>-1.7549999999999999</v>
      </c>
      <c r="AE11" s="4">
        <v>-2.4180000000000001</v>
      </c>
      <c r="AF11" s="4">
        <v>-2.8410000000000002</v>
      </c>
      <c r="AG11" s="4">
        <v>-2.8479999999999999</v>
      </c>
      <c r="AH11" s="4">
        <f>-11.825-(AE11+AF11+AG11)</f>
        <v>-3.718</v>
      </c>
      <c r="AI11" s="4">
        <v>-4.0209999999999999</v>
      </c>
      <c r="AJ11" s="4">
        <v>-6.2380000000000004</v>
      </c>
      <c r="AK11" s="4">
        <v>-2.335</v>
      </c>
      <c r="AL11" s="4">
        <f>-12.615-(AI11+AJ11+AK11)</f>
        <v>-2.0999999999999019E-2</v>
      </c>
      <c r="AM11" s="4">
        <v>12.356</v>
      </c>
      <c r="AN11" s="4">
        <v>-64.709000000000003</v>
      </c>
      <c r="AO11" s="4">
        <f>0.11-5.993-1.031</f>
        <v>-6.9139999999999997</v>
      </c>
      <c r="AP11" s="4">
        <f>0.673-5.901-2.534</f>
        <v>-7.7619999999999996</v>
      </c>
      <c r="AQ11" s="4">
        <f>0.073-7.329+0.573-56.369</f>
        <v>-63.052</v>
      </c>
      <c r="AR11" s="4">
        <f>0.098-12.506-0.633-0.013</f>
        <v>-13.054</v>
      </c>
      <c r="AS11" s="4">
        <f>0.11-12.628+0.874</f>
        <v>-11.644</v>
      </c>
      <c r="AT11" s="4">
        <f>0.414-12.689+5.236-0.115</f>
        <v>-7.1540000000000008</v>
      </c>
      <c r="AU11" s="4">
        <f>0.46-2.736-2.141</f>
        <v>-4.4169999999999998</v>
      </c>
      <c r="AV11" s="4">
        <f>0.796-2.168-0.456</f>
        <v>-1.8280000000000001</v>
      </c>
      <c r="AW11" s="4">
        <f>3.68-2.255-2.611</f>
        <v>-1.1859999999999999</v>
      </c>
      <c r="AX11" s="4">
        <f>8.72-2.279+4.777</f>
        <v>11.218</v>
      </c>
      <c r="AY11" s="4">
        <f>13.04-2.156+0.426</f>
        <v>11.309999999999999</v>
      </c>
      <c r="AZ11" s="4">
        <f>16.526-2.219-0.033</f>
        <v>14.274000000000001</v>
      </c>
      <c r="BA11" s="4">
        <v>19.356000000000002</v>
      </c>
      <c r="BB11" s="4">
        <v>22.457999999999998</v>
      </c>
      <c r="BC11" s="4">
        <v>17.600000000000001</v>
      </c>
      <c r="BD11" s="4">
        <v>9.4169999999999998</v>
      </c>
      <c r="BE11" s="4"/>
      <c r="BF11" s="4"/>
      <c r="BG11" s="4">
        <f t="shared" si="1"/>
        <v>-3.5779999999999998</v>
      </c>
      <c r="BH11" s="4">
        <f t="shared" si="2"/>
        <v>-6.4059999999999997</v>
      </c>
      <c r="BI11" s="4">
        <f t="shared" si="3"/>
        <v>-2.8919999999999999</v>
      </c>
      <c r="BJ11" s="4">
        <f t="shared" si="4"/>
        <v>-2.8570000000000002</v>
      </c>
      <c r="BK11" s="4">
        <f t="shared" si="5"/>
        <v>-1.3939999999999999</v>
      </c>
      <c r="BL11" s="4">
        <f t="shared" si="6"/>
        <v>-3.2869999999999999</v>
      </c>
      <c r="BM11" s="4">
        <f t="shared" si="7"/>
        <v>-5.9630000000000001</v>
      </c>
      <c r="BN11" s="4">
        <f t="shared" si="8"/>
        <v>-11.824999999999999</v>
      </c>
      <c r="BO11" s="4">
        <f t="shared" si="9"/>
        <v>-12.615</v>
      </c>
      <c r="BP11" s="4">
        <f t="shared" si="10"/>
        <v>-67.028999999999996</v>
      </c>
      <c r="BQ11" s="4">
        <f t="shared" si="11"/>
        <v>-94.903999999999996</v>
      </c>
      <c r="BR11" s="4">
        <f t="shared" si="12"/>
        <v>3.7869999999999999</v>
      </c>
      <c r="BS11" s="4">
        <f t="shared" si="13"/>
        <v>67.397999999999996</v>
      </c>
    </row>
    <row r="12" spans="1:80" x14ac:dyDescent="0.3">
      <c r="A12" t="s">
        <v>28</v>
      </c>
      <c r="B12" s="4"/>
      <c r="C12" s="4">
        <f>C10+C11</f>
        <v>-9.2890000000000015</v>
      </c>
      <c r="D12" s="4">
        <f t="shared" ref="D12:K12" si="22">D10+D11</f>
        <v>-10.288</v>
      </c>
      <c r="E12" s="4">
        <f t="shared" si="22"/>
        <v>-7.1760000000000002</v>
      </c>
      <c r="F12" s="4">
        <f t="shared" si="22"/>
        <v>-5.5370000000000035</v>
      </c>
      <c r="G12" s="4">
        <f t="shared" si="22"/>
        <v>-10.118999999999998</v>
      </c>
      <c r="H12" s="4">
        <f t="shared" si="22"/>
        <v>-11.233999999999995</v>
      </c>
      <c r="I12" s="4">
        <f t="shared" si="22"/>
        <v>-8.7769999999999939</v>
      </c>
      <c r="J12" s="4">
        <f t="shared" si="22"/>
        <v>-7.4370000000000154</v>
      </c>
      <c r="K12" s="4">
        <f t="shared" si="22"/>
        <v>-10.223999999999998</v>
      </c>
      <c r="L12" s="4">
        <f>L10+L11</f>
        <v>-6.2720000000000011</v>
      </c>
      <c r="M12" s="4">
        <f>M10+M11</f>
        <v>-6.1599999999999984</v>
      </c>
      <c r="N12" s="4">
        <f t="shared" ref="N12:S12" si="23">N10+N11</f>
        <v>-2.3939999999999899</v>
      </c>
      <c r="O12" s="4">
        <f t="shared" si="23"/>
        <v>-6.126999999999998</v>
      </c>
      <c r="P12" s="4">
        <f t="shared" si="23"/>
        <v>-2.9159999999999924</v>
      </c>
      <c r="Q12" s="4">
        <f t="shared" si="23"/>
        <v>0.93999999999999895</v>
      </c>
      <c r="R12" s="4">
        <f t="shared" si="23"/>
        <v>0.81699999999999662</v>
      </c>
      <c r="S12" s="4">
        <f t="shared" si="23"/>
        <v>-6.1529999999999916</v>
      </c>
      <c r="T12" s="4">
        <f t="shared" ref="T12:AL12" si="24">T10+T11</f>
        <v>-0.37699999999999978</v>
      </c>
      <c r="U12" s="4">
        <f t="shared" si="24"/>
        <v>0.93499999999999639</v>
      </c>
      <c r="V12" s="4">
        <f t="shared" si="24"/>
        <v>-15.107999999999985</v>
      </c>
      <c r="W12" s="4">
        <f t="shared" si="24"/>
        <v>-18.559000000000001</v>
      </c>
      <c r="X12" s="4">
        <f t="shared" si="24"/>
        <v>-16.379000000000005</v>
      </c>
      <c r="Y12" s="4">
        <f t="shared" si="24"/>
        <v>-18.612000000000009</v>
      </c>
      <c r="Z12" s="4">
        <f t="shared" si="24"/>
        <v>-12.437000000000001</v>
      </c>
      <c r="AA12" s="4">
        <f t="shared" si="24"/>
        <v>-23.174000000000007</v>
      </c>
      <c r="AB12" s="4">
        <f t="shared" si="24"/>
        <v>-11.236000000000004</v>
      </c>
      <c r="AC12" s="4">
        <f t="shared" si="24"/>
        <v>-7.038000000000002</v>
      </c>
      <c r="AD12" s="4">
        <f t="shared" si="24"/>
        <v>-3.892999999999966</v>
      </c>
      <c r="AE12" s="4">
        <f t="shared" si="24"/>
        <v>-4.8930000000000033</v>
      </c>
      <c r="AF12" s="4">
        <f t="shared" si="24"/>
        <v>-3.399</v>
      </c>
      <c r="AG12" s="4">
        <f t="shared" si="24"/>
        <v>-3.2220000000000031</v>
      </c>
      <c r="AH12" s="4">
        <f t="shared" si="24"/>
        <v>1.2849999999999868</v>
      </c>
      <c r="AI12" s="4">
        <f t="shared" si="24"/>
        <v>3.1129999999999969</v>
      </c>
      <c r="AJ12" s="4">
        <f t="shared" si="24"/>
        <v>11.208999999999989</v>
      </c>
      <c r="AK12" s="4">
        <f t="shared" si="24"/>
        <v>31.370999999999981</v>
      </c>
      <c r="AL12" s="4">
        <f t="shared" si="24"/>
        <v>44.420999999999964</v>
      </c>
      <c r="AM12" s="4">
        <f t="shared" ref="AM12:AZ12" si="25">AM10+AM11</f>
        <v>57.067999999999984</v>
      </c>
      <c r="AN12" s="4">
        <f t="shared" si="25"/>
        <v>-53.855000000000004</v>
      </c>
      <c r="AO12" s="4">
        <f t="shared" si="25"/>
        <v>44.844999999999978</v>
      </c>
      <c r="AP12" s="4">
        <f t="shared" si="25"/>
        <v>71.35199999999999</v>
      </c>
      <c r="AQ12" s="4">
        <f t="shared" si="25"/>
        <v>-1.6659999999999897</v>
      </c>
      <c r="AR12" s="4">
        <f t="shared" si="25"/>
        <v>46.346000000000018</v>
      </c>
      <c r="AS12" s="4">
        <f t="shared" si="25"/>
        <v>25.707000000000015</v>
      </c>
      <c r="AT12" s="4">
        <f t="shared" si="25"/>
        <v>50.54099999999999</v>
      </c>
      <c r="AU12" s="4">
        <f t="shared" si="25"/>
        <v>57.406999999999954</v>
      </c>
      <c r="AV12" s="4">
        <f t="shared" si="25"/>
        <v>92.208000000000055</v>
      </c>
      <c r="AW12" s="4">
        <f t="shared" si="25"/>
        <v>134.25499999999994</v>
      </c>
      <c r="AX12" s="4">
        <f t="shared" si="25"/>
        <v>168.17800000000003</v>
      </c>
      <c r="AY12" s="4">
        <f t="shared" si="25"/>
        <v>178.97299999999998</v>
      </c>
      <c r="AZ12" s="4">
        <f t="shared" si="25"/>
        <v>184.59400000000005</v>
      </c>
      <c r="BA12" s="4">
        <f>BA10+BA11</f>
        <v>137.24499999999998</v>
      </c>
      <c r="BB12" s="4">
        <f>BB10+BB11</f>
        <v>12.227000000000032</v>
      </c>
      <c r="BC12" s="4">
        <f>BC10+BC11</f>
        <v>-11.498999999999988</v>
      </c>
      <c r="BD12" s="4">
        <f>BD10+BD11</f>
        <v>11.216000000000035</v>
      </c>
      <c r="BE12" s="4"/>
      <c r="BF12" s="4"/>
      <c r="BG12" s="4">
        <f t="shared" si="1"/>
        <v>-32.290000000000006</v>
      </c>
      <c r="BH12" s="4">
        <f t="shared" si="2"/>
        <v>-37.567000000000007</v>
      </c>
      <c r="BI12" s="4">
        <f t="shared" si="3"/>
        <v>-25.04999999999999</v>
      </c>
      <c r="BJ12" s="4">
        <f t="shared" si="4"/>
        <v>-7.2859999999999943</v>
      </c>
      <c r="BK12" s="4">
        <f t="shared" si="5"/>
        <v>-20.702999999999982</v>
      </c>
      <c r="BL12" s="4">
        <f t="shared" si="6"/>
        <v>-65.987000000000009</v>
      </c>
      <c r="BM12" s="4">
        <f t="shared" si="7"/>
        <v>-45.34099999999998</v>
      </c>
      <c r="BN12" s="4">
        <f t="shared" si="8"/>
        <v>-10.229000000000021</v>
      </c>
      <c r="BO12" s="4">
        <f t="shared" si="9"/>
        <v>90.113999999999933</v>
      </c>
      <c r="BP12" s="4">
        <f t="shared" si="10"/>
        <v>119.40999999999994</v>
      </c>
      <c r="BQ12" s="4">
        <f t="shared" si="11"/>
        <v>120.92800000000003</v>
      </c>
      <c r="BR12" s="4">
        <f t="shared" si="12"/>
        <v>452.048</v>
      </c>
      <c r="BS12" s="4">
        <f t="shared" si="13"/>
        <v>513.03899999999999</v>
      </c>
    </row>
    <row r="13" spans="1:80" x14ac:dyDescent="0.3">
      <c r="A13" t="s">
        <v>29</v>
      </c>
      <c r="B13" s="4"/>
      <c r="C13" s="4">
        <v>0</v>
      </c>
      <c r="D13" s="4">
        <v>0</v>
      </c>
      <c r="E13" s="4">
        <v>0</v>
      </c>
      <c r="F13" s="4">
        <v>0</v>
      </c>
      <c r="G13" s="4">
        <v>-6.5000000000000002E-2</v>
      </c>
      <c r="H13" s="4">
        <v>-0.151</v>
      </c>
      <c r="I13" s="4">
        <v>-0.13</v>
      </c>
      <c r="J13" s="4">
        <f>-0.651-SUM(G13:I13)</f>
        <v>-0.30500000000000005</v>
      </c>
      <c r="K13" s="4">
        <v>-0.182</v>
      </c>
      <c r="L13" s="4">
        <v>-0.124</v>
      </c>
      <c r="M13" s="4">
        <v>-0.14099999999999999</v>
      </c>
      <c r="N13" s="4">
        <f>-0.863-SUM(K13:M13)</f>
        <v>-0.41600000000000004</v>
      </c>
      <c r="O13" s="4">
        <v>-0.109</v>
      </c>
      <c r="P13" s="4">
        <v>-0.115</v>
      </c>
      <c r="Q13" s="4">
        <v>-0.127</v>
      </c>
      <c r="R13" s="4">
        <f>-0.766-SUM(O13:Q13)</f>
        <v>-0.41500000000000004</v>
      </c>
      <c r="S13" s="4">
        <v>-0.16700000000000001</v>
      </c>
      <c r="T13" s="4">
        <v>-0.22600000000000001</v>
      </c>
      <c r="U13" s="4">
        <v>-0.311</v>
      </c>
      <c r="V13" s="4">
        <f>-1.379-SUM(S13:U13)</f>
        <v>-0.67500000000000004</v>
      </c>
      <c r="W13" s="4">
        <v>-0.23599999999999999</v>
      </c>
      <c r="X13" s="4">
        <v>-0.34399999999999997</v>
      </c>
      <c r="Y13" s="4">
        <v>-0.14399999999999999</v>
      </c>
      <c r="Z13" s="4">
        <f>-1.475-SUM(W13:Y13)</f>
        <v>-0.75100000000000011</v>
      </c>
      <c r="AA13" s="4">
        <v>-0.13100000000000001</v>
      </c>
      <c r="AB13" s="4">
        <v>-0.85399999999999998</v>
      </c>
      <c r="AC13" s="10">
        <v>0.184</v>
      </c>
      <c r="AD13" s="4">
        <f>0.149-SUM(AA13:AC13)</f>
        <v>0.95</v>
      </c>
      <c r="AE13" s="4">
        <v>-0.23499999999999999</v>
      </c>
      <c r="AF13" s="4">
        <v>-0.33900000000000002</v>
      </c>
      <c r="AG13" s="4">
        <v>-0.248</v>
      </c>
      <c r="AH13" s="4">
        <f>-1.398-SUM(AE13:AG13)</f>
        <v>-0.57599999999999985</v>
      </c>
      <c r="AI13" s="4">
        <v>-0.34799999999999998</v>
      </c>
      <c r="AJ13" s="4">
        <v>-0.59099999999999997</v>
      </c>
      <c r="AK13" s="4">
        <v>-0.27200000000000002</v>
      </c>
      <c r="AL13" s="4">
        <f>71.034-SUM(AI13:AK13)</f>
        <v>72.245000000000005</v>
      </c>
      <c r="AM13" s="4">
        <v>11.868</v>
      </c>
      <c r="AN13" s="4">
        <v>6.5609999999999999</v>
      </c>
      <c r="AO13" s="4">
        <v>-5.4829999999999997</v>
      </c>
      <c r="AP13" s="4">
        <v>1.639</v>
      </c>
      <c r="AQ13" s="4">
        <v>33.363999999999997</v>
      </c>
      <c r="AR13" s="4">
        <v>-6.9950000000000001</v>
      </c>
      <c r="AS13" s="4">
        <v>-3.8980000000000001</v>
      </c>
      <c r="AT13" s="4">
        <v>2.0499999999999998</v>
      </c>
      <c r="AU13" s="4">
        <v>-5.5860000000000003</v>
      </c>
      <c r="AV13" s="4">
        <v>-15.231999999999999</v>
      </c>
      <c r="AW13" s="4">
        <v>-19.443000000000001</v>
      </c>
      <c r="AX13" s="4">
        <v>-14.425000000000001</v>
      </c>
      <c r="AY13" s="4">
        <v>-32.1</v>
      </c>
      <c r="AZ13" s="4">
        <v>-27.402999999999999</v>
      </c>
      <c r="BA13" s="4">
        <v>-23.391999999999999</v>
      </c>
      <c r="BB13" s="4">
        <v>8.6920000000000002</v>
      </c>
      <c r="BC13" s="4">
        <v>-4.5979999999999999</v>
      </c>
      <c r="BD13" s="4">
        <v>-0.38300000000000001</v>
      </c>
      <c r="BE13" s="4"/>
      <c r="BF13" s="4"/>
      <c r="BG13" s="4">
        <f t="shared" si="1"/>
        <v>0</v>
      </c>
      <c r="BH13" s="4">
        <f t="shared" si="2"/>
        <v>-0.65100000000000002</v>
      </c>
      <c r="BI13" s="4">
        <f t="shared" si="3"/>
        <v>-0.86299999999999999</v>
      </c>
      <c r="BJ13" s="4">
        <f t="shared" si="4"/>
        <v>-0.76600000000000001</v>
      </c>
      <c r="BK13" s="4">
        <f t="shared" si="5"/>
        <v>-1.379</v>
      </c>
      <c r="BL13" s="4">
        <f t="shared" si="6"/>
        <v>-1.4750000000000001</v>
      </c>
      <c r="BM13" s="4">
        <f t="shared" si="7"/>
        <v>0.14900000000000002</v>
      </c>
      <c r="BN13" s="4">
        <f t="shared" si="8"/>
        <v>-1.3979999999999999</v>
      </c>
      <c r="BO13" s="4">
        <f t="shared" si="9"/>
        <v>71.034000000000006</v>
      </c>
      <c r="BP13" s="4">
        <f t="shared" si="10"/>
        <v>14.585000000000001</v>
      </c>
      <c r="BQ13" s="4">
        <f t="shared" si="11"/>
        <v>24.520999999999997</v>
      </c>
      <c r="BR13" s="4">
        <f t="shared" si="12"/>
        <v>-54.685999999999993</v>
      </c>
      <c r="BS13" s="4">
        <f t="shared" si="13"/>
        <v>-74.203000000000003</v>
      </c>
    </row>
    <row r="14" spans="1:80" x14ac:dyDescent="0.3">
      <c r="A14" t="s">
        <v>30</v>
      </c>
      <c r="B14" s="4"/>
      <c r="C14" s="4">
        <f>C12+C13</f>
        <v>-9.2890000000000015</v>
      </c>
      <c r="D14" s="4">
        <f t="shared" ref="D14:BD14" si="26">D12+D13</f>
        <v>-10.288</v>
      </c>
      <c r="E14" s="4">
        <f t="shared" si="26"/>
        <v>-7.1760000000000002</v>
      </c>
      <c r="F14" s="4">
        <f t="shared" si="26"/>
        <v>-5.5370000000000035</v>
      </c>
      <c r="G14" s="4">
        <f t="shared" si="26"/>
        <v>-10.183999999999997</v>
      </c>
      <c r="H14" s="4">
        <f t="shared" si="26"/>
        <v>-11.384999999999994</v>
      </c>
      <c r="I14" s="4">
        <f t="shared" si="26"/>
        <v>-8.9069999999999947</v>
      </c>
      <c r="J14" s="4">
        <f t="shared" si="26"/>
        <v>-7.7420000000000151</v>
      </c>
      <c r="K14" s="4">
        <f t="shared" si="26"/>
        <v>-10.405999999999999</v>
      </c>
      <c r="L14" s="4">
        <f t="shared" si="26"/>
        <v>-6.3960000000000008</v>
      </c>
      <c r="M14" s="4">
        <f t="shared" si="26"/>
        <v>-6.3009999999999984</v>
      </c>
      <c r="N14" s="4">
        <f t="shared" si="26"/>
        <v>-2.8099999999999898</v>
      </c>
      <c r="O14" s="4">
        <f t="shared" si="26"/>
        <v>-6.235999999999998</v>
      </c>
      <c r="P14" s="4">
        <f t="shared" si="26"/>
        <v>-3.0309999999999926</v>
      </c>
      <c r="Q14" s="4">
        <f t="shared" si="26"/>
        <v>0.81299999999999895</v>
      </c>
      <c r="R14" s="4">
        <f t="shared" si="26"/>
        <v>0.40199999999999658</v>
      </c>
      <c r="S14" s="4">
        <f t="shared" si="26"/>
        <v>-6.3199999999999914</v>
      </c>
      <c r="T14" s="4">
        <f t="shared" si="26"/>
        <v>-0.60299999999999976</v>
      </c>
      <c r="U14" s="4">
        <f t="shared" si="26"/>
        <v>0.62399999999999634</v>
      </c>
      <c r="V14" s="4">
        <f t="shared" si="26"/>
        <v>-15.782999999999985</v>
      </c>
      <c r="W14" s="4">
        <f t="shared" si="26"/>
        <v>-18.795000000000002</v>
      </c>
      <c r="X14" s="4">
        <f t="shared" si="26"/>
        <v>-16.723000000000006</v>
      </c>
      <c r="Y14" s="4">
        <f t="shared" si="26"/>
        <v>-18.756000000000007</v>
      </c>
      <c r="Z14" s="4">
        <f t="shared" si="26"/>
        <v>-13.188000000000001</v>
      </c>
      <c r="AA14" s="4">
        <f t="shared" si="26"/>
        <v>-23.305000000000007</v>
      </c>
      <c r="AB14" s="4">
        <f t="shared" si="26"/>
        <v>-12.090000000000003</v>
      </c>
      <c r="AC14" s="4">
        <f t="shared" si="26"/>
        <v>-6.8540000000000019</v>
      </c>
      <c r="AD14" s="4">
        <f t="shared" si="26"/>
        <v>-2.9429999999999659</v>
      </c>
      <c r="AE14" s="4">
        <f t="shared" si="26"/>
        <v>-5.1280000000000037</v>
      </c>
      <c r="AF14" s="4">
        <f t="shared" si="26"/>
        <v>-3.738</v>
      </c>
      <c r="AG14" s="4">
        <f t="shared" si="26"/>
        <v>-3.4700000000000033</v>
      </c>
      <c r="AH14" s="4">
        <f t="shared" si="26"/>
        <v>0.70899999999998697</v>
      </c>
      <c r="AI14" s="4">
        <f t="shared" si="26"/>
        <v>2.764999999999997</v>
      </c>
      <c r="AJ14" s="4">
        <f t="shared" si="26"/>
        <v>10.61799999999999</v>
      </c>
      <c r="AK14" s="4">
        <f t="shared" si="26"/>
        <v>31.098999999999982</v>
      </c>
      <c r="AL14" s="4">
        <f t="shared" si="26"/>
        <v>116.66599999999997</v>
      </c>
      <c r="AM14" s="4">
        <f t="shared" si="26"/>
        <v>68.935999999999979</v>
      </c>
      <c r="AN14" s="4">
        <f t="shared" si="26"/>
        <v>-47.294000000000004</v>
      </c>
      <c r="AO14" s="4">
        <f t="shared" si="26"/>
        <v>39.361999999999981</v>
      </c>
      <c r="AP14" s="4">
        <f t="shared" si="26"/>
        <v>72.990999999999985</v>
      </c>
      <c r="AQ14" s="4">
        <f t="shared" si="26"/>
        <v>31.698000000000008</v>
      </c>
      <c r="AR14" s="4">
        <f t="shared" si="26"/>
        <v>39.35100000000002</v>
      </c>
      <c r="AS14" s="4">
        <f t="shared" si="26"/>
        <v>21.809000000000015</v>
      </c>
      <c r="AT14" s="4">
        <f t="shared" si="26"/>
        <v>52.590999999999987</v>
      </c>
      <c r="AU14" s="4">
        <f t="shared" si="26"/>
        <v>51.820999999999955</v>
      </c>
      <c r="AV14" s="4">
        <f t="shared" si="26"/>
        <v>76.976000000000056</v>
      </c>
      <c r="AW14" s="4">
        <f t="shared" si="26"/>
        <v>114.81199999999994</v>
      </c>
      <c r="AX14" s="4">
        <f t="shared" si="26"/>
        <v>153.75300000000001</v>
      </c>
      <c r="AY14" s="4">
        <f t="shared" si="26"/>
        <v>146.87299999999999</v>
      </c>
      <c r="AZ14" s="4">
        <f t="shared" si="26"/>
        <v>157.19100000000006</v>
      </c>
      <c r="BA14" s="4">
        <f t="shared" si="26"/>
        <v>113.85299999999998</v>
      </c>
      <c r="BB14" s="4">
        <f t="shared" si="26"/>
        <v>20.919000000000032</v>
      </c>
      <c r="BC14" s="4">
        <f t="shared" si="26"/>
        <v>-16.096999999999987</v>
      </c>
      <c r="BD14" s="4">
        <f t="shared" si="26"/>
        <v>10.833000000000034</v>
      </c>
      <c r="BE14" s="4"/>
      <c r="BF14" s="4"/>
      <c r="BG14" s="4">
        <f t="shared" si="1"/>
        <v>-32.290000000000006</v>
      </c>
      <c r="BH14" s="4">
        <f t="shared" si="2"/>
        <v>-38.218000000000004</v>
      </c>
      <c r="BI14" s="4">
        <f t="shared" si="3"/>
        <v>-25.91299999999999</v>
      </c>
      <c r="BJ14" s="4">
        <f t="shared" si="4"/>
        <v>-8.051999999999996</v>
      </c>
      <c r="BK14" s="4">
        <f t="shared" si="5"/>
        <v>-22.081999999999979</v>
      </c>
      <c r="BL14" s="4">
        <f t="shared" si="6"/>
        <v>-67.462000000000018</v>
      </c>
      <c r="BM14" s="4">
        <f t="shared" si="7"/>
        <v>-45.191999999999979</v>
      </c>
      <c r="BN14" s="4">
        <f t="shared" si="8"/>
        <v>-11.627000000000018</v>
      </c>
      <c r="BO14" s="4">
        <f t="shared" si="9"/>
        <v>161.14799999999994</v>
      </c>
      <c r="BP14" s="4">
        <f t="shared" si="10"/>
        <v>133.99499999999995</v>
      </c>
      <c r="BQ14" s="4">
        <f t="shared" si="11"/>
        <v>145.44900000000004</v>
      </c>
      <c r="BR14" s="4">
        <f t="shared" si="12"/>
        <v>397.36199999999997</v>
      </c>
      <c r="BS14" s="4">
        <f t="shared" si="13"/>
        <v>438.83600000000007</v>
      </c>
    </row>
    <row r="15" spans="1:80" x14ac:dyDescent="0.3">
      <c r="A15" t="s">
        <v>0</v>
      </c>
      <c r="AC15" s="9"/>
      <c r="AM15" s="4">
        <v>138.10400000000001</v>
      </c>
      <c r="AN15" s="4">
        <v>125.60299999999999</v>
      </c>
      <c r="AO15" s="4">
        <v>141.82</v>
      </c>
      <c r="AP15" s="4">
        <v>145.99</v>
      </c>
      <c r="AQ15" s="4">
        <v>146.44200000000001</v>
      </c>
      <c r="AR15" s="4">
        <v>141.53299999999999</v>
      </c>
      <c r="AS15" s="4">
        <v>141.22</v>
      </c>
      <c r="AT15" s="4">
        <v>141.47999999999999</v>
      </c>
      <c r="AU15" s="4">
        <v>144.61699999999999</v>
      </c>
      <c r="AV15" s="4">
        <v>143.72499999999999</v>
      </c>
      <c r="AW15" s="4">
        <v>145.96199999999999</v>
      </c>
      <c r="AX15" s="4">
        <v>146.31100000000001</v>
      </c>
      <c r="AY15" s="4">
        <v>145.98599999999999</v>
      </c>
      <c r="AZ15" s="4">
        <v>145.09800000000001</v>
      </c>
      <c r="BA15" s="4">
        <v>143.863</v>
      </c>
      <c r="BB15" s="4">
        <v>139.20500000000001</v>
      </c>
      <c r="BC15" s="4">
        <v>135.89099999999999</v>
      </c>
      <c r="BD15" s="4">
        <v>135.89099999999999</v>
      </c>
    </row>
    <row r="16" spans="1:80" x14ac:dyDescent="0.3">
      <c r="A16" t="s">
        <v>31</v>
      </c>
      <c r="AM16" s="6">
        <f t="shared" ref="AM16:AZ16" si="27">AM14/AM15</f>
        <v>0.49916005329317015</v>
      </c>
      <c r="AN16" s="6">
        <f t="shared" si="27"/>
        <v>-0.37653559230273165</v>
      </c>
      <c r="AO16" s="6">
        <f t="shared" si="27"/>
        <v>0.27754900578197705</v>
      </c>
      <c r="AP16" s="6">
        <f t="shared" si="27"/>
        <v>0.49997260086307266</v>
      </c>
      <c r="AQ16" s="6">
        <f t="shared" si="27"/>
        <v>0.21645429589871762</v>
      </c>
      <c r="AR16" s="6">
        <f t="shared" si="27"/>
        <v>0.27803409805487078</v>
      </c>
      <c r="AS16" s="6">
        <f t="shared" si="27"/>
        <v>0.15443279988670172</v>
      </c>
      <c r="AT16" s="6">
        <f t="shared" si="27"/>
        <v>0.37172038450664396</v>
      </c>
      <c r="AU16" s="6">
        <f t="shared" si="27"/>
        <v>0.35833269947516516</v>
      </c>
      <c r="AV16" s="6">
        <f t="shared" si="27"/>
        <v>0.53557836145416637</v>
      </c>
      <c r="AW16" s="6">
        <f t="shared" si="27"/>
        <v>0.7865882901029031</v>
      </c>
      <c r="AX16" s="6">
        <f t="shared" si="27"/>
        <v>1.0508642549090637</v>
      </c>
      <c r="AY16" s="6">
        <f t="shared" si="27"/>
        <v>1.0060759250887072</v>
      </c>
      <c r="AZ16" s="6">
        <f t="shared" si="27"/>
        <v>1.0833436711739655</v>
      </c>
      <c r="BA16" s="6">
        <f>BA14/BA15</f>
        <v>0.79139876132153497</v>
      </c>
      <c r="BB16" s="6">
        <f>BB14/BB15</f>
        <v>0.15027477461298108</v>
      </c>
      <c r="BC16" s="6">
        <f>BC14/BC15</f>
        <v>-0.11845523250252031</v>
      </c>
      <c r="BD16" s="6">
        <f>BD14/BD15</f>
        <v>7.9718303640417945E-2</v>
      </c>
    </row>
    <row r="17" spans="1:71" x14ac:dyDescent="0.3">
      <c r="AY17"/>
    </row>
    <row r="18" spans="1:71" x14ac:dyDescent="0.3">
      <c r="A18" t="s">
        <v>34</v>
      </c>
      <c r="G18" s="7">
        <f>G3/C3-1</f>
        <v>1.357629088494106</v>
      </c>
      <c r="H18" s="7">
        <f t="shared" ref="H18:BD18" si="28">H3/D3-1</f>
        <v>0.88216409840497456</v>
      </c>
      <c r="I18" s="7">
        <f t="shared" si="28"/>
        <v>0.35961813629046691</v>
      </c>
      <c r="J18" s="7">
        <f t="shared" si="28"/>
        <v>7.5961774074981836E-3</v>
      </c>
      <c r="K18" s="7">
        <f t="shared" si="28"/>
        <v>6.9882629107981042E-2</v>
      </c>
      <c r="L18" s="7">
        <f t="shared" si="28"/>
        <v>4.4347092302996494E-2</v>
      </c>
      <c r="M18" s="7">
        <f t="shared" si="28"/>
        <v>2.0275270090276631E-2</v>
      </c>
      <c r="N18" s="7">
        <f t="shared" si="28"/>
        <v>0.16481378543635405</v>
      </c>
      <c r="O18" s="7">
        <f t="shared" si="28"/>
        <v>0.2633565175417425</v>
      </c>
      <c r="P18" s="7">
        <f t="shared" si="28"/>
        <v>0.40980280915295619</v>
      </c>
      <c r="Q18" s="7">
        <f t="shared" si="28"/>
        <v>0.5974115978467589</v>
      </c>
      <c r="R18" s="7">
        <f t="shared" si="28"/>
        <v>0.56894237652111634</v>
      </c>
      <c r="S18" s="7">
        <f t="shared" si="28"/>
        <v>0.50491490100729441</v>
      </c>
      <c r="T18" s="7">
        <f t="shared" si="28"/>
        <v>0.24497585483634943</v>
      </c>
      <c r="U18" s="7">
        <f t="shared" si="28"/>
        <v>3.7946586219769207E-2</v>
      </c>
      <c r="V18" s="7">
        <f t="shared" si="28"/>
        <v>-0.37619169827102739</v>
      </c>
      <c r="W18" s="7">
        <f t="shared" si="28"/>
        <v>-0.26002561942460167</v>
      </c>
      <c r="X18" s="7">
        <f t="shared" si="28"/>
        <v>-0.22438365020128703</v>
      </c>
      <c r="Y18" s="7">
        <f t="shared" si="28"/>
        <v>-0.13793572720026437</v>
      </c>
      <c r="Z18" s="7">
        <f t="shared" si="28"/>
        <v>0.38050252175105514</v>
      </c>
      <c r="AA18" s="7">
        <f t="shared" si="28"/>
        <v>-0.1461299730197595</v>
      </c>
      <c r="AB18" s="7">
        <f t="shared" si="28"/>
        <v>-5.6551114478752385E-2</v>
      </c>
      <c r="AC18" s="7">
        <f t="shared" si="28"/>
        <v>-0.13132019304496867</v>
      </c>
      <c r="AD18" s="7">
        <f t="shared" si="28"/>
        <v>-0.12064988245162866</v>
      </c>
      <c r="AE18" s="7">
        <f t="shared" si="28"/>
        <v>0.27800405472046164</v>
      </c>
      <c r="AF18" s="7">
        <f t="shared" si="28"/>
        <v>1.5915509925442217E-2</v>
      </c>
      <c r="AG18" s="7">
        <f t="shared" si="28"/>
        <v>1.2513305122147544E-2</v>
      </c>
      <c r="AH18" s="7">
        <f t="shared" si="28"/>
        <v>0.15839086230701604</v>
      </c>
      <c r="AI18" s="7">
        <f t="shared" si="28"/>
        <v>0.43128680043445966</v>
      </c>
      <c r="AJ18" s="7">
        <f t="shared" si="28"/>
        <v>0.76681248023611248</v>
      </c>
      <c r="AK18" s="7">
        <f t="shared" si="28"/>
        <v>1.3083638881054331</v>
      </c>
      <c r="AL18" s="7">
        <f t="shared" si="28"/>
        <v>1.2758075176889987</v>
      </c>
      <c r="AM18" s="7">
        <f t="shared" si="28"/>
        <v>1.0523714428357462</v>
      </c>
      <c r="AN18" s="7">
        <f t="shared" si="28"/>
        <v>-6.3805986845049012E-2</v>
      </c>
      <c r="AO18" s="7">
        <f t="shared" si="28"/>
        <v>-8.6306003099019257E-3</v>
      </c>
      <c r="AP18" s="7">
        <f t="shared" si="28"/>
        <v>0.26094595109316687</v>
      </c>
      <c r="AQ18" s="7">
        <f t="shared" si="28"/>
        <v>0.46806781969884947</v>
      </c>
      <c r="AR18" s="7">
        <f t="shared" si="28"/>
        <v>1.5176201628192261</v>
      </c>
      <c r="AS18" s="7">
        <f t="shared" si="28"/>
        <v>0.96926102082317955</v>
      </c>
      <c r="AT18" s="7">
        <f t="shared" si="28"/>
        <v>0.55837697620063498</v>
      </c>
      <c r="AU18" s="7">
        <f t="shared" si="28"/>
        <v>0.46242303333178669</v>
      </c>
      <c r="AV18" s="7">
        <f t="shared" si="28"/>
        <v>0.67753285008716779</v>
      </c>
      <c r="AW18" s="7">
        <f t="shared" si="28"/>
        <v>0.80562928319664073</v>
      </c>
      <c r="AX18" s="7">
        <f t="shared" si="28"/>
        <v>0.75579995105628783</v>
      </c>
      <c r="AY18" s="7">
        <f t="shared" si="28"/>
        <v>0.64520544220153542</v>
      </c>
      <c r="AZ18" s="7">
        <f t="shared" si="28"/>
        <v>0.34123607118876786</v>
      </c>
      <c r="BA18" s="7">
        <f t="shared" si="28"/>
        <v>-0.13176191444006968</v>
      </c>
      <c r="BB18" s="7">
        <f t="shared" si="28"/>
        <v>-0.58246165055778509</v>
      </c>
      <c r="BC18" s="7">
        <f t="shared" si="28"/>
        <v>-0.63728209846614947</v>
      </c>
      <c r="BD18" s="7">
        <f t="shared" si="28"/>
        <v>-0.57326632148251067</v>
      </c>
      <c r="BH18" s="7">
        <f>BH3/BG3-1</f>
        <v>0.44912822776429051</v>
      </c>
      <c r="BI18" s="7">
        <f t="shared" ref="BI18:BS18" si="29">BI3/BH3-1</f>
        <v>7.4617635385226144E-2</v>
      </c>
      <c r="BJ18" s="7">
        <f t="shared" si="29"/>
        <v>0.47695902012488944</v>
      </c>
      <c r="BK18" s="7">
        <f t="shared" si="29"/>
        <v>3.8804433795477822E-2</v>
      </c>
      <c r="BL18" s="7">
        <f t="shared" si="29"/>
        <v>-9.701356756771895E-2</v>
      </c>
      <c r="BM18" s="7">
        <f t="shared" si="29"/>
        <v>-0.11291387546459764</v>
      </c>
      <c r="BN18" s="7">
        <f t="shared" si="29"/>
        <v>0.10480979571297766</v>
      </c>
      <c r="BO18" s="7">
        <f t="shared" si="29"/>
        <v>0.97474372072280091</v>
      </c>
      <c r="BP18" s="7">
        <f t="shared" si="29"/>
        <v>0.24040375889148891</v>
      </c>
      <c r="BQ18" s="7">
        <f t="shared" si="29"/>
        <v>0.78461310004196672</v>
      </c>
      <c r="BR18" s="7">
        <f t="shared" si="29"/>
        <v>0.68651979777851579</v>
      </c>
      <c r="BS18" s="7">
        <f t="shared" si="29"/>
        <v>-1.7189844232991081E-2</v>
      </c>
    </row>
    <row r="19" spans="1:71" x14ac:dyDescent="0.3">
      <c r="A19" t="s">
        <v>35</v>
      </c>
      <c r="G19" s="7">
        <f>G4/C4-1</f>
        <v>1.1589391090071981</v>
      </c>
      <c r="H19" s="7">
        <f t="shared" ref="H19:AZ19" si="30">H4/D4-1</f>
        <v>0.69844664111357657</v>
      </c>
      <c r="I19" s="7">
        <f t="shared" si="30"/>
        <v>0.22948735663949127</v>
      </c>
      <c r="J19" s="7">
        <f t="shared" si="30"/>
        <v>-5.7894378503506094E-2</v>
      </c>
      <c r="K19" s="7">
        <f t="shared" si="30"/>
        <v>2.4930165500254287E-3</v>
      </c>
      <c r="L19" s="7">
        <f t="shared" si="30"/>
        <v>-5.0598631698972607E-3</v>
      </c>
      <c r="M19" s="7">
        <f t="shared" si="30"/>
        <v>2.7422508934793477E-3</v>
      </c>
      <c r="N19" s="7">
        <f t="shared" si="30"/>
        <v>9.7513971863557591E-2</v>
      </c>
      <c r="O19" s="7">
        <f t="shared" si="30"/>
        <v>0.1662571907957815</v>
      </c>
      <c r="P19" s="7">
        <f t="shared" si="30"/>
        <v>0.31728863739464686</v>
      </c>
      <c r="Q19" s="7">
        <f t="shared" si="30"/>
        <v>0.49272600928022237</v>
      </c>
      <c r="R19" s="7">
        <f t="shared" si="30"/>
        <v>0.54021071115013153</v>
      </c>
      <c r="S19" s="7">
        <f t="shared" si="30"/>
        <v>0.50620423892100197</v>
      </c>
      <c r="T19" s="7">
        <f t="shared" si="30"/>
        <v>0.25183063872979061</v>
      </c>
      <c r="U19" s="7">
        <f t="shared" si="30"/>
        <v>7.2320999519461804E-2</v>
      </c>
      <c r="V19" s="7">
        <f t="shared" si="30"/>
        <v>-0.28847688536738292</v>
      </c>
      <c r="W19" s="7">
        <f t="shared" si="30"/>
        <v>-0.10690954988145795</v>
      </c>
      <c r="X19" s="7">
        <f t="shared" si="30"/>
        <v>-5.8161758318130419E-2</v>
      </c>
      <c r="Y19" s="7">
        <f t="shared" si="30"/>
        <v>1.9563634326686064E-2</v>
      </c>
      <c r="Z19" s="7">
        <f t="shared" si="30"/>
        <v>0.4894750545775004</v>
      </c>
      <c r="AA19" s="7">
        <f t="shared" si="30"/>
        <v>-8.895933996676908E-2</v>
      </c>
      <c r="AB19" s="7">
        <f t="shared" si="30"/>
        <v>-5.9831819090224392E-2</v>
      </c>
      <c r="AC19" s="7">
        <f t="shared" si="30"/>
        <v>-0.16795549756198069</v>
      </c>
      <c r="AD19" s="7">
        <f t="shared" si="30"/>
        <v>-0.1839769793459558</v>
      </c>
      <c r="AE19" s="7">
        <f t="shared" si="30"/>
        <v>8.2887868687503863E-2</v>
      </c>
      <c r="AF19" s="7">
        <f t="shared" si="30"/>
        <v>-0.13018951223899144</v>
      </c>
      <c r="AG19" s="7">
        <f t="shared" si="30"/>
        <v>-0.12940554996120635</v>
      </c>
      <c r="AH19" s="7">
        <f t="shared" si="30"/>
        <v>5.6652275648420014E-2</v>
      </c>
      <c r="AI19" s="7">
        <f t="shared" si="30"/>
        <v>0.29335811216292096</v>
      </c>
      <c r="AJ19" s="7">
        <f t="shared" si="30"/>
        <v>0.66885985524955371</v>
      </c>
      <c r="AK19" s="7">
        <f t="shared" si="30"/>
        <v>1.1872463878038606</v>
      </c>
      <c r="AL19" s="7">
        <f t="shared" si="30"/>
        <v>1.0608664462603707</v>
      </c>
      <c r="AM19" s="7">
        <f t="shared" si="30"/>
        <v>0.86900360719043257</v>
      </c>
      <c r="AN19" s="7">
        <f t="shared" si="30"/>
        <v>-0.13093776401013812</v>
      </c>
      <c r="AO19" s="7">
        <f t="shared" si="30"/>
        <v>-0.27593172144151323</v>
      </c>
      <c r="AP19" s="7">
        <f t="shared" si="30"/>
        <v>8.1346338658050188E-2</v>
      </c>
      <c r="AQ19" s="7">
        <f t="shared" si="30"/>
        <v>0.43192920637462962</v>
      </c>
      <c r="AR19" s="7">
        <f t="shared" si="30"/>
        <v>1.4400979896566475</v>
      </c>
      <c r="AS19" s="7">
        <f t="shared" si="30"/>
        <v>1.5282081367783338</v>
      </c>
      <c r="AT19" s="7">
        <f t="shared" si="30"/>
        <v>0.74529919314770354</v>
      </c>
      <c r="AU19" s="7">
        <f t="shared" si="30"/>
        <v>0.47825284527837586</v>
      </c>
      <c r="AV19" s="7">
        <f t="shared" si="30"/>
        <v>0.65302035526092106</v>
      </c>
      <c r="AW19" s="7">
        <f t="shared" si="30"/>
        <v>0.73704898158277343</v>
      </c>
      <c r="AX19" s="7">
        <f t="shared" si="30"/>
        <v>0.65975421503177567</v>
      </c>
      <c r="AY19" s="7">
        <f t="shared" si="30"/>
        <v>0.51197984253875028</v>
      </c>
      <c r="AZ19" s="7">
        <f t="shared" si="30"/>
        <v>0.24610287572584055</v>
      </c>
    </row>
    <row r="20" spans="1:71" x14ac:dyDescent="0.3">
      <c r="AY20"/>
    </row>
    <row r="21" spans="1:71" x14ac:dyDescent="0.3">
      <c r="A21" t="s">
        <v>33</v>
      </c>
      <c r="D21" s="7">
        <f>D3/C3-1</f>
        <v>0.6377220654159057</v>
      </c>
      <c r="E21" s="7">
        <f t="shared" ref="E21:BD21" si="31">E3/D3-1</f>
        <v>0.51148959178156272</v>
      </c>
      <c r="F21" s="7">
        <f t="shared" si="31"/>
        <v>0.27736540869254123</v>
      </c>
      <c r="G21" s="7">
        <f t="shared" si="31"/>
        <v>-0.25438442958658569</v>
      </c>
      <c r="H21" s="7">
        <f t="shared" si="31"/>
        <v>0.30744131455399071</v>
      </c>
      <c r="I21" s="7">
        <f t="shared" si="31"/>
        <v>9.1854139361186471E-2</v>
      </c>
      <c r="J21" s="7">
        <f t="shared" si="31"/>
        <v>-5.3360301251377473E-2</v>
      </c>
      <c r="K21" s="7">
        <f t="shared" si="31"/>
        <v>-0.20829280155642005</v>
      </c>
      <c r="L21" s="7">
        <f t="shared" si="31"/>
        <v>0.27623582069903696</v>
      </c>
      <c r="M21" s="7">
        <f t="shared" si="31"/>
        <v>6.6687296920934447E-2</v>
      </c>
      <c r="N21" s="7">
        <f t="shared" si="31"/>
        <v>8.0746542887535355E-2</v>
      </c>
      <c r="O21" s="7">
        <f t="shared" si="31"/>
        <v>-0.14131472202338358</v>
      </c>
      <c r="P21" s="7">
        <f t="shared" si="31"/>
        <v>0.42417506078499501</v>
      </c>
      <c r="Q21" s="7">
        <f t="shared" si="31"/>
        <v>0.20863616408955643</v>
      </c>
      <c r="R21" s="7">
        <f t="shared" si="31"/>
        <v>6.148537527872211E-2</v>
      </c>
      <c r="S21" s="7">
        <f t="shared" si="31"/>
        <v>-0.17635708650565063</v>
      </c>
      <c r="T21" s="7">
        <f t="shared" si="31"/>
        <v>0.17818194407579657</v>
      </c>
      <c r="U21" s="7">
        <f t="shared" si="31"/>
        <v>7.6498878473547638E-3</v>
      </c>
      <c r="V21" s="7">
        <f t="shared" si="31"/>
        <v>-0.36204483154149714</v>
      </c>
      <c r="W21" s="7">
        <f t="shared" si="31"/>
        <v>-2.2977647076749985E-2</v>
      </c>
      <c r="X21" s="7">
        <f t="shared" si="31"/>
        <v>0.23493083389217273</v>
      </c>
      <c r="Y21" s="7">
        <f t="shared" si="31"/>
        <v>0.11995958830586595</v>
      </c>
      <c r="Z21" s="7">
        <f t="shared" si="31"/>
        <v>2.1616075052997452E-2</v>
      </c>
      <c r="AA21" s="7">
        <f t="shared" si="31"/>
        <v>-0.39569099678811515</v>
      </c>
      <c r="AB21" s="7">
        <f t="shared" si="31"/>
        <v>0.36448649339738082</v>
      </c>
      <c r="AC21" s="7">
        <f t="shared" si="31"/>
        <v>3.1201895404714408E-2</v>
      </c>
      <c r="AD21" s="7">
        <f t="shared" si="31"/>
        <v>3.4164957553415531E-2</v>
      </c>
      <c r="AE21" s="7">
        <f t="shared" si="31"/>
        <v>-0.12172712438810118</v>
      </c>
      <c r="AF21" s="7">
        <f t="shared" si="31"/>
        <v>8.4662436403132757E-2</v>
      </c>
      <c r="AG21" s="7">
        <f t="shared" si="31"/>
        <v>2.7748497944555695E-2</v>
      </c>
      <c r="AH21" s="7">
        <f t="shared" si="31"/>
        <v>0.18316197020589198</v>
      </c>
      <c r="AI21" s="7">
        <f t="shared" si="31"/>
        <v>8.5178081894917268E-2</v>
      </c>
      <c r="AJ21" s="7">
        <f t="shared" si="31"/>
        <v>0.33893160259610577</v>
      </c>
      <c r="AK21" s="7">
        <f t="shared" si="31"/>
        <v>0.34276701418407973</v>
      </c>
      <c r="AL21" s="7">
        <f t="shared" si="31"/>
        <v>0.16647506067523055</v>
      </c>
      <c r="AM21" s="7">
        <f t="shared" si="31"/>
        <v>-2.1363411289708201E-2</v>
      </c>
      <c r="AN21" s="7">
        <f t="shared" si="31"/>
        <v>-0.38924323140918049</v>
      </c>
      <c r="AO21" s="7">
        <f t="shared" si="31"/>
        <v>0.42190412464751703</v>
      </c>
      <c r="AP21" s="7">
        <f t="shared" si="31"/>
        <v>0.48366694117185727</v>
      </c>
      <c r="AQ21" s="7">
        <f t="shared" si="31"/>
        <v>0.13938657070899696</v>
      </c>
      <c r="AR21" s="7">
        <f t="shared" si="31"/>
        <v>4.7399537371501266E-2</v>
      </c>
      <c r="AS21" s="7">
        <f t="shared" si="31"/>
        <v>0.1122012801488339</v>
      </c>
      <c r="AT21" s="7">
        <f t="shared" si="31"/>
        <v>0.1741015421641503</v>
      </c>
      <c r="AU21" s="7">
        <f t="shared" si="31"/>
        <v>6.923112335511572E-2</v>
      </c>
      <c r="AV21" s="7">
        <f t="shared" si="31"/>
        <v>0.20146297689511727</v>
      </c>
      <c r="AW21" s="7">
        <f t="shared" si="31"/>
        <v>0.19712898626168429</v>
      </c>
      <c r="AX21" s="7">
        <f t="shared" si="31"/>
        <v>0.14170026452900775</v>
      </c>
      <c r="AY21" s="7">
        <f t="shared" si="31"/>
        <v>1.8822828060915953E-3</v>
      </c>
      <c r="AZ21" s="7">
        <f t="shared" si="31"/>
        <v>-2.0520208921015359E-2</v>
      </c>
      <c r="BA21" s="7">
        <f t="shared" si="31"/>
        <v>-0.22504844484319064</v>
      </c>
      <c r="BB21" s="7">
        <f t="shared" si="31"/>
        <v>-0.4509528527514961</v>
      </c>
      <c r="BC21" s="7">
        <f t="shared" si="31"/>
        <v>-0.12965925240440224</v>
      </c>
      <c r="BD21" s="7">
        <f t="shared" si="31"/>
        <v>0.15234735455059845</v>
      </c>
    </row>
    <row r="22" spans="1:71" x14ac:dyDescent="0.3">
      <c r="A22" t="s">
        <v>32</v>
      </c>
      <c r="D22" s="7">
        <f>D4/C4-1</f>
        <v>0.60722391543998455</v>
      </c>
      <c r="E22" s="7">
        <f t="shared" ref="E22:BD22" si="32">E4/D4-1</f>
        <v>0.45995561831753085</v>
      </c>
      <c r="F22" s="7">
        <f t="shared" si="32"/>
        <v>0.21771452259223389</v>
      </c>
      <c r="G22" s="7">
        <f t="shared" si="32"/>
        <v>-0.24442275832330962</v>
      </c>
      <c r="H22" s="7">
        <f t="shared" si="32"/>
        <v>0.26440993602258733</v>
      </c>
      <c r="I22" s="7">
        <f t="shared" si="32"/>
        <v>5.6846256176358745E-2</v>
      </c>
      <c r="J22" s="7">
        <f t="shared" si="32"/>
        <v>-6.6915417294162505E-2</v>
      </c>
      <c r="K22" s="7">
        <f t="shared" si="32"/>
        <v>-0.19599152052418589</v>
      </c>
      <c r="L22" s="7">
        <f t="shared" si="32"/>
        <v>0.2548837488015343</v>
      </c>
      <c r="M22" s="7">
        <f t="shared" si="32"/>
        <v>6.5133825179666927E-2</v>
      </c>
      <c r="N22" s="7">
        <f t="shared" si="32"/>
        <v>2.1272780255990886E-2</v>
      </c>
      <c r="O22" s="7">
        <f t="shared" si="32"/>
        <v>-0.14563213345039516</v>
      </c>
      <c r="P22" s="7">
        <f t="shared" si="32"/>
        <v>0.41739242132305709</v>
      </c>
      <c r="Q22" s="7">
        <f t="shared" si="32"/>
        <v>0.20698905241789323</v>
      </c>
      <c r="R22" s="7">
        <f t="shared" si="32"/>
        <v>5.3760211436809202E-2</v>
      </c>
      <c r="S22" s="7">
        <f t="shared" si="32"/>
        <v>-0.16449581029470439</v>
      </c>
      <c r="T22" s="7">
        <f t="shared" si="32"/>
        <v>0.1780177045489435</v>
      </c>
      <c r="U22" s="7">
        <f t="shared" si="32"/>
        <v>3.3909593721947129E-2</v>
      </c>
      <c r="V22" s="7">
        <f t="shared" si="32"/>
        <v>-0.30079262827694375</v>
      </c>
      <c r="W22" s="7">
        <f t="shared" si="32"/>
        <v>4.8709167017164212E-2</v>
      </c>
      <c r="X22" s="7">
        <f t="shared" si="32"/>
        <v>0.24231775558144442</v>
      </c>
      <c r="Y22" s="7">
        <f t="shared" si="32"/>
        <v>0.11923319343879224</v>
      </c>
      <c r="Z22" s="7">
        <f t="shared" si="32"/>
        <v>2.1468305748231886E-2</v>
      </c>
      <c r="AA22" s="7">
        <f t="shared" si="32"/>
        <v>-0.35855475473321874</v>
      </c>
      <c r="AB22" s="7">
        <f t="shared" si="32"/>
        <v>0.28203676917594267</v>
      </c>
      <c r="AC22" s="7">
        <f t="shared" si="32"/>
        <v>-9.4837876285625011E-3</v>
      </c>
      <c r="AD22" s="7">
        <f t="shared" si="32"/>
        <v>1.7993627944596913E-3</v>
      </c>
      <c r="AE22" s="7">
        <f t="shared" si="32"/>
        <v>-0.1487822562040666</v>
      </c>
      <c r="AF22" s="7">
        <f t="shared" si="32"/>
        <v>2.9773312426195853E-2</v>
      </c>
      <c r="AG22" s="7">
        <f t="shared" si="32"/>
        <v>-8.5910329918225115E-3</v>
      </c>
      <c r="AH22" s="7">
        <f t="shared" si="32"/>
        <v>0.2158974553452917</v>
      </c>
      <c r="AI22" s="7">
        <f t="shared" si="32"/>
        <v>4.1903187574075407E-2</v>
      </c>
      <c r="AJ22" s="7">
        <f t="shared" si="32"/>
        <v>0.32874826001706303</v>
      </c>
      <c r="AK22" s="7">
        <f t="shared" si="32"/>
        <v>0.29936355956068694</v>
      </c>
      <c r="AL22" s="7">
        <f t="shared" si="32"/>
        <v>0.14564243049475101</v>
      </c>
      <c r="AM22" s="7">
        <f t="shared" si="32"/>
        <v>-5.5096064350629192E-2</v>
      </c>
      <c r="AN22" s="7">
        <f t="shared" si="32"/>
        <v>-0.38214943541282942</v>
      </c>
      <c r="AO22" s="7">
        <f t="shared" si="32"/>
        <v>8.2578320436546671E-2</v>
      </c>
      <c r="AP22" s="7">
        <f t="shared" si="32"/>
        <v>0.71093843538229451</v>
      </c>
      <c r="AQ22" s="7">
        <f t="shared" si="32"/>
        <v>0.25125086598414281</v>
      </c>
      <c r="AR22" s="7">
        <f t="shared" si="32"/>
        <v>5.2856463745420967E-2</v>
      </c>
      <c r="AS22" s="7">
        <f t="shared" si="32"/>
        <v>0.12166942886282506</v>
      </c>
      <c r="AT22" s="7">
        <f t="shared" si="32"/>
        <v>0.18111298961455957</v>
      </c>
      <c r="AU22" s="7">
        <f t="shared" si="32"/>
        <v>5.97983200016039E-2</v>
      </c>
      <c r="AV22" s="7">
        <f t="shared" si="32"/>
        <v>0.17733117937038179</v>
      </c>
      <c r="AW22" s="7">
        <f t="shared" si="32"/>
        <v>0.17868768698323545</v>
      </c>
      <c r="AX22" s="7">
        <f t="shared" si="32"/>
        <v>0.1285561223237921</v>
      </c>
      <c r="AY22" s="7">
        <f t="shared" si="32"/>
        <v>-3.4559645948433637E-2</v>
      </c>
      <c r="AZ22" s="7">
        <f t="shared" si="32"/>
        <v>-2.9698857736240813E-2</v>
      </c>
      <c r="BA22" s="7">
        <f t="shared" si="32"/>
        <v>-0.25454643918138309</v>
      </c>
      <c r="BB22" s="7">
        <f t="shared" si="32"/>
        <v>-0.46065472257488704</v>
      </c>
      <c r="BC22" s="7">
        <f t="shared" si="32"/>
        <v>-5.1806193396105371E-2</v>
      </c>
      <c r="BD22" s="7">
        <f t="shared" si="32"/>
        <v>0.12487908490100197</v>
      </c>
    </row>
    <row r="23" spans="1:71" x14ac:dyDescent="0.3">
      <c r="AY23"/>
    </row>
    <row r="24" spans="1:71" x14ac:dyDescent="0.3">
      <c r="A24" t="s">
        <v>37</v>
      </c>
      <c r="C24" s="7">
        <f>C13/C12</f>
        <v>0</v>
      </c>
      <c r="D24" s="7">
        <f t="shared" ref="D24:BD24" si="33">D13/D12</f>
        <v>0</v>
      </c>
      <c r="E24" s="7">
        <f t="shared" si="33"/>
        <v>0</v>
      </c>
      <c r="F24" s="7">
        <f t="shared" si="33"/>
        <v>0</v>
      </c>
      <c r="G24" s="7">
        <f t="shared" si="33"/>
        <v>6.4235596402806615E-3</v>
      </c>
      <c r="H24" s="7">
        <f t="shared" si="33"/>
        <v>1.3441338792949979E-2</v>
      </c>
      <c r="I24" s="7">
        <f t="shared" si="33"/>
        <v>1.4811438988264794E-2</v>
      </c>
      <c r="J24" s="7">
        <f t="shared" si="33"/>
        <v>4.101116041414541E-2</v>
      </c>
      <c r="K24" s="7">
        <f t="shared" si="33"/>
        <v>1.7801251956181537E-2</v>
      </c>
      <c r="L24" s="7">
        <f t="shared" si="33"/>
        <v>1.9770408163265304E-2</v>
      </c>
      <c r="M24" s="7">
        <f t="shared" si="33"/>
        <v>2.2889610389610394E-2</v>
      </c>
      <c r="N24" s="7">
        <f t="shared" si="33"/>
        <v>0.17376775271512188</v>
      </c>
      <c r="O24" s="7">
        <f t="shared" si="33"/>
        <v>1.7790109352048316E-2</v>
      </c>
      <c r="P24" s="7">
        <f t="shared" si="33"/>
        <v>3.9437585733882133E-2</v>
      </c>
      <c r="Q24" s="7">
        <f t="shared" si="33"/>
        <v>-0.13510638297872354</v>
      </c>
      <c r="R24" s="7">
        <f t="shared" si="33"/>
        <v>-0.50795593635251135</v>
      </c>
      <c r="S24" s="7">
        <f t="shared" si="33"/>
        <v>2.7141231919388956E-2</v>
      </c>
      <c r="T24" s="7">
        <f t="shared" si="33"/>
        <v>0.59946949602122057</v>
      </c>
      <c r="U24" s="7">
        <f t="shared" si="33"/>
        <v>-0.33262032085561627</v>
      </c>
      <c r="V24" s="7">
        <f t="shared" si="33"/>
        <v>4.4678316123907914E-2</v>
      </c>
      <c r="W24" s="7">
        <f t="shared" si="33"/>
        <v>1.2716202381593834E-2</v>
      </c>
      <c r="X24" s="7">
        <f t="shared" si="33"/>
        <v>2.1002503205323882E-2</v>
      </c>
      <c r="Y24" s="7">
        <f t="shared" si="33"/>
        <v>7.7369439071566688E-3</v>
      </c>
      <c r="Z24" s="7">
        <f t="shared" si="33"/>
        <v>6.0384337058776237E-2</v>
      </c>
      <c r="AA24" s="7">
        <f t="shared" si="33"/>
        <v>5.6528868559592637E-3</v>
      </c>
      <c r="AB24" s="7">
        <f t="shared" si="33"/>
        <v>7.6005695977216056E-2</v>
      </c>
      <c r="AC24" s="7">
        <f t="shared" si="33"/>
        <v>-2.6143790849673193E-2</v>
      </c>
      <c r="AD24" s="7">
        <f t="shared" si="33"/>
        <v>-0.24402774210120942</v>
      </c>
      <c r="AE24" s="7">
        <f t="shared" si="33"/>
        <v>4.8027794808910652E-2</v>
      </c>
      <c r="AF24" s="7">
        <f t="shared" si="33"/>
        <v>9.9735216240070618E-2</v>
      </c>
      <c r="AG24" s="7">
        <f t="shared" si="33"/>
        <v>7.6970825574177462E-2</v>
      </c>
      <c r="AH24" s="7">
        <f t="shared" si="33"/>
        <v>-0.44824902723735854</v>
      </c>
      <c r="AI24" s="7">
        <f t="shared" si="33"/>
        <v>-0.11178927079987161</v>
      </c>
      <c r="AJ24" s="7">
        <f t="shared" si="33"/>
        <v>-5.2725488446783882E-2</v>
      </c>
      <c r="AK24" s="7">
        <f t="shared" si="33"/>
        <v>-8.6704281023875611E-3</v>
      </c>
      <c r="AL24" s="7">
        <f t="shared" si="33"/>
        <v>1.6263704103914829</v>
      </c>
      <c r="AM24" s="7">
        <f t="shared" si="33"/>
        <v>0.20796243078432752</v>
      </c>
      <c r="AN24" s="7">
        <f t="shared" si="33"/>
        <v>-0.12182712840033422</v>
      </c>
      <c r="AO24" s="7">
        <f t="shared" si="33"/>
        <v>-0.1222655814472071</v>
      </c>
      <c r="AP24" s="7">
        <f t="shared" si="33"/>
        <v>2.2970624509474159E-2</v>
      </c>
      <c r="AQ24" s="7">
        <f t="shared" si="33"/>
        <v>-20.026410564225813</v>
      </c>
      <c r="AR24" s="7">
        <f t="shared" si="33"/>
        <v>-0.15092996159323344</v>
      </c>
      <c r="AS24" s="7">
        <f t="shared" si="33"/>
        <v>-0.15163185124674206</v>
      </c>
      <c r="AT24" s="7">
        <f t="shared" si="33"/>
        <v>4.0561128588670586E-2</v>
      </c>
      <c r="AU24" s="7">
        <f t="shared" si="33"/>
        <v>-9.7305206682112025E-2</v>
      </c>
      <c r="AV24" s="7">
        <f t="shared" si="33"/>
        <v>-0.16519174041297924</v>
      </c>
      <c r="AW24" s="7">
        <f t="shared" si="33"/>
        <v>-0.14482142192097136</v>
      </c>
      <c r="AX24" s="7">
        <f t="shared" si="33"/>
        <v>-8.5772217531425027E-2</v>
      </c>
      <c r="AY24" s="7">
        <f t="shared" si="33"/>
        <v>-0.17935666273683742</v>
      </c>
      <c r="AZ24" s="7">
        <f t="shared" si="33"/>
        <v>-0.14845011213798928</v>
      </c>
      <c r="BA24" s="7">
        <f t="shared" si="33"/>
        <v>-0.17043972458013046</v>
      </c>
      <c r="BB24" s="7">
        <f t="shared" si="33"/>
        <v>0.71088574466344789</v>
      </c>
      <c r="BC24" s="7">
        <f t="shared" si="33"/>
        <v>0.39986085746586703</v>
      </c>
      <c r="BD24" s="7">
        <f t="shared" si="33"/>
        <v>-3.4147646219686058E-2</v>
      </c>
      <c r="BG24" s="7">
        <f>BG13/BG12</f>
        <v>0</v>
      </c>
      <c r="BH24" s="7">
        <f t="shared" ref="BH24:BS24" si="34">BH13/BH12</f>
        <v>1.7329038784039182E-2</v>
      </c>
      <c r="BI24" s="7">
        <f t="shared" si="34"/>
        <v>3.4451097804391234E-2</v>
      </c>
      <c r="BJ24" s="7">
        <f t="shared" si="34"/>
        <v>0.10513313203403797</v>
      </c>
      <c r="BK24" s="7">
        <f t="shared" si="34"/>
        <v>6.6608704052552828E-2</v>
      </c>
      <c r="BL24" s="7">
        <f t="shared" si="34"/>
        <v>2.2352887689999542E-2</v>
      </c>
      <c r="BM24" s="7">
        <f t="shared" si="34"/>
        <v>-3.2862089499569947E-3</v>
      </c>
      <c r="BN24" s="7">
        <f t="shared" si="34"/>
        <v>0.13667025124645588</v>
      </c>
      <c r="BO24" s="7">
        <f t="shared" si="34"/>
        <v>0.78826819362141354</v>
      </c>
      <c r="BP24" s="7">
        <f t="shared" si="34"/>
        <v>0.12214219914580025</v>
      </c>
      <c r="BQ24" s="7">
        <f t="shared" si="34"/>
        <v>0.20277355120402216</v>
      </c>
      <c r="BR24" s="7">
        <f t="shared" si="34"/>
        <v>-0.12097387888011892</v>
      </c>
      <c r="BS24" s="7">
        <f t="shared" si="34"/>
        <v>-0.14463422858691055</v>
      </c>
    </row>
    <row r="25" spans="1:71" x14ac:dyDescent="0.3">
      <c r="A25" t="s">
        <v>38</v>
      </c>
      <c r="C25" s="7">
        <f>C5/C3</f>
        <v>0.14654933864630029</v>
      </c>
      <c r="D25" s="7">
        <f t="shared" ref="D25:BD25" si="35">D5/D3</f>
        <v>0.16244255204109215</v>
      </c>
      <c r="E25" s="7">
        <f t="shared" si="35"/>
        <v>0.1909989268467179</v>
      </c>
      <c r="F25" s="7">
        <f t="shared" si="35"/>
        <v>0.22877796058389052</v>
      </c>
      <c r="G25" s="7">
        <f t="shared" si="35"/>
        <v>0.21847417840375591</v>
      </c>
      <c r="H25" s="7">
        <f t="shared" si="35"/>
        <v>0.24419627628058971</v>
      </c>
      <c r="I25" s="7">
        <f t="shared" si="35"/>
        <v>0.26842944765099575</v>
      </c>
      <c r="J25" s="7">
        <f t="shared" si="35"/>
        <v>0.27890494719288472</v>
      </c>
      <c r="K25" s="7">
        <f t="shared" si="35"/>
        <v>0.26770081400706497</v>
      </c>
      <c r="L25" s="7">
        <f t="shared" si="35"/>
        <v>0.27995255041518385</v>
      </c>
      <c r="M25" s="7">
        <f t="shared" si="35"/>
        <v>0.28100119266350776</v>
      </c>
      <c r="N25" s="7">
        <f t="shared" si="35"/>
        <v>0.32056788356000965</v>
      </c>
      <c r="O25" s="7">
        <f t="shared" si="35"/>
        <v>0.32398402222994099</v>
      </c>
      <c r="P25" s="7">
        <f t="shared" si="35"/>
        <v>0.32720355104629051</v>
      </c>
      <c r="Q25" s="7">
        <f t="shared" si="35"/>
        <v>0.32812042819811732</v>
      </c>
      <c r="R25" s="7">
        <f t="shared" si="35"/>
        <v>0.33301016092085128</v>
      </c>
      <c r="S25" s="7">
        <f t="shared" si="35"/>
        <v>0.32340484461011165</v>
      </c>
      <c r="T25" s="7">
        <f t="shared" si="35"/>
        <v>0.32349916252828304</v>
      </c>
      <c r="U25" s="7">
        <f t="shared" si="35"/>
        <v>0.30586931586212257</v>
      </c>
      <c r="V25" s="7">
        <f t="shared" si="35"/>
        <v>0.23922351399533762</v>
      </c>
      <c r="W25" s="7">
        <f t="shared" si="35"/>
        <v>0.18340325322437265</v>
      </c>
      <c r="X25" s="7">
        <f t="shared" si="35"/>
        <v>0.17851865883690088</v>
      </c>
      <c r="Y25" s="7">
        <f t="shared" si="35"/>
        <v>0.17905146362365243</v>
      </c>
      <c r="Z25" s="7">
        <f t="shared" si="35"/>
        <v>0.17917020783435061</v>
      </c>
      <c r="AA25" s="7">
        <f t="shared" si="35"/>
        <v>0.1287282424065313</v>
      </c>
      <c r="AB25" s="7">
        <f t="shared" si="35"/>
        <v>0.18137523926807392</v>
      </c>
      <c r="AC25" s="7">
        <f t="shared" si="35"/>
        <v>0.21367377138554997</v>
      </c>
      <c r="AD25" s="7">
        <f t="shared" si="35"/>
        <v>0.23828291703276056</v>
      </c>
      <c r="AE25" s="7">
        <f t="shared" si="35"/>
        <v>0.26174755616532325</v>
      </c>
      <c r="AF25" s="7">
        <f t="shared" si="35"/>
        <v>0.29910667228839466</v>
      </c>
      <c r="AG25" s="7">
        <f t="shared" si="35"/>
        <v>0.32388913104792183</v>
      </c>
      <c r="AH25" s="7">
        <f t="shared" si="35"/>
        <v>0.30518263281647862</v>
      </c>
      <c r="AI25" s="7">
        <f t="shared" si="35"/>
        <v>0.33289066400399397</v>
      </c>
      <c r="AJ25" s="7">
        <f t="shared" si="35"/>
        <v>0.33796441302369973</v>
      </c>
      <c r="AK25" s="7">
        <f t="shared" si="35"/>
        <v>0.35936397918436935</v>
      </c>
      <c r="AL25" s="7">
        <f t="shared" si="35"/>
        <v>0.37080540108173982</v>
      </c>
      <c r="AM25" s="7">
        <f t="shared" si="35"/>
        <v>0.39249312802549313</v>
      </c>
      <c r="AN25" s="7">
        <f t="shared" si="35"/>
        <v>0.38543707881278977</v>
      </c>
      <c r="AO25" s="7">
        <f t="shared" si="35"/>
        <v>0.53209749976190868</v>
      </c>
      <c r="AP25" s="7">
        <f t="shared" si="35"/>
        <v>0.46042312499292021</v>
      </c>
      <c r="AQ25" s="7">
        <f t="shared" si="35"/>
        <v>0.40744778859600866</v>
      </c>
      <c r="AR25" s="7">
        <f t="shared" si="35"/>
        <v>0.40436060584008582</v>
      </c>
      <c r="AS25" s="7">
        <f t="shared" si="35"/>
        <v>0.39928993880842856</v>
      </c>
      <c r="AT25" s="7">
        <f t="shared" si="35"/>
        <v>0.39570264514112508</v>
      </c>
      <c r="AU25" s="7">
        <f t="shared" si="35"/>
        <v>0.40103378262012446</v>
      </c>
      <c r="AV25" s="7">
        <f t="shared" si="35"/>
        <v>0.41306422530535886</v>
      </c>
      <c r="AW25" s="7">
        <f t="shared" si="35"/>
        <v>0.42210573912933869</v>
      </c>
      <c r="AX25" s="7">
        <f t="shared" si="35"/>
        <v>0.4287589077239834</v>
      </c>
      <c r="AY25" s="7">
        <f t="shared" si="35"/>
        <v>0.44953692480606489</v>
      </c>
      <c r="AZ25" s="7">
        <f t="shared" si="35"/>
        <v>0.45469528263944947</v>
      </c>
      <c r="BA25" s="7">
        <f t="shared" si="35"/>
        <v>0.47545192911399753</v>
      </c>
      <c r="BB25" s="7">
        <f t="shared" si="35"/>
        <v>0.48472089103347987</v>
      </c>
      <c r="BC25" s="7">
        <f t="shared" si="35"/>
        <v>0.4386285358416338</v>
      </c>
      <c r="BD25" s="7">
        <f t="shared" si="35"/>
        <v>0.45200983332125044</v>
      </c>
      <c r="BG25" s="7">
        <f>BG5/BG3</f>
        <v>0.19441156210081389</v>
      </c>
      <c r="BH25" s="7">
        <f t="shared" ref="BH25:BS25" si="36">BH5/BH3</f>
        <v>0.25516203767802914</v>
      </c>
      <c r="BI25" s="7">
        <f t="shared" si="36"/>
        <v>0.28953041924705603</v>
      </c>
      <c r="BJ25" s="7">
        <f t="shared" si="36"/>
        <v>0.32870510374988371</v>
      </c>
      <c r="BK25" s="7">
        <f t="shared" si="36"/>
        <v>0.30291757289733495</v>
      </c>
      <c r="BL25" s="7">
        <f t="shared" si="36"/>
        <v>0.17981902780920728</v>
      </c>
      <c r="BM25" s="7">
        <f t="shared" si="36"/>
        <v>0.19584087557571489</v>
      </c>
      <c r="BN25" s="7">
        <f t="shared" si="36"/>
        <v>0.29872627380526884</v>
      </c>
      <c r="BO25" s="7">
        <f t="shared" si="36"/>
        <v>0.35437018386021557</v>
      </c>
      <c r="BP25" s="7">
        <f t="shared" si="36"/>
        <v>0.44675856280466147</v>
      </c>
      <c r="BQ25" s="7">
        <f t="shared" si="36"/>
        <v>0.40115943790704961</v>
      </c>
      <c r="BR25" s="7">
        <f t="shared" si="36"/>
        <v>0.41812804153672495</v>
      </c>
      <c r="BS25" s="7">
        <f t="shared" si="36"/>
        <v>0.46201958629046969</v>
      </c>
    </row>
    <row r="26" spans="1:71" x14ac:dyDescent="0.3">
      <c r="AY26"/>
    </row>
    <row r="27" spans="1:71" x14ac:dyDescent="0.3">
      <c r="AY27"/>
    </row>
    <row r="28" spans="1:71" x14ac:dyDescent="0.3">
      <c r="AY28"/>
    </row>
    <row r="29" spans="1:71" x14ac:dyDescent="0.3">
      <c r="AY29"/>
    </row>
    <row r="30" spans="1:71" x14ac:dyDescent="0.3">
      <c r="AY30"/>
    </row>
    <row r="31" spans="1:71" x14ac:dyDescent="0.3">
      <c r="AY31"/>
    </row>
    <row r="32" spans="1:71" x14ac:dyDescent="0.3">
      <c r="AY32"/>
    </row>
    <row r="33" spans="51:51" x14ac:dyDescent="0.3">
      <c r="AY33"/>
    </row>
    <row r="34" spans="51:51" x14ac:dyDescent="0.3">
      <c r="AY34"/>
    </row>
    <row r="35" spans="51:51" x14ac:dyDescent="0.3">
      <c r="AY35"/>
    </row>
    <row r="36" spans="51:51" x14ac:dyDescent="0.3">
      <c r="AY36"/>
    </row>
    <row r="37" spans="51:51" x14ac:dyDescent="0.3">
      <c r="AY37"/>
    </row>
    <row r="38" spans="51:51" x14ac:dyDescent="0.3">
      <c r="AY38"/>
    </row>
    <row r="39" spans="51:51" x14ac:dyDescent="0.3">
      <c r="AY39"/>
    </row>
    <row r="40" spans="51:51" x14ac:dyDescent="0.3">
      <c r="AY40"/>
    </row>
    <row r="41" spans="51:51" x14ac:dyDescent="0.3">
      <c r="AY41"/>
    </row>
    <row r="42" spans="51:51" x14ac:dyDescent="0.3">
      <c r="AY42"/>
    </row>
    <row r="43" spans="51:51" x14ac:dyDescent="0.3">
      <c r="AY43"/>
    </row>
    <row r="44" spans="51:51" x14ac:dyDescent="0.3">
      <c r="AY44"/>
    </row>
    <row r="45" spans="51:51" x14ac:dyDescent="0.3">
      <c r="AY45"/>
    </row>
    <row r="46" spans="51:51" x14ac:dyDescent="0.3">
      <c r="AY46"/>
    </row>
    <row r="47" spans="51:51" x14ac:dyDescent="0.3">
      <c r="AY47"/>
    </row>
    <row r="48" spans="51:51" x14ac:dyDescent="0.3">
      <c r="AY48"/>
    </row>
    <row r="49" spans="51:51" x14ac:dyDescent="0.3">
      <c r="AY49"/>
    </row>
    <row r="50" spans="51:51" x14ac:dyDescent="0.3">
      <c r="AY50"/>
    </row>
    <row r="51" spans="51:51" x14ac:dyDescent="0.3">
      <c r="AY51"/>
    </row>
    <row r="52" spans="51:51" x14ac:dyDescent="0.3">
      <c r="AY52"/>
    </row>
    <row r="53" spans="51:51" x14ac:dyDescent="0.3">
      <c r="AY53"/>
    </row>
    <row r="54" spans="51:51" x14ac:dyDescent="0.3">
      <c r="AY54"/>
    </row>
    <row r="55" spans="51:51" x14ac:dyDescent="0.3">
      <c r="AY55"/>
    </row>
    <row r="56" spans="51:51" x14ac:dyDescent="0.3">
      <c r="AY56"/>
    </row>
    <row r="57" spans="51:51" x14ac:dyDescent="0.3">
      <c r="AY57"/>
    </row>
    <row r="58" spans="51:51" x14ac:dyDescent="0.3">
      <c r="AY58"/>
    </row>
    <row r="59" spans="51:51" x14ac:dyDescent="0.3">
      <c r="AY59"/>
    </row>
    <row r="60" spans="51:51" x14ac:dyDescent="0.3">
      <c r="AY60"/>
    </row>
    <row r="61" spans="51:51" x14ac:dyDescent="0.3">
      <c r="AY61"/>
    </row>
    <row r="62" spans="51:51" x14ac:dyDescent="0.3">
      <c r="AY62"/>
    </row>
    <row r="63" spans="51:51" x14ac:dyDescent="0.3">
      <c r="AY63"/>
    </row>
    <row r="64" spans="51:51" x14ac:dyDescent="0.3">
      <c r="AY64"/>
    </row>
    <row r="65" spans="51:51" x14ac:dyDescent="0.3">
      <c r="AY65"/>
    </row>
    <row r="66" spans="51:51" x14ac:dyDescent="0.3">
      <c r="AY66"/>
    </row>
    <row r="67" spans="51:51" x14ac:dyDescent="0.3">
      <c r="AY67"/>
    </row>
    <row r="68" spans="51:51" x14ac:dyDescent="0.3">
      <c r="AY68"/>
    </row>
    <row r="69" spans="51:51" x14ac:dyDescent="0.3">
      <c r="AY69"/>
    </row>
    <row r="70" spans="51:51" x14ac:dyDescent="0.3">
      <c r="AY70"/>
    </row>
    <row r="71" spans="51:51" x14ac:dyDescent="0.3">
      <c r="AY71"/>
    </row>
    <row r="72" spans="51:51" x14ac:dyDescent="0.3">
      <c r="AY72"/>
    </row>
    <row r="73" spans="51:51" x14ac:dyDescent="0.3">
      <c r="AY73"/>
    </row>
    <row r="74" spans="51:51" x14ac:dyDescent="0.3">
      <c r="AY74"/>
    </row>
    <row r="75" spans="51:51" x14ac:dyDescent="0.3">
      <c r="AY75"/>
    </row>
    <row r="76" spans="51:51" x14ac:dyDescent="0.3">
      <c r="AY76"/>
    </row>
    <row r="77" spans="51:51" x14ac:dyDescent="0.3">
      <c r="AY77"/>
    </row>
    <row r="78" spans="51:51" x14ac:dyDescent="0.3">
      <c r="AY78"/>
    </row>
    <row r="79" spans="51:51" x14ac:dyDescent="0.3">
      <c r="AY79"/>
    </row>
    <row r="80" spans="51:51" x14ac:dyDescent="0.3">
      <c r="AY80"/>
    </row>
    <row r="81" spans="51:51" x14ac:dyDescent="0.3">
      <c r="AY81"/>
    </row>
    <row r="82" spans="51:51" x14ac:dyDescent="0.3">
      <c r="AY82"/>
    </row>
    <row r="83" spans="51:51" x14ac:dyDescent="0.3">
      <c r="AY83"/>
    </row>
    <row r="84" spans="51:51" x14ac:dyDescent="0.3">
      <c r="AY84"/>
    </row>
    <row r="85" spans="51:51" x14ac:dyDescent="0.3">
      <c r="AY85"/>
    </row>
    <row r="86" spans="51:51" x14ac:dyDescent="0.3">
      <c r="AY86"/>
    </row>
    <row r="87" spans="51:51" x14ac:dyDescent="0.3">
      <c r="AY87"/>
    </row>
    <row r="88" spans="51:51" x14ac:dyDescent="0.3">
      <c r="AY88"/>
    </row>
    <row r="89" spans="51:51" x14ac:dyDescent="0.3">
      <c r="AY89"/>
    </row>
    <row r="90" spans="51:51" x14ac:dyDescent="0.3">
      <c r="AY90"/>
    </row>
    <row r="91" spans="51:51" x14ac:dyDescent="0.3">
      <c r="AY91"/>
    </row>
    <row r="92" spans="51:51" x14ac:dyDescent="0.3">
      <c r="AY92"/>
    </row>
    <row r="93" spans="51:51" x14ac:dyDescent="0.3">
      <c r="AY93"/>
    </row>
    <row r="94" spans="51:51" x14ac:dyDescent="0.3">
      <c r="AY94"/>
    </row>
    <row r="95" spans="51:51" x14ac:dyDescent="0.3">
      <c r="AY95"/>
    </row>
    <row r="96" spans="51:51" x14ac:dyDescent="0.3">
      <c r="AY96"/>
    </row>
    <row r="97" spans="51:51" x14ac:dyDescent="0.3">
      <c r="AY97"/>
    </row>
    <row r="98" spans="51:51" x14ac:dyDescent="0.3">
      <c r="AY98"/>
    </row>
    <row r="99" spans="51:51" x14ac:dyDescent="0.3">
      <c r="AY99"/>
    </row>
    <row r="100" spans="51:51" x14ac:dyDescent="0.3">
      <c r="AY100"/>
    </row>
    <row r="101" spans="51:51" x14ac:dyDescent="0.3">
      <c r="AY101"/>
    </row>
    <row r="102" spans="51:51" x14ac:dyDescent="0.3">
      <c r="AY102"/>
    </row>
    <row r="103" spans="51:51" x14ac:dyDescent="0.3">
      <c r="AY103"/>
    </row>
    <row r="104" spans="51:51" x14ac:dyDescent="0.3">
      <c r="AY104"/>
    </row>
    <row r="105" spans="51:51" x14ac:dyDescent="0.3">
      <c r="AY105"/>
    </row>
    <row r="106" spans="51:51" x14ac:dyDescent="0.3">
      <c r="AY106"/>
    </row>
    <row r="107" spans="51:51" x14ac:dyDescent="0.3">
      <c r="AY107"/>
    </row>
    <row r="108" spans="51:51" x14ac:dyDescent="0.3">
      <c r="AY108"/>
    </row>
    <row r="109" spans="51:51" x14ac:dyDescent="0.3">
      <c r="AY109"/>
    </row>
    <row r="110" spans="51:51" x14ac:dyDescent="0.3">
      <c r="AY110"/>
    </row>
    <row r="111" spans="51:51" x14ac:dyDescent="0.3">
      <c r="AY111"/>
    </row>
    <row r="112" spans="51:51" x14ac:dyDescent="0.3">
      <c r="AY112"/>
    </row>
    <row r="113" spans="51:51" x14ac:dyDescent="0.3">
      <c r="AY113"/>
    </row>
    <row r="114" spans="51:51" x14ac:dyDescent="0.3">
      <c r="AY114"/>
    </row>
    <row r="115" spans="51:51" x14ac:dyDescent="0.3">
      <c r="AY115"/>
    </row>
    <row r="116" spans="51:51" x14ac:dyDescent="0.3">
      <c r="AY116"/>
    </row>
    <row r="117" spans="51:51" x14ac:dyDescent="0.3">
      <c r="AY117"/>
    </row>
    <row r="118" spans="51:51" x14ac:dyDescent="0.3">
      <c r="AY118"/>
    </row>
    <row r="119" spans="51:51" x14ac:dyDescent="0.3">
      <c r="AY119"/>
    </row>
    <row r="120" spans="51:51" x14ac:dyDescent="0.3">
      <c r="AY120"/>
    </row>
    <row r="121" spans="51:51" x14ac:dyDescent="0.3">
      <c r="AY121"/>
    </row>
    <row r="122" spans="51:51" x14ac:dyDescent="0.3">
      <c r="AY122"/>
    </row>
    <row r="123" spans="51:51" x14ac:dyDescent="0.3">
      <c r="AY123"/>
    </row>
    <row r="124" spans="51:51" x14ac:dyDescent="0.3">
      <c r="AY124"/>
    </row>
    <row r="125" spans="51:51" x14ac:dyDescent="0.3">
      <c r="AY125"/>
    </row>
    <row r="126" spans="51:51" x14ac:dyDescent="0.3">
      <c r="AY126"/>
    </row>
    <row r="127" spans="51:51" x14ac:dyDescent="0.3">
      <c r="AY127"/>
    </row>
    <row r="128" spans="51:51" x14ac:dyDescent="0.3">
      <c r="AY128"/>
    </row>
    <row r="129" spans="51:51" x14ac:dyDescent="0.3">
      <c r="AY129"/>
    </row>
    <row r="130" spans="51:51" x14ac:dyDescent="0.3">
      <c r="AY130"/>
    </row>
    <row r="131" spans="51:51" x14ac:dyDescent="0.3">
      <c r="AY131"/>
    </row>
    <row r="132" spans="51:51" x14ac:dyDescent="0.3">
      <c r="AY132"/>
    </row>
    <row r="133" spans="51:51" x14ac:dyDescent="0.3">
      <c r="AY133"/>
    </row>
    <row r="134" spans="51:51" x14ac:dyDescent="0.3">
      <c r="AY134"/>
    </row>
    <row r="135" spans="51:51" x14ac:dyDescent="0.3">
      <c r="AY135"/>
    </row>
    <row r="136" spans="51:51" x14ac:dyDescent="0.3">
      <c r="AY136"/>
    </row>
    <row r="137" spans="51:51" x14ac:dyDescent="0.3">
      <c r="AY137"/>
    </row>
    <row r="138" spans="51:51" x14ac:dyDescent="0.3">
      <c r="AY138"/>
    </row>
    <row r="139" spans="51:51" x14ac:dyDescent="0.3">
      <c r="AY139"/>
    </row>
    <row r="140" spans="51:51" x14ac:dyDescent="0.3">
      <c r="AY140"/>
    </row>
    <row r="141" spans="51:51" x14ac:dyDescent="0.3">
      <c r="AY141"/>
    </row>
    <row r="142" spans="51:51" x14ac:dyDescent="0.3">
      <c r="AY142"/>
    </row>
    <row r="143" spans="51:51" x14ac:dyDescent="0.3">
      <c r="AY143"/>
    </row>
    <row r="144" spans="51:51" x14ac:dyDescent="0.3">
      <c r="AY144"/>
    </row>
    <row r="145" spans="51:51" x14ac:dyDescent="0.3">
      <c r="AY145"/>
    </row>
    <row r="146" spans="51:51" x14ac:dyDescent="0.3">
      <c r="AY146"/>
    </row>
    <row r="147" spans="51:51" x14ac:dyDescent="0.3">
      <c r="AY147"/>
    </row>
    <row r="148" spans="51:51" x14ac:dyDescent="0.3">
      <c r="AY148"/>
    </row>
    <row r="149" spans="51:51" x14ac:dyDescent="0.3">
      <c r="AY149"/>
    </row>
    <row r="150" spans="51:51" x14ac:dyDescent="0.3">
      <c r="AY150"/>
    </row>
    <row r="151" spans="51:51" x14ac:dyDescent="0.3">
      <c r="AY151"/>
    </row>
    <row r="152" spans="51:51" x14ac:dyDescent="0.3">
      <c r="AY152"/>
    </row>
    <row r="153" spans="51:51" x14ac:dyDescent="0.3">
      <c r="AY153"/>
    </row>
    <row r="154" spans="51:51" x14ac:dyDescent="0.3">
      <c r="AY154"/>
    </row>
    <row r="155" spans="51:51" x14ac:dyDescent="0.3">
      <c r="AY155"/>
    </row>
    <row r="156" spans="51:51" x14ac:dyDescent="0.3">
      <c r="AY156"/>
    </row>
    <row r="157" spans="51:51" x14ac:dyDescent="0.3">
      <c r="AY157"/>
    </row>
    <row r="158" spans="51:51" x14ac:dyDescent="0.3">
      <c r="AY158"/>
    </row>
    <row r="159" spans="51:51" x14ac:dyDescent="0.3">
      <c r="AY159"/>
    </row>
    <row r="160" spans="51:51" x14ac:dyDescent="0.3">
      <c r="AY160"/>
    </row>
    <row r="161" spans="51:51" x14ac:dyDescent="0.3">
      <c r="AY161"/>
    </row>
    <row r="162" spans="51:51" x14ac:dyDescent="0.3">
      <c r="AY162"/>
    </row>
    <row r="163" spans="51:51" x14ac:dyDescent="0.3">
      <c r="AY163"/>
    </row>
    <row r="164" spans="51:51" x14ac:dyDescent="0.3">
      <c r="AY164"/>
    </row>
    <row r="165" spans="51:51" x14ac:dyDescent="0.3">
      <c r="AY165"/>
    </row>
    <row r="166" spans="51:51" x14ac:dyDescent="0.3">
      <c r="AY166"/>
    </row>
    <row r="167" spans="51:51" x14ac:dyDescent="0.3">
      <c r="AY167"/>
    </row>
    <row r="168" spans="51:51" x14ac:dyDescent="0.3">
      <c r="AY168"/>
    </row>
    <row r="169" spans="51:51" x14ac:dyDescent="0.3">
      <c r="AY169"/>
    </row>
    <row r="170" spans="51:51" x14ac:dyDescent="0.3">
      <c r="AY170"/>
    </row>
    <row r="171" spans="51:51" x14ac:dyDescent="0.3">
      <c r="AY171"/>
    </row>
    <row r="172" spans="51:51" x14ac:dyDescent="0.3">
      <c r="AY172"/>
    </row>
    <row r="173" spans="51:51" x14ac:dyDescent="0.3">
      <c r="AY173"/>
    </row>
    <row r="174" spans="51:51" x14ac:dyDescent="0.3">
      <c r="AY174"/>
    </row>
    <row r="175" spans="51:51" x14ac:dyDescent="0.3">
      <c r="AY175"/>
    </row>
    <row r="176" spans="51:51" x14ac:dyDescent="0.3">
      <c r="AY176"/>
    </row>
    <row r="177" spans="51:51" x14ac:dyDescent="0.3">
      <c r="AY177"/>
    </row>
    <row r="178" spans="51:51" x14ac:dyDescent="0.3">
      <c r="AY178"/>
    </row>
    <row r="179" spans="51:51" x14ac:dyDescent="0.3">
      <c r="AY179"/>
    </row>
    <row r="180" spans="51:51" x14ac:dyDescent="0.3">
      <c r="AY180"/>
    </row>
    <row r="181" spans="51:51" x14ac:dyDescent="0.3">
      <c r="AY181"/>
    </row>
    <row r="182" spans="51:51" x14ac:dyDescent="0.3">
      <c r="AY182"/>
    </row>
    <row r="183" spans="51:51" x14ac:dyDescent="0.3">
      <c r="AY183"/>
    </row>
    <row r="184" spans="51:51" x14ac:dyDescent="0.3">
      <c r="AY184"/>
    </row>
    <row r="185" spans="51:51" x14ac:dyDescent="0.3">
      <c r="AY185"/>
    </row>
    <row r="186" spans="51:51" x14ac:dyDescent="0.3">
      <c r="AY186"/>
    </row>
    <row r="187" spans="51:51" x14ac:dyDescent="0.3">
      <c r="AY187"/>
    </row>
    <row r="188" spans="51:51" x14ac:dyDescent="0.3">
      <c r="AY188"/>
    </row>
    <row r="189" spans="51:51" x14ac:dyDescent="0.3">
      <c r="AY189"/>
    </row>
    <row r="190" spans="51:51" x14ac:dyDescent="0.3">
      <c r="AY190"/>
    </row>
    <row r="191" spans="51:51" x14ac:dyDescent="0.3">
      <c r="AY191"/>
    </row>
    <row r="192" spans="51:51" x14ac:dyDescent="0.3">
      <c r="AY192"/>
    </row>
    <row r="193" spans="51:51" x14ac:dyDescent="0.3">
      <c r="AY193"/>
    </row>
    <row r="194" spans="51:51" x14ac:dyDescent="0.3">
      <c r="AY194"/>
    </row>
    <row r="195" spans="51:51" x14ac:dyDescent="0.3">
      <c r="AY195"/>
    </row>
    <row r="196" spans="51:51" x14ac:dyDescent="0.3">
      <c r="AY196"/>
    </row>
    <row r="197" spans="51:51" x14ac:dyDescent="0.3">
      <c r="AY197"/>
    </row>
    <row r="198" spans="51:51" x14ac:dyDescent="0.3">
      <c r="AY198"/>
    </row>
    <row r="199" spans="51:51" x14ac:dyDescent="0.3">
      <c r="AY199"/>
    </row>
    <row r="200" spans="51:51" x14ac:dyDescent="0.3">
      <c r="AY200"/>
    </row>
    <row r="201" spans="51:51" x14ac:dyDescent="0.3">
      <c r="AY201"/>
    </row>
    <row r="202" spans="51:51" x14ac:dyDescent="0.3">
      <c r="AY202"/>
    </row>
    <row r="203" spans="51:51" x14ac:dyDescent="0.3">
      <c r="AY203"/>
    </row>
    <row r="204" spans="51:51" x14ac:dyDescent="0.3">
      <c r="AY204"/>
    </row>
    <row r="205" spans="51:51" x14ac:dyDescent="0.3">
      <c r="AY205"/>
    </row>
    <row r="206" spans="51:51" x14ac:dyDescent="0.3">
      <c r="AY206"/>
    </row>
    <row r="207" spans="51:51" x14ac:dyDescent="0.3">
      <c r="AY207"/>
    </row>
    <row r="208" spans="51:51" x14ac:dyDescent="0.3">
      <c r="AY208"/>
    </row>
    <row r="209" spans="51:51" x14ac:dyDescent="0.3">
      <c r="AY209"/>
    </row>
    <row r="210" spans="51:51" x14ac:dyDescent="0.3">
      <c r="AY210"/>
    </row>
    <row r="211" spans="51:51" x14ac:dyDescent="0.3">
      <c r="AY211"/>
    </row>
    <row r="212" spans="51:51" x14ac:dyDescent="0.3">
      <c r="AY212"/>
    </row>
    <row r="213" spans="51:51" x14ac:dyDescent="0.3">
      <c r="AY213"/>
    </row>
    <row r="214" spans="51:51" x14ac:dyDescent="0.3">
      <c r="AY214"/>
    </row>
    <row r="215" spans="51:51" x14ac:dyDescent="0.3">
      <c r="AY215"/>
    </row>
    <row r="216" spans="51:51" x14ac:dyDescent="0.3">
      <c r="AY216"/>
    </row>
    <row r="217" spans="51:51" x14ac:dyDescent="0.3">
      <c r="AY217"/>
    </row>
    <row r="218" spans="51:51" x14ac:dyDescent="0.3">
      <c r="AY218"/>
    </row>
    <row r="219" spans="51:51" x14ac:dyDescent="0.3">
      <c r="AY219"/>
    </row>
    <row r="220" spans="51:51" x14ac:dyDescent="0.3">
      <c r="AY220"/>
    </row>
    <row r="221" spans="51:51" x14ac:dyDescent="0.3">
      <c r="AY221"/>
    </row>
    <row r="222" spans="51:51" x14ac:dyDescent="0.3">
      <c r="AY222"/>
    </row>
    <row r="223" spans="51:51" x14ac:dyDescent="0.3">
      <c r="AY223"/>
    </row>
    <row r="224" spans="51:51" x14ac:dyDescent="0.3">
      <c r="AY224"/>
    </row>
    <row r="225" spans="51:51" x14ac:dyDescent="0.3">
      <c r="AY225"/>
    </row>
    <row r="226" spans="51:51" x14ac:dyDescent="0.3">
      <c r="AY226"/>
    </row>
    <row r="227" spans="51:51" x14ac:dyDescent="0.3">
      <c r="AY227"/>
    </row>
    <row r="228" spans="51:51" x14ac:dyDescent="0.3">
      <c r="AY228"/>
    </row>
    <row r="229" spans="51:51" x14ac:dyDescent="0.3">
      <c r="AY229"/>
    </row>
    <row r="230" spans="51:51" x14ac:dyDescent="0.3">
      <c r="AY230"/>
    </row>
    <row r="231" spans="51:51" x14ac:dyDescent="0.3">
      <c r="AY231"/>
    </row>
    <row r="232" spans="51:51" x14ac:dyDescent="0.3">
      <c r="AY232"/>
    </row>
    <row r="233" spans="51:51" x14ac:dyDescent="0.3">
      <c r="AY233"/>
    </row>
    <row r="234" spans="51:51" x14ac:dyDescent="0.3">
      <c r="AY234"/>
    </row>
    <row r="235" spans="51:51" x14ac:dyDescent="0.3">
      <c r="AY235"/>
    </row>
    <row r="236" spans="51:51" x14ac:dyDescent="0.3">
      <c r="AY236"/>
    </row>
    <row r="237" spans="51:51" x14ac:dyDescent="0.3">
      <c r="AY237"/>
    </row>
    <row r="238" spans="51:51" x14ac:dyDescent="0.3">
      <c r="AY238"/>
    </row>
    <row r="239" spans="51:51" x14ac:dyDescent="0.3">
      <c r="AY239"/>
    </row>
    <row r="240" spans="51:51" x14ac:dyDescent="0.3">
      <c r="AY240"/>
    </row>
    <row r="241" spans="51:51" x14ac:dyDescent="0.3">
      <c r="AY241"/>
    </row>
    <row r="242" spans="51:51" x14ac:dyDescent="0.3">
      <c r="AY242"/>
    </row>
    <row r="243" spans="51:51" x14ac:dyDescent="0.3">
      <c r="AY243"/>
    </row>
    <row r="244" spans="51:51" x14ac:dyDescent="0.3">
      <c r="AY244"/>
    </row>
    <row r="245" spans="51:51" x14ac:dyDescent="0.3">
      <c r="AY245"/>
    </row>
    <row r="246" spans="51:51" x14ac:dyDescent="0.3">
      <c r="AY246"/>
    </row>
    <row r="247" spans="51:51" x14ac:dyDescent="0.3">
      <c r="AY247"/>
    </row>
    <row r="248" spans="51:51" x14ac:dyDescent="0.3">
      <c r="AY248"/>
    </row>
    <row r="249" spans="51:51" x14ac:dyDescent="0.3">
      <c r="AY249"/>
    </row>
    <row r="250" spans="51:51" x14ac:dyDescent="0.3">
      <c r="AY250"/>
    </row>
    <row r="251" spans="51:51" x14ac:dyDescent="0.3">
      <c r="AY251"/>
    </row>
    <row r="252" spans="51:51" x14ac:dyDescent="0.3">
      <c r="AY252"/>
    </row>
    <row r="253" spans="51:51" x14ac:dyDescent="0.3">
      <c r="AY253"/>
    </row>
    <row r="254" spans="51:51" x14ac:dyDescent="0.3">
      <c r="AY254"/>
    </row>
    <row r="255" spans="51:51" x14ac:dyDescent="0.3">
      <c r="AY255"/>
    </row>
    <row r="256" spans="51:51" x14ac:dyDescent="0.3">
      <c r="AY256"/>
    </row>
    <row r="257" spans="51:51" x14ac:dyDescent="0.3">
      <c r="AY257"/>
    </row>
    <row r="258" spans="51:51" x14ac:dyDescent="0.3">
      <c r="AY258"/>
    </row>
    <row r="259" spans="51:51" x14ac:dyDescent="0.3">
      <c r="AY259"/>
    </row>
    <row r="260" spans="51:51" x14ac:dyDescent="0.3">
      <c r="AY260"/>
    </row>
    <row r="261" spans="51:51" x14ac:dyDescent="0.3">
      <c r="AY261"/>
    </row>
    <row r="262" spans="51:51" x14ac:dyDescent="0.3">
      <c r="AY262"/>
    </row>
    <row r="263" spans="51:51" x14ac:dyDescent="0.3">
      <c r="AY263"/>
    </row>
    <row r="264" spans="51:51" x14ac:dyDescent="0.3">
      <c r="AY264"/>
    </row>
    <row r="265" spans="51:51" x14ac:dyDescent="0.3">
      <c r="AY265"/>
    </row>
    <row r="266" spans="51:51" x14ac:dyDescent="0.3">
      <c r="AY266"/>
    </row>
    <row r="267" spans="51:51" x14ac:dyDescent="0.3">
      <c r="AY267"/>
    </row>
    <row r="268" spans="51:51" x14ac:dyDescent="0.3">
      <c r="AY268"/>
    </row>
    <row r="269" spans="51:51" x14ac:dyDescent="0.3">
      <c r="AY269"/>
    </row>
    <row r="270" spans="51:51" x14ac:dyDescent="0.3">
      <c r="AY270"/>
    </row>
    <row r="271" spans="51:51" x14ac:dyDescent="0.3">
      <c r="AY271"/>
    </row>
    <row r="272" spans="51:51" x14ac:dyDescent="0.3">
      <c r="AY272"/>
    </row>
    <row r="273" spans="51:51" x14ac:dyDescent="0.3">
      <c r="AY273"/>
    </row>
    <row r="274" spans="51:51" x14ac:dyDescent="0.3">
      <c r="AY274"/>
    </row>
    <row r="275" spans="51:51" x14ac:dyDescent="0.3">
      <c r="AY275"/>
    </row>
    <row r="276" spans="51:51" x14ac:dyDescent="0.3">
      <c r="AY276"/>
    </row>
    <row r="277" spans="51:51" x14ac:dyDescent="0.3">
      <c r="AY277"/>
    </row>
    <row r="278" spans="51:51" x14ac:dyDescent="0.3">
      <c r="AY278"/>
    </row>
    <row r="279" spans="51:51" x14ac:dyDescent="0.3">
      <c r="AY279"/>
    </row>
    <row r="280" spans="51:51" x14ac:dyDescent="0.3">
      <c r="AY280"/>
    </row>
    <row r="281" spans="51:51" x14ac:dyDescent="0.3">
      <c r="AY281"/>
    </row>
    <row r="282" spans="51:51" x14ac:dyDescent="0.3">
      <c r="AY282"/>
    </row>
    <row r="283" spans="51:51" x14ac:dyDescent="0.3">
      <c r="AY283"/>
    </row>
    <row r="284" spans="51:51" x14ac:dyDescent="0.3">
      <c r="AY284"/>
    </row>
    <row r="285" spans="51:51" x14ac:dyDescent="0.3">
      <c r="AY285"/>
    </row>
    <row r="286" spans="51:51" x14ac:dyDescent="0.3">
      <c r="AY286"/>
    </row>
    <row r="287" spans="51:51" x14ac:dyDescent="0.3">
      <c r="AY287"/>
    </row>
    <row r="288" spans="51:51" x14ac:dyDescent="0.3">
      <c r="AY288"/>
    </row>
    <row r="289" spans="51:51" x14ac:dyDescent="0.3">
      <c r="AY289"/>
    </row>
    <row r="290" spans="51:51" x14ac:dyDescent="0.3">
      <c r="AY290"/>
    </row>
    <row r="291" spans="51:51" x14ac:dyDescent="0.3">
      <c r="AY291"/>
    </row>
    <row r="292" spans="51:51" x14ac:dyDescent="0.3">
      <c r="AY292"/>
    </row>
    <row r="293" spans="51:51" x14ac:dyDescent="0.3">
      <c r="AY293"/>
    </row>
    <row r="294" spans="51:51" x14ac:dyDescent="0.3">
      <c r="AY294"/>
    </row>
    <row r="295" spans="51:51" x14ac:dyDescent="0.3">
      <c r="AY295"/>
    </row>
    <row r="296" spans="51:51" x14ac:dyDescent="0.3">
      <c r="AY296"/>
    </row>
    <row r="297" spans="51:51" x14ac:dyDescent="0.3">
      <c r="AY297"/>
    </row>
    <row r="298" spans="51:51" x14ac:dyDescent="0.3">
      <c r="AY298"/>
    </row>
    <row r="299" spans="51:51" x14ac:dyDescent="0.3">
      <c r="AY299"/>
    </row>
    <row r="300" spans="51:51" x14ac:dyDescent="0.3">
      <c r="AY300"/>
    </row>
    <row r="301" spans="51:51" x14ac:dyDescent="0.3">
      <c r="AY301"/>
    </row>
    <row r="302" spans="51:51" x14ac:dyDescent="0.3">
      <c r="AY302"/>
    </row>
    <row r="303" spans="51:51" x14ac:dyDescent="0.3">
      <c r="AY303"/>
    </row>
    <row r="304" spans="51:51" x14ac:dyDescent="0.3">
      <c r="AY304"/>
    </row>
    <row r="305" spans="51:51" x14ac:dyDescent="0.3">
      <c r="AY305"/>
    </row>
    <row r="306" spans="51:51" x14ac:dyDescent="0.3">
      <c r="AY306"/>
    </row>
    <row r="307" spans="51:51" x14ac:dyDescent="0.3">
      <c r="AY307"/>
    </row>
    <row r="308" spans="51:51" x14ac:dyDescent="0.3">
      <c r="AY308"/>
    </row>
    <row r="309" spans="51:51" x14ac:dyDescent="0.3">
      <c r="AY309"/>
    </row>
    <row r="310" spans="51:51" x14ac:dyDescent="0.3">
      <c r="AY310"/>
    </row>
    <row r="311" spans="51:51" x14ac:dyDescent="0.3">
      <c r="AY311"/>
    </row>
    <row r="312" spans="51:51" x14ac:dyDescent="0.3">
      <c r="AY312"/>
    </row>
    <row r="313" spans="51:51" x14ac:dyDescent="0.3">
      <c r="AY313"/>
    </row>
    <row r="314" spans="51:51" x14ac:dyDescent="0.3">
      <c r="AY314"/>
    </row>
    <row r="315" spans="51:51" x14ac:dyDescent="0.3">
      <c r="AY315"/>
    </row>
    <row r="316" spans="51:51" x14ac:dyDescent="0.3">
      <c r="AY316"/>
    </row>
    <row r="317" spans="51:51" x14ac:dyDescent="0.3">
      <c r="AY317"/>
    </row>
    <row r="318" spans="51:51" x14ac:dyDescent="0.3">
      <c r="AY318"/>
    </row>
    <row r="319" spans="51:51" x14ac:dyDescent="0.3">
      <c r="AY319"/>
    </row>
    <row r="320" spans="51:51" x14ac:dyDescent="0.3">
      <c r="AY320"/>
    </row>
    <row r="321" spans="51:51" x14ac:dyDescent="0.3">
      <c r="AY321"/>
    </row>
    <row r="322" spans="51:51" x14ac:dyDescent="0.3">
      <c r="AY322"/>
    </row>
    <row r="323" spans="51:51" x14ac:dyDescent="0.3">
      <c r="AY323"/>
    </row>
    <row r="324" spans="51:51" x14ac:dyDescent="0.3">
      <c r="AY324"/>
    </row>
    <row r="325" spans="51:51" x14ac:dyDescent="0.3">
      <c r="AY325"/>
    </row>
    <row r="326" spans="51:51" x14ac:dyDescent="0.3">
      <c r="AY326"/>
    </row>
    <row r="327" spans="51:51" x14ac:dyDescent="0.3">
      <c r="AY327"/>
    </row>
    <row r="328" spans="51:51" x14ac:dyDescent="0.3">
      <c r="AY328"/>
    </row>
    <row r="329" spans="51:51" x14ac:dyDescent="0.3">
      <c r="AY329"/>
    </row>
    <row r="330" spans="51:51" x14ac:dyDescent="0.3">
      <c r="AY330"/>
    </row>
    <row r="331" spans="51:51" x14ac:dyDescent="0.3">
      <c r="AY331"/>
    </row>
    <row r="332" spans="51:51" x14ac:dyDescent="0.3">
      <c r="AY332"/>
    </row>
    <row r="333" spans="51:51" x14ac:dyDescent="0.3">
      <c r="AY333"/>
    </row>
    <row r="334" spans="51:51" x14ac:dyDescent="0.3">
      <c r="AY334"/>
    </row>
    <row r="335" spans="51:51" x14ac:dyDescent="0.3">
      <c r="AY335"/>
    </row>
    <row r="336" spans="51:51" x14ac:dyDescent="0.3">
      <c r="AY336"/>
    </row>
    <row r="337" spans="51:51" x14ac:dyDescent="0.3">
      <c r="AY337"/>
    </row>
    <row r="338" spans="51:51" x14ac:dyDescent="0.3">
      <c r="AY338"/>
    </row>
    <row r="339" spans="51:51" x14ac:dyDescent="0.3">
      <c r="AY339"/>
    </row>
    <row r="340" spans="51:51" x14ac:dyDescent="0.3">
      <c r="AY340"/>
    </row>
    <row r="341" spans="51:51" x14ac:dyDescent="0.3">
      <c r="AY341"/>
    </row>
    <row r="342" spans="51:51" x14ac:dyDescent="0.3">
      <c r="AY342"/>
    </row>
    <row r="343" spans="51:51" x14ac:dyDescent="0.3">
      <c r="AY343"/>
    </row>
    <row r="344" spans="51:51" x14ac:dyDescent="0.3">
      <c r="AY344"/>
    </row>
    <row r="345" spans="51:51" x14ac:dyDescent="0.3">
      <c r="AY345"/>
    </row>
    <row r="346" spans="51:51" x14ac:dyDescent="0.3">
      <c r="AY346"/>
    </row>
    <row r="347" spans="51:51" x14ac:dyDescent="0.3">
      <c r="AY347"/>
    </row>
    <row r="348" spans="51:51" x14ac:dyDescent="0.3">
      <c r="AY348"/>
    </row>
    <row r="349" spans="51:51" x14ac:dyDescent="0.3">
      <c r="AY349"/>
    </row>
    <row r="350" spans="51:51" x14ac:dyDescent="0.3">
      <c r="AY350"/>
    </row>
    <row r="351" spans="51:51" x14ac:dyDescent="0.3">
      <c r="AY351"/>
    </row>
    <row r="352" spans="51:51" x14ac:dyDescent="0.3">
      <c r="AY352"/>
    </row>
    <row r="353" spans="51:51" x14ac:dyDescent="0.3">
      <c r="AY353"/>
    </row>
    <row r="354" spans="51:51" x14ac:dyDescent="0.3">
      <c r="AY354"/>
    </row>
    <row r="355" spans="51:51" x14ac:dyDescent="0.3">
      <c r="AY355"/>
    </row>
    <row r="356" spans="51:51" x14ac:dyDescent="0.3">
      <c r="AY356"/>
    </row>
    <row r="357" spans="51:51" x14ac:dyDescent="0.3">
      <c r="AY357"/>
    </row>
    <row r="358" spans="51:51" x14ac:dyDescent="0.3">
      <c r="AY358"/>
    </row>
    <row r="359" spans="51:51" x14ac:dyDescent="0.3">
      <c r="AY359"/>
    </row>
    <row r="360" spans="51:51" x14ac:dyDescent="0.3">
      <c r="AY360"/>
    </row>
    <row r="361" spans="51:51" x14ac:dyDescent="0.3">
      <c r="AY361"/>
    </row>
    <row r="362" spans="51:51" x14ac:dyDescent="0.3">
      <c r="AY362"/>
    </row>
    <row r="363" spans="51:51" x14ac:dyDescent="0.3">
      <c r="AY363"/>
    </row>
    <row r="364" spans="51:51" x14ac:dyDescent="0.3">
      <c r="AY364"/>
    </row>
    <row r="365" spans="51:51" x14ac:dyDescent="0.3">
      <c r="AY365"/>
    </row>
    <row r="366" spans="51:51" x14ac:dyDescent="0.3">
      <c r="AY366"/>
    </row>
    <row r="367" spans="51:51" x14ac:dyDescent="0.3">
      <c r="AY367"/>
    </row>
    <row r="368" spans="51:51" x14ac:dyDescent="0.3">
      <c r="AY368"/>
    </row>
    <row r="369" spans="51:51" x14ac:dyDescent="0.3">
      <c r="AY369"/>
    </row>
    <row r="370" spans="51:51" x14ac:dyDescent="0.3">
      <c r="AY370"/>
    </row>
    <row r="371" spans="51:51" x14ac:dyDescent="0.3">
      <c r="AY371"/>
    </row>
    <row r="372" spans="51:51" x14ac:dyDescent="0.3">
      <c r="AY372"/>
    </row>
    <row r="373" spans="51:51" x14ac:dyDescent="0.3">
      <c r="AY373"/>
    </row>
    <row r="374" spans="51:51" x14ac:dyDescent="0.3">
      <c r="AY374"/>
    </row>
    <row r="375" spans="51:51" x14ac:dyDescent="0.3">
      <c r="AY375"/>
    </row>
    <row r="376" spans="51:51" x14ac:dyDescent="0.3">
      <c r="AY376"/>
    </row>
    <row r="377" spans="51:51" x14ac:dyDescent="0.3">
      <c r="AY377"/>
    </row>
    <row r="378" spans="51:51" x14ac:dyDescent="0.3">
      <c r="AY378"/>
    </row>
    <row r="379" spans="51:51" x14ac:dyDescent="0.3">
      <c r="AY379"/>
    </row>
    <row r="380" spans="51:51" x14ac:dyDescent="0.3">
      <c r="AY380"/>
    </row>
    <row r="381" spans="51:51" x14ac:dyDescent="0.3">
      <c r="AY381"/>
    </row>
    <row r="382" spans="51:51" x14ac:dyDescent="0.3">
      <c r="AY382"/>
    </row>
    <row r="383" spans="51:51" x14ac:dyDescent="0.3">
      <c r="AY383"/>
    </row>
    <row r="384" spans="51:51" x14ac:dyDescent="0.3">
      <c r="AY384"/>
    </row>
    <row r="385" spans="51:51" x14ac:dyDescent="0.3">
      <c r="AY385"/>
    </row>
    <row r="386" spans="51:51" x14ac:dyDescent="0.3">
      <c r="AY386"/>
    </row>
    <row r="387" spans="51:51" x14ac:dyDescent="0.3">
      <c r="AY387"/>
    </row>
    <row r="388" spans="51:51" x14ac:dyDescent="0.3">
      <c r="AY388"/>
    </row>
    <row r="389" spans="51:51" x14ac:dyDescent="0.3">
      <c r="AY389"/>
    </row>
    <row r="390" spans="51:51" x14ac:dyDescent="0.3">
      <c r="AY390"/>
    </row>
    <row r="391" spans="51:51" x14ac:dyDescent="0.3">
      <c r="AY391"/>
    </row>
    <row r="392" spans="51:51" x14ac:dyDescent="0.3">
      <c r="AY392"/>
    </row>
    <row r="393" spans="51:51" x14ac:dyDescent="0.3">
      <c r="AY393"/>
    </row>
    <row r="394" spans="51:51" x14ac:dyDescent="0.3">
      <c r="AY394"/>
    </row>
    <row r="395" spans="51:51" x14ac:dyDescent="0.3">
      <c r="AY395"/>
    </row>
    <row r="396" spans="51:51" x14ac:dyDescent="0.3">
      <c r="AY396"/>
    </row>
    <row r="397" spans="51:51" x14ac:dyDescent="0.3">
      <c r="AY397"/>
    </row>
    <row r="398" spans="51:51" x14ac:dyDescent="0.3">
      <c r="AY398"/>
    </row>
    <row r="399" spans="51:51" x14ac:dyDescent="0.3">
      <c r="AY399"/>
    </row>
    <row r="400" spans="51:51" x14ac:dyDescent="0.3">
      <c r="AY400"/>
    </row>
    <row r="401" spans="51:51" x14ac:dyDescent="0.3">
      <c r="AY401"/>
    </row>
    <row r="402" spans="51:51" x14ac:dyDescent="0.3">
      <c r="AY402"/>
    </row>
    <row r="403" spans="51:51" x14ac:dyDescent="0.3">
      <c r="AY403"/>
    </row>
    <row r="404" spans="51:51" x14ac:dyDescent="0.3">
      <c r="AY404"/>
    </row>
    <row r="405" spans="51:51" x14ac:dyDescent="0.3">
      <c r="AY405"/>
    </row>
    <row r="406" spans="51:51" x14ac:dyDescent="0.3">
      <c r="AY406"/>
    </row>
    <row r="407" spans="51:51" x14ac:dyDescent="0.3">
      <c r="AY407"/>
    </row>
    <row r="408" spans="51:51" x14ac:dyDescent="0.3">
      <c r="AY408"/>
    </row>
    <row r="409" spans="51:51" x14ac:dyDescent="0.3">
      <c r="AY409"/>
    </row>
    <row r="410" spans="51:51" x14ac:dyDescent="0.3">
      <c r="AY410"/>
    </row>
    <row r="411" spans="51:51" x14ac:dyDescent="0.3">
      <c r="AY411"/>
    </row>
    <row r="412" spans="51:51" x14ac:dyDescent="0.3">
      <c r="AY412"/>
    </row>
    <row r="413" spans="51:51" x14ac:dyDescent="0.3">
      <c r="AY413"/>
    </row>
    <row r="414" spans="51:51" x14ac:dyDescent="0.3">
      <c r="AY414"/>
    </row>
    <row r="415" spans="51:51" x14ac:dyDescent="0.3">
      <c r="AY415"/>
    </row>
    <row r="416" spans="51:51" x14ac:dyDescent="0.3">
      <c r="AY416"/>
    </row>
    <row r="417" spans="51:51" x14ac:dyDescent="0.3">
      <c r="AY417"/>
    </row>
    <row r="418" spans="51:51" x14ac:dyDescent="0.3">
      <c r="AY418"/>
    </row>
    <row r="419" spans="51:51" x14ac:dyDescent="0.3">
      <c r="AY419"/>
    </row>
    <row r="420" spans="51:51" x14ac:dyDescent="0.3">
      <c r="AY420"/>
    </row>
    <row r="421" spans="51:51" x14ac:dyDescent="0.3">
      <c r="AY421"/>
    </row>
    <row r="422" spans="51:51" x14ac:dyDescent="0.3">
      <c r="AY422"/>
    </row>
    <row r="423" spans="51:51" x14ac:dyDescent="0.3">
      <c r="AY423"/>
    </row>
    <row r="424" spans="51:51" x14ac:dyDescent="0.3">
      <c r="AY424"/>
    </row>
    <row r="425" spans="51:51" x14ac:dyDescent="0.3">
      <c r="AY425"/>
    </row>
    <row r="426" spans="51:51" x14ac:dyDescent="0.3">
      <c r="AY426"/>
    </row>
    <row r="427" spans="51:51" x14ac:dyDescent="0.3">
      <c r="AY427"/>
    </row>
    <row r="428" spans="51:51" x14ac:dyDescent="0.3">
      <c r="AY428"/>
    </row>
    <row r="429" spans="51:51" x14ac:dyDescent="0.3">
      <c r="AY429"/>
    </row>
    <row r="430" spans="51:51" x14ac:dyDescent="0.3">
      <c r="AY430"/>
    </row>
    <row r="431" spans="51:51" x14ac:dyDescent="0.3">
      <c r="AY431"/>
    </row>
    <row r="432" spans="51:51" x14ac:dyDescent="0.3">
      <c r="AY432"/>
    </row>
    <row r="433" spans="51:51" x14ac:dyDescent="0.3">
      <c r="AY433"/>
    </row>
    <row r="434" spans="51:51" x14ac:dyDescent="0.3">
      <c r="AY434"/>
    </row>
    <row r="435" spans="51:51" x14ac:dyDescent="0.3">
      <c r="AY435"/>
    </row>
    <row r="436" spans="51:51" x14ac:dyDescent="0.3">
      <c r="AY436"/>
    </row>
    <row r="437" spans="51:51" x14ac:dyDescent="0.3">
      <c r="AY437"/>
    </row>
    <row r="438" spans="51:51" x14ac:dyDescent="0.3">
      <c r="AY438"/>
    </row>
    <row r="439" spans="51:51" x14ac:dyDescent="0.3">
      <c r="AY439"/>
    </row>
    <row r="440" spans="51:51" x14ac:dyDescent="0.3">
      <c r="AY440"/>
    </row>
    <row r="441" spans="51:51" x14ac:dyDescent="0.3">
      <c r="AY441"/>
    </row>
    <row r="442" spans="51:51" x14ac:dyDescent="0.3">
      <c r="AY442"/>
    </row>
    <row r="443" spans="51:51" x14ac:dyDescent="0.3">
      <c r="AY443"/>
    </row>
    <row r="444" spans="51:51" x14ac:dyDescent="0.3">
      <c r="AY444"/>
    </row>
    <row r="445" spans="51:51" x14ac:dyDescent="0.3">
      <c r="AY445"/>
    </row>
    <row r="446" spans="51:51" x14ac:dyDescent="0.3">
      <c r="AY446"/>
    </row>
    <row r="447" spans="51:51" x14ac:dyDescent="0.3">
      <c r="AY447"/>
    </row>
    <row r="448" spans="51:51" x14ac:dyDescent="0.3">
      <c r="AY448"/>
    </row>
    <row r="449" spans="51:51" x14ac:dyDescent="0.3">
      <c r="AY449"/>
    </row>
    <row r="450" spans="51:51" x14ac:dyDescent="0.3">
      <c r="AY450"/>
    </row>
    <row r="451" spans="51:51" x14ac:dyDescent="0.3">
      <c r="AY451"/>
    </row>
    <row r="452" spans="51:51" x14ac:dyDescent="0.3">
      <c r="AY452"/>
    </row>
    <row r="453" spans="51:51" x14ac:dyDescent="0.3">
      <c r="AY453"/>
    </row>
    <row r="454" spans="51:51" x14ac:dyDescent="0.3">
      <c r="AY454"/>
    </row>
    <row r="455" spans="51:51" x14ac:dyDescent="0.3">
      <c r="AY455"/>
    </row>
    <row r="456" spans="51:51" x14ac:dyDescent="0.3">
      <c r="AY456"/>
    </row>
    <row r="457" spans="51:51" x14ac:dyDescent="0.3">
      <c r="AY457"/>
    </row>
    <row r="458" spans="51:51" x14ac:dyDescent="0.3">
      <c r="AY458"/>
    </row>
    <row r="459" spans="51:51" x14ac:dyDescent="0.3">
      <c r="AY459"/>
    </row>
    <row r="460" spans="51:51" x14ac:dyDescent="0.3">
      <c r="AY460"/>
    </row>
    <row r="461" spans="51:51" x14ac:dyDescent="0.3">
      <c r="AY461"/>
    </row>
    <row r="462" spans="51:51" x14ac:dyDescent="0.3">
      <c r="AY462"/>
    </row>
    <row r="463" spans="51:51" x14ac:dyDescent="0.3">
      <c r="AY463"/>
    </row>
    <row r="464" spans="51:51" x14ac:dyDescent="0.3">
      <c r="AY464"/>
    </row>
    <row r="465" spans="51:51" x14ac:dyDescent="0.3">
      <c r="AY465"/>
    </row>
    <row r="466" spans="51:51" x14ac:dyDescent="0.3">
      <c r="AY466"/>
    </row>
    <row r="467" spans="51:51" x14ac:dyDescent="0.3">
      <c r="AY467"/>
    </row>
    <row r="468" spans="51:51" x14ac:dyDescent="0.3">
      <c r="AY468"/>
    </row>
    <row r="469" spans="51:51" x14ac:dyDescent="0.3">
      <c r="AY469"/>
    </row>
    <row r="470" spans="51:51" x14ac:dyDescent="0.3">
      <c r="AY470"/>
    </row>
    <row r="471" spans="51:51" x14ac:dyDescent="0.3">
      <c r="AY471"/>
    </row>
    <row r="472" spans="51:51" x14ac:dyDescent="0.3">
      <c r="AY472"/>
    </row>
    <row r="473" spans="51:51" x14ac:dyDescent="0.3">
      <c r="AY473"/>
    </row>
    <row r="474" spans="51:51" x14ac:dyDescent="0.3">
      <c r="AY474"/>
    </row>
    <row r="475" spans="51:51" x14ac:dyDescent="0.3">
      <c r="AY475"/>
    </row>
    <row r="476" spans="51:51" x14ac:dyDescent="0.3">
      <c r="AY476"/>
    </row>
    <row r="477" spans="51:51" x14ac:dyDescent="0.3">
      <c r="AY477"/>
    </row>
    <row r="478" spans="51:51" x14ac:dyDescent="0.3">
      <c r="AY478"/>
    </row>
    <row r="479" spans="51:51" x14ac:dyDescent="0.3">
      <c r="AY479"/>
    </row>
    <row r="480" spans="51:51" x14ac:dyDescent="0.3">
      <c r="AY480"/>
    </row>
    <row r="481" spans="51:51" x14ac:dyDescent="0.3">
      <c r="AY481"/>
    </row>
    <row r="482" spans="51:51" x14ac:dyDescent="0.3">
      <c r="AY482"/>
    </row>
    <row r="483" spans="51:51" x14ac:dyDescent="0.3">
      <c r="AY483"/>
    </row>
    <row r="484" spans="51:51" x14ac:dyDescent="0.3">
      <c r="AY484"/>
    </row>
    <row r="485" spans="51:51" x14ac:dyDescent="0.3">
      <c r="AY485"/>
    </row>
    <row r="486" spans="51:51" x14ac:dyDescent="0.3">
      <c r="AY486"/>
    </row>
    <row r="487" spans="51:51" x14ac:dyDescent="0.3">
      <c r="AY487"/>
    </row>
    <row r="488" spans="51:51" x14ac:dyDescent="0.3">
      <c r="AY488"/>
    </row>
    <row r="489" spans="51:51" x14ac:dyDescent="0.3">
      <c r="AY489"/>
    </row>
    <row r="490" spans="51:51" x14ac:dyDescent="0.3">
      <c r="AY490"/>
    </row>
    <row r="491" spans="51:51" x14ac:dyDescent="0.3">
      <c r="AY491"/>
    </row>
    <row r="492" spans="51:51" x14ac:dyDescent="0.3">
      <c r="AY492"/>
    </row>
    <row r="493" spans="51:51" x14ac:dyDescent="0.3">
      <c r="AY493"/>
    </row>
    <row r="494" spans="51:51" x14ac:dyDescent="0.3">
      <c r="AY494"/>
    </row>
    <row r="495" spans="51:51" x14ac:dyDescent="0.3">
      <c r="AY495"/>
    </row>
    <row r="496" spans="51:51" x14ac:dyDescent="0.3">
      <c r="AY496"/>
    </row>
    <row r="497" spans="51:51" x14ac:dyDescent="0.3">
      <c r="AY497"/>
    </row>
    <row r="498" spans="51:51" x14ac:dyDescent="0.3">
      <c r="AY498"/>
    </row>
    <row r="499" spans="51:51" x14ac:dyDescent="0.3">
      <c r="AY499"/>
    </row>
    <row r="500" spans="51:51" x14ac:dyDescent="0.3">
      <c r="AY500"/>
    </row>
    <row r="501" spans="51:51" x14ac:dyDescent="0.3">
      <c r="AY501"/>
    </row>
    <row r="502" spans="51:51" x14ac:dyDescent="0.3">
      <c r="AY502"/>
    </row>
    <row r="503" spans="51:51" x14ac:dyDescent="0.3">
      <c r="AY503"/>
    </row>
    <row r="504" spans="51:51" x14ac:dyDescent="0.3">
      <c r="AY504"/>
    </row>
    <row r="505" spans="51:51" x14ac:dyDescent="0.3">
      <c r="AY505"/>
    </row>
    <row r="506" spans="51:51" x14ac:dyDescent="0.3">
      <c r="AY506"/>
    </row>
    <row r="507" spans="51:51" x14ac:dyDescent="0.3">
      <c r="AY507"/>
    </row>
    <row r="508" spans="51:51" x14ac:dyDescent="0.3">
      <c r="AY508"/>
    </row>
    <row r="509" spans="51:51" x14ac:dyDescent="0.3">
      <c r="AY509"/>
    </row>
    <row r="510" spans="51:51" x14ac:dyDescent="0.3">
      <c r="AY510"/>
    </row>
    <row r="511" spans="51:51" x14ac:dyDescent="0.3">
      <c r="AY511"/>
    </row>
    <row r="512" spans="51:51" x14ac:dyDescent="0.3">
      <c r="AY512"/>
    </row>
    <row r="513" spans="51:51" x14ac:dyDescent="0.3">
      <c r="AY513"/>
    </row>
    <row r="514" spans="51:51" x14ac:dyDescent="0.3">
      <c r="AY514"/>
    </row>
    <row r="515" spans="51:51" x14ac:dyDescent="0.3">
      <c r="AY515"/>
    </row>
    <row r="516" spans="51:51" x14ac:dyDescent="0.3">
      <c r="AY516"/>
    </row>
    <row r="517" spans="51:51" x14ac:dyDescent="0.3">
      <c r="AY517"/>
    </row>
    <row r="518" spans="51:51" x14ac:dyDescent="0.3">
      <c r="AY518"/>
    </row>
    <row r="519" spans="51:51" x14ac:dyDescent="0.3">
      <c r="AY519"/>
    </row>
    <row r="520" spans="51:51" x14ac:dyDescent="0.3">
      <c r="AY520"/>
    </row>
    <row r="521" spans="51:51" x14ac:dyDescent="0.3">
      <c r="AY521"/>
    </row>
    <row r="522" spans="51:51" x14ac:dyDescent="0.3">
      <c r="AY522"/>
    </row>
    <row r="523" spans="51:51" x14ac:dyDescent="0.3">
      <c r="AY523"/>
    </row>
    <row r="524" spans="51:51" x14ac:dyDescent="0.3">
      <c r="AY524"/>
    </row>
    <row r="525" spans="51:51" x14ac:dyDescent="0.3">
      <c r="AY525"/>
    </row>
    <row r="526" spans="51:51" x14ac:dyDescent="0.3">
      <c r="AY526"/>
    </row>
    <row r="527" spans="51:51" x14ac:dyDescent="0.3">
      <c r="AY527"/>
    </row>
    <row r="528" spans="51:51" x14ac:dyDescent="0.3">
      <c r="AY528"/>
    </row>
    <row r="529" spans="51:51" x14ac:dyDescent="0.3">
      <c r="AY529"/>
    </row>
    <row r="530" spans="51:51" x14ac:dyDescent="0.3">
      <c r="AY530"/>
    </row>
    <row r="531" spans="51:51" x14ac:dyDescent="0.3">
      <c r="AY531"/>
    </row>
    <row r="532" spans="51:51" x14ac:dyDescent="0.3">
      <c r="AY532"/>
    </row>
    <row r="533" spans="51:51" x14ac:dyDescent="0.3">
      <c r="AY533"/>
    </row>
    <row r="534" spans="51:51" x14ac:dyDescent="0.3">
      <c r="AY534"/>
    </row>
    <row r="535" spans="51:51" x14ac:dyDescent="0.3">
      <c r="AY535"/>
    </row>
    <row r="536" spans="51:51" x14ac:dyDescent="0.3">
      <c r="AY536"/>
    </row>
    <row r="537" spans="51:51" x14ac:dyDescent="0.3">
      <c r="AY537"/>
    </row>
    <row r="538" spans="51:51" x14ac:dyDescent="0.3">
      <c r="AY538"/>
    </row>
    <row r="539" spans="51:51" x14ac:dyDescent="0.3">
      <c r="AY539"/>
    </row>
    <row r="540" spans="51:51" x14ac:dyDescent="0.3">
      <c r="AY540"/>
    </row>
    <row r="541" spans="51:51" x14ac:dyDescent="0.3">
      <c r="AY541"/>
    </row>
    <row r="542" spans="51:51" x14ac:dyDescent="0.3">
      <c r="AY542"/>
    </row>
    <row r="543" spans="51:51" x14ac:dyDescent="0.3">
      <c r="AY543"/>
    </row>
    <row r="544" spans="51:51" x14ac:dyDescent="0.3">
      <c r="AY544"/>
    </row>
    <row r="545" spans="51:51" x14ac:dyDescent="0.3">
      <c r="AY545"/>
    </row>
    <row r="546" spans="51:51" x14ac:dyDescent="0.3">
      <c r="AY546"/>
    </row>
    <row r="547" spans="51:51" x14ac:dyDescent="0.3">
      <c r="AY547"/>
    </row>
    <row r="548" spans="51:51" x14ac:dyDescent="0.3">
      <c r="AY548"/>
    </row>
    <row r="549" spans="51:51" x14ac:dyDescent="0.3">
      <c r="AY549"/>
    </row>
    <row r="550" spans="51:51" x14ac:dyDescent="0.3">
      <c r="AY550"/>
    </row>
    <row r="551" spans="51:51" x14ac:dyDescent="0.3">
      <c r="AY551"/>
    </row>
    <row r="552" spans="51:51" x14ac:dyDescent="0.3">
      <c r="AY552"/>
    </row>
    <row r="553" spans="51:51" x14ac:dyDescent="0.3">
      <c r="AY553"/>
    </row>
    <row r="554" spans="51:51" x14ac:dyDescent="0.3">
      <c r="AY554"/>
    </row>
    <row r="555" spans="51:51" x14ac:dyDescent="0.3">
      <c r="AY555"/>
    </row>
    <row r="556" spans="51:51" x14ac:dyDescent="0.3">
      <c r="AY556"/>
    </row>
    <row r="557" spans="51:51" x14ac:dyDescent="0.3">
      <c r="AY557"/>
    </row>
    <row r="558" spans="51:51" x14ac:dyDescent="0.3">
      <c r="AY558"/>
    </row>
    <row r="559" spans="51:51" x14ac:dyDescent="0.3">
      <c r="AY559"/>
    </row>
    <row r="560" spans="51:51" x14ac:dyDescent="0.3">
      <c r="AY560"/>
    </row>
    <row r="561" spans="51:51" x14ac:dyDescent="0.3">
      <c r="AY561"/>
    </row>
    <row r="562" spans="51:51" x14ac:dyDescent="0.3">
      <c r="AY562"/>
    </row>
    <row r="563" spans="51:51" x14ac:dyDescent="0.3">
      <c r="AY563"/>
    </row>
    <row r="564" spans="51:51" x14ac:dyDescent="0.3">
      <c r="AY564"/>
    </row>
    <row r="565" spans="51:51" x14ac:dyDescent="0.3">
      <c r="AY565"/>
    </row>
    <row r="566" spans="51:51" x14ac:dyDescent="0.3">
      <c r="AY566"/>
    </row>
    <row r="567" spans="51:51" x14ac:dyDescent="0.3">
      <c r="AY567"/>
    </row>
    <row r="568" spans="51:51" x14ac:dyDescent="0.3">
      <c r="AY568"/>
    </row>
    <row r="569" spans="51:51" x14ac:dyDescent="0.3">
      <c r="AY569"/>
    </row>
    <row r="570" spans="51:51" x14ac:dyDescent="0.3">
      <c r="AY570"/>
    </row>
    <row r="571" spans="51:51" x14ac:dyDescent="0.3">
      <c r="AY571"/>
    </row>
    <row r="572" spans="51:51" x14ac:dyDescent="0.3">
      <c r="AY572"/>
    </row>
    <row r="573" spans="51:51" x14ac:dyDescent="0.3">
      <c r="AY573"/>
    </row>
    <row r="574" spans="51:51" x14ac:dyDescent="0.3">
      <c r="AY574"/>
    </row>
    <row r="575" spans="51:51" x14ac:dyDescent="0.3">
      <c r="AY575"/>
    </row>
    <row r="576" spans="51:51" x14ac:dyDescent="0.3">
      <c r="AY576"/>
    </row>
    <row r="577" spans="51:51" x14ac:dyDescent="0.3">
      <c r="AY577"/>
    </row>
    <row r="578" spans="51:51" x14ac:dyDescent="0.3">
      <c r="AY578"/>
    </row>
    <row r="579" spans="51:51" x14ac:dyDescent="0.3">
      <c r="AY579"/>
    </row>
    <row r="580" spans="51:51" x14ac:dyDescent="0.3">
      <c r="AY580"/>
    </row>
    <row r="581" spans="51:51" x14ac:dyDescent="0.3">
      <c r="AY581"/>
    </row>
    <row r="582" spans="51:51" x14ac:dyDescent="0.3">
      <c r="AY582"/>
    </row>
    <row r="583" spans="51:51" x14ac:dyDescent="0.3">
      <c r="AY583"/>
    </row>
    <row r="584" spans="51:51" x14ac:dyDescent="0.3">
      <c r="AY584"/>
    </row>
    <row r="585" spans="51:51" x14ac:dyDescent="0.3">
      <c r="AY585"/>
    </row>
    <row r="586" spans="51:51" x14ac:dyDescent="0.3">
      <c r="AY586"/>
    </row>
    <row r="587" spans="51:51" x14ac:dyDescent="0.3">
      <c r="AY587"/>
    </row>
    <row r="588" spans="51:51" x14ac:dyDescent="0.3">
      <c r="AY588"/>
    </row>
    <row r="589" spans="51:51" x14ac:dyDescent="0.3">
      <c r="AY589"/>
    </row>
    <row r="590" spans="51:51" x14ac:dyDescent="0.3">
      <c r="AY590"/>
    </row>
    <row r="591" spans="51:51" x14ac:dyDescent="0.3">
      <c r="AY591"/>
    </row>
    <row r="592" spans="51:51" x14ac:dyDescent="0.3">
      <c r="AY592"/>
    </row>
    <row r="593" spans="51:51" x14ac:dyDescent="0.3">
      <c r="AY593"/>
    </row>
    <row r="594" spans="51:51" x14ac:dyDescent="0.3">
      <c r="AY594"/>
    </row>
    <row r="595" spans="51:51" x14ac:dyDescent="0.3">
      <c r="AY595"/>
    </row>
    <row r="596" spans="51:51" x14ac:dyDescent="0.3">
      <c r="AY596"/>
    </row>
    <row r="597" spans="51:51" x14ac:dyDescent="0.3">
      <c r="AY597"/>
    </row>
    <row r="598" spans="51:51" x14ac:dyDescent="0.3">
      <c r="AY598"/>
    </row>
    <row r="599" spans="51:51" x14ac:dyDescent="0.3">
      <c r="AY599"/>
    </row>
    <row r="600" spans="51:51" x14ac:dyDescent="0.3">
      <c r="AY600"/>
    </row>
    <row r="601" spans="51:51" x14ac:dyDescent="0.3">
      <c r="AY601"/>
    </row>
    <row r="602" spans="51:51" x14ac:dyDescent="0.3">
      <c r="AY602"/>
    </row>
    <row r="603" spans="51:51" x14ac:dyDescent="0.3">
      <c r="AY603"/>
    </row>
    <row r="604" spans="51:51" x14ac:dyDescent="0.3">
      <c r="AY604"/>
    </row>
    <row r="605" spans="51:51" x14ac:dyDescent="0.3">
      <c r="AY605"/>
    </row>
    <row r="606" spans="51:51" x14ac:dyDescent="0.3">
      <c r="AY606"/>
    </row>
    <row r="607" spans="51:51" x14ac:dyDescent="0.3">
      <c r="AY607"/>
    </row>
    <row r="608" spans="51:51" x14ac:dyDescent="0.3">
      <c r="AY608"/>
    </row>
    <row r="609" spans="51:51" x14ac:dyDescent="0.3">
      <c r="AY609"/>
    </row>
    <row r="610" spans="51:51" x14ac:dyDescent="0.3">
      <c r="AY610"/>
    </row>
    <row r="611" spans="51:51" x14ac:dyDescent="0.3">
      <c r="AY611"/>
    </row>
    <row r="612" spans="51:51" x14ac:dyDescent="0.3">
      <c r="AY612"/>
    </row>
    <row r="613" spans="51:51" x14ac:dyDescent="0.3">
      <c r="AY613"/>
    </row>
    <row r="614" spans="51:51" x14ac:dyDescent="0.3">
      <c r="AY614"/>
    </row>
    <row r="615" spans="51:51" x14ac:dyDescent="0.3">
      <c r="AY615"/>
    </row>
    <row r="616" spans="51:51" x14ac:dyDescent="0.3">
      <c r="AY616"/>
    </row>
    <row r="617" spans="51:51" x14ac:dyDescent="0.3">
      <c r="AY617"/>
    </row>
    <row r="618" spans="51:51" x14ac:dyDescent="0.3">
      <c r="AY618"/>
    </row>
    <row r="619" spans="51:51" x14ac:dyDescent="0.3">
      <c r="AY619"/>
    </row>
    <row r="620" spans="51:51" x14ac:dyDescent="0.3">
      <c r="AY620"/>
    </row>
    <row r="621" spans="51:51" x14ac:dyDescent="0.3">
      <c r="AY621"/>
    </row>
    <row r="622" spans="51:51" x14ac:dyDescent="0.3">
      <c r="AY622"/>
    </row>
    <row r="623" spans="51:51" x14ac:dyDescent="0.3">
      <c r="AY623"/>
    </row>
    <row r="624" spans="51:51" x14ac:dyDescent="0.3">
      <c r="AY624"/>
    </row>
    <row r="625" spans="51:51" x14ac:dyDescent="0.3">
      <c r="AY625"/>
    </row>
    <row r="626" spans="51:51" x14ac:dyDescent="0.3">
      <c r="AY626"/>
    </row>
    <row r="627" spans="51:51" x14ac:dyDescent="0.3">
      <c r="AY627"/>
    </row>
    <row r="628" spans="51:51" x14ac:dyDescent="0.3">
      <c r="AY628"/>
    </row>
    <row r="629" spans="51:51" x14ac:dyDescent="0.3">
      <c r="AY629"/>
    </row>
    <row r="630" spans="51:51" x14ac:dyDescent="0.3">
      <c r="AY630"/>
    </row>
    <row r="631" spans="51:51" x14ac:dyDescent="0.3">
      <c r="AY631"/>
    </row>
    <row r="632" spans="51:51" x14ac:dyDescent="0.3">
      <c r="AY632"/>
    </row>
    <row r="633" spans="51:51" x14ac:dyDescent="0.3">
      <c r="AY633"/>
    </row>
    <row r="634" spans="51:51" x14ac:dyDescent="0.3">
      <c r="AY634"/>
    </row>
    <row r="635" spans="51:51" x14ac:dyDescent="0.3">
      <c r="AY635"/>
    </row>
    <row r="636" spans="51:51" x14ac:dyDescent="0.3">
      <c r="AY636"/>
    </row>
    <row r="637" spans="51:51" x14ac:dyDescent="0.3">
      <c r="AY637"/>
    </row>
    <row r="638" spans="51:51" x14ac:dyDescent="0.3">
      <c r="AY638"/>
    </row>
    <row r="639" spans="51:51" x14ac:dyDescent="0.3">
      <c r="AY639"/>
    </row>
    <row r="640" spans="51:51" x14ac:dyDescent="0.3">
      <c r="AY640"/>
    </row>
    <row r="641" spans="51:51" x14ac:dyDescent="0.3">
      <c r="AY641"/>
    </row>
    <row r="642" spans="51:51" x14ac:dyDescent="0.3">
      <c r="AY642"/>
    </row>
    <row r="643" spans="51:51" x14ac:dyDescent="0.3">
      <c r="AY643"/>
    </row>
    <row r="644" spans="51:51" x14ac:dyDescent="0.3">
      <c r="AY644"/>
    </row>
    <row r="645" spans="51:51" x14ac:dyDescent="0.3">
      <c r="AY645"/>
    </row>
    <row r="646" spans="51:51" x14ac:dyDescent="0.3">
      <c r="AY646"/>
    </row>
    <row r="647" spans="51:51" x14ac:dyDescent="0.3">
      <c r="AY647"/>
    </row>
    <row r="648" spans="51:51" x14ac:dyDescent="0.3">
      <c r="AY648"/>
    </row>
    <row r="649" spans="51:51" x14ac:dyDescent="0.3">
      <c r="AY649"/>
    </row>
    <row r="650" spans="51:51" x14ac:dyDescent="0.3">
      <c r="AY650"/>
    </row>
    <row r="651" spans="51:51" x14ac:dyDescent="0.3">
      <c r="AY651"/>
    </row>
    <row r="652" spans="51:51" x14ac:dyDescent="0.3">
      <c r="AY652"/>
    </row>
    <row r="653" spans="51:51" x14ac:dyDescent="0.3">
      <c r="AY653"/>
    </row>
    <row r="654" spans="51:51" x14ac:dyDescent="0.3">
      <c r="AY654"/>
    </row>
    <row r="655" spans="51:51" x14ac:dyDescent="0.3">
      <c r="AY655"/>
    </row>
    <row r="656" spans="51:51" x14ac:dyDescent="0.3">
      <c r="AY656"/>
    </row>
    <row r="657" spans="51:51" x14ac:dyDescent="0.3">
      <c r="AY657"/>
    </row>
    <row r="658" spans="51:51" x14ac:dyDescent="0.3">
      <c r="AY658"/>
    </row>
    <row r="659" spans="51:51" x14ac:dyDescent="0.3">
      <c r="AY659"/>
    </row>
    <row r="660" spans="51:51" x14ac:dyDescent="0.3">
      <c r="AY660"/>
    </row>
    <row r="661" spans="51:51" x14ac:dyDescent="0.3">
      <c r="AY661"/>
    </row>
    <row r="662" spans="51:51" x14ac:dyDescent="0.3">
      <c r="AY662"/>
    </row>
    <row r="663" spans="51:51" x14ac:dyDescent="0.3">
      <c r="AY663"/>
    </row>
    <row r="664" spans="51:51" x14ac:dyDescent="0.3">
      <c r="AY664"/>
    </row>
    <row r="665" spans="51:51" x14ac:dyDescent="0.3">
      <c r="AY665"/>
    </row>
    <row r="666" spans="51:51" x14ac:dyDescent="0.3">
      <c r="AY666"/>
    </row>
    <row r="667" spans="51:51" x14ac:dyDescent="0.3">
      <c r="AY667"/>
    </row>
    <row r="668" spans="51:51" x14ac:dyDescent="0.3">
      <c r="AY668"/>
    </row>
    <row r="669" spans="51:51" x14ac:dyDescent="0.3">
      <c r="AY669"/>
    </row>
    <row r="670" spans="51:51" x14ac:dyDescent="0.3">
      <c r="AY670"/>
    </row>
    <row r="671" spans="51:51" x14ac:dyDescent="0.3">
      <c r="AY671"/>
    </row>
    <row r="672" spans="51:51" x14ac:dyDescent="0.3">
      <c r="AY672"/>
    </row>
    <row r="673" spans="51:51" x14ac:dyDescent="0.3">
      <c r="AY673"/>
    </row>
    <row r="674" spans="51:51" x14ac:dyDescent="0.3">
      <c r="AY674"/>
    </row>
    <row r="675" spans="51:51" x14ac:dyDescent="0.3">
      <c r="AY675"/>
    </row>
    <row r="676" spans="51:51" x14ac:dyDescent="0.3">
      <c r="AY676"/>
    </row>
    <row r="677" spans="51:51" x14ac:dyDescent="0.3">
      <c r="AY677"/>
    </row>
    <row r="678" spans="51:51" x14ac:dyDescent="0.3">
      <c r="AY678"/>
    </row>
    <row r="679" spans="51:51" x14ac:dyDescent="0.3">
      <c r="AY679"/>
    </row>
    <row r="680" spans="51:51" x14ac:dyDescent="0.3">
      <c r="AY680"/>
    </row>
    <row r="681" spans="51:51" x14ac:dyDescent="0.3">
      <c r="AY681"/>
    </row>
    <row r="682" spans="51:51" x14ac:dyDescent="0.3">
      <c r="AY682"/>
    </row>
    <row r="683" spans="51:51" x14ac:dyDescent="0.3">
      <c r="AY683"/>
    </row>
    <row r="684" spans="51:51" x14ac:dyDescent="0.3">
      <c r="AY684"/>
    </row>
    <row r="685" spans="51:51" x14ac:dyDescent="0.3">
      <c r="AY685"/>
    </row>
    <row r="686" spans="51:51" x14ac:dyDescent="0.3">
      <c r="AY686"/>
    </row>
    <row r="687" spans="51:51" x14ac:dyDescent="0.3">
      <c r="AY687"/>
    </row>
    <row r="688" spans="51:51" x14ac:dyDescent="0.3">
      <c r="AY688"/>
    </row>
    <row r="689" spans="51:51" x14ac:dyDescent="0.3">
      <c r="AY689"/>
    </row>
    <row r="690" spans="51:51" x14ac:dyDescent="0.3">
      <c r="AY690"/>
    </row>
    <row r="691" spans="51:51" x14ac:dyDescent="0.3">
      <c r="AY691"/>
    </row>
    <row r="692" spans="51:51" x14ac:dyDescent="0.3">
      <c r="AY692"/>
    </row>
    <row r="693" spans="51:51" x14ac:dyDescent="0.3">
      <c r="AY693"/>
    </row>
    <row r="694" spans="51:51" x14ac:dyDescent="0.3">
      <c r="AY694"/>
    </row>
    <row r="695" spans="51:51" x14ac:dyDescent="0.3">
      <c r="AY695"/>
    </row>
    <row r="696" spans="51:51" x14ac:dyDescent="0.3">
      <c r="AY696"/>
    </row>
    <row r="697" spans="51:51" x14ac:dyDescent="0.3">
      <c r="AY697"/>
    </row>
    <row r="698" spans="51:51" x14ac:dyDescent="0.3">
      <c r="AY698"/>
    </row>
    <row r="699" spans="51:51" x14ac:dyDescent="0.3">
      <c r="AY699"/>
    </row>
    <row r="700" spans="51:51" x14ac:dyDescent="0.3">
      <c r="AY700"/>
    </row>
    <row r="701" spans="51:51" x14ac:dyDescent="0.3">
      <c r="AY701"/>
    </row>
    <row r="702" spans="51:51" x14ac:dyDescent="0.3">
      <c r="AY702"/>
    </row>
    <row r="703" spans="51:51" x14ac:dyDescent="0.3">
      <c r="AY703"/>
    </row>
    <row r="704" spans="51:51" x14ac:dyDescent="0.3">
      <c r="AY704"/>
    </row>
    <row r="705" spans="51:51" x14ac:dyDescent="0.3">
      <c r="AY705"/>
    </row>
    <row r="706" spans="51:51" x14ac:dyDescent="0.3">
      <c r="AY706"/>
    </row>
    <row r="707" spans="51:51" x14ac:dyDescent="0.3">
      <c r="AY707"/>
    </row>
    <row r="708" spans="51:51" x14ac:dyDescent="0.3">
      <c r="AY708"/>
    </row>
    <row r="709" spans="51:51" x14ac:dyDescent="0.3">
      <c r="AY709"/>
    </row>
    <row r="710" spans="51:51" x14ac:dyDescent="0.3">
      <c r="AY710"/>
    </row>
    <row r="711" spans="51:51" x14ac:dyDescent="0.3">
      <c r="AY711"/>
    </row>
    <row r="712" spans="51:51" x14ac:dyDescent="0.3">
      <c r="AY712"/>
    </row>
    <row r="713" spans="51:51" x14ac:dyDescent="0.3">
      <c r="AY713"/>
    </row>
    <row r="714" spans="51:51" x14ac:dyDescent="0.3">
      <c r="AY714"/>
    </row>
    <row r="715" spans="51:51" x14ac:dyDescent="0.3">
      <c r="AY715"/>
    </row>
    <row r="716" spans="51:51" x14ac:dyDescent="0.3">
      <c r="AY716"/>
    </row>
    <row r="717" spans="51:51" x14ac:dyDescent="0.3">
      <c r="AY717"/>
    </row>
    <row r="718" spans="51:51" x14ac:dyDescent="0.3">
      <c r="AY718"/>
    </row>
    <row r="719" spans="51:51" x14ac:dyDescent="0.3">
      <c r="AY719"/>
    </row>
    <row r="720" spans="51:51" x14ac:dyDescent="0.3">
      <c r="AY720"/>
    </row>
    <row r="721" spans="51:51" x14ac:dyDescent="0.3">
      <c r="AY721"/>
    </row>
    <row r="722" spans="51:51" x14ac:dyDescent="0.3">
      <c r="AY722"/>
    </row>
    <row r="723" spans="51:51" x14ac:dyDescent="0.3">
      <c r="AY723"/>
    </row>
    <row r="724" spans="51:51" x14ac:dyDescent="0.3">
      <c r="AY724"/>
    </row>
    <row r="725" spans="51:51" x14ac:dyDescent="0.3">
      <c r="AY725"/>
    </row>
    <row r="726" spans="51:51" x14ac:dyDescent="0.3">
      <c r="AY726"/>
    </row>
    <row r="727" spans="51:51" x14ac:dyDescent="0.3">
      <c r="AY727"/>
    </row>
    <row r="728" spans="51:51" x14ac:dyDescent="0.3">
      <c r="AY728"/>
    </row>
    <row r="729" spans="51:51" x14ac:dyDescent="0.3">
      <c r="AY729"/>
    </row>
    <row r="730" spans="51:51" x14ac:dyDescent="0.3">
      <c r="AY730"/>
    </row>
    <row r="731" spans="51:51" x14ac:dyDescent="0.3">
      <c r="AY731"/>
    </row>
    <row r="732" spans="51:51" x14ac:dyDescent="0.3">
      <c r="AY732"/>
    </row>
    <row r="733" spans="51:51" x14ac:dyDescent="0.3">
      <c r="AY733"/>
    </row>
    <row r="734" spans="51:51" x14ac:dyDescent="0.3">
      <c r="AY734"/>
    </row>
    <row r="735" spans="51:51" x14ac:dyDescent="0.3">
      <c r="AY735"/>
    </row>
    <row r="736" spans="51:51" x14ac:dyDescent="0.3">
      <c r="AY736"/>
    </row>
    <row r="737" spans="51:51" x14ac:dyDescent="0.3">
      <c r="AY737"/>
    </row>
    <row r="738" spans="51:51" x14ac:dyDescent="0.3">
      <c r="AY738"/>
    </row>
    <row r="739" spans="51:51" x14ac:dyDescent="0.3">
      <c r="AY739"/>
    </row>
    <row r="740" spans="51:51" x14ac:dyDescent="0.3">
      <c r="AY740"/>
    </row>
    <row r="741" spans="51:51" x14ac:dyDescent="0.3">
      <c r="AY741"/>
    </row>
    <row r="742" spans="51:51" x14ac:dyDescent="0.3">
      <c r="AY742"/>
    </row>
    <row r="743" spans="51:51" x14ac:dyDescent="0.3">
      <c r="AY743"/>
    </row>
    <row r="744" spans="51:51" x14ac:dyDescent="0.3">
      <c r="AY744"/>
    </row>
    <row r="745" spans="51:51" x14ac:dyDescent="0.3">
      <c r="AY745"/>
    </row>
    <row r="746" spans="51:51" x14ac:dyDescent="0.3">
      <c r="AY746"/>
    </row>
    <row r="747" spans="51:51" x14ac:dyDescent="0.3">
      <c r="AY747"/>
    </row>
    <row r="748" spans="51:51" x14ac:dyDescent="0.3">
      <c r="AY748"/>
    </row>
    <row r="749" spans="51:51" x14ac:dyDescent="0.3">
      <c r="AY749"/>
    </row>
    <row r="750" spans="51:51" x14ac:dyDescent="0.3">
      <c r="AY750"/>
    </row>
    <row r="751" spans="51:51" x14ac:dyDescent="0.3">
      <c r="AY751"/>
    </row>
    <row r="752" spans="51:51" x14ac:dyDescent="0.3">
      <c r="AY752"/>
    </row>
    <row r="753" spans="51:51" x14ac:dyDescent="0.3">
      <c r="AY753"/>
    </row>
    <row r="754" spans="51:51" x14ac:dyDescent="0.3">
      <c r="AY754"/>
    </row>
    <row r="755" spans="51:51" x14ac:dyDescent="0.3">
      <c r="AY755"/>
    </row>
    <row r="756" spans="51:51" x14ac:dyDescent="0.3">
      <c r="AY756"/>
    </row>
    <row r="757" spans="51:51" x14ac:dyDescent="0.3">
      <c r="AY757"/>
    </row>
    <row r="758" spans="51:51" x14ac:dyDescent="0.3">
      <c r="AY758"/>
    </row>
    <row r="759" spans="51:51" x14ac:dyDescent="0.3">
      <c r="AY759"/>
    </row>
    <row r="760" spans="51:51" x14ac:dyDescent="0.3">
      <c r="AY760"/>
    </row>
    <row r="761" spans="51:51" x14ac:dyDescent="0.3">
      <c r="AY761"/>
    </row>
    <row r="762" spans="51:51" x14ac:dyDescent="0.3">
      <c r="AY762"/>
    </row>
    <row r="763" spans="51:51" x14ac:dyDescent="0.3">
      <c r="AY763"/>
    </row>
    <row r="764" spans="51:51" x14ac:dyDescent="0.3">
      <c r="AY764"/>
    </row>
    <row r="765" spans="51:51" x14ac:dyDescent="0.3">
      <c r="AY765"/>
    </row>
    <row r="766" spans="51:51" x14ac:dyDescent="0.3">
      <c r="AY766"/>
    </row>
    <row r="767" spans="51:51" x14ac:dyDescent="0.3">
      <c r="AY767"/>
    </row>
    <row r="768" spans="51:51" x14ac:dyDescent="0.3">
      <c r="AY768"/>
    </row>
    <row r="769" spans="51:51" x14ac:dyDescent="0.3">
      <c r="AY769"/>
    </row>
    <row r="770" spans="51:51" x14ac:dyDescent="0.3">
      <c r="AY770"/>
    </row>
    <row r="771" spans="51:51" x14ac:dyDescent="0.3">
      <c r="AY771"/>
    </row>
    <row r="772" spans="51:51" x14ac:dyDescent="0.3">
      <c r="AY772"/>
    </row>
    <row r="773" spans="51:51" x14ac:dyDescent="0.3">
      <c r="AY773"/>
    </row>
    <row r="774" spans="51:51" x14ac:dyDescent="0.3">
      <c r="AY774"/>
    </row>
    <row r="775" spans="51:51" x14ac:dyDescent="0.3">
      <c r="AY775"/>
    </row>
    <row r="776" spans="51:51" x14ac:dyDescent="0.3">
      <c r="AY776"/>
    </row>
    <row r="777" spans="51:51" x14ac:dyDescent="0.3">
      <c r="AY777"/>
    </row>
    <row r="778" spans="51:51" x14ac:dyDescent="0.3">
      <c r="AY778"/>
    </row>
    <row r="779" spans="51:51" x14ac:dyDescent="0.3">
      <c r="AY779"/>
    </row>
    <row r="780" spans="51:51" x14ac:dyDescent="0.3">
      <c r="AY780"/>
    </row>
    <row r="781" spans="51:51" x14ac:dyDescent="0.3">
      <c r="AY781"/>
    </row>
    <row r="782" spans="51:51" x14ac:dyDescent="0.3">
      <c r="AY782"/>
    </row>
    <row r="783" spans="51:51" x14ac:dyDescent="0.3">
      <c r="AY783"/>
    </row>
    <row r="784" spans="51:51" x14ac:dyDescent="0.3">
      <c r="AY784"/>
    </row>
    <row r="785" spans="51:51" x14ac:dyDescent="0.3">
      <c r="AY785"/>
    </row>
    <row r="786" spans="51:51" x14ac:dyDescent="0.3">
      <c r="AY786"/>
    </row>
    <row r="787" spans="51:51" x14ac:dyDescent="0.3">
      <c r="AY787"/>
    </row>
    <row r="788" spans="51:51" x14ac:dyDescent="0.3">
      <c r="AY788"/>
    </row>
    <row r="789" spans="51:51" x14ac:dyDescent="0.3">
      <c r="AY789"/>
    </row>
    <row r="790" spans="51:51" x14ac:dyDescent="0.3">
      <c r="AY790"/>
    </row>
    <row r="791" spans="51:51" x14ac:dyDescent="0.3">
      <c r="AY791"/>
    </row>
    <row r="792" spans="51:51" x14ac:dyDescent="0.3">
      <c r="AY792"/>
    </row>
    <row r="793" spans="51:51" x14ac:dyDescent="0.3">
      <c r="AY793"/>
    </row>
    <row r="794" spans="51:51" x14ac:dyDescent="0.3">
      <c r="AY794"/>
    </row>
    <row r="795" spans="51:51" x14ac:dyDescent="0.3">
      <c r="AY795"/>
    </row>
    <row r="796" spans="51:51" x14ac:dyDescent="0.3">
      <c r="AY796"/>
    </row>
    <row r="797" spans="51:51" x14ac:dyDescent="0.3">
      <c r="AY797"/>
    </row>
    <row r="798" spans="51:51" x14ac:dyDescent="0.3">
      <c r="AY798"/>
    </row>
    <row r="799" spans="51:51" x14ac:dyDescent="0.3">
      <c r="AY799"/>
    </row>
    <row r="800" spans="51:51" x14ac:dyDescent="0.3">
      <c r="AY800"/>
    </row>
    <row r="801" spans="51:51" x14ac:dyDescent="0.3">
      <c r="AY801"/>
    </row>
    <row r="802" spans="51:51" x14ac:dyDescent="0.3">
      <c r="AY802"/>
    </row>
    <row r="803" spans="51:51" x14ac:dyDescent="0.3">
      <c r="AY803"/>
    </row>
    <row r="804" spans="51:51" x14ac:dyDescent="0.3">
      <c r="AY804"/>
    </row>
    <row r="805" spans="51:51" x14ac:dyDescent="0.3">
      <c r="AY805"/>
    </row>
    <row r="806" spans="51:51" x14ac:dyDescent="0.3">
      <c r="AY806"/>
    </row>
    <row r="807" spans="51:51" x14ac:dyDescent="0.3">
      <c r="AY807"/>
    </row>
    <row r="808" spans="51:51" x14ac:dyDescent="0.3">
      <c r="AY808"/>
    </row>
    <row r="809" spans="51:51" x14ac:dyDescent="0.3">
      <c r="AY809"/>
    </row>
    <row r="810" spans="51:51" x14ac:dyDescent="0.3">
      <c r="AY810"/>
    </row>
    <row r="811" spans="51:51" x14ac:dyDescent="0.3">
      <c r="AY811"/>
    </row>
    <row r="812" spans="51:51" x14ac:dyDescent="0.3">
      <c r="AY812"/>
    </row>
    <row r="813" spans="51:51" x14ac:dyDescent="0.3">
      <c r="AY813"/>
    </row>
    <row r="814" spans="51:51" x14ac:dyDescent="0.3">
      <c r="AY814"/>
    </row>
    <row r="815" spans="51:51" x14ac:dyDescent="0.3">
      <c r="AY815"/>
    </row>
    <row r="816" spans="51:51" x14ac:dyDescent="0.3">
      <c r="AY816"/>
    </row>
    <row r="817" spans="51:51" x14ac:dyDescent="0.3">
      <c r="AY817"/>
    </row>
    <row r="818" spans="51:51" x14ac:dyDescent="0.3">
      <c r="AY818"/>
    </row>
    <row r="819" spans="51:51" x14ac:dyDescent="0.3">
      <c r="AY819"/>
    </row>
    <row r="820" spans="51:51" x14ac:dyDescent="0.3">
      <c r="AY820"/>
    </row>
    <row r="821" spans="51:51" x14ac:dyDescent="0.3">
      <c r="AY821"/>
    </row>
    <row r="822" spans="51:51" x14ac:dyDescent="0.3">
      <c r="AY822"/>
    </row>
    <row r="823" spans="51:51" x14ac:dyDescent="0.3">
      <c r="AY823"/>
    </row>
    <row r="824" spans="51:51" x14ac:dyDescent="0.3">
      <c r="AY824"/>
    </row>
    <row r="825" spans="51:51" x14ac:dyDescent="0.3">
      <c r="AY825"/>
    </row>
    <row r="826" spans="51:51" x14ac:dyDescent="0.3">
      <c r="AY826"/>
    </row>
    <row r="827" spans="51:51" x14ac:dyDescent="0.3">
      <c r="AY827"/>
    </row>
    <row r="828" spans="51:51" x14ac:dyDescent="0.3">
      <c r="AY828"/>
    </row>
    <row r="829" spans="51:51" x14ac:dyDescent="0.3">
      <c r="AY829"/>
    </row>
    <row r="830" spans="51:51" x14ac:dyDescent="0.3">
      <c r="AY830"/>
    </row>
    <row r="831" spans="51:51" x14ac:dyDescent="0.3">
      <c r="AY831"/>
    </row>
    <row r="832" spans="51:51" x14ac:dyDescent="0.3">
      <c r="AY832"/>
    </row>
    <row r="833" spans="51:51" x14ac:dyDescent="0.3">
      <c r="AY833"/>
    </row>
    <row r="834" spans="51:51" x14ac:dyDescent="0.3">
      <c r="AY834"/>
    </row>
    <row r="835" spans="51:51" x14ac:dyDescent="0.3">
      <c r="AY835"/>
    </row>
    <row r="836" spans="51:51" x14ac:dyDescent="0.3">
      <c r="AY836"/>
    </row>
    <row r="837" spans="51:51" x14ac:dyDescent="0.3">
      <c r="AY837"/>
    </row>
    <row r="838" spans="51:51" x14ac:dyDescent="0.3">
      <c r="AY838"/>
    </row>
    <row r="839" spans="51:51" x14ac:dyDescent="0.3">
      <c r="AY839"/>
    </row>
    <row r="840" spans="51:51" x14ac:dyDescent="0.3">
      <c r="AY840"/>
    </row>
    <row r="841" spans="51:51" x14ac:dyDescent="0.3">
      <c r="AY841"/>
    </row>
    <row r="842" spans="51:51" x14ac:dyDescent="0.3">
      <c r="AY842"/>
    </row>
    <row r="843" spans="51:51" x14ac:dyDescent="0.3">
      <c r="AY843"/>
    </row>
    <row r="844" spans="51:51" x14ac:dyDescent="0.3">
      <c r="AY844"/>
    </row>
    <row r="845" spans="51:51" x14ac:dyDescent="0.3">
      <c r="AY845"/>
    </row>
    <row r="846" spans="51:51" x14ac:dyDescent="0.3">
      <c r="AY846"/>
    </row>
    <row r="847" spans="51:51" x14ac:dyDescent="0.3">
      <c r="AY847"/>
    </row>
    <row r="848" spans="51:51" x14ac:dyDescent="0.3">
      <c r="AY848"/>
    </row>
    <row r="849" spans="51:51" x14ac:dyDescent="0.3">
      <c r="AY849"/>
    </row>
    <row r="850" spans="51:51" x14ac:dyDescent="0.3">
      <c r="AY850"/>
    </row>
    <row r="851" spans="51:51" x14ac:dyDescent="0.3">
      <c r="AY851"/>
    </row>
    <row r="852" spans="51:51" x14ac:dyDescent="0.3">
      <c r="AY852"/>
    </row>
    <row r="853" spans="51:51" x14ac:dyDescent="0.3">
      <c r="AY853"/>
    </row>
    <row r="854" spans="51:51" x14ac:dyDescent="0.3">
      <c r="AY854"/>
    </row>
    <row r="855" spans="51:51" x14ac:dyDescent="0.3">
      <c r="AY855"/>
    </row>
    <row r="856" spans="51:51" x14ac:dyDescent="0.3">
      <c r="AY856"/>
    </row>
    <row r="857" spans="51:51" x14ac:dyDescent="0.3">
      <c r="AY857"/>
    </row>
    <row r="858" spans="51:51" x14ac:dyDescent="0.3">
      <c r="AY858"/>
    </row>
    <row r="859" spans="51:51" x14ac:dyDescent="0.3">
      <c r="AY859"/>
    </row>
    <row r="860" spans="51:51" x14ac:dyDescent="0.3">
      <c r="AY860"/>
    </row>
    <row r="861" spans="51:51" x14ac:dyDescent="0.3">
      <c r="AY861"/>
    </row>
    <row r="862" spans="51:51" x14ac:dyDescent="0.3">
      <c r="AY862"/>
    </row>
    <row r="863" spans="51:51" x14ac:dyDescent="0.3">
      <c r="AY863"/>
    </row>
    <row r="864" spans="51:51" x14ac:dyDescent="0.3">
      <c r="AY864"/>
    </row>
    <row r="865" spans="51:51" x14ac:dyDescent="0.3">
      <c r="AY865"/>
    </row>
    <row r="866" spans="51:51" x14ac:dyDescent="0.3">
      <c r="AY866"/>
    </row>
    <row r="867" spans="51:51" x14ac:dyDescent="0.3">
      <c r="AY867"/>
    </row>
    <row r="868" spans="51:51" x14ac:dyDescent="0.3">
      <c r="AY868"/>
    </row>
    <row r="869" spans="51:51" x14ac:dyDescent="0.3">
      <c r="AY869"/>
    </row>
    <row r="870" spans="51:51" x14ac:dyDescent="0.3">
      <c r="AY870"/>
    </row>
    <row r="871" spans="51:51" x14ac:dyDescent="0.3">
      <c r="AY871"/>
    </row>
    <row r="872" spans="51:51" x14ac:dyDescent="0.3">
      <c r="AY872"/>
    </row>
    <row r="873" spans="51:51" x14ac:dyDescent="0.3">
      <c r="AY873"/>
    </row>
    <row r="874" spans="51:51" x14ac:dyDescent="0.3">
      <c r="AY874"/>
    </row>
    <row r="875" spans="51:51" x14ac:dyDescent="0.3">
      <c r="AY875"/>
    </row>
    <row r="876" spans="51:51" x14ac:dyDescent="0.3">
      <c r="AY876"/>
    </row>
    <row r="877" spans="51:51" x14ac:dyDescent="0.3">
      <c r="AY877"/>
    </row>
    <row r="878" spans="51:51" x14ac:dyDescent="0.3">
      <c r="AY878"/>
    </row>
    <row r="879" spans="51:51" x14ac:dyDescent="0.3">
      <c r="AY879"/>
    </row>
    <row r="880" spans="51:51" x14ac:dyDescent="0.3">
      <c r="AY880"/>
    </row>
    <row r="881" spans="51:51" x14ac:dyDescent="0.3">
      <c r="AY881"/>
    </row>
    <row r="882" spans="51:51" x14ac:dyDescent="0.3">
      <c r="AY882"/>
    </row>
    <row r="883" spans="51:51" x14ac:dyDescent="0.3">
      <c r="AY883"/>
    </row>
    <row r="884" spans="51:51" x14ac:dyDescent="0.3">
      <c r="AY884"/>
    </row>
    <row r="885" spans="51:51" x14ac:dyDescent="0.3">
      <c r="AY885"/>
    </row>
    <row r="886" spans="51:51" x14ac:dyDescent="0.3">
      <c r="AY886"/>
    </row>
    <row r="887" spans="51:51" x14ac:dyDescent="0.3">
      <c r="AY887"/>
    </row>
    <row r="888" spans="51:51" x14ac:dyDescent="0.3">
      <c r="AY888"/>
    </row>
    <row r="889" spans="51:51" x14ac:dyDescent="0.3">
      <c r="AY889"/>
    </row>
    <row r="890" spans="51:51" x14ac:dyDescent="0.3">
      <c r="AY890"/>
    </row>
    <row r="891" spans="51:51" x14ac:dyDescent="0.3">
      <c r="AY891"/>
    </row>
    <row r="892" spans="51:51" x14ac:dyDescent="0.3">
      <c r="AY892"/>
    </row>
    <row r="893" spans="51:51" x14ac:dyDescent="0.3">
      <c r="AY893"/>
    </row>
    <row r="894" spans="51:51" x14ac:dyDescent="0.3">
      <c r="AY894"/>
    </row>
    <row r="895" spans="51:51" x14ac:dyDescent="0.3">
      <c r="AY895"/>
    </row>
    <row r="896" spans="51:51" x14ac:dyDescent="0.3">
      <c r="AY896"/>
    </row>
    <row r="897" spans="51:51" x14ac:dyDescent="0.3">
      <c r="AY897"/>
    </row>
    <row r="898" spans="51:51" x14ac:dyDescent="0.3">
      <c r="AY898"/>
    </row>
    <row r="899" spans="51:51" x14ac:dyDescent="0.3">
      <c r="AY899"/>
    </row>
    <row r="900" spans="51:51" x14ac:dyDescent="0.3">
      <c r="AY900"/>
    </row>
    <row r="901" spans="51:51" x14ac:dyDescent="0.3">
      <c r="AY901"/>
    </row>
    <row r="902" spans="51:51" x14ac:dyDescent="0.3">
      <c r="AY902"/>
    </row>
    <row r="903" spans="51:51" x14ac:dyDescent="0.3">
      <c r="AY903"/>
    </row>
    <row r="904" spans="51:51" x14ac:dyDescent="0.3">
      <c r="AY904"/>
    </row>
    <row r="905" spans="51:51" x14ac:dyDescent="0.3">
      <c r="AY905"/>
    </row>
    <row r="906" spans="51:51" x14ac:dyDescent="0.3">
      <c r="AY906"/>
    </row>
    <row r="907" spans="51:51" x14ac:dyDescent="0.3">
      <c r="AY907"/>
    </row>
    <row r="908" spans="51:51" x14ac:dyDescent="0.3">
      <c r="AY908"/>
    </row>
    <row r="909" spans="51:51" x14ac:dyDescent="0.3">
      <c r="AY909"/>
    </row>
    <row r="910" spans="51:51" x14ac:dyDescent="0.3">
      <c r="AY910"/>
    </row>
    <row r="911" spans="51:51" x14ac:dyDescent="0.3">
      <c r="AY911"/>
    </row>
    <row r="912" spans="51:51" x14ac:dyDescent="0.3">
      <c r="AY912"/>
    </row>
    <row r="913" spans="51:51" x14ac:dyDescent="0.3">
      <c r="AY913"/>
    </row>
    <row r="914" spans="51:51" x14ac:dyDescent="0.3">
      <c r="AY914"/>
    </row>
    <row r="915" spans="51:51" x14ac:dyDescent="0.3">
      <c r="AY915"/>
    </row>
    <row r="916" spans="51:51" x14ac:dyDescent="0.3">
      <c r="AY916"/>
    </row>
    <row r="917" spans="51:51" x14ac:dyDescent="0.3">
      <c r="AY917"/>
    </row>
    <row r="918" spans="51:51" x14ac:dyDescent="0.3">
      <c r="AY918"/>
    </row>
    <row r="919" spans="51:51" x14ac:dyDescent="0.3">
      <c r="AY919"/>
    </row>
    <row r="920" spans="51:51" x14ac:dyDescent="0.3">
      <c r="AY920"/>
    </row>
    <row r="921" spans="51:51" x14ac:dyDescent="0.3">
      <c r="AY921"/>
    </row>
    <row r="922" spans="51:51" x14ac:dyDescent="0.3">
      <c r="AY922"/>
    </row>
    <row r="923" spans="51:51" x14ac:dyDescent="0.3">
      <c r="AY923"/>
    </row>
    <row r="924" spans="51:51" x14ac:dyDescent="0.3">
      <c r="AY924"/>
    </row>
    <row r="925" spans="51:51" x14ac:dyDescent="0.3">
      <c r="AY925"/>
    </row>
    <row r="926" spans="51:51" x14ac:dyDescent="0.3">
      <c r="AY926"/>
    </row>
    <row r="927" spans="51:51" x14ac:dyDescent="0.3">
      <c r="AY927"/>
    </row>
    <row r="928" spans="51:51" x14ac:dyDescent="0.3">
      <c r="AY928"/>
    </row>
    <row r="929" spans="51:51" x14ac:dyDescent="0.3">
      <c r="AY929"/>
    </row>
    <row r="930" spans="51:51" x14ac:dyDescent="0.3">
      <c r="AY930"/>
    </row>
    <row r="931" spans="51:51" x14ac:dyDescent="0.3">
      <c r="AY931"/>
    </row>
    <row r="932" spans="51:51" x14ac:dyDescent="0.3">
      <c r="AY932"/>
    </row>
    <row r="933" spans="51:51" x14ac:dyDescent="0.3">
      <c r="AY933"/>
    </row>
    <row r="934" spans="51:51" x14ac:dyDescent="0.3">
      <c r="AY934"/>
    </row>
    <row r="935" spans="51:51" x14ac:dyDescent="0.3">
      <c r="AY935"/>
    </row>
    <row r="936" spans="51:51" x14ac:dyDescent="0.3">
      <c r="AY936"/>
    </row>
    <row r="937" spans="51:51" x14ac:dyDescent="0.3">
      <c r="AY937"/>
    </row>
    <row r="938" spans="51:51" x14ac:dyDescent="0.3">
      <c r="AY938"/>
    </row>
    <row r="939" spans="51:51" x14ac:dyDescent="0.3">
      <c r="AY939"/>
    </row>
    <row r="940" spans="51:51" x14ac:dyDescent="0.3">
      <c r="AY940"/>
    </row>
    <row r="941" spans="51:51" x14ac:dyDescent="0.3">
      <c r="AY941"/>
    </row>
    <row r="942" spans="51:51" x14ac:dyDescent="0.3">
      <c r="AY942"/>
    </row>
    <row r="943" spans="51:51" x14ac:dyDescent="0.3">
      <c r="AY943"/>
    </row>
    <row r="944" spans="51:51" x14ac:dyDescent="0.3">
      <c r="AY944"/>
    </row>
    <row r="945" spans="51:51" x14ac:dyDescent="0.3">
      <c r="AY945"/>
    </row>
    <row r="946" spans="51:51" x14ac:dyDescent="0.3">
      <c r="AY946"/>
    </row>
    <row r="947" spans="51:51" x14ac:dyDescent="0.3">
      <c r="AY947"/>
    </row>
    <row r="948" spans="51:51" x14ac:dyDescent="0.3">
      <c r="AY948"/>
    </row>
    <row r="949" spans="51:51" x14ac:dyDescent="0.3">
      <c r="AY949"/>
    </row>
    <row r="950" spans="51:51" x14ac:dyDescent="0.3">
      <c r="AY950"/>
    </row>
    <row r="951" spans="51:51" x14ac:dyDescent="0.3">
      <c r="AY951"/>
    </row>
    <row r="952" spans="51:51" x14ac:dyDescent="0.3">
      <c r="AY952"/>
    </row>
    <row r="953" spans="51:51" x14ac:dyDescent="0.3">
      <c r="AY953"/>
    </row>
    <row r="954" spans="51:51" x14ac:dyDescent="0.3">
      <c r="AY954"/>
    </row>
    <row r="955" spans="51:51" x14ac:dyDescent="0.3">
      <c r="AY955"/>
    </row>
    <row r="956" spans="51:51" x14ac:dyDescent="0.3">
      <c r="AY956"/>
    </row>
    <row r="957" spans="51:51" x14ac:dyDescent="0.3">
      <c r="AY957"/>
    </row>
    <row r="958" spans="51:51" x14ac:dyDescent="0.3">
      <c r="AY958"/>
    </row>
    <row r="959" spans="51:51" x14ac:dyDescent="0.3">
      <c r="AY959"/>
    </row>
    <row r="960" spans="51:51" x14ac:dyDescent="0.3">
      <c r="AY960"/>
    </row>
    <row r="961" spans="51:51" x14ac:dyDescent="0.3">
      <c r="AY961"/>
    </row>
    <row r="962" spans="51:51" x14ac:dyDescent="0.3">
      <c r="AY962"/>
    </row>
    <row r="963" spans="51:51" x14ac:dyDescent="0.3">
      <c r="AY963"/>
    </row>
    <row r="964" spans="51:51" x14ac:dyDescent="0.3">
      <c r="AY964"/>
    </row>
    <row r="965" spans="51:51" x14ac:dyDescent="0.3">
      <c r="AY965"/>
    </row>
    <row r="966" spans="51:51" x14ac:dyDescent="0.3">
      <c r="AY966"/>
    </row>
    <row r="967" spans="51:51" x14ac:dyDescent="0.3">
      <c r="AY967"/>
    </row>
    <row r="968" spans="51:51" x14ac:dyDescent="0.3">
      <c r="AY968"/>
    </row>
    <row r="969" spans="51:51" x14ac:dyDescent="0.3">
      <c r="AY969"/>
    </row>
    <row r="970" spans="51:51" x14ac:dyDescent="0.3">
      <c r="AY970"/>
    </row>
    <row r="971" spans="51:51" x14ac:dyDescent="0.3">
      <c r="AY971"/>
    </row>
    <row r="972" spans="51:51" x14ac:dyDescent="0.3">
      <c r="AY972"/>
    </row>
    <row r="973" spans="51:51" x14ac:dyDescent="0.3">
      <c r="AY973"/>
    </row>
    <row r="974" spans="51:51" x14ac:dyDescent="0.3">
      <c r="AY974"/>
    </row>
    <row r="975" spans="51:51" x14ac:dyDescent="0.3">
      <c r="AY975"/>
    </row>
    <row r="976" spans="51:51" x14ac:dyDescent="0.3">
      <c r="AY976"/>
    </row>
    <row r="977" spans="51:51" x14ac:dyDescent="0.3">
      <c r="AY977"/>
    </row>
    <row r="978" spans="51:51" x14ac:dyDescent="0.3">
      <c r="AY978"/>
    </row>
    <row r="979" spans="51:51" x14ac:dyDescent="0.3">
      <c r="AY979"/>
    </row>
    <row r="980" spans="51:51" x14ac:dyDescent="0.3">
      <c r="AY980"/>
    </row>
    <row r="981" spans="51:51" x14ac:dyDescent="0.3">
      <c r="AY981"/>
    </row>
    <row r="982" spans="51:51" x14ac:dyDescent="0.3">
      <c r="AY982"/>
    </row>
    <row r="983" spans="51:51" x14ac:dyDescent="0.3">
      <c r="AY983"/>
    </row>
    <row r="984" spans="51:51" x14ac:dyDescent="0.3">
      <c r="AY984"/>
    </row>
    <row r="985" spans="51:51" x14ac:dyDescent="0.3">
      <c r="AY985"/>
    </row>
    <row r="986" spans="51:51" x14ac:dyDescent="0.3">
      <c r="AY986"/>
    </row>
    <row r="987" spans="51:51" x14ac:dyDescent="0.3">
      <c r="AY987"/>
    </row>
    <row r="988" spans="51:51" x14ac:dyDescent="0.3">
      <c r="AY988"/>
    </row>
    <row r="989" spans="51:51" x14ac:dyDescent="0.3">
      <c r="AY989"/>
    </row>
    <row r="990" spans="51:51" x14ac:dyDescent="0.3">
      <c r="AY990"/>
    </row>
    <row r="991" spans="51:51" x14ac:dyDescent="0.3">
      <c r="AY991"/>
    </row>
    <row r="992" spans="51:51" x14ac:dyDescent="0.3">
      <c r="AY992"/>
    </row>
    <row r="993" spans="51:51" x14ac:dyDescent="0.3">
      <c r="AY993"/>
    </row>
    <row r="994" spans="51:51" x14ac:dyDescent="0.3">
      <c r="AY994"/>
    </row>
    <row r="995" spans="51:51" x14ac:dyDescent="0.3">
      <c r="AY995"/>
    </row>
    <row r="996" spans="51:51" x14ac:dyDescent="0.3">
      <c r="AY996"/>
    </row>
    <row r="997" spans="51:51" x14ac:dyDescent="0.3">
      <c r="AY997"/>
    </row>
    <row r="998" spans="51:51" x14ac:dyDescent="0.3">
      <c r="AY998"/>
    </row>
    <row r="999" spans="51:51" x14ac:dyDescent="0.3">
      <c r="AY999"/>
    </row>
    <row r="1000" spans="51:51" x14ac:dyDescent="0.3">
      <c r="AY1000"/>
    </row>
    <row r="1001" spans="51:51" x14ac:dyDescent="0.3">
      <c r="AY1001"/>
    </row>
    <row r="1002" spans="51:51" x14ac:dyDescent="0.3">
      <c r="AY1002"/>
    </row>
    <row r="1003" spans="51:51" x14ac:dyDescent="0.3">
      <c r="AY1003"/>
    </row>
    <row r="1004" spans="51:51" x14ac:dyDescent="0.3">
      <c r="AY1004"/>
    </row>
    <row r="1005" spans="51:51" x14ac:dyDescent="0.3">
      <c r="AY1005"/>
    </row>
    <row r="1006" spans="51:51" x14ac:dyDescent="0.3">
      <c r="AY1006"/>
    </row>
    <row r="1007" spans="51:51" x14ac:dyDescent="0.3">
      <c r="AY1007"/>
    </row>
    <row r="1008" spans="51:51" x14ac:dyDescent="0.3">
      <c r="AY1008"/>
    </row>
    <row r="1009" spans="51:51" x14ac:dyDescent="0.3">
      <c r="AY1009"/>
    </row>
    <row r="1010" spans="51:51" x14ac:dyDescent="0.3">
      <c r="AY1010"/>
    </row>
    <row r="1011" spans="51:51" x14ac:dyDescent="0.3">
      <c r="AY1011"/>
    </row>
    <row r="1012" spans="51:51" x14ac:dyDescent="0.3">
      <c r="AY1012"/>
    </row>
    <row r="1013" spans="51:51" x14ac:dyDescent="0.3">
      <c r="AY1013"/>
    </row>
    <row r="1014" spans="51:51" x14ac:dyDescent="0.3">
      <c r="AY1014"/>
    </row>
    <row r="1015" spans="51:51" x14ac:dyDescent="0.3">
      <c r="AY1015"/>
    </row>
    <row r="1016" spans="51:51" x14ac:dyDescent="0.3">
      <c r="AY1016"/>
    </row>
    <row r="1017" spans="51:51" x14ac:dyDescent="0.3">
      <c r="AY1017"/>
    </row>
    <row r="1018" spans="51:51" x14ac:dyDescent="0.3">
      <c r="AY1018"/>
    </row>
    <row r="1019" spans="51:51" x14ac:dyDescent="0.3">
      <c r="AY1019"/>
    </row>
    <row r="1020" spans="51:51" x14ac:dyDescent="0.3">
      <c r="AY1020"/>
    </row>
    <row r="1021" spans="51:51" x14ac:dyDescent="0.3">
      <c r="AY1021"/>
    </row>
    <row r="1022" spans="51:51" x14ac:dyDescent="0.3">
      <c r="AY1022"/>
    </row>
    <row r="1023" spans="51:51" x14ac:dyDescent="0.3">
      <c r="AY1023"/>
    </row>
    <row r="1024" spans="51:51" x14ac:dyDescent="0.3">
      <c r="AY1024"/>
    </row>
    <row r="1025" spans="51:51" x14ac:dyDescent="0.3">
      <c r="AY1025"/>
    </row>
    <row r="1026" spans="51:51" x14ac:dyDescent="0.3">
      <c r="AY1026"/>
    </row>
    <row r="1027" spans="51:51" x14ac:dyDescent="0.3">
      <c r="AY1027"/>
    </row>
    <row r="1028" spans="51:51" x14ac:dyDescent="0.3">
      <c r="AY1028"/>
    </row>
    <row r="1029" spans="51:51" x14ac:dyDescent="0.3">
      <c r="AY1029"/>
    </row>
    <row r="1030" spans="51:51" x14ac:dyDescent="0.3">
      <c r="AY1030"/>
    </row>
    <row r="1031" spans="51:51" x14ac:dyDescent="0.3">
      <c r="AY1031"/>
    </row>
    <row r="1032" spans="51:51" x14ac:dyDescent="0.3">
      <c r="AY1032"/>
    </row>
    <row r="1033" spans="51:51" x14ac:dyDescent="0.3">
      <c r="AY1033"/>
    </row>
    <row r="1034" spans="51:51" x14ac:dyDescent="0.3">
      <c r="AY1034"/>
    </row>
    <row r="1035" spans="51:51" x14ac:dyDescent="0.3">
      <c r="AY1035"/>
    </row>
    <row r="1036" spans="51:51" x14ac:dyDescent="0.3">
      <c r="AY1036"/>
    </row>
    <row r="1037" spans="51:51" x14ac:dyDescent="0.3">
      <c r="AY1037"/>
    </row>
    <row r="1038" spans="51:51" x14ac:dyDescent="0.3">
      <c r="AY1038"/>
    </row>
    <row r="1039" spans="51:51" x14ac:dyDescent="0.3">
      <c r="AY1039"/>
    </row>
    <row r="1040" spans="51:51" x14ac:dyDescent="0.3">
      <c r="AY1040"/>
    </row>
    <row r="1041" spans="51:51" x14ac:dyDescent="0.3">
      <c r="AY1041"/>
    </row>
    <row r="1042" spans="51:51" x14ac:dyDescent="0.3">
      <c r="AY1042"/>
    </row>
    <row r="1043" spans="51:51" x14ac:dyDescent="0.3">
      <c r="AY1043"/>
    </row>
    <row r="1044" spans="51:51" x14ac:dyDescent="0.3">
      <c r="AY1044"/>
    </row>
    <row r="1045" spans="51:51" x14ac:dyDescent="0.3">
      <c r="AY1045"/>
    </row>
    <row r="1046" spans="51:51" x14ac:dyDescent="0.3">
      <c r="AY1046"/>
    </row>
    <row r="1047" spans="51:51" x14ac:dyDescent="0.3">
      <c r="AY1047"/>
    </row>
    <row r="1048" spans="51:51" x14ac:dyDescent="0.3">
      <c r="AY1048"/>
    </row>
    <row r="1049" spans="51:51" x14ac:dyDescent="0.3">
      <c r="AY1049"/>
    </row>
    <row r="1050" spans="51:51" x14ac:dyDescent="0.3">
      <c r="AY1050"/>
    </row>
    <row r="1051" spans="51:51" x14ac:dyDescent="0.3">
      <c r="AY1051"/>
    </row>
    <row r="1052" spans="51:51" x14ac:dyDescent="0.3">
      <c r="AY1052"/>
    </row>
    <row r="1053" spans="51:51" x14ac:dyDescent="0.3">
      <c r="AY1053"/>
    </row>
    <row r="1054" spans="51:51" x14ac:dyDescent="0.3">
      <c r="AY1054"/>
    </row>
    <row r="1055" spans="51:51" x14ac:dyDescent="0.3">
      <c r="AY1055"/>
    </row>
    <row r="1056" spans="51:51" x14ac:dyDescent="0.3">
      <c r="AY1056"/>
    </row>
    <row r="1057" spans="51:51" x14ac:dyDescent="0.3">
      <c r="AY1057"/>
    </row>
    <row r="1058" spans="51:51" x14ac:dyDescent="0.3">
      <c r="AY1058"/>
    </row>
    <row r="1059" spans="51:51" x14ac:dyDescent="0.3">
      <c r="AY1059"/>
    </row>
    <row r="1060" spans="51:51" x14ac:dyDescent="0.3">
      <c r="AY1060"/>
    </row>
    <row r="1061" spans="51:51" x14ac:dyDescent="0.3">
      <c r="AY1061"/>
    </row>
    <row r="1062" spans="51:51" x14ac:dyDescent="0.3">
      <c r="AY1062"/>
    </row>
    <row r="1063" spans="51:51" x14ac:dyDescent="0.3">
      <c r="AY1063"/>
    </row>
    <row r="1064" spans="51:51" x14ac:dyDescent="0.3">
      <c r="AY1064"/>
    </row>
    <row r="1065" spans="51:51" x14ac:dyDescent="0.3">
      <c r="AY1065"/>
    </row>
    <row r="1066" spans="51:51" x14ac:dyDescent="0.3">
      <c r="AY1066"/>
    </row>
    <row r="1067" spans="51:51" x14ac:dyDescent="0.3">
      <c r="AY1067"/>
    </row>
    <row r="1068" spans="51:51" x14ac:dyDescent="0.3">
      <c r="AY1068"/>
    </row>
    <row r="1069" spans="51:51" x14ac:dyDescent="0.3">
      <c r="AY1069"/>
    </row>
    <row r="1070" spans="51:51" x14ac:dyDescent="0.3">
      <c r="AY1070"/>
    </row>
    <row r="1071" spans="51:51" x14ac:dyDescent="0.3">
      <c r="AY1071"/>
    </row>
    <row r="1072" spans="51:51" x14ac:dyDescent="0.3">
      <c r="AY1072"/>
    </row>
    <row r="1073" spans="51:51" x14ac:dyDescent="0.3">
      <c r="AY1073"/>
    </row>
    <row r="1074" spans="51:51" x14ac:dyDescent="0.3">
      <c r="AY1074"/>
    </row>
    <row r="1075" spans="51:51" x14ac:dyDescent="0.3">
      <c r="AY1075"/>
    </row>
    <row r="1076" spans="51:51" x14ac:dyDescent="0.3">
      <c r="AY1076"/>
    </row>
    <row r="1077" spans="51:51" x14ac:dyDescent="0.3">
      <c r="AY1077"/>
    </row>
    <row r="1078" spans="51:51" x14ac:dyDescent="0.3">
      <c r="AY1078"/>
    </row>
    <row r="1079" spans="51:51" x14ac:dyDescent="0.3">
      <c r="AY1079"/>
    </row>
    <row r="1080" spans="51:51" x14ac:dyDescent="0.3">
      <c r="AY1080"/>
    </row>
    <row r="1081" spans="51:51" x14ac:dyDescent="0.3">
      <c r="AY1081"/>
    </row>
    <row r="1082" spans="51:51" x14ac:dyDescent="0.3">
      <c r="AY1082"/>
    </row>
    <row r="1083" spans="51:51" x14ac:dyDescent="0.3">
      <c r="AY1083"/>
    </row>
    <row r="1084" spans="51:51" x14ac:dyDescent="0.3">
      <c r="AY1084"/>
    </row>
    <row r="1085" spans="51:51" x14ac:dyDescent="0.3">
      <c r="AY1085"/>
    </row>
    <row r="1086" spans="51:51" x14ac:dyDescent="0.3">
      <c r="AY1086"/>
    </row>
    <row r="1087" spans="51:51" x14ac:dyDescent="0.3">
      <c r="AY1087"/>
    </row>
    <row r="1088" spans="51:51" x14ac:dyDescent="0.3">
      <c r="AY1088"/>
    </row>
    <row r="1089" spans="51:51" x14ac:dyDescent="0.3">
      <c r="AY1089"/>
    </row>
    <row r="1090" spans="51:51" x14ac:dyDescent="0.3">
      <c r="AY1090"/>
    </row>
    <row r="1091" spans="51:51" x14ac:dyDescent="0.3">
      <c r="AY1091"/>
    </row>
    <row r="1092" spans="51:51" x14ac:dyDescent="0.3">
      <c r="AY1092"/>
    </row>
    <row r="1093" spans="51:51" x14ac:dyDescent="0.3">
      <c r="AY1093"/>
    </row>
    <row r="1094" spans="51:51" x14ac:dyDescent="0.3">
      <c r="AY1094"/>
    </row>
    <row r="1095" spans="51:51" x14ac:dyDescent="0.3">
      <c r="AY1095"/>
    </row>
    <row r="1096" spans="51:51" x14ac:dyDescent="0.3">
      <c r="AY1096"/>
    </row>
    <row r="1097" spans="51:51" x14ac:dyDescent="0.3">
      <c r="AY1097"/>
    </row>
    <row r="1098" spans="51:51" x14ac:dyDescent="0.3">
      <c r="AY1098"/>
    </row>
    <row r="1099" spans="51:51" x14ac:dyDescent="0.3">
      <c r="AY1099"/>
    </row>
    <row r="1100" spans="51:51" x14ac:dyDescent="0.3">
      <c r="AY1100"/>
    </row>
    <row r="1101" spans="51:51" x14ac:dyDescent="0.3">
      <c r="AY1101"/>
    </row>
    <row r="1102" spans="51:51" x14ac:dyDescent="0.3">
      <c r="AY1102"/>
    </row>
    <row r="1103" spans="51:51" x14ac:dyDescent="0.3">
      <c r="AY1103"/>
    </row>
    <row r="1104" spans="51:51" x14ac:dyDescent="0.3">
      <c r="AY1104"/>
    </row>
    <row r="1105" spans="51:51" x14ac:dyDescent="0.3">
      <c r="AY1105"/>
    </row>
    <row r="1106" spans="51:51" x14ac:dyDescent="0.3">
      <c r="AY1106"/>
    </row>
    <row r="1107" spans="51:51" x14ac:dyDescent="0.3">
      <c r="AY1107"/>
    </row>
    <row r="1108" spans="51:51" x14ac:dyDescent="0.3">
      <c r="AY1108"/>
    </row>
    <row r="1109" spans="51:51" x14ac:dyDescent="0.3">
      <c r="AY1109"/>
    </row>
    <row r="1110" spans="51:51" x14ac:dyDescent="0.3">
      <c r="AY1110"/>
    </row>
    <row r="1111" spans="51:51" x14ac:dyDescent="0.3">
      <c r="AY1111"/>
    </row>
    <row r="1112" spans="51:51" x14ac:dyDescent="0.3">
      <c r="AY1112"/>
    </row>
    <row r="1113" spans="51:51" x14ac:dyDescent="0.3">
      <c r="AY1113"/>
    </row>
    <row r="1114" spans="51:51" x14ac:dyDescent="0.3">
      <c r="AY1114"/>
    </row>
    <row r="1115" spans="51:51" x14ac:dyDescent="0.3">
      <c r="AY1115"/>
    </row>
    <row r="1116" spans="51:51" x14ac:dyDescent="0.3">
      <c r="AY1116"/>
    </row>
    <row r="1117" spans="51:51" x14ac:dyDescent="0.3">
      <c r="AY1117"/>
    </row>
    <row r="1118" spans="51:51" x14ac:dyDescent="0.3">
      <c r="AY1118"/>
    </row>
    <row r="1119" spans="51:51" x14ac:dyDescent="0.3">
      <c r="AY1119"/>
    </row>
    <row r="1120" spans="51:51" x14ac:dyDescent="0.3">
      <c r="AY1120"/>
    </row>
    <row r="1121" spans="51:51" x14ac:dyDescent="0.3">
      <c r="AY1121"/>
    </row>
    <row r="1122" spans="51:51" x14ac:dyDescent="0.3">
      <c r="AY1122"/>
    </row>
    <row r="1123" spans="51:51" x14ac:dyDescent="0.3">
      <c r="AY1123"/>
    </row>
    <row r="1124" spans="51:51" x14ac:dyDescent="0.3">
      <c r="AY1124"/>
    </row>
    <row r="1125" spans="51:51" x14ac:dyDescent="0.3">
      <c r="AY1125"/>
    </row>
    <row r="1126" spans="51:51" x14ac:dyDescent="0.3">
      <c r="AY1126"/>
    </row>
    <row r="1127" spans="51:51" x14ac:dyDescent="0.3">
      <c r="AY1127"/>
    </row>
    <row r="1128" spans="51:51" x14ac:dyDescent="0.3">
      <c r="AY1128"/>
    </row>
    <row r="1129" spans="51:51" x14ac:dyDescent="0.3">
      <c r="AY1129"/>
    </row>
    <row r="1130" spans="51:51" x14ac:dyDescent="0.3">
      <c r="AY1130"/>
    </row>
    <row r="1131" spans="51:51" x14ac:dyDescent="0.3">
      <c r="AY1131"/>
    </row>
    <row r="1132" spans="51:51" x14ac:dyDescent="0.3">
      <c r="AY1132"/>
    </row>
    <row r="1133" spans="51:51" x14ac:dyDescent="0.3">
      <c r="AY1133"/>
    </row>
    <row r="1134" spans="51:51" x14ac:dyDescent="0.3">
      <c r="AY1134"/>
    </row>
    <row r="1135" spans="51:51" x14ac:dyDescent="0.3">
      <c r="AY1135"/>
    </row>
    <row r="1136" spans="51:51" x14ac:dyDescent="0.3">
      <c r="AY1136"/>
    </row>
    <row r="1137" spans="51:51" x14ac:dyDescent="0.3">
      <c r="AY1137"/>
    </row>
    <row r="1138" spans="51:51" x14ac:dyDescent="0.3">
      <c r="AY1138"/>
    </row>
    <row r="1139" spans="51:51" x14ac:dyDescent="0.3">
      <c r="AY1139"/>
    </row>
    <row r="1140" spans="51:51" x14ac:dyDescent="0.3">
      <c r="AY1140"/>
    </row>
    <row r="1141" spans="51:51" x14ac:dyDescent="0.3">
      <c r="AY1141"/>
    </row>
    <row r="1142" spans="51:51" x14ac:dyDescent="0.3">
      <c r="AY1142"/>
    </row>
    <row r="1048576" spans="52:52" x14ac:dyDescent="0.3">
      <c r="AZ1048576" s="3"/>
    </row>
  </sheetData>
  <hyperlinks>
    <hyperlink ref="A1" location="main!A1" display="main" xr:uid="{58067496-F078-4446-A634-CE0CEC29859F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Voli oho</dc:creator>
  <cp:lastModifiedBy>Serban B Valentin-Daniel</cp:lastModifiedBy>
  <dcterms:created xsi:type="dcterms:W3CDTF">2023-07-05T13:53:29Z</dcterms:created>
  <dcterms:modified xsi:type="dcterms:W3CDTF">2024-08-09T10:25:51Z</dcterms:modified>
</cp:coreProperties>
</file>