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ate1904="1" codeName="ThisWorkbook"/>
  <mc:AlternateContent xmlns:mc="http://schemas.openxmlformats.org/markup-compatibility/2006">
    <mc:Choice Requires="x15">
      <x15ac:absPath xmlns:x15ac="http://schemas.microsoft.com/office/spreadsheetml/2010/11/ac" url="D:\logi\"/>
    </mc:Choice>
  </mc:AlternateContent>
  <xr:revisionPtr revIDLastSave="0" documentId="13_ncr:1_{B7891F35-7C02-4678-885E-3FECC350B1E0}" xr6:coauthVersionLast="47" xr6:coauthVersionMax="47" xr10:uidLastSave="{00000000-0000-0000-0000-000000000000}"/>
  <bookViews>
    <workbookView xWindow="-108" yWindow="-108" windowWidth="23256" windowHeight="12456" tabRatio="772" activeTab="3" xr2:uid="{00000000-000D-0000-FFFF-FFFF00000000}"/>
  </bookViews>
  <sheets>
    <sheet name="Input sheet" sheetId="11" r:id="rId1"/>
    <sheet name="revenues" sheetId="34" r:id="rId2"/>
    <sheet name="Sheet2" sheetId="35" r:id="rId3"/>
    <sheet name="Valuation output" sheetId="13" r:id="rId4"/>
    <sheet name="Stories to Numbers" sheetId="28" r:id="rId5"/>
    <sheet name="Valuation as picture" sheetId="32" r:id="rId6"/>
    <sheet name="Diagnostics" sheetId="12" r:id="rId7"/>
    <sheet name="Option value" sheetId="14" r:id="rId8"/>
    <sheet name="Synthetic rating" sheetId="20" r:id="rId9"/>
    <sheet name="R&amp; D converter" sheetId="25" r:id="rId10"/>
    <sheet name="Operating lease converter" sheetId="18" r:id="rId11"/>
    <sheet name="Cost of capital worksheet" sheetId="19" r:id="rId12"/>
    <sheet name="Failure Rate worksheet" sheetId="30" r:id="rId13"/>
    <sheet name="Country equity risk premiums" sheetId="23" r:id="rId14"/>
    <sheet name="Industry Averages(US)" sheetId="8" r:id="rId15"/>
    <sheet name="Industry Average Beta (Global)" sheetId="26" r:id="rId16"/>
    <sheet name="Input Stat Distributioons" sheetId="31" r:id="rId17"/>
    <sheet name="Trailing 12 month Worskheet" sheetId="24" r:id="rId18"/>
    <sheet name="Sheet1" sheetId="33" r:id="rId19"/>
    <sheet name="Answer keys" sheetId="21" r:id="rId20"/>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0" i="35" l="1"/>
  <c r="S41" i="35"/>
  <c r="S42" i="35"/>
  <c r="S43" i="35"/>
  <c r="AH14" i="35"/>
  <c r="AH15" i="35"/>
  <c r="P22" i="35"/>
  <c r="P20" i="35"/>
  <c r="AH20" i="35" s="1"/>
  <c r="P16" i="35"/>
  <c r="S26" i="35"/>
  <c r="S25" i="35"/>
  <c r="S23" i="35"/>
  <c r="S22" i="35"/>
  <c r="S21" i="35"/>
  <c r="S20" i="35"/>
  <c r="S16" i="35"/>
  <c r="C15" i="11"/>
  <c r="B15" i="11"/>
  <c r="B12" i="11"/>
  <c r="B11" i="11"/>
  <c r="R22" i="35"/>
  <c r="R20" i="35"/>
  <c r="AO80" i="35"/>
  <c r="AO72" i="35"/>
  <c r="AO74" i="35" s="1"/>
  <c r="AO69" i="35"/>
  <c r="AO83" i="35" s="1"/>
  <c r="AG64" i="35"/>
  <c r="AO63" i="35"/>
  <c r="AG60" i="35"/>
  <c r="AG63" i="35" s="1"/>
  <c r="AG57" i="35"/>
  <c r="AG51" i="35"/>
  <c r="AG56" i="35" s="1"/>
  <c r="AG46" i="35"/>
  <c r="Q42" i="35"/>
  <c r="AD41" i="35"/>
  <c r="AC41" i="35"/>
  <c r="AB41" i="35"/>
  <c r="Q41" i="35"/>
  <c r="M41" i="35"/>
  <c r="L41" i="35"/>
  <c r="K41" i="35"/>
  <c r="J41" i="35"/>
  <c r="I41" i="35"/>
  <c r="H41" i="35"/>
  <c r="G41" i="35"/>
  <c r="R40" i="35"/>
  <c r="Q40" i="35"/>
  <c r="N40" i="35"/>
  <c r="M40" i="35"/>
  <c r="L40" i="35"/>
  <c r="K40" i="35"/>
  <c r="AD38" i="35"/>
  <c r="AC38" i="35"/>
  <c r="AB38" i="35"/>
  <c r="AA38" i="35"/>
  <c r="Z38" i="35"/>
  <c r="N38" i="35"/>
  <c r="M38" i="35"/>
  <c r="L38" i="35"/>
  <c r="K38" i="35"/>
  <c r="J38" i="35"/>
  <c r="I38" i="35"/>
  <c r="H38" i="35"/>
  <c r="G38" i="35"/>
  <c r="AF37" i="35"/>
  <c r="AE37" i="35"/>
  <c r="AD37" i="35"/>
  <c r="AC37" i="35"/>
  <c r="AB37" i="35"/>
  <c r="AA37" i="35"/>
  <c r="Z37" i="35"/>
  <c r="N37" i="35"/>
  <c r="M37" i="35"/>
  <c r="L37" i="35"/>
  <c r="K37" i="35"/>
  <c r="J37" i="35"/>
  <c r="I37" i="35"/>
  <c r="H37" i="35"/>
  <c r="G37" i="35"/>
  <c r="AG36" i="35"/>
  <c r="AF36" i="35"/>
  <c r="AE36" i="35"/>
  <c r="AD36" i="35"/>
  <c r="AC36" i="35"/>
  <c r="AB36" i="35"/>
  <c r="AA36" i="35"/>
  <c r="Z36" i="35"/>
  <c r="N36" i="35"/>
  <c r="M36" i="35"/>
  <c r="L36" i="35"/>
  <c r="K36" i="35"/>
  <c r="J36" i="35"/>
  <c r="I36" i="35"/>
  <c r="H36" i="35"/>
  <c r="G36" i="35"/>
  <c r="AG35" i="35"/>
  <c r="AF35" i="35"/>
  <c r="AE35" i="35"/>
  <c r="AD35" i="35"/>
  <c r="AC35" i="35"/>
  <c r="AB35" i="35"/>
  <c r="AA35" i="35"/>
  <c r="Z35" i="35"/>
  <c r="N35" i="35"/>
  <c r="M35" i="35"/>
  <c r="L35" i="35"/>
  <c r="K35" i="35"/>
  <c r="J35" i="35"/>
  <c r="I35" i="35"/>
  <c r="H35" i="35"/>
  <c r="G35" i="35"/>
  <c r="AG34" i="35"/>
  <c r="AF34" i="35"/>
  <c r="AE34" i="35"/>
  <c r="AD34" i="35"/>
  <c r="AC34" i="35"/>
  <c r="AB34" i="35"/>
  <c r="AA34" i="35"/>
  <c r="Z34" i="35"/>
  <c r="N34" i="35"/>
  <c r="M34" i="35"/>
  <c r="L34" i="35"/>
  <c r="K34" i="35"/>
  <c r="J34" i="35"/>
  <c r="I34" i="35"/>
  <c r="H34" i="35"/>
  <c r="G34" i="35"/>
  <c r="AG33" i="35"/>
  <c r="AF33" i="35"/>
  <c r="AD33" i="35"/>
  <c r="AC33" i="35"/>
  <c r="AB33" i="35"/>
  <c r="AA33" i="35"/>
  <c r="Z33" i="35"/>
  <c r="N33" i="35"/>
  <c r="M33" i="35"/>
  <c r="L33" i="35"/>
  <c r="K33" i="35"/>
  <c r="J33" i="35"/>
  <c r="I33" i="35"/>
  <c r="H33" i="35"/>
  <c r="G33" i="35"/>
  <c r="AF32" i="35"/>
  <c r="AD32" i="35"/>
  <c r="AC32" i="35"/>
  <c r="AB32" i="35"/>
  <c r="AA32" i="35"/>
  <c r="Z32" i="35"/>
  <c r="N32" i="35"/>
  <c r="M32" i="35"/>
  <c r="L32" i="35"/>
  <c r="K32" i="35"/>
  <c r="J32" i="35"/>
  <c r="I32" i="35"/>
  <c r="H32" i="35"/>
  <c r="G32" i="35"/>
  <c r="AG31" i="35"/>
  <c r="AF31" i="35"/>
  <c r="AD31" i="35"/>
  <c r="AC31" i="35"/>
  <c r="AB31" i="35"/>
  <c r="AA31" i="35"/>
  <c r="Z31" i="35"/>
  <c r="N31" i="35"/>
  <c r="M31" i="35"/>
  <c r="L31" i="35"/>
  <c r="K31" i="35"/>
  <c r="J31" i="35"/>
  <c r="I31" i="35"/>
  <c r="H31" i="35"/>
  <c r="G31" i="35"/>
  <c r="AG30" i="35"/>
  <c r="AD30" i="35"/>
  <c r="AC30" i="35"/>
  <c r="AB30" i="35"/>
  <c r="AA30" i="35"/>
  <c r="Z30" i="35"/>
  <c r="N30" i="35"/>
  <c r="M30" i="35"/>
  <c r="L30" i="35"/>
  <c r="K30" i="35"/>
  <c r="J30" i="35"/>
  <c r="I30" i="35"/>
  <c r="H30" i="35"/>
  <c r="G30" i="35"/>
  <c r="AG29" i="35"/>
  <c r="AD29" i="35"/>
  <c r="AC29" i="35"/>
  <c r="AB29" i="35"/>
  <c r="AA29" i="35"/>
  <c r="Z29" i="35"/>
  <c r="N29" i="35"/>
  <c r="M29" i="35"/>
  <c r="L29" i="35"/>
  <c r="K29" i="35"/>
  <c r="J29" i="35"/>
  <c r="I29" i="35"/>
  <c r="H29" i="35"/>
  <c r="G29" i="35"/>
  <c r="AH27" i="35"/>
  <c r="AG27" i="35"/>
  <c r="AF27" i="35"/>
  <c r="AE27" i="35"/>
  <c r="AK26" i="35"/>
  <c r="AJ26" i="35"/>
  <c r="AI26" i="35"/>
  <c r="AL25" i="35"/>
  <c r="AM25" i="35" s="1"/>
  <c r="AK25" i="35"/>
  <c r="AG24" i="35"/>
  <c r="AF24" i="35"/>
  <c r="AE24" i="35"/>
  <c r="AH22" i="35"/>
  <c r="AG22" i="35"/>
  <c r="AD22" i="35"/>
  <c r="AC22" i="35"/>
  <c r="AB22" i="35"/>
  <c r="AA22" i="35"/>
  <c r="Z22" i="35"/>
  <c r="Y22" i="35"/>
  <c r="O22" i="35"/>
  <c r="N22" i="35"/>
  <c r="M22" i="35"/>
  <c r="L22" i="35"/>
  <c r="K22" i="35"/>
  <c r="J22" i="35"/>
  <c r="I22" i="35"/>
  <c r="H22" i="35"/>
  <c r="G22" i="35"/>
  <c r="AF22" i="35" s="1"/>
  <c r="F22" i="35"/>
  <c r="E22" i="35"/>
  <c r="AE22" i="35" s="1"/>
  <c r="D22" i="35"/>
  <c r="C22" i="35"/>
  <c r="Q21" i="35"/>
  <c r="Q23" i="35" s="1"/>
  <c r="AD20" i="35"/>
  <c r="AC20" i="35"/>
  <c r="AB20" i="35"/>
  <c r="AA20" i="35"/>
  <c r="Z20" i="35"/>
  <c r="Y20" i="35"/>
  <c r="Q20" i="35"/>
  <c r="O20" i="35"/>
  <c r="N20" i="35"/>
  <c r="M20" i="35"/>
  <c r="L20" i="35"/>
  <c r="K20" i="35"/>
  <c r="AG20" i="35" s="1"/>
  <c r="J20" i="35"/>
  <c r="I20" i="35"/>
  <c r="H20" i="35"/>
  <c r="G20" i="35"/>
  <c r="AF20" i="35" s="1"/>
  <c r="F20" i="35"/>
  <c r="E20" i="35"/>
  <c r="D20" i="35"/>
  <c r="C20" i="35"/>
  <c r="AE20" i="35" s="1"/>
  <c r="AH19" i="35"/>
  <c r="AG19" i="35"/>
  <c r="AF19" i="35"/>
  <c r="AE19" i="35"/>
  <c r="AH18" i="35"/>
  <c r="AG18" i="35"/>
  <c r="AF18" i="35"/>
  <c r="AE18" i="35"/>
  <c r="AH17" i="35"/>
  <c r="AG17" i="35"/>
  <c r="AF17" i="35"/>
  <c r="AE17" i="35"/>
  <c r="AD16" i="35"/>
  <c r="AD21" i="35" s="1"/>
  <c r="AC16" i="35"/>
  <c r="AC21" i="35" s="1"/>
  <c r="AB16" i="35"/>
  <c r="AB21" i="35" s="1"/>
  <c r="AA16" i="35"/>
  <c r="AA41" i="35" s="1"/>
  <c r="Z16" i="35"/>
  <c r="Z41" i="35" s="1"/>
  <c r="Y16" i="35"/>
  <c r="Y41" i="35" s="1"/>
  <c r="R41" i="35"/>
  <c r="M16" i="35"/>
  <c r="M21" i="35" s="1"/>
  <c r="L16" i="35"/>
  <c r="L21" i="35" s="1"/>
  <c r="K16" i="35"/>
  <c r="K21" i="35" s="1"/>
  <c r="J16" i="35"/>
  <c r="J21" i="35" s="1"/>
  <c r="I16" i="35"/>
  <c r="I21" i="35" s="1"/>
  <c r="H16" i="35"/>
  <c r="H21" i="35" s="1"/>
  <c r="G16" i="35"/>
  <c r="G21" i="35" s="1"/>
  <c r="F16" i="35"/>
  <c r="F21" i="35" s="1"/>
  <c r="F23" i="35" s="1"/>
  <c r="F25" i="35" s="1"/>
  <c r="F26" i="35" s="1"/>
  <c r="E16" i="35"/>
  <c r="E21" i="35" s="1"/>
  <c r="E23" i="35" s="1"/>
  <c r="E25" i="35" s="1"/>
  <c r="E26" i="35" s="1"/>
  <c r="D16" i="35"/>
  <c r="D21" i="35" s="1"/>
  <c r="D23" i="35" s="1"/>
  <c r="D25" i="35" s="1"/>
  <c r="D26" i="35" s="1"/>
  <c r="C16" i="35"/>
  <c r="C21" i="35" s="1"/>
  <c r="C23" i="35" s="1"/>
  <c r="AG15" i="35"/>
  <c r="AF15" i="35"/>
  <c r="AE15" i="35"/>
  <c r="AG14" i="35"/>
  <c r="AF14" i="35"/>
  <c r="AE14" i="35"/>
  <c r="AG13" i="35"/>
  <c r="AD13" i="35"/>
  <c r="AD40" i="35" s="1"/>
  <c r="AC13" i="35"/>
  <c r="AC40" i="35" s="1"/>
  <c r="AB13" i="35"/>
  <c r="AB40" i="35" s="1"/>
  <c r="AA13" i="35"/>
  <c r="AA40" i="35" s="1"/>
  <c r="Z13" i="35"/>
  <c r="Z40" i="35" s="1"/>
  <c r="Y13" i="35"/>
  <c r="O13" i="35"/>
  <c r="N13" i="35"/>
  <c r="N16" i="35" s="1"/>
  <c r="M13" i="35"/>
  <c r="L13" i="35"/>
  <c r="K13" i="35"/>
  <c r="J13" i="35"/>
  <c r="J40" i="35" s="1"/>
  <c r="I13" i="35"/>
  <c r="I40" i="35" s="1"/>
  <c r="H13" i="35"/>
  <c r="H40" i="35" s="1"/>
  <c r="G13" i="35"/>
  <c r="G40" i="35" s="1"/>
  <c r="F13" i="35"/>
  <c r="E13" i="35"/>
  <c r="D13" i="35"/>
  <c r="C13" i="35"/>
  <c r="AE13" i="35" s="1"/>
  <c r="AG12" i="35"/>
  <c r="AG38" i="35" s="1"/>
  <c r="AF12" i="35"/>
  <c r="AF38" i="35" s="1"/>
  <c r="AE12" i="35"/>
  <c r="AE38" i="35" s="1"/>
  <c r="AG11" i="35"/>
  <c r="AG37" i="35" s="1"/>
  <c r="AF11" i="35"/>
  <c r="AE11" i="35"/>
  <c r="AG10" i="35"/>
  <c r="AF10" i="35"/>
  <c r="AE10" i="35"/>
  <c r="AG9" i="35"/>
  <c r="AF9" i="35"/>
  <c r="AE9" i="35"/>
  <c r="AG8" i="35"/>
  <c r="AF8" i="35"/>
  <c r="AE8" i="35"/>
  <c r="O8" i="35"/>
  <c r="AG7" i="35"/>
  <c r="AF7" i="35"/>
  <c r="AE7" i="35"/>
  <c r="AE33" i="35" s="1"/>
  <c r="AG6" i="35"/>
  <c r="AG32" i="35" s="1"/>
  <c r="AF6" i="35"/>
  <c r="AE6" i="35"/>
  <c r="AE32" i="35" s="1"/>
  <c r="AG5" i="35"/>
  <c r="AF5" i="35"/>
  <c r="AE5" i="35"/>
  <c r="AE31" i="35" s="1"/>
  <c r="AG4" i="35"/>
  <c r="AF4" i="35"/>
  <c r="AF30" i="35" s="1"/>
  <c r="AE4" i="35"/>
  <c r="AE30" i="35" s="1"/>
  <c r="AG3" i="35"/>
  <c r="AF3" i="35"/>
  <c r="AF29" i="35" s="1"/>
  <c r="AE3" i="35"/>
  <c r="AE29" i="35" s="1"/>
  <c r="AE2" i="35"/>
  <c r="AF2" i="35" s="1"/>
  <c r="AG2" i="35" s="1"/>
  <c r="AH2" i="35" s="1"/>
  <c r="AI2" i="35" s="1"/>
  <c r="AJ2" i="35" s="1"/>
  <c r="AK2" i="35" s="1"/>
  <c r="AL2" i="35" s="1"/>
  <c r="AM2" i="35" s="1"/>
  <c r="AN2" i="35" s="1"/>
  <c r="J39" i="34"/>
  <c r="I40" i="34"/>
  <c r="I39" i="34"/>
  <c r="C1" i="34"/>
  <c r="D1" i="34"/>
  <c r="E1" i="34" s="1"/>
  <c r="F1" i="34" s="1"/>
  <c r="G1" i="34" s="1"/>
  <c r="H1" i="34" s="1"/>
  <c r="I1" i="34" s="1"/>
  <c r="J1" i="34" s="1"/>
  <c r="K1" i="34" s="1"/>
  <c r="L1" i="34" s="1"/>
  <c r="M1" i="34" s="1"/>
  <c r="N1" i="34" s="1"/>
  <c r="O1" i="34" s="1"/>
  <c r="P1" i="34" s="1"/>
  <c r="Q1" i="34" s="1"/>
  <c r="R1" i="34" s="1"/>
  <c r="H2" i="34"/>
  <c r="H3" i="34" s="1"/>
  <c r="I2" i="34"/>
  <c r="J2" i="34" s="1"/>
  <c r="G4" i="34"/>
  <c r="M7" i="34"/>
  <c r="N7" i="34" s="1"/>
  <c r="H8" i="34"/>
  <c r="I8" i="34"/>
  <c r="J8" i="34"/>
  <c r="K8" i="34"/>
  <c r="L8" i="34"/>
  <c r="B9" i="34"/>
  <c r="C9" i="34"/>
  <c r="D9" i="34"/>
  <c r="E9" i="34"/>
  <c r="F9" i="34"/>
  <c r="G9" i="34"/>
  <c r="C10" i="34"/>
  <c r="D10" i="34"/>
  <c r="E10" i="34"/>
  <c r="F10" i="34"/>
  <c r="G10" i="34"/>
  <c r="H10" i="34"/>
  <c r="I10" i="34"/>
  <c r="J10" i="34"/>
  <c r="K10" i="34"/>
  <c r="L10" i="34"/>
  <c r="H13" i="34"/>
  <c r="I13" i="34"/>
  <c r="J13" i="34" s="1"/>
  <c r="K13" i="34" s="1"/>
  <c r="L13" i="34" s="1"/>
  <c r="M13" i="34" s="1"/>
  <c r="N13" i="34" s="1"/>
  <c r="O13" i="34" s="1"/>
  <c r="P13" i="34" s="1"/>
  <c r="Q13" i="34" s="1"/>
  <c r="R13" i="34" s="1"/>
  <c r="H16" i="34"/>
  <c r="I16" i="34" s="1"/>
  <c r="J16" i="34" s="1"/>
  <c r="K16" i="34" s="1"/>
  <c r="L16" i="34" s="1"/>
  <c r="M16" i="34" s="1"/>
  <c r="N16" i="34" s="1"/>
  <c r="O16" i="34" s="1"/>
  <c r="P16" i="34" s="1"/>
  <c r="Q16" i="34" s="1"/>
  <c r="R16" i="34" s="1"/>
  <c r="F19" i="34"/>
  <c r="G19" i="34"/>
  <c r="H19" i="34" s="1"/>
  <c r="E21" i="34"/>
  <c r="F21" i="34"/>
  <c r="H24" i="34"/>
  <c r="I24" i="34" s="1"/>
  <c r="G28" i="34"/>
  <c r="H28" i="34"/>
  <c r="H29" i="34" s="1"/>
  <c r="I28" i="34"/>
  <c r="J28" i="34"/>
  <c r="K28" i="34" s="1"/>
  <c r="I29" i="34"/>
  <c r="F30" i="34"/>
  <c r="G30" i="34"/>
  <c r="J30" i="34"/>
  <c r="J29" i="34" s="1"/>
  <c r="K30" i="34"/>
  <c r="L30" i="34"/>
  <c r="M30" i="34"/>
  <c r="N30" i="34"/>
  <c r="O30" i="34"/>
  <c r="P30" i="34"/>
  <c r="Q30" i="34"/>
  <c r="R30" i="34"/>
  <c r="H33" i="34"/>
  <c r="I33" i="34"/>
  <c r="J33" i="34" s="1"/>
  <c r="J208" i="23"/>
  <c r="J207" i="23"/>
  <c r="J206" i="23"/>
  <c r="I207" i="23"/>
  <c r="I206" i="23"/>
  <c r="H208" i="23"/>
  <c r="H206" i="23"/>
  <c r="B38" i="11"/>
  <c r="I23" i="35" l="1"/>
  <c r="I42" i="35"/>
  <c r="AE16" i="35"/>
  <c r="AE40" i="35"/>
  <c r="AE39" i="35"/>
  <c r="J23" i="35"/>
  <c r="J42" i="35"/>
  <c r="AG21" i="35"/>
  <c r="AG42" i="35" s="1"/>
  <c r="K23" i="35"/>
  <c r="K42" i="35"/>
  <c r="AB23" i="35"/>
  <c r="AB25" i="35" s="1"/>
  <c r="AB42" i="35"/>
  <c r="AE23" i="35"/>
  <c r="C25" i="35"/>
  <c r="N21" i="35"/>
  <c r="AG16" i="35"/>
  <c r="AG41" i="35" s="1"/>
  <c r="N41" i="35"/>
  <c r="M23" i="35"/>
  <c r="M42" i="35"/>
  <c r="AD23" i="35"/>
  <c r="AD25" i="35" s="1"/>
  <c r="AD42" i="35"/>
  <c r="G23" i="35"/>
  <c r="AF21" i="35"/>
  <c r="G42" i="35"/>
  <c r="L23" i="35"/>
  <c r="L42" i="35"/>
  <c r="AN25" i="35"/>
  <c r="AM26" i="35"/>
  <c r="AC23" i="35"/>
  <c r="AC25" i="35" s="1"/>
  <c r="AC42" i="35"/>
  <c r="H23" i="35"/>
  <c r="H42" i="35"/>
  <c r="Q25" i="35"/>
  <c r="Q26" i="35" s="1"/>
  <c r="Q43" i="35"/>
  <c r="O40" i="35"/>
  <c r="Z21" i="35"/>
  <c r="AA39" i="35"/>
  <c r="AA21" i="35"/>
  <c r="AB39" i="35"/>
  <c r="Y21" i="35"/>
  <c r="Z39" i="35"/>
  <c r="AC39" i="35"/>
  <c r="AD39" i="35"/>
  <c r="AF16" i="35"/>
  <c r="AF13" i="35"/>
  <c r="R21" i="35"/>
  <c r="AL26" i="35"/>
  <c r="O16" i="35"/>
  <c r="L29" i="34"/>
  <c r="H20" i="34"/>
  <c r="I19" i="34"/>
  <c r="N29" i="34"/>
  <c r="K29" i="34"/>
  <c r="L28" i="34"/>
  <c r="M28" i="34" s="1"/>
  <c r="N28" i="34" s="1"/>
  <c r="O28" i="34" s="1"/>
  <c r="M29" i="34"/>
  <c r="O7" i="34"/>
  <c r="N10" i="34"/>
  <c r="N8" i="34"/>
  <c r="K33" i="34"/>
  <c r="H37" i="34"/>
  <c r="J3" i="34"/>
  <c r="K2" i="34"/>
  <c r="J24" i="34"/>
  <c r="K24" i="34" s="1"/>
  <c r="L24" i="34" s="1"/>
  <c r="M24" i="34" s="1"/>
  <c r="N24" i="34" s="1"/>
  <c r="O24" i="34" s="1"/>
  <c r="P24" i="34" s="1"/>
  <c r="Q24" i="34" s="1"/>
  <c r="R24" i="34" s="1"/>
  <c r="G21" i="34"/>
  <c r="I3" i="34"/>
  <c r="M8" i="34"/>
  <c r="M10" i="34"/>
  <c r="AE25" i="35" l="1"/>
  <c r="AE43" i="35" s="1"/>
  <c r="C26" i="35"/>
  <c r="AE26" i="35" s="1"/>
  <c r="Y23" i="35"/>
  <c r="Y25" i="35" s="1"/>
  <c r="Y42" i="35"/>
  <c r="AF23" i="35"/>
  <c r="G43" i="35"/>
  <c r="G25" i="35"/>
  <c r="AF40" i="35"/>
  <c r="AF39" i="35"/>
  <c r="AB26" i="35"/>
  <c r="AB43" i="35"/>
  <c r="AC26" i="35"/>
  <c r="AC43" i="35"/>
  <c r="AO25" i="35"/>
  <c r="AN26" i="35"/>
  <c r="L25" i="35"/>
  <c r="L26" i="35" s="1"/>
  <c r="L43" i="35"/>
  <c r="AA23" i="35"/>
  <c r="AA25" i="35" s="1"/>
  <c r="AA42" i="35"/>
  <c r="J43" i="35"/>
  <c r="J25" i="35"/>
  <c r="J26" i="35" s="1"/>
  <c r="O21" i="35"/>
  <c r="O41" i="35"/>
  <c r="AG40" i="35"/>
  <c r="AF41" i="35"/>
  <c r="K43" i="35"/>
  <c r="K25" i="35"/>
  <c r="AG23" i="35"/>
  <c r="AF42" i="35"/>
  <c r="Z42" i="35"/>
  <c r="Z23" i="35"/>
  <c r="Z25" i="35" s="1"/>
  <c r="AD43" i="35"/>
  <c r="AD26" i="35"/>
  <c r="AE41" i="35"/>
  <c r="AE21" i="35"/>
  <c r="M25" i="35"/>
  <c r="M26" i="35" s="1"/>
  <c r="M43" i="35"/>
  <c r="R42" i="35"/>
  <c r="R23" i="35"/>
  <c r="P40" i="35"/>
  <c r="H25" i="35"/>
  <c r="H26" i="35" s="1"/>
  <c r="H43" i="35"/>
  <c r="AG39" i="35"/>
  <c r="AH13" i="35"/>
  <c r="AH40" i="35" s="1"/>
  <c r="N42" i="35"/>
  <c r="N23" i="35"/>
  <c r="I43" i="35"/>
  <c r="I25" i="35"/>
  <c r="I26" i="35" s="1"/>
  <c r="P7" i="34"/>
  <c r="O10" i="34"/>
  <c r="O8" i="34"/>
  <c r="L2" i="34"/>
  <c r="K3" i="34"/>
  <c r="O29" i="34"/>
  <c r="P28" i="34"/>
  <c r="J19" i="34"/>
  <c r="I20" i="34"/>
  <c r="I37" i="34" s="1"/>
  <c r="L33" i="34"/>
  <c r="P21" i="35" l="1"/>
  <c r="AH21" i="35" s="1"/>
  <c r="P41" i="35"/>
  <c r="R43" i="35"/>
  <c r="O42" i="35"/>
  <c r="O23" i="35"/>
  <c r="AH16" i="35"/>
  <c r="AH41" i="35" s="1"/>
  <c r="AO26" i="35"/>
  <c r="AP25" i="35"/>
  <c r="AG25" i="35"/>
  <c r="AG43" i="35" s="1"/>
  <c r="K26" i="35"/>
  <c r="AG26" i="35" s="1"/>
  <c r="G26" i="35"/>
  <c r="AF26" i="35" s="1"/>
  <c r="AF25" i="35"/>
  <c r="AF43" i="35" s="1"/>
  <c r="AE42" i="35"/>
  <c r="Y43" i="35"/>
  <c r="Y26" i="35"/>
  <c r="AA26" i="35"/>
  <c r="AA43" i="35"/>
  <c r="N43" i="35"/>
  <c r="N25" i="35"/>
  <c r="N26" i="35" s="1"/>
  <c r="Z26" i="35"/>
  <c r="Z43" i="35"/>
  <c r="Q7" i="34"/>
  <c r="P10" i="34"/>
  <c r="P8" i="34"/>
  <c r="Q28" i="34"/>
  <c r="P29" i="34"/>
  <c r="M2" i="34"/>
  <c r="L3" i="34"/>
  <c r="I36" i="34"/>
  <c r="K19" i="34"/>
  <c r="J20" i="34"/>
  <c r="J37" i="34" s="1"/>
  <c r="M33" i="34"/>
  <c r="O43" i="35" l="1"/>
  <c r="O25" i="35"/>
  <c r="AH42" i="35"/>
  <c r="AP26" i="35"/>
  <c r="AQ25" i="35"/>
  <c r="R25" i="35"/>
  <c r="R26" i="35" s="1"/>
  <c r="P23" i="35"/>
  <c r="P42" i="35"/>
  <c r="M3" i="34"/>
  <c r="N2" i="34"/>
  <c r="N33" i="34"/>
  <c r="R28" i="34"/>
  <c r="R29" i="34" s="1"/>
  <c r="Q29" i="34"/>
  <c r="L19" i="34"/>
  <c r="K20" i="34"/>
  <c r="K37" i="34" s="1"/>
  <c r="R7" i="34"/>
  <c r="Q10" i="34"/>
  <c r="Q8" i="34"/>
  <c r="P25" i="35" l="1"/>
  <c r="AQ26" i="35"/>
  <c r="AR25" i="35"/>
  <c r="O26" i="35"/>
  <c r="AH23" i="35"/>
  <c r="N3" i="34"/>
  <c r="O2" i="34"/>
  <c r="R10" i="34"/>
  <c r="R8" i="34"/>
  <c r="M19" i="34"/>
  <c r="L20" i="34"/>
  <c r="L37" i="34" s="1"/>
  <c r="O33" i="34"/>
  <c r="P26" i="35" l="1"/>
  <c r="AH26" i="35" s="1"/>
  <c r="AH25" i="35"/>
  <c r="AR26" i="35"/>
  <c r="AS25" i="35"/>
  <c r="AH24" i="35"/>
  <c r="P43" i="35"/>
  <c r="P33" i="34"/>
  <c r="N19" i="34"/>
  <c r="M20" i="34"/>
  <c r="M37" i="34" s="1"/>
  <c r="P2" i="34"/>
  <c r="O3" i="34"/>
  <c r="AH43" i="35" l="1"/>
  <c r="AS26" i="35"/>
  <c r="AT25" i="35"/>
  <c r="Q33" i="34"/>
  <c r="Q2" i="34"/>
  <c r="P3" i="34"/>
  <c r="N20" i="34"/>
  <c r="N37" i="34" s="1"/>
  <c r="O19" i="34"/>
  <c r="AT26" i="35" l="1"/>
  <c r="AU25" i="35"/>
  <c r="O20" i="34"/>
  <c r="O37" i="34" s="1"/>
  <c r="P19" i="34"/>
  <c r="R2" i="34"/>
  <c r="R3" i="34" s="1"/>
  <c r="Q3" i="34"/>
  <c r="R33" i="34"/>
  <c r="AU26" i="35" l="1"/>
  <c r="AV25" i="35"/>
  <c r="P20" i="34"/>
  <c r="P37" i="34" s="1"/>
  <c r="Q19" i="34"/>
  <c r="AV26" i="35" l="1"/>
  <c r="AW25" i="35"/>
  <c r="R19" i="34"/>
  <c r="R20" i="34" s="1"/>
  <c r="R37" i="34" s="1"/>
  <c r="Q20" i="34"/>
  <c r="Q37" i="34" s="1"/>
  <c r="AX25" i="35" l="1"/>
  <c r="AW26" i="35"/>
  <c r="H16" i="19"/>
  <c r="H6" i="19"/>
  <c r="H5" i="19"/>
  <c r="F7" i="25"/>
  <c r="AY25" i="35" l="1"/>
  <c r="AX26" i="35"/>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AZ25" i="35" l="1"/>
  <c r="AY26" i="35"/>
  <c r="H30" i="19"/>
  <c r="D15" i="20"/>
  <c r="BA25" i="35" l="1"/>
  <c r="AZ26" i="35"/>
  <c r="I15" i="19"/>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c r="B5" i="14"/>
  <c r="B16" i="14" s="1"/>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BA26" i="35" l="1"/>
  <c r="BB25" i="35"/>
  <c r="A27" i="25"/>
  <c r="C27" i="25" s="1"/>
  <c r="D27" i="25" s="1"/>
  <c r="A14" i="25"/>
  <c r="A26" i="25"/>
  <c r="C26" i="25" s="1"/>
  <c r="D26" i="25" s="1"/>
  <c r="L59" i="19"/>
  <c r="L62" i="19"/>
  <c r="J47" i="19"/>
  <c r="K39" i="19"/>
  <c r="K27" i="19"/>
  <c r="D38" i="28"/>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J38" i="19"/>
  <c r="K43" i="19"/>
  <c r="K45" i="19"/>
  <c r="J37" i="19"/>
  <c r="L37" i="19"/>
  <c r="L38" i="19"/>
  <c r="BC25" i="35" l="1"/>
  <c r="BB26" i="35"/>
  <c r="H28" i="32"/>
  <c r="G38" i="13"/>
  <c r="E27" i="25"/>
  <c r="E26" i="25"/>
  <c r="A28" i="25"/>
  <c r="A15" i="25"/>
  <c r="G16" i="32"/>
  <c r="F10" i="28"/>
  <c r="C27" i="28"/>
  <c r="O18" i="32"/>
  <c r="L64" i="19"/>
  <c r="K18" i="19"/>
  <c r="J18" i="19"/>
  <c r="J48" i="19"/>
  <c r="L48" i="19" s="1"/>
  <c r="B67" i="19" s="1"/>
  <c r="G2" i="13"/>
  <c r="I16" i="32" s="1"/>
  <c r="J32" i="19"/>
  <c r="K21" i="19"/>
  <c r="K32" i="19" s="1"/>
  <c r="C7" i="12"/>
  <c r="E17" i="32"/>
  <c r="B17" i="28"/>
  <c r="D3" i="13"/>
  <c r="B18" i="28" s="1"/>
  <c r="D14" i="20"/>
  <c r="D16" i="20" s="1"/>
  <c r="B37" i="19" s="1"/>
  <c r="J38" i="13"/>
  <c r="K28" i="32"/>
  <c r="B27" i="19" l="1"/>
  <c r="BC26" i="35"/>
  <c r="BD25" i="35"/>
  <c r="J2" i="13"/>
  <c r="L16" i="32" s="1"/>
  <c r="I28" i="32"/>
  <c r="D17" i="12"/>
  <c r="C15" i="18"/>
  <c r="C53" i="19"/>
  <c r="C54" i="19"/>
  <c r="C56" i="19" s="1"/>
  <c r="C62" i="19"/>
  <c r="A16" i="25"/>
  <c r="A29" i="25"/>
  <c r="E28" i="25"/>
  <c r="C28" i="25"/>
  <c r="D28" i="25" s="1"/>
  <c r="H2" i="13"/>
  <c r="J16" i="32" s="1"/>
  <c r="K2" i="13"/>
  <c r="M16" i="32" s="1"/>
  <c r="I2" i="13"/>
  <c r="K16" i="32" s="1"/>
  <c r="L2" i="13"/>
  <c r="N16" i="32" s="1"/>
  <c r="K48" i="19"/>
  <c r="C8" i="13"/>
  <c r="F17" i="32"/>
  <c r="E3" i="13"/>
  <c r="L28" i="32"/>
  <c r="K38" i="13"/>
  <c r="BD26" i="35" l="1"/>
  <c r="BE25" i="35"/>
  <c r="C60" i="19"/>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F25" i="35" l="1"/>
  <c r="BE26" i="35"/>
  <c r="B61" i="19"/>
  <c r="D61" i="19"/>
  <c r="C28" i="18"/>
  <c r="A31" i="25"/>
  <c r="A18" i="25"/>
  <c r="C30" i="25"/>
  <c r="D30" i="25" s="1"/>
  <c r="E30" i="25"/>
  <c r="H17" i="32"/>
  <c r="E18" i="32"/>
  <c r="D4" i="13"/>
  <c r="C12" i="12"/>
  <c r="F4" i="13"/>
  <c r="G4" i="13"/>
  <c r="C17" i="28"/>
  <c r="D17" i="28" s="1"/>
  <c r="E4" i="13"/>
  <c r="C5" i="13"/>
  <c r="G3" i="13"/>
  <c r="D7" i="12" s="1"/>
  <c r="B20" i="28"/>
  <c r="F21" i="32"/>
  <c r="F18" i="28"/>
  <c r="E17" i="12"/>
  <c r="N28" i="32"/>
  <c r="G21" i="32"/>
  <c r="F19" i="28"/>
  <c r="E62" i="19" l="1"/>
  <c r="B13" i="19" s="1"/>
  <c r="B35" i="11" s="1"/>
  <c r="I31" i="11" s="1"/>
  <c r="E61" i="19"/>
  <c r="BF26" i="35"/>
  <c r="BG25" i="35"/>
  <c r="F33" i="18"/>
  <c r="F34" i="18"/>
  <c r="F31" i="18"/>
  <c r="F32" i="18" s="1"/>
  <c r="A19" i="25"/>
  <c r="A32" i="25"/>
  <c r="C31" i="25"/>
  <c r="D31" i="25" s="1"/>
  <c r="E31" i="25"/>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G26" i="35" l="1"/>
  <c r="BH25" i="35"/>
  <c r="G8" i="13"/>
  <c r="F21" i="28" s="1"/>
  <c r="J17" i="32"/>
  <c r="B22" i="28"/>
  <c r="D22" i="28" s="1"/>
  <c r="H21" i="32"/>
  <c r="H5" i="13"/>
  <c r="J19" i="32" s="1"/>
  <c r="C32" i="25"/>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J3" i="13"/>
  <c r="H8" i="13"/>
  <c r="I5" i="13"/>
  <c r="K17" i="32"/>
  <c r="B23" i="28"/>
  <c r="D23" i="28" s="1"/>
  <c r="BH26" i="35" l="1"/>
  <c r="BI25" i="35"/>
  <c r="I21" i="32"/>
  <c r="E33" i="25"/>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BJ25" i="35" l="1"/>
  <c r="BI26" i="35"/>
  <c r="D40" i="25"/>
  <c r="D35" i="25"/>
  <c r="B39" i="13" s="1"/>
  <c r="I27" i="11" s="1"/>
  <c r="F12" i="13"/>
  <c r="H25" i="32" s="1"/>
  <c r="E13" i="13"/>
  <c r="E14" i="13" s="1"/>
  <c r="F26" i="32"/>
  <c r="F7" i="13"/>
  <c r="F10" i="13"/>
  <c r="D14" i="13"/>
  <c r="K21" i="32"/>
  <c r="F23" i="28"/>
  <c r="K5" i="13"/>
  <c r="B25" i="28"/>
  <c r="D25" i="28" s="1"/>
  <c r="L3" i="13"/>
  <c r="J8" i="13"/>
  <c r="M17" i="32"/>
  <c r="L19" i="32"/>
  <c r="BK25" i="35" l="1"/>
  <c r="BJ26" i="35"/>
  <c r="G12" i="13"/>
  <c r="H12" i="13" s="1"/>
  <c r="B17" i="12"/>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BL25" i="35" l="1"/>
  <c r="BK26" i="35"/>
  <c r="I25" i="32"/>
  <c r="B10" i="28"/>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BL26" i="35" l="1"/>
  <c r="BM25" i="35"/>
  <c r="E39" i="13"/>
  <c r="E40" i="13"/>
  <c r="G29" i="32" s="1"/>
  <c r="B13" i="28"/>
  <c r="B27" i="12"/>
  <c r="I26" i="32"/>
  <c r="J20" i="32"/>
  <c r="E22" i="28"/>
  <c r="G22" i="28" s="1"/>
  <c r="H9" i="13"/>
  <c r="J22" i="32" s="1"/>
  <c r="G14" i="13"/>
  <c r="I10" i="13"/>
  <c r="I7" i="13"/>
  <c r="M7" i="13"/>
  <c r="O19" i="32"/>
  <c r="J35" i="11"/>
  <c r="N5" i="13"/>
  <c r="F26" i="28"/>
  <c r="N21" i="32"/>
  <c r="J26" i="32"/>
  <c r="I13" i="13"/>
  <c r="J12" i="13"/>
  <c r="K25" i="32"/>
  <c r="BN25" i="35" l="1"/>
  <c r="BM26" i="35"/>
  <c r="F39" i="13"/>
  <c r="F40" i="13"/>
  <c r="H29" i="32" s="1"/>
  <c r="H14" i="13"/>
  <c r="I9" i="13"/>
  <c r="K22" i="32" s="1"/>
  <c r="K20" i="32"/>
  <c r="E23" i="28"/>
  <c r="G23" i="28" s="1"/>
  <c r="J7" i="13"/>
  <c r="J10" i="13"/>
  <c r="E27" i="28"/>
  <c r="O20" i="32"/>
  <c r="L25" i="32"/>
  <c r="K12" i="13"/>
  <c r="J13" i="13"/>
  <c r="K26" i="32"/>
  <c r="BN26" i="35" l="1"/>
  <c r="BO25" i="35"/>
  <c r="G39" i="13"/>
  <c r="G40" i="13"/>
  <c r="I29" i="32" s="1"/>
  <c r="I14" i="13"/>
  <c r="K10" i="13"/>
  <c r="K7" i="13"/>
  <c r="L20" i="32"/>
  <c r="J9" i="13"/>
  <c r="L22" i="32" s="1"/>
  <c r="E24" i="28"/>
  <c r="G24" i="28" s="1"/>
  <c r="L26" i="32"/>
  <c r="K13" i="13"/>
  <c r="M25" i="32"/>
  <c r="L12" i="13"/>
  <c r="BP25" i="35" l="1"/>
  <c r="BO26" i="35"/>
  <c r="H39" i="13"/>
  <c r="H40" i="13"/>
  <c r="J29" i="32" s="1"/>
  <c r="J14" i="13"/>
  <c r="E25" i="28"/>
  <c r="G25" i="28" s="1"/>
  <c r="M20" i="32"/>
  <c r="K9" i="13"/>
  <c r="M22" i="32" s="1"/>
  <c r="L7" i="13"/>
  <c r="L10" i="13"/>
  <c r="M10" i="13" s="1"/>
  <c r="N25" i="32"/>
  <c r="M40" i="13"/>
  <c r="M26" i="32"/>
  <c r="L13" i="13"/>
  <c r="BQ25" i="35" l="1"/>
  <c r="BP26" i="35"/>
  <c r="I39" i="13"/>
  <c r="I40" i="13"/>
  <c r="K29" i="32" s="1"/>
  <c r="K14" i="13"/>
  <c r="N20" i="32"/>
  <c r="L9" i="13"/>
  <c r="N22" i="32" s="1"/>
  <c r="E26" i="28"/>
  <c r="G26" i="28" s="1"/>
  <c r="P9" i="32"/>
  <c r="P10" i="32" s="1"/>
  <c r="F13" i="28"/>
  <c r="M8" i="13"/>
  <c r="O29" i="32"/>
  <c r="F12" i="28"/>
  <c r="E27" i="12"/>
  <c r="N26" i="32"/>
  <c r="C31" i="12"/>
  <c r="B21" i="12"/>
  <c r="C21" i="12" s="1"/>
  <c r="BQ26" i="35" l="1"/>
  <c r="BR25" i="35"/>
  <c r="J39" i="13"/>
  <c r="J40" i="13"/>
  <c r="L29" i="32" s="1"/>
  <c r="L14" i="13"/>
  <c r="B20" i="13" s="1"/>
  <c r="B23" i="12" s="1"/>
  <c r="B22" i="12" s="1"/>
  <c r="C22" i="12" s="1"/>
  <c r="C23" i="12" s="1"/>
  <c r="F27" i="28"/>
  <c r="G27" i="28" s="1"/>
  <c r="M9" i="13"/>
  <c r="N8" i="13"/>
  <c r="O21" i="32"/>
  <c r="BS25" i="35" l="1"/>
  <c r="BR26" i="35"/>
  <c r="K39" i="13"/>
  <c r="K40" i="13"/>
  <c r="M29" i="32" s="1"/>
  <c r="D31" i="28"/>
  <c r="B16" i="32"/>
  <c r="B16" i="13"/>
  <c r="B18" i="13" s="1"/>
  <c r="O22" i="32"/>
  <c r="BT25" i="35" l="1"/>
  <c r="BS26" i="35"/>
  <c r="L39" i="13"/>
  <c r="C27" i="12" s="1"/>
  <c r="D13" i="28" s="1"/>
  <c r="L40" i="13"/>
  <c r="N23" i="32"/>
  <c r="D29" i="28"/>
  <c r="B19" i="13"/>
  <c r="BU25" i="35" l="1"/>
  <c r="BT26" i="35"/>
  <c r="N29" i="32"/>
  <c r="J36" i="11"/>
  <c r="D27" i="12"/>
  <c r="D30" i="28"/>
  <c r="B21" i="13"/>
  <c r="B15" i="32"/>
  <c r="BU26" i="35" l="1"/>
  <c r="BV25" i="35"/>
  <c r="B23" i="13"/>
  <c r="B24" i="13" s="1"/>
  <c r="D32" i="28"/>
  <c r="BV26" i="35" l="1"/>
  <c r="BW25" i="35"/>
  <c r="B29" i="13"/>
  <c r="B18" i="32"/>
  <c r="D33" i="28"/>
  <c r="D36" i="28" s="1"/>
  <c r="BW26" i="35" l="1"/>
  <c r="BX25" i="35"/>
  <c r="B23" i="32"/>
  <c r="BX26" i="35" l="1"/>
  <c r="BY25" i="35"/>
  <c r="BY26" i="35" l="1"/>
  <c r="BZ25" i="35"/>
  <c r="CA25" i="35" l="1"/>
  <c r="BZ26" i="35"/>
  <c r="CA26" i="35" l="1"/>
  <c r="CB25" i="35"/>
  <c r="CB26" i="35" l="1"/>
  <c r="CC25" i="35"/>
  <c r="CC26" i="35" l="1"/>
  <c r="CD25" i="35"/>
  <c r="CE25" i="35" l="1"/>
  <c r="CD26" i="35"/>
  <c r="CF25" i="35" l="1"/>
  <c r="CE26" i="35"/>
  <c r="CG25" i="35" l="1"/>
  <c r="CF26" i="35"/>
  <c r="CH25" i="35" l="1"/>
  <c r="CG26" i="35"/>
  <c r="CI25" i="35" l="1"/>
  <c r="CH26" i="35"/>
  <c r="CJ25" i="35" l="1"/>
  <c r="CI26" i="35"/>
  <c r="CK25" i="35" l="1"/>
  <c r="CJ26" i="35"/>
  <c r="CK26" i="35" l="1"/>
  <c r="CL25" i="35"/>
  <c r="CL26" i="35" l="1"/>
  <c r="CM25" i="35"/>
  <c r="CM26" i="35" l="1"/>
  <c r="CN25" i="35"/>
  <c r="CN26" i="35" l="1"/>
  <c r="CO25" i="35"/>
  <c r="CO26" i="35" l="1"/>
  <c r="AN30" i="35"/>
  <c r="AN33" i="35" l="1"/>
  <c r="AN34" i="35" s="1"/>
  <c r="B36" i="12"/>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tc={0BC778DC-6DE5-42D7-8C4F-D8DADA5C0E6D}</author>
  </authors>
  <commentList>
    <comment ref="AH25" authorId="0" shapeId="0" xr:uid="{0BC778DC-6DE5-42D7-8C4F-D8DADA5C0E6D}">
      <text>
        <t>[Threaded comment]
Your version of Excel allows you to read this threaded comment; however, any edits to it will get removed if the file is opened in a newer version of Excel. Learn more: https://go.microsoft.com/fwlink/?linkid=870924
Comment:
    527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<sst xmlns="http://schemas.openxmlformats.org/spreadsheetml/2006/main" count="1833" uniqueCount="1117">
  <si>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</si>
  <si>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</si>
  <si>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</si>
  <si>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</si>
  <si>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</si>
  <si>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</si>
  <si>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</si>
  <si>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</si>
  <si>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</si>
  <si>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</si>
  <si>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</si>
  <si>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</si>
  <si>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</si>
  <si>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</si>
  <si>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</si>
  <si>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</si>
  <si>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</si>
  <si>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</si>
  <si>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</si>
  <si>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</si>
  <si>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</si>
  <si>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</si>
  <si>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</si>
  <si>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</si>
  <si>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</si>
  <si>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</si>
  <si>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</si>
  <si>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</si>
  <si>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</si>
  <si>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</si>
  <si>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</si>
  <si>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</si>
  <si>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</si>
  <si>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</si>
  <si>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</si>
  <si>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</si>
  <si>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</si>
  <si>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</si>
  <si>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</si>
  <si>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</si>
  <si>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</si>
  <si>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</si>
  <si>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</si>
  <si>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</si>
  <si>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</si>
  <si>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</si>
  <si>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</si>
  <si>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</si>
  <si>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</si>
  <si>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</si>
  <si>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</si>
  <si>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</si>
  <si>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</si>
  <si>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</si>
  <si>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</si>
  <si>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</si>
  <si>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</si>
  <si>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</si>
  <si>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</si>
  <si>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</si>
  <si>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</si>
  <si>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</si>
  <si>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</si>
  <si>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</si>
  <si>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</si>
  <si>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</si>
  <si>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</si>
  <si>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</si>
  <si>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</si>
  <si>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</si>
  <si>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</si>
  <si>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</si>
  <si>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</si>
  <si>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</si>
  <si>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</si>
  <si>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</si>
  <si>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</si>
  <si>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</si>
  <si>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</si>
  <si>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</si>
  <si>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</si>
  <si>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</si>
  <si>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</si>
  <si>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</si>
  <si>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</si>
  <si>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</si>
  <si>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</si>
  <si>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</si>
  <si>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</si>
  <si>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</si>
  <si>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</si>
  <si>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</si>
  <si>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</si>
  <si>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</si>
  <si>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</si>
  <si>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</si>
  <si>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</si>
  <si>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</si>
  <si>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</si>
  <si>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</si>
  <si>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</si>
  <si>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</si>
  <si>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</si>
  <si>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</si>
  <si>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</si>
  <si>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</si>
  <si>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</si>
  <si>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</si>
  <si>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</si>
  <si>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</si>
  <si>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</si>
  <si>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</si>
  <si>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</si>
  <si>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</si>
  <si>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</si>
  <si>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</si>
  <si>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</si>
  <si>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</si>
  <si>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</si>
  <si>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</si>
  <si>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</si>
  <si>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</si>
  <si>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</si>
  <si>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</si>
  <si>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</si>
  <si>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</si>
  <si>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</si>
  <si>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</si>
  <si>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</si>
  <si>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</si>
  <si>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</si>
  <si>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</si>
  <si>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</si>
  <si>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</si>
  <si>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</si>
  <si>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</si>
  <si>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</si>
  <si>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</si>
  <si>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</si>
  <si>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</si>
  <si>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</si>
  <si>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</si>
  <si>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</si>
  <si>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</si>
  <si>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</si>
  <si>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</si>
  <si>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</si>
  <si>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</si>
  <si>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</si>
  <si>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</si>
  <si>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</si>
  <si>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</si>
  <si>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</si>
  <si>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</si>
  <si>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</si>
  <si>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</si>
  <si>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</si>
  <si>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</si>
  <si>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</si>
  <si>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</si>
  <si>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</si>
  <si>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</si>
  <si>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</si>
  <si>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</si>
  <si>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</si>
  <si>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</si>
  <si>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</si>
  <si>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</si>
  <si>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</si>
  <si>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</si>
  <si>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</si>
  <si>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</si>
  <si>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</si>
  <si>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</si>
  <si>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</si>
  <si>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</si>
  <si>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</si>
  <si>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</si>
  <si>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</si>
  <si>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</si>
  <si>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</si>
  <si>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</si>
  <si>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</si>
  <si>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</si>
  <si>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</si>
  <si>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</si>
  <si>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</si>
  <si>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</si>
  <si>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</si>
  <si>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</si>
  <si>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</si>
  <si>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</si>
  <si>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</si>
  <si>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</si>
  <si>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</si>
  <si>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</si>
  <si>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</si>
  <si>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</si>
  <si>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</si>
  <si>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</si>
  <si>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</si>
  <si>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</si>
  <si>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</si>
  <si>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</si>
  <si>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</si>
  <si>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</si>
  <si>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</si>
  <si>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</si>
  <si>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</si>
  <si>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</si>
  <si>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</si>
  <si>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</si>
  <si>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</si>
  <si>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</si>
  <si>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</si>
  <si>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</si>
  <si>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</si>
  <si>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</si>
  <si>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</si>
  <si>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</si>
  <si>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</si>
  <si>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</si>
  <si>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</si>
  <si>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</si>
  <si>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</si>
  <si>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</si>
  <si>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</si>
  <si>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</si>
  <si>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</si>
  <si>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</si>
  <si>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</si>
  <si>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</si>
  <si>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</si>
  <si>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</si>
  <si>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</si>
  <si>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</si>
  <si>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</si>
  <si>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</si>
  <si>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</si>
  <si>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</si>
  <si>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</si>
  <si>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</si>
  <si>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</si>
  <si>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</si>
  <si>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</si>
  <si>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</si>
  <si>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</si>
  <si>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</si>
  <si>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</si>
  <si>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</si>
  <si>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</si>
  <si>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</si>
  <si>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</si>
  <si>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</si>
  <si>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</si>
  <si>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</si>
  <si>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</si>
  <si>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</si>
  <si>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</si>
  <si>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</si>
  <si>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</si>
  <si>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</si>
  <si>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</si>
  <si>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</si>
  <si>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</si>
  <si>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</si>
  <si>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</si>
  <si>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</si>
  <si>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</si>
  <si>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</si>
  <si>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</si>
  <si>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</si>
  <si>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</si>
  <si>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</si>
  <si>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</si>
  <si>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</si>
  <si>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</si>
  <si>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</si>
  <si>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</si>
  <si>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</si>
  <si>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</si>
  <si>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</si>
  <si>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</si>
  <si>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</si>
  <si>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</si>
  <si>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</si>
  <si>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</si>
  <si>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</si>
  <si>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</si>
  <si>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</si>
  <si>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</si>
  <si>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</si>
  <si>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</si>
  <si>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</si>
  <si>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</si>
  <si>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</si>
  <si>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</si>
  <si>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</si>
  <si>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</si>
  <si>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</si>
  <si>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</si>
  <si>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</si>
  <si>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</si>
  <si>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</si>
  <si>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</si>
  <si>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</si>
  <si>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</si>
  <si>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</si>
  <si>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</si>
  <si>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</si>
  <si>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</si>
  <si>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</si>
  <si>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</si>
  <si>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</si>
  <si>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</si>
  <si>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</si>
  <si>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</si>
  <si>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</si>
  <si>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</si>
  <si>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</si>
  <si>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</si>
  <si>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</si>
  <si>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</si>
  <si>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</si>
  <si>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</si>
  <si>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</si>
  <si>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</si>
  <si>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</si>
  <si>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</si>
  <si>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</si>
  <si>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</si>
  <si>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</si>
  <si>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</si>
  <si>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</si>
  <si>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</si>
  <si>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</si>
  <si>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</si>
  <si>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</si>
  <si>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</si>
  <si>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</si>
  <si>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</si>
  <si>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</si>
  <si>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</si>
  <si>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</si>
  <si>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</si>
  <si>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</si>
  <si>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</si>
  <si>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</si>
  <si>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</si>
  <si>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</si>
  <si>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</si>
  <si>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</si>
  <si>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</si>
  <si>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</si>
  <si>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</si>
  <si>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</si>
  <si>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</si>
  <si>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</si>
  <si>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</si>
  <si>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</si>
  <si>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</si>
  <si>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</si>
  <si>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</si>
  <si>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</si>
  <si>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</si>
  <si>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</si>
  <si>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</si>
  <si>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</si>
  <si>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</si>
  <si>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</si>
  <si>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</si>
  <si>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</si>
  <si>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</si>
  <si>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</si>
  <si>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</si>
  <si>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</si>
  <si>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</si>
  <si>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</si>
  <si>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</si>
  <si>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</si>
  <si>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</si>
  <si>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</si>
  <si>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</si>
  <si>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</si>
  <si>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</si>
  <si>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</si>
  <si>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</si>
  <si>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</si>
  <si>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</si>
  <si>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</si>
  <si>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</si>
  <si>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</si>
  <si>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</si>
  <si>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</si>
  <si>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</si>
  <si>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</si>
  <si>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</si>
  <si>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</si>
  <si>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</si>
  <si>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</si>
  <si>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</si>
  <si>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</si>
  <si>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</si>
  <si>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</si>
  <si>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</si>
  <si>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</si>
  <si>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</si>
  <si>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</si>
  <si>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</si>
  <si>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</si>
  <si>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</si>
  <si>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</si>
  <si>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</si>
  <si>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</si>
  <si>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</si>
  <si>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</si>
  <si>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</si>
  <si>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</si>
  <si>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</si>
  <si>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</si>
  <si>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</si>
  <si>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</si>
  <si>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</si>
  <si>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</si>
  <si>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</si>
  <si>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</si>
  <si>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</si>
  <si>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</si>
  <si>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</si>
  <si>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</si>
  <si>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</si>
  <si>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</si>
  <si>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</si>
  <si>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</si>
  <si>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</si>
  <si>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</si>
  <si>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</si>
  <si>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</si>
  <si>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</si>
  <si>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</si>
  <si>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</si>
  <si>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</si>
  <si>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</si>
  <si>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</si>
  <si>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</si>
  <si>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</si>
  <si>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</si>
  <si>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</si>
  <si>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</si>
  <si>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</si>
  <si>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</si>
  <si>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</si>
  <si>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</si>
  <si>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</si>
  <si>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</si>
  <si>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</si>
  <si>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</si>
  <si>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</si>
  <si>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</si>
  <si>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</si>
  <si>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</si>
  <si>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</si>
  <si>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</si>
  <si>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</si>
  <si>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</si>
  <si>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</si>
  <si>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</si>
  <si>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</si>
  <si>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</si>
  <si>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</si>
  <si>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</si>
  <si>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</si>
  <si>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</si>
  <si>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</si>
  <si>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</si>
  <si>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</si>
  <si>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</si>
  <si>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</si>
  <si>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</si>
  <si>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</si>
  <si>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</si>
  <si>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</si>
  <si>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</si>
  <si>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</si>
  <si>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</si>
  <si>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</si>
  <si>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</si>
  <si>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</si>
  <si>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</si>
  <si>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</si>
  <si>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</si>
  <si>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</si>
  <si>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</si>
  <si>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</si>
  <si>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</si>
  <si>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</si>
  <si>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</si>
  <si>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</si>
  <si>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</si>
  <si>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</si>
  <si>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</si>
  <si>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</si>
  <si>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</si>
  <si>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</si>
  <si>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</si>
  <si>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</si>
  <si>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</si>
  <si>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</si>
  <si>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</si>
  <si>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</si>
  <si>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</si>
  <si>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</si>
  <si>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</si>
  <si>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</si>
  <si>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</si>
  <si>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</si>
  <si>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</si>
  <si>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</si>
  <si>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</si>
  <si>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</si>
  <si>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</si>
  <si>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</si>
  <si>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</si>
  <si>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</si>
  <si>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</si>
  <si>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</si>
  <si>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</si>
  <si>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</si>
  <si>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</si>
  <si>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</si>
  <si>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</si>
  <si>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</si>
  <si>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</si>
  <si>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</si>
  <si>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</si>
  <si>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</si>
  <si>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</si>
  <si>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</si>
  <si>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</si>
  <si>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</si>
  <si>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</si>
  <si>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</si>
  <si>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</si>
  <si>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</si>
  <si>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</si>
  <si>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</si>
  <si>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</si>
  <si>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</si>
  <si>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</si>
  <si>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</si>
  <si>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</si>
  <si>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</si>
  <si>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</si>
  <si>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</si>
  <si>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</si>
  <si>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</si>
  <si>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</si>
  <si>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</si>
  <si>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</si>
  <si>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</si>
  <si>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</si>
  <si>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</si>
  <si>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</si>
  <si>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</si>
  <si>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</si>
  <si>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</si>
  <si>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</si>
  <si>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</si>
  <si>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</si>
  <si>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</si>
  <si>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</si>
  <si>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</si>
  <si>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</si>
  <si>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</si>
  <si>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</si>
  <si>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</si>
  <si>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</si>
  <si>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</si>
  <si>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</si>
  <si>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</si>
  <si>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</si>
  <si>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</si>
  <si>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</si>
  <si>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</si>
  <si>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</si>
  <si>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</si>
  <si>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</si>
  <si>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</si>
  <si>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</si>
  <si>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</si>
  <si>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</si>
  <si>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</si>
  <si>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</si>
  <si>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</si>
  <si>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</si>
  <si>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</si>
  <si>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</si>
  <si>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</si>
  <si>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</si>
  <si>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</si>
  <si>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</si>
  <si>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</si>
  <si>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</si>
  <si>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</si>
  <si>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</si>
  <si>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</si>
  <si>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</si>
  <si>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</si>
  <si>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</si>
  <si>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</si>
  <si>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</si>
  <si>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</si>
  <si>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</si>
  <si>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</si>
  <si>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</si>
  <si>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</si>
  <si>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</si>
  <si>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</si>
  <si>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</si>
  <si>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</si>
  <si>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</si>
  <si>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</si>
  <si>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</si>
  <si>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</si>
  <si>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</si>
  <si>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</si>
  <si>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</si>
  <si>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</si>
  <si>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</si>
  <si>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</si>
  <si>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</si>
  <si>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</si>
  <si>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</si>
  <si>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</si>
  <si>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</si>
  <si>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</si>
  <si>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</si>
  <si>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</si>
  <si>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</si>
  <si>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</si>
  <si>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</si>
  <si>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</si>
  <si>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</si>
  <si>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</si>
  <si>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</si>
  <si>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</si>
  <si>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</si>
  <si>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</si>
  <si>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</si>
  <si>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</si>
  <si>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</si>
  <si>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</si>
  <si>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</si>
  <si>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</si>
  <si>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</si>
  <si>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</si>
  <si>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</si>
  <si>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</si>
  <si>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</si>
  <si>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</si>
  <si>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</si>
  <si>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</si>
  <si>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</si>
  <si>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</si>
  <si>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</si>
  <si>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</si>
  <si>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</si>
  <si>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</si>
  <si>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</si>
  <si>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</si>
  <si>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</si>
  <si>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</si>
  <si>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</si>
  <si>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</si>
  <si>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</si>
  <si>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</si>
  <si>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</si>
  <si>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</si>
  <si>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</si>
  <si>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</si>
  <si>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</si>
  <si>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</si>
  <si>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</si>
  <si>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</si>
  <si>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</si>
  <si>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</si>
  <si>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</si>
  <si>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</si>
  <si>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</si>
  <si>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</si>
  <si>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</si>
  <si>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</si>
  <si>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</si>
  <si>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</si>
  <si>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</si>
  <si>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</si>
  <si>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</si>
  <si>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</si>
  <si>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</si>
  <si>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</si>
  <si>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</si>
  <si>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</si>
  <si>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</si>
  <si>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</si>
  <si>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</si>
  <si>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</si>
  <si>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</si>
  <si>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</si>
  <si>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</si>
  <si>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</si>
  <si>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</si>
  <si>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</si>
  <si>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</si>
  <si>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</si>
  <si>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</si>
  <si>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</si>
  <si>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</si>
  <si>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</si>
  <si>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</si>
  <si>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</si>
  <si>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</si>
  <si>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</si>
  <si>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</si>
  <si>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</si>
  <si>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</si>
  <si>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</si>
  <si>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</si>
  <si>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</si>
  <si>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</si>
  <si>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</si>
  <si>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</si>
  <si>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</si>
  <si>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</si>
  <si>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</si>
  <si>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</si>
  <si>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</si>
  <si>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</si>
  <si>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</si>
  <si>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</si>
  <si>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</si>
  <si>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</si>
  <si>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</si>
  <si>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</si>
  <si>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</si>
  <si>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</si>
  <si>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</si>
  <si>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</si>
  <si>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</si>
  <si>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</si>
  <si>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</si>
  <si>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</si>
  <si>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</si>
  <si>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</si>
  <si>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</si>
  <si>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</si>
  <si>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</si>
  <si>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</si>
  <si>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</si>
  <si>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</si>
  <si>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</si>
  <si>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</si>
  <si>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</si>
  <si>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</si>
  <si>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</si>
  <si>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</si>
  <si>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</si>
  <si>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</si>
  <si>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</si>
  <si>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</si>
  <si>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</si>
  <si>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</si>
  <si>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</si>
  <si>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</si>
  <si>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</si>
  <si>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</si>
  <si>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</si>
  <si>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</si>
  <si>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</si>
  <si>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</si>
  <si>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</si>
  <si>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</si>
  <si>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</si>
  <si>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</si>
  <si>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</si>
  <si>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</si>
  <si>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</si>
  <si>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</si>
  <si>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</si>
  <si>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</si>
  <si>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</si>
  <si>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</si>
  <si>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</si>
  <si>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</si>
  <si>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</si>
  <si>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</si>
  <si>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</si>
  <si>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</si>
  <si>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</si>
  <si>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</si>
  <si>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</si>
  <si>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</si>
  <si>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</si>
  <si>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</si>
  <si>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</si>
  <si>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</si>
  <si>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</si>
  <si>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</si>
  <si>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</si>
  <si>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</si>
  <si>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</si>
  <si>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</si>
  <si>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</si>
  <si>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</si>
  <si>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</si>
  <si>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</si>
  <si>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</si>
  <si>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</si>
  <si>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</si>
  <si>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</si>
  <si>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</si>
  <si>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</si>
  <si>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</si>
  <si>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</si>
  <si>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</si>
  <si>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</si>
  <si>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</si>
  <si>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</si>
  <si>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</si>
  <si>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</si>
  <si>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</si>
  <si>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</si>
  <si>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</si>
  <si>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</si>
  <si>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</si>
  <si>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</si>
  <si>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</si>
  <si>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</si>
  <si>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</si>
  <si>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</si>
  <si>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</si>
  <si>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</si>
  <si>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</si>
  <si>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</si>
  <si>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</si>
  <si>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</si>
  <si>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</si>
  <si>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</si>
  <si>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</si>
  <si>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</si>
  <si>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</si>
  <si>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</si>
  <si>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</si>
  <si>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</si>
  <si>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</si>
  <si>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</si>
  <si>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</si>
  <si>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</si>
  <si>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</si>
  <si>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</si>
  <si>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</si>
  <si>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</si>
  <si>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</si>
  <si>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</si>
  <si>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</si>
  <si>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</si>
  <si>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</si>
  <si>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</si>
  <si>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</si>
  <si>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</si>
  <si>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</si>
  <si>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</si>
  <si>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</si>
  <si>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</si>
  <si>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</si>
  <si>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</si>
  <si>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</si>
  <si>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</si>
  <si>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</si>
  <si>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</si>
  <si>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</si>
  <si>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</si>
  <si>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</si>
  <si>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</si>
  <si>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</si>
  <si>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</si>
  <si>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</si>
  <si>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</si>
  <si>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</si>
  <si>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</si>
  <si>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</si>
  <si>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</si>
  <si>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</si>
  <si>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</si>
  <si>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</si>
  <si>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</si>
  <si>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</si>
  <si>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</si>
  <si>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</si>
  <si>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</si>
  <si>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</si>
  <si>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</si>
  <si>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</si>
  <si>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</si>
  <si>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</si>
  <si>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</si>
  <si>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</si>
  <si>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</si>
  <si>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</si>
  <si>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</si>
  <si>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</si>
  <si>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</si>
  <si>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</si>
  <si>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</si>
  <si>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</si>
  <si>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</si>
  <si>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</si>
  <si>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</si>
  <si>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</si>
  <si>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</si>
  <si>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</si>
  <si>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</si>
  <si>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</si>
  <si>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</si>
  <si>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</si>
  <si>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</si>
  <si>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</si>
  <si>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</si>
  <si>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</si>
  <si>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</si>
  <si>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</si>
  <si>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</si>
  <si>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</si>
  <si>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</si>
  <si>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</si>
  <si>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</si>
  <si>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</si>
  <si>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</si>
  <si>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</si>
  <si>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</si>
  <si>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</si>
  <si>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</si>
  <si>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</si>
  <si>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</si>
  <si>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</si>
  <si>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</si>
  <si>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</si>
  <si>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</si>
  <si>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</si>
  <si>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</si>
  <si>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</si>
  <si>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</si>
  <si>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</si>
  <si>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</si>
  <si>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</si>
  <si>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</si>
  <si>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</si>
  <si>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</si>
  <si>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</si>
  <si>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</si>
  <si>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</si>
  <si>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</si>
  <si>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</si>
  <si>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</si>
  <si>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</si>
  <si>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</si>
  <si>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</si>
  <si>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</si>
  <si>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</si>
  <si>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</si>
  <si>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</si>
  <si>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</si>
  <si>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</si>
  <si>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</si>
  <si>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</si>
  <si>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</si>
  <si>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</si>
  <si>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</si>
  <si>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</si>
  <si>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</si>
  <si>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</si>
  <si>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</si>
  <si>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</si>
  <si>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</si>
  <si>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</si>
  <si>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</si>
  <si>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</si>
  <si>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</si>
  <si>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</si>
  <si>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</si>
  <si>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</si>
  <si>
    <t>cagr 5 - 10</t>
  </si>
  <si>
    <t>cagr 1 - 5</t>
  </si>
  <si>
    <t>total revenue</t>
  </si>
  <si>
    <t>audio &amp; wearables</t>
  </si>
  <si>
    <t>weight</t>
  </si>
  <si>
    <t>mbl speakers logi</t>
  </si>
  <si>
    <t>mobile speakers mrk</t>
  </si>
  <si>
    <t>video collab</t>
  </si>
  <si>
    <t>gaming</t>
  </si>
  <si>
    <t>gaming mrk size</t>
  </si>
  <si>
    <t>tablet &amp; other accs</t>
  </si>
  <si>
    <t>logitech</t>
  </si>
  <si>
    <t>pc webcams forecast</t>
  </si>
  <si>
    <t>kbds grwth</t>
  </si>
  <si>
    <t>forecast keyboards</t>
  </si>
  <si>
    <t>pointing devices forecast</t>
  </si>
  <si>
    <t>main</t>
  </si>
  <si>
    <t>25/01/2021</t>
  </si>
  <si>
    <t>26/07/2021</t>
  </si>
  <si>
    <t>25/10/2021</t>
  </si>
  <si>
    <t>23/01/2022</t>
  </si>
  <si>
    <t>26/07/2022</t>
  </si>
  <si>
    <t>25/10/2022</t>
  </si>
  <si>
    <t>23/01/2023</t>
  </si>
  <si>
    <t>Q121</t>
  </si>
  <si>
    <t>Q221</t>
  </si>
  <si>
    <t>Q321</t>
  </si>
  <si>
    <t>Q421</t>
  </si>
  <si>
    <t>Q122</t>
  </si>
  <si>
    <t>Q222</t>
  </si>
  <si>
    <t>Q322</t>
  </si>
  <si>
    <t>Q422</t>
  </si>
  <si>
    <t>Q123</t>
  </si>
  <si>
    <t>Q223</t>
  </si>
  <si>
    <t>Q323</t>
  </si>
  <si>
    <t>Q423</t>
  </si>
  <si>
    <t>Q124</t>
  </si>
  <si>
    <t>Q224</t>
  </si>
  <si>
    <t>Q324</t>
  </si>
  <si>
    <t>Q424</t>
  </si>
  <si>
    <t>Q125</t>
  </si>
  <si>
    <t>Q225</t>
  </si>
  <si>
    <t>Q325</t>
  </si>
  <si>
    <t>Q425</t>
  </si>
  <si>
    <t>Pointing Devices</t>
  </si>
  <si>
    <t>Keyboards and Combos</t>
  </si>
  <si>
    <t>PC Webcams</t>
  </si>
  <si>
    <t>Tablet &amp; Accessories</t>
  </si>
  <si>
    <t>Gaming</t>
  </si>
  <si>
    <t>Video Collaboration</t>
  </si>
  <si>
    <t>Mobile Speakers</t>
  </si>
  <si>
    <t>Audio &amp; Wearables</t>
  </si>
  <si>
    <t>Smart Home</t>
  </si>
  <si>
    <t>Other</t>
  </si>
  <si>
    <t>COGS</t>
  </si>
  <si>
    <t>DA</t>
  </si>
  <si>
    <t>Gross Margin</t>
  </si>
  <si>
    <t>S&amp;M</t>
  </si>
  <si>
    <t>R&amp;D</t>
  </si>
  <si>
    <t>Operating Expenses</t>
  </si>
  <si>
    <t>Interest Income</t>
  </si>
  <si>
    <t>Pretax Income</t>
  </si>
  <si>
    <t xml:space="preserve">Tax </t>
  </si>
  <si>
    <t xml:space="preserve">Net Income </t>
  </si>
  <si>
    <t>EPS</t>
  </si>
  <si>
    <t>Shares outstanding</t>
  </si>
  <si>
    <t>Pointing Y/Y</t>
  </si>
  <si>
    <t>Keyboard Y/Y</t>
  </si>
  <si>
    <t>NPV</t>
  </si>
  <si>
    <t>Webcams Y/Y</t>
  </si>
  <si>
    <t>Discount Rate</t>
  </si>
  <si>
    <t>Tablet Y/Y</t>
  </si>
  <si>
    <t xml:space="preserve">Terminal </t>
  </si>
  <si>
    <t>Gaming Y/Y</t>
  </si>
  <si>
    <t>Share</t>
  </si>
  <si>
    <t>Video Y/Y</t>
  </si>
  <si>
    <t>Upside</t>
  </si>
  <si>
    <t>Mobile Speakers Y/Y</t>
  </si>
  <si>
    <t>Audio Y/Y</t>
  </si>
  <si>
    <t>Smart Home Y/Y</t>
  </si>
  <si>
    <t>Other Y/Y</t>
  </si>
  <si>
    <t>Revenue Y/Y</t>
  </si>
  <si>
    <t xml:space="preserve">Gross Margin </t>
  </si>
  <si>
    <t xml:space="preserve">Tax Rate </t>
  </si>
  <si>
    <t>Current Assets</t>
  </si>
  <si>
    <t>Cash and cash equivalents</t>
  </si>
  <si>
    <t>AR</t>
  </si>
  <si>
    <t>Inventories</t>
  </si>
  <si>
    <t>Other current assets</t>
  </si>
  <si>
    <t>Non-current assets</t>
  </si>
  <si>
    <t>PP&amp;E</t>
  </si>
  <si>
    <t>Goodwill</t>
  </si>
  <si>
    <t>Other intangible assets</t>
  </si>
  <si>
    <t>Other assets</t>
  </si>
  <si>
    <t>Total Assets</t>
  </si>
  <si>
    <t>Current Liabilities</t>
  </si>
  <si>
    <t>AP</t>
  </si>
  <si>
    <t>Accrued and other current</t>
  </si>
  <si>
    <t xml:space="preserve">cost of debt </t>
  </si>
  <si>
    <t>Non-current liabilities</t>
  </si>
  <si>
    <t>tax rate</t>
  </si>
  <si>
    <t>Income taxes payable</t>
  </si>
  <si>
    <t>debt &amp; equiv</t>
  </si>
  <si>
    <t>Other non-current liabilities</t>
  </si>
  <si>
    <t xml:space="preserve">debt as total of cap </t>
  </si>
  <si>
    <t>Total Liabilities</t>
  </si>
  <si>
    <t>After tax cost of debt</t>
  </si>
  <si>
    <t>Total Equity</t>
  </si>
  <si>
    <t>Registered shares</t>
  </si>
  <si>
    <t>risk free rate</t>
  </si>
  <si>
    <t>Additional paid in capital</t>
  </si>
  <si>
    <t>beta</t>
  </si>
  <si>
    <t xml:space="preserve">Shares in treasury </t>
  </si>
  <si>
    <t xml:space="preserve">erp </t>
  </si>
  <si>
    <t>Retained Earnings</t>
  </si>
  <si>
    <t>equity as of capital</t>
  </si>
  <si>
    <t>Other comprehensive loss</t>
  </si>
  <si>
    <t xml:space="preserve">cost of equity </t>
  </si>
  <si>
    <t>debt</t>
  </si>
  <si>
    <t>cash equiv</t>
  </si>
  <si>
    <t xml:space="preserve">Long term debt </t>
  </si>
  <si>
    <t>Net debt</t>
  </si>
  <si>
    <t>shares outstanding</t>
  </si>
  <si>
    <t>net dilluted shares outstanding</t>
  </si>
  <si>
    <t>current share price</t>
  </si>
  <si>
    <t>equity value</t>
  </si>
  <si>
    <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</si>
</sst>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0.00000%"/>
  </numFmts>
  <fonts count="100">
    <font>
      <sz val="9"/>
      <name val="Geneva"/>
      <family val="2"/>
      <charset val="1"/>
    </font>
    <font>
      <sz val="11"/>
      <color theme="1"/>
      <name val="Calibri"/>
      <family val="2"/>
      <scheme val="minor"/>
    </font>
    <font>
      <sz val="11"/>
      <color theme="1"/>
      <name val="Calibri"/>
      <family val="2"/>
      <scheme val="minor"/>
    </font>
    <font>
      <sz val="11"/>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b/>
      <sz val="11"/>
      <color theme="1"/>
      <name val="Calibri"/>
      <family val="2"/>
      <scheme val="minor"/>
    </font>
    <font>
      <u/>
      <sz val="11"/>
      <color theme="10"/>
      <name val="Calibri"/>
      <family val="2"/>
      <scheme val="minor"/>
    </font>
    <font>
      <b/>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92" fillId="0" borderId="0" applyNumberFormat="0" applyFill="0" applyBorder="0" applyAlignment="0" applyProtection="0"/>
    <xf numFmtId="0" fontId="3" fillId="0" borderId="0"/>
    <xf numFmtId="0" fontId="97" fillId="0" borderId="0" applyNumberFormat="0" applyFill="0" applyBorder="0" applyAlignment="0" applyProtection="0"/>
    <xf numFmtId="0" fontId="2" fillId="0" borderId="0"/>
    <xf numFmtId="9" fontId="2" fillId="0" borderId="0" applyFont="0" applyFill="0" applyBorder="0" applyAlignment="0" applyProtection="0"/>
  </cellStyleXfs>
  <cellXfs count="703">
    <xf numFmtId="0" fontId="0" fillId="0" borderId="0" xfId="0"/>
    <xf numFmtId="0" fontId="0" fillId="0" borderId="1" xfId="0" applyBorder="1"/>
    <xf numFmtId="0" fontId="4" fillId="0" borderId="0" xfId="0" applyFont="1"/>
    <xf numFmtId="0" fontId="9" fillId="0" borderId="0" xfId="0" applyFont="1"/>
    <xf numFmtId="0" fontId="10" fillId="0" borderId="0" xfId="0" applyFont="1"/>
    <xf numFmtId="0" fontId="12" fillId="0" borderId="0" xfId="0" applyFont="1"/>
    <xf numFmtId="0" fontId="13" fillId="0" borderId="0" xfId="0" applyFont="1"/>
    <xf numFmtId="44"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44"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18" fillId="0" borderId="0" xfId="0" applyFont="1"/>
    <xf numFmtId="0" fontId="13" fillId="0" borderId="2" xfId="0" applyFont="1" applyBorder="1"/>
    <xf numFmtId="44" fontId="13" fillId="3" borderId="1" xfId="2" applyFont="1" applyFill="1" applyBorder="1"/>
    <xf numFmtId="44" fontId="13" fillId="0" borderId="0" xfId="2" applyFont="1" applyBorder="1"/>
    <xf numFmtId="0" fontId="13" fillId="2" borderId="1" xfId="0" applyFont="1" applyFill="1" applyBorder="1" applyAlignment="1">
      <alignment horizontal="center"/>
    </xf>
    <xf numFmtId="0" fontId="13" fillId="0" borderId="3" xfId="0" applyFont="1" applyBorder="1"/>
    <xf numFmtId="44" fontId="13" fillId="2" borderId="3" xfId="0" applyNumberFormat="1" applyFont="1" applyFill="1" applyBorder="1"/>
    <xf numFmtId="44" fontId="13" fillId="2" borderId="3" xfId="2" applyFont="1" applyFill="1" applyBorder="1"/>
    <xf numFmtId="0" fontId="13" fillId="2" borderId="2" xfId="0" applyFont="1" applyFill="1" applyBorder="1"/>
    <xf numFmtId="44" fontId="13" fillId="2" borderId="2" xfId="0" applyNumberFormat="1" applyFont="1" applyFill="1" applyBorder="1"/>
    <xf numFmtId="44" fontId="13" fillId="2" borderId="4" xfId="0" applyNumberFormat="1" applyFont="1" applyFill="1" applyBorder="1"/>
    <xf numFmtId="0" fontId="20" fillId="0" borderId="5" xfId="0" applyFont="1" applyBorder="1" applyAlignment="1">
      <alignment horizontal="center"/>
    </xf>
    <xf numFmtId="0" fontId="20" fillId="0" borderId="1" xfId="0" applyFont="1" applyBorder="1" applyAlignment="1">
      <alignment horizontal="center"/>
    </xf>
    <xf numFmtId="0" fontId="21" fillId="0" borderId="1" xfId="0" applyFont="1" applyBorder="1"/>
    <xf numFmtId="0" fontId="21" fillId="0" borderId="0" xfId="0" applyFont="1"/>
    <xf numFmtId="0" fontId="22" fillId="0" borderId="1" xfId="0" applyFont="1" applyBorder="1"/>
    <xf numFmtId="0" fontId="21" fillId="0" borderId="1" xfId="0" applyFont="1" applyBorder="1" applyAlignment="1">
      <alignment horizontal="center"/>
    </xf>
    <xf numFmtId="0" fontId="21" fillId="0" borderId="0" xfId="0" applyFont="1" applyAlignment="1">
      <alignment horizontal="center"/>
    </xf>
    <xf numFmtId="0" fontId="23" fillId="0" borderId="0" xfId="0" applyFont="1"/>
    <xf numFmtId="0" fontId="23" fillId="0" borderId="1" xfId="0" applyFont="1" applyBorder="1"/>
    <xf numFmtId="0" fontId="24" fillId="0" borderId="0" xfId="0" applyFont="1"/>
    <xf numFmtId="10" fontId="13" fillId="4" borderId="2" xfId="0" applyNumberFormat="1" applyFont="1" applyFill="1" applyBorder="1" applyAlignment="1">
      <alignment horizontal="center"/>
    </xf>
    <xf numFmtId="8" fontId="13" fillId="2" borderId="2" xfId="0" applyNumberFormat="1" applyFont="1" applyFill="1" applyBorder="1"/>
    <xf numFmtId="0" fontId="21" fillId="5" borderId="1" xfId="0" applyFont="1" applyFill="1" applyBorder="1"/>
    <xf numFmtId="10" fontId="21" fillId="5" borderId="1" xfId="3" applyNumberFormat="1" applyFont="1" applyFill="1" applyBorder="1" applyAlignment="1">
      <alignment horizontal="center"/>
    </xf>
    <xf numFmtId="10" fontId="21" fillId="5" borderId="1" xfId="0" applyNumberFormat="1" applyFont="1" applyFill="1" applyBorder="1" applyAlignment="1">
      <alignment horizontal="center"/>
    </xf>
    <xf numFmtId="44" fontId="21" fillId="5" borderId="1" xfId="2" applyFont="1" applyFill="1" applyBorder="1"/>
    <xf numFmtId="44" fontId="21" fillId="5" borderId="1" xfId="2" applyFont="1" applyFill="1" applyBorder="1" applyAlignment="1">
      <alignment horizontal="center"/>
    </xf>
    <xf numFmtId="10" fontId="21" fillId="5" borderId="1" xfId="3" applyNumberFormat="1" applyFont="1" applyFill="1" applyBorder="1"/>
    <xf numFmtId="10" fontId="21" fillId="5" borderId="1" xfId="2" applyNumberFormat="1" applyFont="1" applyFill="1" applyBorder="1"/>
    <xf numFmtId="10" fontId="21" fillId="5" borderId="1" xfId="2" applyNumberFormat="1" applyFont="1" applyFill="1" applyBorder="1" applyAlignment="1">
      <alignment horizontal="center"/>
    </xf>
    <xf numFmtId="44" fontId="21" fillId="5" borderId="1" xfId="0" applyNumberFormat="1" applyFont="1" applyFill="1" applyBorder="1" applyAlignment="1">
      <alignment horizontal="center"/>
    </xf>
    <xf numFmtId="0" fontId="21" fillId="5" borderId="1" xfId="0" applyFont="1" applyFill="1" applyBorder="1" applyAlignment="1">
      <alignment horizontal="center"/>
    </xf>
    <xf numFmtId="44" fontId="21" fillId="5" borderId="1" xfId="0" applyNumberFormat="1" applyFont="1" applyFill="1" applyBorder="1"/>
    <xf numFmtId="10" fontId="21" fillId="5" borderId="1" xfId="0" applyNumberFormat="1" applyFont="1" applyFill="1" applyBorder="1"/>
    <xf numFmtId="164" fontId="21" fillId="5" borderId="1" xfId="0" applyNumberFormat="1" applyFont="1" applyFill="1" applyBorder="1"/>
    <xf numFmtId="8" fontId="21" fillId="5" borderId="1" xfId="0" applyNumberFormat="1" applyFont="1" applyFill="1" applyBorder="1"/>
    <xf numFmtId="43" fontId="21" fillId="5" borderId="1" xfId="1" applyFont="1" applyFill="1" applyBorder="1"/>
    <xf numFmtId="44" fontId="59" fillId="5" borderId="1" xfId="2" applyFont="1" applyFill="1" applyBorder="1"/>
    <xf numFmtId="2" fontId="21" fillId="5" borderId="1" xfId="0" applyNumberFormat="1" applyFont="1" applyFill="1" applyBorder="1" applyAlignment="1">
      <alignment horizontal="center"/>
    </xf>
    <xf numFmtId="168" fontId="21" fillId="5" borderId="1" xfId="0" applyNumberFormat="1" applyFont="1" applyFill="1" applyBorder="1"/>
    <xf numFmtId="168" fontId="21" fillId="5" borderId="1" xfId="0" applyNumberFormat="1" applyFont="1" applyFill="1" applyBorder="1" applyAlignment="1">
      <alignment horizontal="center"/>
    </xf>
    <xf numFmtId="0" fontId="25"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5" borderId="1" xfId="0" applyNumberFormat="1" applyFont="1" applyFill="1" applyBorder="1"/>
    <xf numFmtId="44" fontId="13" fillId="5" borderId="1" xfId="0" applyNumberFormat="1" applyFont="1" applyFill="1" applyBorder="1"/>
    <xf numFmtId="44" fontId="13" fillId="5" borderId="1" xfId="2" applyFont="1" applyFill="1" applyBorder="1"/>
    <xf numFmtId="10" fontId="13" fillId="5" borderId="1" xfId="3" applyNumberFormat="1" applyFont="1" applyFill="1" applyBorder="1"/>
    <xf numFmtId="10" fontId="13" fillId="5" borderId="3" xfId="0" applyNumberFormat="1" applyFont="1" applyFill="1" applyBorder="1"/>
    <xf numFmtId="10" fontId="13" fillId="5" borderId="1" xfId="0" applyNumberFormat="1" applyFont="1" applyFill="1" applyBorder="1"/>
    <xf numFmtId="10" fontId="13" fillId="5" borderId="6" xfId="3" applyNumberFormat="1" applyFont="1" applyFill="1" applyBorder="1"/>
    <xf numFmtId="10" fontId="13" fillId="5" borderId="2" xfId="3" applyNumberFormat="1" applyFont="1" applyFill="1" applyBorder="1"/>
    <xf numFmtId="2" fontId="13" fillId="5" borderId="1" xfId="2" applyNumberFormat="1" applyFont="1" applyFill="1" applyBorder="1"/>
    <xf numFmtId="0" fontId="26" fillId="0" borderId="0" xfId="0" applyFont="1"/>
    <xf numFmtId="0" fontId="27" fillId="0" borderId="0" xfId="0" applyFont="1"/>
    <xf numFmtId="0" fontId="19" fillId="0" borderId="0" xfId="0" applyFont="1"/>
    <xf numFmtId="0" fontId="13" fillId="3" borderId="1" xfId="0" applyFont="1" applyFill="1" applyBorder="1" applyAlignment="1">
      <alignment horizontal="center"/>
    </xf>
    <xf numFmtId="0" fontId="29" fillId="0" borderId="0" xfId="0" applyFont="1"/>
    <xf numFmtId="0" fontId="9" fillId="6" borderId="0" xfId="0" applyFont="1" applyFill="1"/>
    <xf numFmtId="0" fontId="29" fillId="0" borderId="7" xfId="0" applyFont="1" applyBorder="1"/>
    <xf numFmtId="169" fontId="21" fillId="5" borderId="1" xfId="0" applyNumberFormat="1" applyFont="1" applyFill="1" applyBorder="1" applyAlignment="1">
      <alignment horizontal="center"/>
    </xf>
    <xf numFmtId="0" fontId="0" fillId="0" borderId="1" xfId="0" applyBorder="1" applyAlignment="1">
      <alignment horizontal="center"/>
    </xf>
    <xf numFmtId="0" fontId="13" fillId="4" borderId="1" xfId="0" applyFont="1" applyFill="1" applyBorder="1"/>
    <xf numFmtId="0" fontId="13" fillId="5" borderId="1" xfId="0" applyFont="1" applyFill="1" applyBorder="1"/>
    <xf numFmtId="0" fontId="14" fillId="0" borderId="1" xfId="0" applyFont="1" applyBorder="1"/>
    <xf numFmtId="167" fontId="13" fillId="5" borderId="1" xfId="3" applyNumberFormat="1" applyFont="1" applyFill="1" applyBorder="1"/>
    <xf numFmtId="167" fontId="13" fillId="5" borderId="1" xfId="0" applyNumberFormat="1" applyFont="1" applyFill="1" applyBorder="1"/>
    <xf numFmtId="171" fontId="13" fillId="4" borderId="1" xfId="2" applyNumberFormat="1" applyFont="1" applyFill="1" applyBorder="1"/>
    <xf numFmtId="169" fontId="13" fillId="5" borderId="1" xfId="0" applyNumberFormat="1" applyFont="1" applyFill="1" applyBorder="1"/>
    <xf numFmtId="171" fontId="13" fillId="5" borderId="1" xfId="0" applyNumberFormat="1" applyFont="1" applyFill="1" applyBorder="1"/>
    <xf numFmtId="0" fontId="0" fillId="5" borderId="1" xfId="0" applyFill="1" applyBorder="1"/>
    <xf numFmtId="171" fontId="5"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3"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4" fillId="0" borderId="0" xfId="0" applyNumberFormat="1" applyFont="1" applyAlignment="1">
      <alignment horizontal="center"/>
    </xf>
    <xf numFmtId="164" fontId="4" fillId="0" borderId="0" xfId="0" applyNumberFormat="1" applyFont="1"/>
    <xf numFmtId="10" fontId="13" fillId="4" borderId="1" xfId="0" applyNumberFormat="1" applyFont="1" applyFill="1" applyBorder="1" applyAlignment="1">
      <alignment horizontal="center"/>
    </xf>
    <xf numFmtId="10" fontId="13" fillId="5" borderId="1" xfId="0" applyNumberFormat="1" applyFont="1" applyFill="1" applyBorder="1" applyAlignment="1">
      <alignment horizontal="center"/>
    </xf>
    <xf numFmtId="166" fontId="13" fillId="3" borderId="1" xfId="0" applyNumberFormat="1" applyFont="1" applyFill="1" applyBorder="1"/>
    <xf numFmtId="9" fontId="13" fillId="5" borderId="1" xfId="0" applyNumberFormat="1" applyFont="1" applyFill="1" applyBorder="1" applyAlignment="1">
      <alignment horizontal="center"/>
    </xf>
    <xf numFmtId="0" fontId="30" fillId="0" borderId="0" xfId="0" applyFont="1"/>
    <xf numFmtId="2" fontId="13" fillId="4" borderId="1" xfId="0" applyNumberFormat="1" applyFont="1" applyFill="1" applyBorder="1"/>
    <xf numFmtId="0" fontId="25" fillId="0" borderId="0" xfId="0" applyFont="1" applyAlignment="1">
      <alignment horizontal="left"/>
    </xf>
    <xf numFmtId="164" fontId="0" fillId="5" borderId="1" xfId="0" applyNumberFormat="1" applyFill="1" applyBorder="1"/>
    <xf numFmtId="0" fontId="60" fillId="0" borderId="8" xfId="0" applyFont="1" applyBorder="1" applyAlignment="1">
      <alignment horizontal="center"/>
    </xf>
    <xf numFmtId="0" fontId="60" fillId="0" borderId="9" xfId="0" applyFont="1" applyBorder="1" applyAlignment="1">
      <alignment horizontal="center"/>
    </xf>
    <xf numFmtId="16" fontId="60" fillId="0" borderId="9" xfId="0" applyNumberFormat="1" applyFont="1" applyBorder="1" applyAlignment="1">
      <alignment horizontal="center"/>
    </xf>
    <xf numFmtId="0" fontId="60" fillId="0" borderId="10" xfId="0" applyFont="1" applyBorder="1" applyAlignment="1">
      <alignment horizontal="center"/>
    </xf>
    <xf numFmtId="0" fontId="61" fillId="0" borderId="11" xfId="0" applyFont="1" applyBorder="1"/>
    <xf numFmtId="0" fontId="61" fillId="0" borderId="12" xfId="0" applyFont="1" applyBorder="1"/>
    <xf numFmtId="10" fontId="61" fillId="0" borderId="1" xfId="0" applyNumberFormat="1" applyFont="1" applyBorder="1" applyAlignment="1">
      <alignment horizontal="center"/>
    </xf>
    <xf numFmtId="0" fontId="61" fillId="0" borderId="1" xfId="0" applyFont="1" applyBorder="1" applyAlignment="1">
      <alignment horizontal="center"/>
    </xf>
    <xf numFmtId="10" fontId="61" fillId="0" borderId="13" xfId="3" applyNumberFormat="1" applyFont="1" applyBorder="1" applyAlignment="1">
      <alignment horizontal="center"/>
    </xf>
    <xf numFmtId="0" fontId="61" fillId="0" borderId="14" xfId="0" applyFont="1" applyBorder="1"/>
    <xf numFmtId="10" fontId="61" fillId="0" borderId="15" xfId="0" applyNumberFormat="1" applyFont="1" applyBorder="1" applyAlignment="1">
      <alignment horizontal="center"/>
    </xf>
    <xf numFmtId="0" fontId="61" fillId="0" borderId="12" xfId="0" applyFont="1" applyBorder="1" applyAlignment="1">
      <alignment horizontal="center"/>
    </xf>
    <xf numFmtId="10" fontId="61" fillId="0" borderId="1" xfId="3" applyNumberFormat="1" applyFont="1" applyBorder="1" applyAlignment="1">
      <alignment horizontal="center"/>
    </xf>
    <xf numFmtId="0" fontId="61" fillId="0" borderId="14" xfId="0" applyFont="1" applyBorder="1" applyAlignment="1">
      <alignment horizontal="center"/>
    </xf>
    <xf numFmtId="10" fontId="61" fillId="0" borderId="15" xfId="3" applyNumberFormat="1" applyFont="1" applyBorder="1" applyAlignment="1">
      <alignment horizontal="center"/>
    </xf>
    <xf numFmtId="168" fontId="61" fillId="0" borderId="16" xfId="2" applyNumberFormat="1" applyFont="1" applyFill="1" applyBorder="1"/>
    <xf numFmtId="0" fontId="61" fillId="0" borderId="16" xfId="0" applyFont="1" applyBorder="1"/>
    <xf numFmtId="0" fontId="61" fillId="0" borderId="17" xfId="0" applyFont="1" applyBorder="1"/>
    <xf numFmtId="168" fontId="61" fillId="0" borderId="0" xfId="2" applyNumberFormat="1" applyFont="1" applyFill="1" applyBorder="1"/>
    <xf numFmtId="0" fontId="61" fillId="0" borderId="0" xfId="0" applyFont="1"/>
    <xf numFmtId="0" fontId="61" fillId="0" borderId="18" xfId="0" applyFont="1" applyBorder="1"/>
    <xf numFmtId="0" fontId="61" fillId="0" borderId="0" xfId="0" applyFont="1" applyAlignment="1">
      <alignment horizontal="left"/>
    </xf>
    <xf numFmtId="0" fontId="61" fillId="0" borderId="19" xfId="0" applyFont="1" applyBorder="1"/>
    <xf numFmtId="10" fontId="61" fillId="0" borderId="20" xfId="3" applyNumberFormat="1" applyFont="1" applyBorder="1" applyAlignment="1">
      <alignment horizontal="center"/>
    </xf>
    <xf numFmtId="10" fontId="61" fillId="0" borderId="3" xfId="0" applyNumberFormat="1" applyFont="1" applyBorder="1" applyAlignment="1">
      <alignment horizontal="center"/>
    </xf>
    <xf numFmtId="0" fontId="61" fillId="0" borderId="21" xfId="0" applyFont="1" applyBorder="1" applyAlignment="1">
      <alignment horizontal="center"/>
    </xf>
    <xf numFmtId="164" fontId="61" fillId="0" borderId="22" xfId="0" applyNumberFormat="1" applyFont="1" applyBorder="1" applyAlignment="1">
      <alignment horizontal="left"/>
    </xf>
    <xf numFmtId="0" fontId="31" fillId="0" borderId="1" xfId="0" applyFont="1" applyBorder="1" applyAlignment="1">
      <alignment horizontal="center"/>
    </xf>
    <xf numFmtId="0" fontId="0" fillId="4" borderId="1" xfId="0" applyFill="1" applyBorder="1"/>
    <xf numFmtId="10" fontId="13" fillId="4" borderId="1" xfId="0" applyNumberFormat="1" applyFont="1" applyFill="1" applyBorder="1"/>
    <xf numFmtId="44" fontId="5" fillId="4" borderId="1" xfId="2" applyFont="1" applyFill="1" applyBorder="1" applyAlignment="1">
      <alignment horizontal="center"/>
    </xf>
    <xf numFmtId="0" fontId="62" fillId="4" borderId="1" xfId="0" applyFont="1" applyFill="1" applyBorder="1"/>
    <xf numFmtId="170" fontId="31" fillId="0" borderId="0" xfId="0" applyNumberFormat="1" applyFont="1" applyAlignment="1">
      <alignment horizontal="right"/>
    </xf>
    <xf numFmtId="44" fontId="0" fillId="0" borderId="0" xfId="0" applyNumberFormat="1"/>
    <xf numFmtId="10" fontId="0" fillId="4" borderId="1" xfId="0" applyNumberFormat="1" applyFill="1" applyBorder="1"/>
    <xf numFmtId="0" fontId="32" fillId="0" borderId="0" xfId="0" applyFont="1"/>
    <xf numFmtId="0" fontId="29" fillId="0" borderId="0" xfId="0" applyFont="1" applyAlignment="1">
      <alignment horizontal="left"/>
    </xf>
    <xf numFmtId="10" fontId="29" fillId="0" borderId="0" xfId="0" applyNumberFormat="1" applyFont="1"/>
    <xf numFmtId="2" fontId="29" fillId="0" borderId="0" xfId="0" applyNumberFormat="1" applyFont="1"/>
    <xf numFmtId="10" fontId="31" fillId="0" borderId="0" xfId="0" applyNumberFormat="1" applyFont="1"/>
    <xf numFmtId="0" fontId="63" fillId="0" borderId="0" xfId="0" applyFont="1"/>
    <xf numFmtId="17" fontId="64" fillId="0" borderId="1" xfId="0" applyNumberFormat="1" applyFont="1" applyBorder="1"/>
    <xf numFmtId="2" fontId="61" fillId="7" borderId="13" xfId="0" applyNumberFormat="1" applyFont="1" applyFill="1" applyBorder="1" applyAlignment="1">
      <alignment horizontal="center"/>
    </xf>
    <xf numFmtId="2" fontId="61" fillId="7" borderId="1" xfId="0" applyNumberFormat="1" applyFont="1" applyFill="1" applyBorder="1" applyAlignment="1">
      <alignment horizontal="center"/>
    </xf>
    <xf numFmtId="10" fontId="61" fillId="7" borderId="1" xfId="0" applyNumberFormat="1" applyFont="1" applyFill="1" applyBorder="1" applyAlignment="1">
      <alignment horizontal="center"/>
    </xf>
    <xf numFmtId="10" fontId="61" fillId="7" borderId="6" xfId="0" applyNumberFormat="1" applyFont="1" applyFill="1" applyBorder="1" applyAlignment="1">
      <alignment horizontal="center"/>
    </xf>
    <xf numFmtId="10" fontId="61" fillId="7" borderId="13" xfId="0" applyNumberFormat="1" applyFont="1" applyFill="1" applyBorder="1" applyAlignment="1">
      <alignment horizontal="center"/>
    </xf>
    <xf numFmtId="0" fontId="65" fillId="7" borderId="9" xfId="0" applyFont="1" applyFill="1" applyBorder="1"/>
    <xf numFmtId="0" fontId="66" fillId="7" borderId="9" xfId="0" applyFont="1" applyFill="1" applyBorder="1"/>
    <xf numFmtId="0" fontId="66" fillId="7" borderId="1" xfId="0" applyFont="1" applyFill="1" applyBorder="1"/>
    <xf numFmtId="10" fontId="66" fillId="7" borderId="1" xfId="3" applyNumberFormat="1" applyFont="1" applyFill="1" applyBorder="1"/>
    <xf numFmtId="0" fontId="60" fillId="0" borderId="23" xfId="0" applyFont="1" applyBorder="1" applyAlignment="1">
      <alignment horizontal="center"/>
    </xf>
    <xf numFmtId="173" fontId="60" fillId="0" borderId="23" xfId="0" applyNumberFormat="1" applyFont="1" applyBorder="1" applyAlignment="1">
      <alignment horizontal="center"/>
    </xf>
    <xf numFmtId="173" fontId="60" fillId="0" borderId="24" xfId="0" applyNumberFormat="1" applyFont="1" applyBorder="1" applyAlignment="1">
      <alignment horizontal="center"/>
    </xf>
    <xf numFmtId="164" fontId="61" fillId="0" borderId="1" xfId="2" applyNumberFormat="1" applyFont="1" applyBorder="1" applyAlignment="1">
      <alignment horizontal="center"/>
    </xf>
    <xf numFmtId="164" fontId="61" fillId="0" borderId="15" xfId="2" applyNumberFormat="1" applyFont="1" applyBorder="1" applyAlignment="1">
      <alignment horizontal="center"/>
    </xf>
    <xf numFmtId="164" fontId="61" fillId="0" borderId="6" xfId="2" applyNumberFormat="1" applyFont="1" applyBorder="1" applyAlignment="1">
      <alignment horizontal="center"/>
    </xf>
    <xf numFmtId="168" fontId="13" fillId="5" borderId="1" xfId="2" applyNumberFormat="1" applyFont="1" applyFill="1" applyBorder="1"/>
    <xf numFmtId="170" fontId="31" fillId="4" borderId="1" xfId="0" applyNumberFormat="1" applyFont="1" applyFill="1" applyBorder="1" applyAlignment="1">
      <alignment horizontal="right"/>
    </xf>
    <xf numFmtId="0" fontId="33" fillId="0" borderId="0" xfId="0" applyFont="1"/>
    <xf numFmtId="0" fontId="34" fillId="0" borderId="0" xfId="0" applyFont="1" applyAlignment="1">
      <alignment wrapText="1"/>
    </xf>
    <xf numFmtId="0" fontId="34" fillId="0" borderId="1" xfId="0" applyFont="1" applyBorder="1" applyAlignment="1">
      <alignment horizontal="center" wrapText="1"/>
    </xf>
    <xf numFmtId="0" fontId="60" fillId="0" borderId="1" xfId="0" applyFont="1" applyBorder="1" applyAlignment="1">
      <alignment horizontal="center"/>
    </xf>
    <xf numFmtId="172" fontId="67" fillId="0" borderId="1" xfId="3" applyNumberFormat="1" applyFont="1" applyBorder="1" applyAlignment="1">
      <alignment horizontal="center"/>
    </xf>
    <xf numFmtId="10" fontId="67" fillId="0" borderId="1" xfId="0" applyNumberFormat="1" applyFont="1" applyBorder="1" applyAlignment="1">
      <alignment horizontal="center"/>
    </xf>
    <xf numFmtId="2" fontId="67" fillId="0" borderId="1" xfId="0" applyNumberFormat="1" applyFont="1" applyBorder="1" applyAlignment="1">
      <alignment horizontal="center"/>
    </xf>
    <xf numFmtId="0" fontId="30" fillId="6" borderId="0" xfId="0" applyFont="1" applyFill="1"/>
    <xf numFmtId="0" fontId="30" fillId="6" borderId="25" xfId="0" applyFont="1" applyFill="1" applyBorder="1"/>
    <xf numFmtId="169" fontId="13"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3" fillId="5" borderId="1" xfId="3" applyNumberFormat="1" applyFont="1" applyFill="1" applyBorder="1" applyAlignment="1">
      <alignment horizontal="center"/>
    </xf>
    <xf numFmtId="10" fontId="5" fillId="5" borderId="1" xfId="3" applyNumberFormat="1" applyFont="1" applyFill="1" applyBorder="1" applyAlignment="1">
      <alignment horizontal="center"/>
    </xf>
    <xf numFmtId="0" fontId="13" fillId="4" borderId="3" xfId="0" applyFont="1" applyFill="1" applyBorder="1"/>
    <xf numFmtId="10" fontId="0" fillId="5" borderId="2" xfId="0" applyNumberFormat="1" applyFill="1" applyBorder="1" applyAlignment="1">
      <alignment horizontal="center"/>
    </xf>
    <xf numFmtId="0" fontId="36" fillId="0" borderId="0" xfId="0" applyFont="1" applyAlignment="1">
      <alignment horizontal="left" vertical="top" wrapText="1"/>
    </xf>
    <xf numFmtId="0" fontId="36"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6"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9" fillId="0" borderId="0" xfId="0" applyFont="1"/>
    <xf numFmtId="0" fontId="40" fillId="0" borderId="0" xfId="0" applyFont="1"/>
    <xf numFmtId="0" fontId="41" fillId="0" borderId="0" xfId="0" applyFont="1"/>
    <xf numFmtId="0" fontId="42" fillId="0" borderId="0" xfId="0" applyFont="1"/>
    <xf numFmtId="17" fontId="42" fillId="4" borderId="1" xfId="0" applyNumberFormat="1" applyFont="1" applyFill="1" applyBorder="1" applyAlignment="1">
      <alignment horizontal="center"/>
    </xf>
    <xf numFmtId="0" fontId="41" fillId="4" borderId="1" xfId="0" applyFont="1" applyFill="1" applyBorder="1"/>
    <xf numFmtId="0" fontId="43" fillId="0" borderId="1" xfId="0" applyFont="1" applyBorder="1"/>
    <xf numFmtId="0" fontId="41" fillId="0" borderId="1" xfId="0" applyFont="1" applyBorder="1"/>
    <xf numFmtId="44" fontId="41" fillId="4" borderId="1" xfId="2" applyFont="1" applyFill="1" applyBorder="1" applyAlignment="1">
      <alignment horizontal="center"/>
    </xf>
    <xf numFmtId="0" fontId="70" fillId="0" borderId="0" xfId="0" applyFont="1"/>
    <xf numFmtId="44" fontId="41" fillId="8" borderId="13" xfId="0" applyNumberFormat="1" applyFont="1" applyFill="1" applyBorder="1" applyAlignment="1">
      <alignment horizontal="center"/>
    </xf>
    <xf numFmtId="44" fontId="41" fillId="4" borderId="9" xfId="2" applyFont="1" applyFill="1" applyBorder="1" applyAlignment="1">
      <alignment horizontal="center"/>
    </xf>
    <xf numFmtId="2" fontId="41" fillId="4" borderId="9" xfId="2" applyNumberFormat="1" applyFont="1" applyFill="1" applyBorder="1" applyAlignment="1">
      <alignment horizontal="center"/>
    </xf>
    <xf numFmtId="10" fontId="41" fillId="4" borderId="1" xfId="2" applyNumberFormat="1" applyFont="1" applyFill="1" applyBorder="1" applyAlignment="1">
      <alignment horizontal="center"/>
    </xf>
    <xf numFmtId="44" fontId="41" fillId="0" borderId="0" xfId="2" applyFont="1" applyFill="1" applyBorder="1" applyAlignment="1">
      <alignment horizontal="center"/>
    </xf>
    <xf numFmtId="0" fontId="41" fillId="0" borderId="30" xfId="0" applyFont="1" applyBorder="1"/>
    <xf numFmtId="10" fontId="41" fillId="5" borderId="1" xfId="0" applyNumberFormat="1" applyFont="1" applyFill="1" applyBorder="1"/>
    <xf numFmtId="0" fontId="71" fillId="0" borderId="1" xfId="0" applyFont="1" applyBorder="1"/>
    <xf numFmtId="10" fontId="71" fillId="4" borderId="1" xfId="2" applyNumberFormat="1" applyFont="1" applyFill="1" applyBorder="1" applyAlignment="1">
      <alignment horizontal="center"/>
    </xf>
    <xf numFmtId="10" fontId="41" fillId="4" borderId="1" xfId="0" applyNumberFormat="1" applyFont="1" applyFill="1" applyBorder="1" applyAlignment="1">
      <alignment horizontal="center"/>
    </xf>
    <xf numFmtId="2" fontId="41" fillId="4" borderId="1" xfId="0" applyNumberFormat="1" applyFont="1" applyFill="1" applyBorder="1" applyAlignment="1">
      <alignment horizontal="center"/>
    </xf>
    <xf numFmtId="0" fontId="41" fillId="0" borderId="31" xfId="0" applyFont="1" applyBorder="1"/>
    <xf numFmtId="168" fontId="41" fillId="5" borderId="1" xfId="0" applyNumberFormat="1" applyFont="1" applyFill="1" applyBorder="1"/>
    <xf numFmtId="10" fontId="41" fillId="0" borderId="0" xfId="0" applyNumberFormat="1" applyFont="1"/>
    <xf numFmtId="0" fontId="41" fillId="0" borderId="32" xfId="0" applyFont="1" applyBorder="1"/>
    <xf numFmtId="10" fontId="41" fillId="6" borderId="0" xfId="0" applyNumberFormat="1" applyFont="1" applyFill="1" applyAlignment="1">
      <alignment horizontal="center"/>
    </xf>
    <xf numFmtId="2" fontId="41" fillId="0" borderId="0" xfId="0" applyNumberFormat="1" applyFont="1" applyAlignment="1">
      <alignment horizontal="center"/>
    </xf>
    <xf numFmtId="164" fontId="41" fillId="4" borderId="1" xfId="0" applyNumberFormat="1" applyFont="1" applyFill="1" applyBorder="1" applyAlignment="1">
      <alignment horizontal="center"/>
    </xf>
    <xf numFmtId="164" fontId="41" fillId="0" borderId="0" xfId="0" applyNumberFormat="1" applyFont="1" applyAlignment="1">
      <alignment horizontal="center"/>
    </xf>
    <xf numFmtId="0" fontId="43" fillId="0" borderId="0" xfId="0" applyFont="1"/>
    <xf numFmtId="10" fontId="41" fillId="0" borderId="0" xfId="0" applyNumberFormat="1" applyFont="1" applyAlignment="1">
      <alignment horizontal="center"/>
    </xf>
    <xf numFmtId="0" fontId="44" fillId="6" borderId="0" xfId="0" applyFont="1" applyFill="1"/>
    <xf numFmtId="0" fontId="43" fillId="6" borderId="0" xfId="0" applyFont="1" applyFill="1"/>
    <xf numFmtId="9" fontId="41" fillId="4" borderId="1" xfId="0" applyNumberFormat="1" applyFont="1" applyFill="1" applyBorder="1" applyAlignment="1">
      <alignment horizontal="center"/>
    </xf>
    <xf numFmtId="9" fontId="41" fillId="6" borderId="0" xfId="0" applyNumberFormat="1" applyFont="1" applyFill="1" applyAlignment="1">
      <alignment horizontal="center"/>
    </xf>
    <xf numFmtId="164" fontId="41" fillId="7" borderId="0" xfId="0" applyNumberFormat="1" applyFont="1" applyFill="1" applyAlignment="1">
      <alignment horizontal="center"/>
    </xf>
    <xf numFmtId="10" fontId="41" fillId="4" borderId="1" xfId="3" applyNumberFormat="1" applyFont="1" applyFill="1" applyBorder="1" applyAlignment="1">
      <alignment horizontal="center"/>
    </xf>
    <xf numFmtId="164" fontId="39" fillId="4" borderId="1" xfId="0" applyNumberFormat="1" applyFont="1" applyFill="1" applyBorder="1" applyAlignment="1">
      <alignment horizontal="center"/>
    </xf>
    <xf numFmtId="0" fontId="40" fillId="4" borderId="1" xfId="0" applyFont="1" applyFill="1" applyBorder="1"/>
    <xf numFmtId="0" fontId="40" fillId="5" borderId="1" xfId="0" applyFont="1" applyFill="1" applyBorder="1"/>
    <xf numFmtId="0" fontId="45" fillId="0" borderId="0" xfId="0" applyFont="1"/>
    <xf numFmtId="0" fontId="66" fillId="7" borderId="0" xfId="0" applyFont="1" applyFill="1"/>
    <xf numFmtId="0" fontId="46" fillId="0" borderId="0" xfId="0" applyFont="1"/>
    <xf numFmtId="0" fontId="72" fillId="0" borderId="0" xfId="0" applyFont="1"/>
    <xf numFmtId="0" fontId="72" fillId="0" borderId="1" xfId="0" applyFont="1" applyBorder="1"/>
    <xf numFmtId="0" fontId="73" fillId="0" borderId="1" xfId="0" applyFont="1" applyBorder="1" applyAlignment="1">
      <alignment horizontal="center"/>
    </xf>
    <xf numFmtId="10" fontId="72" fillId="7" borderId="1" xfId="0" applyNumberFormat="1" applyFont="1" applyFill="1" applyBorder="1" applyAlignment="1">
      <alignment horizontal="center"/>
    </xf>
    <xf numFmtId="10" fontId="0" fillId="0" borderId="0" xfId="0" applyNumberFormat="1"/>
    <xf numFmtId="0" fontId="72" fillId="0" borderId="1" xfId="0" applyFont="1" applyBorder="1" applyAlignment="1">
      <alignment horizontal="center"/>
    </xf>
    <xf numFmtId="0" fontId="47" fillId="0" borderId="0" xfId="0" applyFont="1"/>
    <xf numFmtId="0" fontId="72" fillId="0" borderId="0" xfId="0" applyFont="1" applyAlignment="1">
      <alignment horizontal="center"/>
    </xf>
    <xf numFmtId="10" fontId="72" fillId="0" borderId="0" xfId="0" applyNumberFormat="1" applyFont="1" applyAlignment="1">
      <alignment horizontal="center"/>
    </xf>
    <xf numFmtId="0" fontId="61" fillId="7" borderId="5" xfId="0" applyFont="1" applyFill="1" applyBorder="1" applyAlignment="1">
      <alignment horizontal="left"/>
    </xf>
    <xf numFmtId="0" fontId="61" fillId="7" borderId="5" xfId="0" applyFont="1" applyFill="1" applyBorder="1" applyAlignment="1">
      <alignment wrapText="1"/>
    </xf>
    <xf numFmtId="0" fontId="61" fillId="7" borderId="5" xfId="0" applyFont="1" applyFill="1" applyBorder="1"/>
    <xf numFmtId="0" fontId="61" fillId="7" borderId="27" xfId="0" applyFont="1" applyFill="1" applyBorder="1"/>
    <xf numFmtId="0" fontId="61" fillId="7" borderId="33" xfId="0" applyFont="1" applyFill="1" applyBorder="1"/>
    <xf numFmtId="0" fontId="10" fillId="0" borderId="0" xfId="0" applyFont="1" applyAlignment="1">
      <alignment horizontal="center"/>
    </xf>
    <xf numFmtId="0" fontId="48" fillId="0" borderId="0" xfId="0" applyFont="1" applyAlignment="1">
      <alignment horizontal="center"/>
    </xf>
    <xf numFmtId="0" fontId="10" fillId="0" borderId="1" xfId="0" applyFont="1" applyBorder="1"/>
    <xf numFmtId="0" fontId="49" fillId="0" borderId="1" xfId="0" applyFont="1" applyBorder="1" applyAlignment="1">
      <alignment horizontal="center"/>
    </xf>
    <xf numFmtId="0" fontId="47" fillId="0" borderId="7" xfId="0" applyFont="1" applyBorder="1"/>
    <xf numFmtId="0" fontId="47" fillId="0" borderId="16" xfId="0" applyFont="1" applyBorder="1" applyAlignment="1">
      <alignment horizontal="center"/>
    </xf>
    <xf numFmtId="0" fontId="10" fillId="0" borderId="16" xfId="0" applyFont="1" applyBorder="1" applyAlignment="1">
      <alignment horizontal="center"/>
    </xf>
    <xf numFmtId="0" fontId="10" fillId="0" borderId="30" xfId="0" applyFont="1" applyBorder="1"/>
    <xf numFmtId="0" fontId="49" fillId="0" borderId="0" xfId="0" applyFont="1" applyAlignment="1">
      <alignment horizontal="center"/>
    </xf>
    <xf numFmtId="0" fontId="49" fillId="0" borderId="18"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0" fontId="48" fillId="0" borderId="7" xfId="0" applyFont="1" applyBorder="1"/>
    <xf numFmtId="0" fontId="49" fillId="0" borderId="16" xfId="0" applyFont="1" applyBorder="1" applyAlignment="1">
      <alignment horizontal="center"/>
    </xf>
    <xf numFmtId="0" fontId="49" fillId="0" borderId="17" xfId="0" applyFont="1" applyBorder="1" applyAlignment="1">
      <alignment horizontal="center"/>
    </xf>
    <xf numFmtId="0" fontId="49" fillId="0" borderId="30" xfId="0" applyFont="1" applyBorder="1"/>
    <xf numFmtId="0" fontId="10" fillId="0" borderId="1" xfId="0" applyFont="1" applyBorder="1" applyAlignment="1">
      <alignment wrapText="1"/>
    </xf>
    <xf numFmtId="0" fontId="10" fillId="0" borderId="31" xfId="0" applyFont="1" applyBorder="1" applyAlignment="1">
      <alignment horizontal="center"/>
    </xf>
    <xf numFmtId="0" fontId="10" fillId="0" borderId="32" xfId="0" applyFont="1" applyBorder="1" applyAlignment="1">
      <alignment horizontal="center"/>
    </xf>
    <xf numFmtId="10" fontId="29" fillId="7" borderId="3" xfId="0" applyNumberFormat="1" applyFont="1" applyFill="1" applyBorder="1" applyAlignment="1">
      <alignment horizontal="center"/>
    </xf>
    <xf numFmtId="0" fontId="52" fillId="6" borderId="35" xfId="0" applyFont="1" applyFill="1" applyBorder="1" applyAlignment="1">
      <alignment vertical="center"/>
    </xf>
    <xf numFmtId="0" fontId="52" fillId="6" borderId="36" xfId="0" applyFont="1" applyFill="1" applyBorder="1"/>
    <xf numFmtId="0" fontId="52" fillId="6" borderId="37" xfId="0" applyFont="1" applyFill="1" applyBorder="1"/>
    <xf numFmtId="0" fontId="29" fillId="7" borderId="19" xfId="0" applyFont="1" applyFill="1" applyBorder="1"/>
    <xf numFmtId="0" fontId="29" fillId="0" borderId="0" xfId="0" applyFont="1" applyAlignment="1">
      <alignment horizontal="center"/>
    </xf>
    <xf numFmtId="0" fontId="29" fillId="0" borderId="18" xfId="0" applyFont="1" applyBorder="1"/>
    <xf numFmtId="0" fontId="13" fillId="0" borderId="0" xfId="0" applyFont="1" applyAlignment="1">
      <alignment horizontal="center"/>
    </xf>
    <xf numFmtId="0" fontId="13" fillId="0" borderId="18" xfId="0" applyFont="1" applyBorder="1"/>
    <xf numFmtId="0" fontId="13" fillId="0" borderId="31" xfId="0" applyFont="1" applyBorder="1" applyAlignment="1">
      <alignment horizontal="center"/>
    </xf>
    <xf numFmtId="0" fontId="13" fillId="0" borderId="32" xfId="0" applyFont="1" applyBorder="1"/>
    <xf numFmtId="0" fontId="50" fillId="6" borderId="35" xfId="0" applyFont="1" applyFill="1" applyBorder="1" applyAlignment="1">
      <alignment horizontal="center" vertical="center" wrapText="1"/>
    </xf>
    <xf numFmtId="44" fontId="40" fillId="2" borderId="1" xfId="0" applyNumberFormat="1" applyFont="1" applyFill="1" applyBorder="1"/>
    <xf numFmtId="44" fontId="40" fillId="2" borderId="1" xfId="2" applyFont="1" applyFill="1" applyBorder="1"/>
    <xf numFmtId="2" fontId="40" fillId="2" borderId="1" xfId="0" applyNumberFormat="1" applyFont="1" applyFill="1" applyBorder="1"/>
    <xf numFmtId="10" fontId="40" fillId="2" borderId="1" xfId="3" applyNumberFormat="1" applyFont="1" applyFill="1" applyBorder="1"/>
    <xf numFmtId="10" fontId="40" fillId="2" borderId="1" xfId="0" applyNumberFormat="1" applyFont="1" applyFill="1" applyBorder="1"/>
    <xf numFmtId="4" fontId="40" fillId="2" borderId="1" xfId="0" applyNumberFormat="1" applyFont="1" applyFill="1" applyBorder="1"/>
    <xf numFmtId="0" fontId="53" fillId="0" borderId="0" xfId="0" applyFont="1"/>
    <xf numFmtId="0" fontId="55" fillId="0" borderId="0" xfId="0" applyFont="1"/>
    <xf numFmtId="0" fontId="40" fillId="0" borderId="1" xfId="0" applyFont="1" applyBorder="1"/>
    <xf numFmtId="44" fontId="40" fillId="5" borderId="2" xfId="2" applyFont="1" applyFill="1" applyBorder="1"/>
    <xf numFmtId="8" fontId="40" fillId="5" borderId="2" xfId="0" applyNumberFormat="1" applyFont="1" applyFill="1" applyBorder="1"/>
    <xf numFmtId="0" fontId="40" fillId="0" borderId="1" xfId="0" applyFont="1" applyBorder="1" applyAlignment="1">
      <alignment horizontal="center"/>
    </xf>
    <xf numFmtId="3" fontId="40" fillId="0" borderId="1" xfId="0" applyNumberFormat="1" applyFont="1" applyBorder="1" applyAlignment="1">
      <alignment horizontal="center"/>
    </xf>
    <xf numFmtId="10" fontId="47" fillId="0" borderId="1" xfId="0" applyNumberFormat="1" applyFont="1" applyBorder="1" applyAlignment="1">
      <alignment horizontal="center"/>
    </xf>
    <xf numFmtId="165" fontId="47" fillId="0" borderId="1" xfId="1" applyNumberFormat="1" applyFont="1" applyBorder="1" applyAlignment="1">
      <alignment horizontal="center"/>
    </xf>
    <xf numFmtId="10" fontId="40" fillId="0" borderId="1" xfId="0" applyNumberFormat="1" applyFont="1" applyBorder="1" applyAlignment="1">
      <alignment horizontal="center"/>
    </xf>
    <xf numFmtId="0" fontId="40" fillId="0" borderId="0" xfId="0" applyFont="1" applyAlignment="1">
      <alignment horizontal="center"/>
    </xf>
    <xf numFmtId="169" fontId="40" fillId="0" borderId="1" xfId="0" applyNumberFormat="1" applyFont="1" applyBorder="1" applyAlignment="1">
      <alignment horizontal="center"/>
    </xf>
    <xf numFmtId="0" fontId="47" fillId="0" borderId="6" xfId="0" applyFont="1" applyBorder="1" applyAlignment="1">
      <alignment horizontal="center"/>
    </xf>
    <xf numFmtId="0" fontId="54" fillId="0" borderId="0" xfId="0" applyFont="1"/>
    <xf numFmtId="0" fontId="56" fillId="0" borderId="0" xfId="0" applyFont="1"/>
    <xf numFmtId="0" fontId="57" fillId="0" borderId="0" xfId="0" applyFont="1"/>
    <xf numFmtId="0" fontId="52" fillId="0" borderId="0" xfId="0" applyFont="1"/>
    <xf numFmtId="10" fontId="47" fillId="0" borderId="0" xfId="0" applyNumberFormat="1" applyFont="1"/>
    <xf numFmtId="44" fontId="40" fillId="0" borderId="0" xfId="2" applyFont="1"/>
    <xf numFmtId="164" fontId="47" fillId="0" borderId="6" xfId="0" applyNumberFormat="1" applyFont="1" applyBorder="1" applyAlignment="1">
      <alignment horizontal="center"/>
    </xf>
    <xf numFmtId="0" fontId="50" fillId="0" borderId="0" xfId="0" applyFont="1"/>
    <xf numFmtId="0" fontId="74" fillId="7" borderId="9" xfId="0" applyFont="1" applyFill="1" applyBorder="1"/>
    <xf numFmtId="0" fontId="75" fillId="7" borderId="9" xfId="0" applyFont="1" applyFill="1" applyBorder="1"/>
    <xf numFmtId="0" fontId="75" fillId="7" borderId="1" xfId="0" applyFont="1" applyFill="1" applyBorder="1"/>
    <xf numFmtId="10" fontId="75" fillId="7" borderId="1" xfId="3" applyNumberFormat="1" applyFont="1" applyFill="1" applyBorder="1"/>
    <xf numFmtId="44" fontId="40" fillId="5" borderId="1" xfId="0" applyNumberFormat="1" applyFont="1" applyFill="1" applyBorder="1"/>
    <xf numFmtId="164" fontId="40" fillId="5" borderId="2" xfId="0" applyNumberFormat="1" applyFont="1" applyFill="1" applyBorder="1"/>
    <xf numFmtId="10" fontId="40" fillId="5" borderId="2" xfId="0" applyNumberFormat="1" applyFont="1" applyFill="1" applyBorder="1"/>
    <xf numFmtId="2" fontId="47" fillId="5" borderId="2" xfId="0" applyNumberFormat="1" applyFont="1" applyFill="1" applyBorder="1" applyAlignment="1">
      <alignment horizontal="center"/>
    </xf>
    <xf numFmtId="0" fontId="47" fillId="5" borderId="4" xfId="0" applyFont="1" applyFill="1" applyBorder="1" applyAlignment="1">
      <alignment horizontal="center"/>
    </xf>
    <xf numFmtId="10" fontId="47" fillId="5" borderId="2" xfId="3" applyNumberFormat="1" applyFont="1" applyFill="1" applyBorder="1" applyAlignment="1">
      <alignment horizontal="center"/>
    </xf>
    <xf numFmtId="10" fontId="47" fillId="5" borderId="2" xfId="0" applyNumberFormat="1" applyFont="1" applyFill="1" applyBorder="1" applyAlignment="1">
      <alignment horizontal="center"/>
    </xf>
    <xf numFmtId="10" fontId="47" fillId="0" borderId="0" xfId="0" applyNumberFormat="1" applyFont="1" applyAlignment="1">
      <alignment horizontal="center"/>
    </xf>
    <xf numFmtId="10" fontId="53" fillId="0" borderId="0" xfId="0" applyNumberFormat="1" applyFont="1" applyAlignment="1">
      <alignment horizontal="center"/>
    </xf>
    <xf numFmtId="0" fontId="55" fillId="0" borderId="1" xfId="0" applyFont="1" applyBorder="1" applyAlignment="1">
      <alignment horizontal="centerContinuous"/>
    </xf>
    <xf numFmtId="0" fontId="55" fillId="0" borderId="1" xfId="0" applyFont="1" applyBorder="1"/>
    <xf numFmtId="0" fontId="55" fillId="0" borderId="1" xfId="0" applyFont="1" applyBorder="1" applyAlignment="1">
      <alignment horizontal="center"/>
    </xf>
    <xf numFmtId="10" fontId="40" fillId="0" borderId="38" xfId="3" applyNumberFormat="1" applyFont="1" applyBorder="1" applyAlignment="1">
      <alignment horizontal="center"/>
    </xf>
    <xf numFmtId="2" fontId="40" fillId="0" borderId="1" xfId="0" applyNumberFormat="1" applyFont="1" applyBorder="1" applyAlignment="1">
      <alignment horizontal="center"/>
    </xf>
    <xf numFmtId="0" fontId="40" fillId="0" borderId="1" xfId="0" applyFont="1" applyBorder="1" applyAlignment="1">
      <alignment horizontal="centerContinuous"/>
    </xf>
    <xf numFmtId="0" fontId="44" fillId="0" borderId="39" xfId="0" applyFont="1" applyBorder="1"/>
    <xf numFmtId="0" fontId="54" fillId="0" borderId="0" xfId="0" applyFont="1" applyAlignment="1">
      <alignment horizontal="centerContinuous"/>
    </xf>
    <xf numFmtId="0" fontId="52" fillId="3" borderId="1" xfId="0" applyFont="1" applyFill="1" applyBorder="1" applyAlignment="1">
      <alignment horizontal="center"/>
    </xf>
    <xf numFmtId="44" fontId="52" fillId="3" borderId="1" xfId="2" applyFont="1" applyFill="1" applyBorder="1"/>
    <xf numFmtId="2" fontId="56" fillId="0" borderId="1" xfId="0" applyNumberFormat="1" applyFont="1" applyBorder="1" applyAlignment="1">
      <alignment horizontal="center"/>
    </xf>
    <xf numFmtId="2" fontId="56" fillId="0" borderId="0" xfId="0" applyNumberFormat="1" applyFont="1"/>
    <xf numFmtId="2" fontId="52" fillId="0" borderId="0" xfId="0" applyNumberFormat="1" applyFont="1"/>
    <xf numFmtId="1" fontId="56" fillId="0" borderId="1" xfId="0" applyNumberFormat="1" applyFont="1" applyBorder="1" applyAlignment="1">
      <alignment horizontal="center"/>
    </xf>
    <xf numFmtId="2" fontId="58" fillId="0" borderId="0" xfId="0" applyNumberFormat="1" applyFont="1"/>
    <xf numFmtId="2" fontId="56" fillId="0" borderId="6" xfId="0" applyNumberFormat="1" applyFont="1" applyBorder="1" applyAlignment="1">
      <alignment horizontal="centerContinuous"/>
    </xf>
    <xf numFmtId="2" fontId="56" fillId="0" borderId="13" xfId="0" applyNumberFormat="1" applyFont="1" applyBorder="1" applyAlignment="1">
      <alignment horizontal="centerContinuous"/>
    </xf>
    <xf numFmtId="44" fontId="56" fillId="0" borderId="1" xfId="2" applyFont="1" applyBorder="1"/>
    <xf numFmtId="2" fontId="56" fillId="0" borderId="3" xfId="0" applyNumberFormat="1" applyFont="1" applyBorder="1" applyAlignment="1">
      <alignment horizontal="center"/>
    </xf>
    <xf numFmtId="44" fontId="56" fillId="0" borderId="3" xfId="2" applyFont="1" applyBorder="1"/>
    <xf numFmtId="44" fontId="52" fillId="0" borderId="2" xfId="2" applyFont="1" applyBorder="1"/>
    <xf numFmtId="44" fontId="56" fillId="0" borderId="0" xfId="2" applyFont="1"/>
    <xf numFmtId="44" fontId="52" fillId="0" borderId="0" xfId="2" applyFont="1"/>
    <xf numFmtId="164" fontId="52" fillId="0" borderId="40" xfId="0" applyNumberFormat="1" applyFont="1" applyBorder="1"/>
    <xf numFmtId="6" fontId="52" fillId="0" borderId="1" xfId="2" applyNumberFormat="1" applyFont="1" applyBorder="1"/>
    <xf numFmtId="0" fontId="41" fillId="0" borderId="1" xfId="0" applyFont="1" applyBorder="1" applyAlignment="1">
      <alignment vertical="center"/>
    </xf>
    <xf numFmtId="10" fontId="41" fillId="5" borderId="1" xfId="0" applyNumberFormat="1" applyFont="1" applyFill="1" applyBorder="1" applyAlignment="1">
      <alignment horizontal="center" vertical="center"/>
    </xf>
    <xf numFmtId="0" fontId="63" fillId="0" borderId="1" xfId="0" applyFont="1" applyBorder="1" applyAlignment="1">
      <alignment horizontal="center" wrapText="1"/>
    </xf>
    <xf numFmtId="0" fontId="63" fillId="0" borderId="13" xfId="0" applyFont="1" applyBorder="1" applyAlignment="1">
      <alignment horizontal="center" wrapText="1"/>
    </xf>
    <xf numFmtId="0" fontId="63" fillId="0" borderId="0" xfId="0" applyFont="1" applyAlignment="1">
      <alignment vertical="center"/>
    </xf>
    <xf numFmtId="0" fontId="43" fillId="0" borderId="1" xfId="0" applyFont="1" applyBorder="1" applyAlignment="1">
      <alignment horizontal="center"/>
    </xf>
    <xf numFmtId="10" fontId="41" fillId="5" borderId="9" xfId="3" applyNumberFormat="1" applyFont="1" applyFill="1" applyBorder="1" applyAlignment="1">
      <alignment horizontal="center"/>
    </xf>
    <xf numFmtId="10" fontId="41" fillId="5" borderId="1" xfId="3" applyNumberFormat="1" applyFont="1" applyFill="1" applyBorder="1" applyAlignment="1">
      <alignment horizontal="center"/>
    </xf>
    <xf numFmtId="2" fontId="41" fillId="5" borderId="1" xfId="0" applyNumberFormat="1" applyFont="1" applyFill="1" applyBorder="1" applyAlignment="1">
      <alignment horizontal="center"/>
    </xf>
    <xf numFmtId="44" fontId="76" fillId="9" borderId="1" xfId="2" applyFont="1" applyFill="1" applyBorder="1" applyAlignment="1">
      <alignment horizontal="center"/>
    </xf>
    <xf numFmtId="44" fontId="77" fillId="9" borderId="1" xfId="0" applyNumberFormat="1" applyFont="1" applyFill="1" applyBorder="1"/>
    <xf numFmtId="9" fontId="41" fillId="0" borderId="0" xfId="0" applyNumberFormat="1" applyFont="1" applyAlignment="1">
      <alignment horizontal="center"/>
    </xf>
    <xf numFmtId="1" fontId="41" fillId="4" borderId="1" xfId="0" applyNumberFormat="1" applyFont="1" applyFill="1" applyBorder="1" applyAlignment="1">
      <alignment horizontal="center"/>
    </xf>
    <xf numFmtId="44" fontId="21" fillId="0" borderId="0" xfId="0" applyNumberFormat="1" applyFont="1" applyAlignment="1">
      <alignment horizontal="center"/>
    </xf>
    <xf numFmtId="44" fontId="21" fillId="0" borderId="0" xfId="0" applyNumberFormat="1" applyFont="1" applyAlignment="1">
      <alignment horizontal="left"/>
    </xf>
    <xf numFmtId="0" fontId="52" fillId="0" borderId="1" xfId="0" applyFont="1" applyBorder="1"/>
    <xf numFmtId="0" fontId="52" fillId="7" borderId="1" xfId="0" applyFont="1" applyFill="1" applyBorder="1"/>
    <xf numFmtId="10" fontId="52" fillId="0" borderId="1" xfId="0" applyNumberFormat="1" applyFont="1" applyBorder="1"/>
    <xf numFmtId="0" fontId="52" fillId="0" borderId="1" xfId="0" applyFont="1" applyBorder="1" applyAlignment="1">
      <alignment horizontal="center"/>
    </xf>
    <xf numFmtId="0" fontId="52" fillId="7" borderId="1" xfId="0" applyFont="1" applyFill="1" applyBorder="1" applyAlignment="1">
      <alignment horizontal="center"/>
    </xf>
    <xf numFmtId="10" fontId="52" fillId="7" borderId="1" xfId="0" applyNumberFormat="1" applyFont="1" applyFill="1" applyBorder="1"/>
    <xf numFmtId="168" fontId="52" fillId="0" borderId="1" xfId="0" applyNumberFormat="1" applyFont="1" applyBorder="1"/>
    <xf numFmtId="168" fontId="52" fillId="7" borderId="1" xfId="0" applyNumberFormat="1" applyFont="1" applyFill="1" applyBorder="1"/>
    <xf numFmtId="169" fontId="52" fillId="0" borderId="1" xfId="0" applyNumberFormat="1" applyFont="1" applyBorder="1"/>
    <xf numFmtId="44" fontId="52" fillId="7" borderId="1" xfId="0" applyNumberFormat="1" applyFont="1" applyFill="1" applyBorder="1"/>
    <xf numFmtId="175" fontId="52" fillId="0" borderId="1" xfId="0" applyNumberFormat="1" applyFont="1" applyBorder="1"/>
    <xf numFmtId="168" fontId="52" fillId="7" borderId="41" xfId="0" applyNumberFormat="1" applyFont="1" applyFill="1" applyBorder="1"/>
    <xf numFmtId="168" fontId="52" fillId="7" borderId="34" xfId="0" applyNumberFormat="1" applyFont="1" applyFill="1" applyBorder="1"/>
    <xf numFmtId="10" fontId="52" fillId="7" borderId="34" xfId="0" applyNumberFormat="1" applyFont="1" applyFill="1" applyBorder="1"/>
    <xf numFmtId="175" fontId="52" fillId="7" borderId="34" xfId="0" applyNumberFormat="1" applyFont="1" applyFill="1" applyBorder="1"/>
    <xf numFmtId="43" fontId="52" fillId="7" borderId="34" xfId="0" applyNumberFormat="1" applyFont="1" applyFill="1" applyBorder="1"/>
    <xf numFmtId="0" fontId="52" fillId="0" borderId="9" xfId="0" applyFont="1" applyBorder="1"/>
    <xf numFmtId="2" fontId="52" fillId="7" borderId="1" xfId="0" applyNumberFormat="1" applyFont="1" applyFill="1" applyBorder="1"/>
    <xf numFmtId="164" fontId="52" fillId="7" borderId="42" xfId="0" applyNumberFormat="1" applyFont="1" applyFill="1" applyBorder="1"/>
    <xf numFmtId="164" fontId="52" fillId="7" borderId="1" xfId="0" applyNumberFormat="1" applyFont="1" applyFill="1" applyBorder="1"/>
    <xf numFmtId="10" fontId="52" fillId="7" borderId="1" xfId="3" applyNumberFormat="1" applyFont="1" applyFill="1" applyBorder="1"/>
    <xf numFmtId="164" fontId="52" fillId="0" borderId="26" xfId="0" applyNumberFormat="1" applyFont="1" applyBorder="1"/>
    <xf numFmtId="0" fontId="20" fillId="7" borderId="1" xfId="0" applyFont="1" applyFill="1" applyBorder="1"/>
    <xf numFmtId="0" fontId="21" fillId="7" borderId="1" xfId="0" applyFont="1" applyFill="1" applyBorder="1"/>
    <xf numFmtId="0" fontId="67" fillId="12" borderId="1" xfId="0" applyFont="1" applyFill="1" applyBorder="1"/>
    <xf numFmtId="0" fontId="67" fillId="7" borderId="1" xfId="0" applyFont="1" applyFill="1" applyBorder="1"/>
    <xf numFmtId="0" fontId="84" fillId="0" borderId="51" xfId="0" applyFont="1" applyBorder="1" applyAlignment="1">
      <alignment horizontal="left"/>
    </xf>
    <xf numFmtId="0" fontId="21" fillId="7" borderId="1" xfId="0" applyFont="1" applyFill="1" applyBorder="1" applyAlignment="1">
      <alignment horizontal="center"/>
    </xf>
    <xf numFmtId="0" fontId="20"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61" fillId="7" borderId="13" xfId="0" applyNumberFormat="1" applyFont="1" applyFill="1" applyBorder="1" applyAlignment="1">
      <alignment horizontal="left"/>
    </xf>
    <xf numFmtId="0" fontId="84" fillId="7" borderId="51" xfId="0" applyFont="1" applyFill="1" applyBorder="1" applyAlignment="1">
      <alignment horizontal="left"/>
    </xf>
    <xf numFmtId="0" fontId="40" fillId="13" borderId="2" xfId="0" applyFont="1" applyFill="1" applyBorder="1" applyAlignment="1">
      <alignment horizontal="center"/>
    </xf>
    <xf numFmtId="44" fontId="41"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6" fillId="9" borderId="26" xfId="0" applyFont="1" applyFill="1" applyBorder="1"/>
    <xf numFmtId="0" fontId="86" fillId="9" borderId="27" xfId="0" applyFont="1" applyFill="1" applyBorder="1"/>
    <xf numFmtId="0" fontId="86" fillId="9" borderId="20" xfId="0" applyFont="1" applyFill="1" applyBorder="1"/>
    <xf numFmtId="0" fontId="86" fillId="9" borderId="28" xfId="0" applyFont="1" applyFill="1" applyBorder="1"/>
    <xf numFmtId="0" fontId="86" fillId="9" borderId="0" xfId="0" applyFont="1" applyFill="1"/>
    <xf numFmtId="0" fontId="86" fillId="9" borderId="29" xfId="0" applyFont="1" applyFill="1" applyBorder="1"/>
    <xf numFmtId="2" fontId="41" fillId="0" borderId="1" xfId="0" applyNumberFormat="1" applyFont="1" applyBorder="1" applyAlignment="1">
      <alignment horizontal="center"/>
    </xf>
    <xf numFmtId="44" fontId="41" fillId="4" borderId="6" xfId="2" applyFont="1" applyFill="1" applyBorder="1" applyAlignment="1">
      <alignment horizontal="center"/>
    </xf>
    <xf numFmtId="0" fontId="43" fillId="0" borderId="3" xfId="0" applyFont="1" applyBorder="1"/>
    <xf numFmtId="44" fontId="70" fillId="10" borderId="13" xfId="0" applyNumberFormat="1" applyFont="1" applyFill="1" applyBorder="1" applyAlignment="1">
      <alignment horizontal="left"/>
    </xf>
    <xf numFmtId="0" fontId="69" fillId="4" borderId="3" xfId="0" applyFont="1" applyFill="1" applyBorder="1" applyAlignment="1">
      <alignment horizontal="center"/>
    </xf>
    <xf numFmtId="0" fontId="89" fillId="0" borderId="38" xfId="0" applyFont="1" applyBorder="1"/>
    <xf numFmtId="0" fontId="89" fillId="0" borderId="25" xfId="0" applyFont="1" applyBorder="1" applyAlignment="1">
      <alignment horizontal="center"/>
    </xf>
    <xf numFmtId="0" fontId="88" fillId="0" borderId="38" xfId="0" applyFont="1" applyBorder="1"/>
    <xf numFmtId="0" fontId="88" fillId="0" borderId="25" xfId="0" applyFont="1" applyBorder="1" applyAlignment="1">
      <alignment horizontal="left"/>
    </xf>
    <xf numFmtId="0" fontId="89" fillId="0" borderId="29" xfId="0" applyFont="1" applyBorder="1"/>
    <xf numFmtId="0" fontId="89" fillId="0" borderId="0" xfId="0" applyFont="1" applyAlignment="1">
      <alignment horizontal="center"/>
    </xf>
    <xf numFmtId="1" fontId="56" fillId="0" borderId="52" xfId="0" applyNumberFormat="1" applyFont="1" applyBorder="1" applyAlignment="1">
      <alignment horizontal="center"/>
    </xf>
    <xf numFmtId="2" fontId="56" fillId="3" borderId="52" xfId="0" applyNumberFormat="1" applyFont="1" applyFill="1" applyBorder="1" applyAlignment="1">
      <alignment horizontal="center"/>
    </xf>
    <xf numFmtId="0" fontId="43" fillId="0" borderId="56" xfId="0" applyFont="1" applyBorder="1"/>
    <xf numFmtId="0" fontId="41" fillId="0" borderId="57" xfId="0" applyFont="1" applyBorder="1"/>
    <xf numFmtId="0" fontId="42" fillId="0" borderId="56" xfId="0" applyFont="1" applyBorder="1"/>
    <xf numFmtId="0" fontId="43" fillId="0" borderId="64" xfId="0" applyFont="1" applyBorder="1" applyAlignment="1">
      <alignment horizontal="center"/>
    </xf>
    <xf numFmtId="0" fontId="41" fillId="0" borderId="56" xfId="0" applyFont="1" applyBorder="1"/>
    <xf numFmtId="10" fontId="41" fillId="5" borderId="65" xfId="3" applyNumberFormat="1" applyFont="1" applyFill="1" applyBorder="1" applyAlignment="1">
      <alignment horizontal="center"/>
    </xf>
    <xf numFmtId="10" fontId="41" fillId="5" borderId="64" xfId="3" applyNumberFormat="1" applyFont="1" applyFill="1" applyBorder="1" applyAlignment="1">
      <alignment horizontal="center"/>
    </xf>
    <xf numFmtId="2" fontId="41" fillId="5" borderId="64" xfId="0" applyNumberFormat="1" applyFont="1" applyFill="1" applyBorder="1" applyAlignment="1">
      <alignment horizontal="center"/>
    </xf>
    <xf numFmtId="2" fontId="41" fillId="0" borderId="57" xfId="0" applyNumberFormat="1" applyFont="1" applyBorder="1" applyAlignment="1">
      <alignment horizontal="center"/>
    </xf>
    <xf numFmtId="0" fontId="0" fillId="0" borderId="57" xfId="0" applyBorder="1"/>
    <xf numFmtId="0" fontId="41" fillId="0" borderId="58" xfId="0" applyFont="1" applyBorder="1"/>
    <xf numFmtId="0" fontId="41" fillId="0" borderId="59" xfId="0" applyFont="1" applyBorder="1"/>
    <xf numFmtId="10" fontId="41" fillId="5" borderId="66" xfId="3" applyNumberFormat="1" applyFont="1" applyFill="1" applyBorder="1" applyAlignment="1">
      <alignment horizontal="center"/>
    </xf>
    <xf numFmtId="10" fontId="41" fillId="5" borderId="67" xfId="3" applyNumberFormat="1" applyFont="1" applyFill="1" applyBorder="1" applyAlignment="1">
      <alignment horizontal="center"/>
    </xf>
    <xf numFmtId="10" fontId="41" fillId="5" borderId="68" xfId="3" applyNumberFormat="1" applyFont="1" applyFill="1" applyBorder="1" applyAlignment="1">
      <alignment horizontal="center"/>
    </xf>
    <xf numFmtId="0" fontId="43" fillId="0" borderId="13" xfId="0" applyFont="1" applyBorder="1" applyAlignment="1">
      <alignment horizontal="center"/>
    </xf>
    <xf numFmtId="10" fontId="41" fillId="5" borderId="13" xfId="0" applyNumberFormat="1" applyFont="1" applyFill="1" applyBorder="1" applyAlignment="1">
      <alignment horizontal="center"/>
    </xf>
    <xf numFmtId="10" fontId="41" fillId="5" borderId="13" xfId="3" applyNumberFormat="1" applyFont="1" applyFill="1" applyBorder="1" applyAlignment="1">
      <alignment horizontal="center"/>
    </xf>
    <xf numFmtId="2" fontId="41" fillId="5" borderId="13" xfId="0" applyNumberFormat="1" applyFont="1" applyFill="1" applyBorder="1" applyAlignment="1">
      <alignment horizontal="center"/>
    </xf>
    <xf numFmtId="2" fontId="41" fillId="0" borderId="13" xfId="0" applyNumberFormat="1" applyFont="1" applyBorder="1" applyAlignment="1">
      <alignment horizontal="center"/>
    </xf>
    <xf numFmtId="0" fontId="86" fillId="9" borderId="69" xfId="0" applyFont="1" applyFill="1" applyBorder="1" applyAlignment="1">
      <alignment horizontal="center"/>
    </xf>
    <xf numFmtId="10" fontId="86" fillId="9" borderId="69" xfId="0" applyNumberFormat="1" applyFont="1" applyFill="1" applyBorder="1" applyAlignment="1">
      <alignment horizontal="center"/>
    </xf>
    <xf numFmtId="2" fontId="86" fillId="9" borderId="69" xfId="0" applyNumberFormat="1" applyFont="1" applyFill="1" applyBorder="1" applyAlignment="1">
      <alignment horizontal="center"/>
    </xf>
    <xf numFmtId="10" fontId="86" fillId="9" borderId="69" xfId="3" applyNumberFormat="1" applyFont="1" applyFill="1" applyBorder="1" applyAlignment="1">
      <alignment horizontal="center"/>
    </xf>
    <xf numFmtId="10" fontId="86" fillId="9" borderId="69" xfId="3" applyNumberFormat="1" applyFont="1" applyFill="1" applyBorder="1"/>
    <xf numFmtId="164" fontId="85" fillId="9" borderId="69" xfId="2" applyNumberFormat="1" applyFont="1" applyFill="1" applyBorder="1"/>
    <xf numFmtId="43" fontId="85" fillId="9" borderId="69" xfId="0" applyNumberFormat="1" applyFont="1" applyFill="1" applyBorder="1"/>
    <xf numFmtId="10" fontId="52" fillId="0" borderId="0" xfId="0" applyNumberFormat="1" applyFont="1"/>
    <xf numFmtId="0" fontId="52" fillId="0" borderId="56" xfId="0" applyFont="1" applyBorder="1"/>
    <xf numFmtId="0" fontId="52" fillId="0" borderId="57" xfId="0" applyFont="1" applyBorder="1"/>
    <xf numFmtId="0" fontId="52" fillId="0" borderId="76" xfId="0" applyFont="1" applyBorder="1"/>
    <xf numFmtId="10" fontId="52" fillId="0" borderId="64" xfId="0" applyNumberFormat="1" applyFont="1" applyBorder="1"/>
    <xf numFmtId="10" fontId="52" fillId="0" borderId="57" xfId="0" applyNumberFormat="1" applyFont="1" applyBorder="1"/>
    <xf numFmtId="44" fontId="52" fillId="7" borderId="77" xfId="0" applyNumberFormat="1" applyFont="1" applyFill="1" applyBorder="1"/>
    <xf numFmtId="0" fontId="52" fillId="0" borderId="57" xfId="0" applyFont="1" applyBorder="1" applyAlignment="1">
      <alignment horizontal="center"/>
    </xf>
    <xf numFmtId="0" fontId="52" fillId="7" borderId="76" xfId="0" applyFont="1" applyFill="1" applyBorder="1"/>
    <xf numFmtId="10" fontId="52" fillId="7" borderId="76" xfId="0" applyNumberFormat="1" applyFont="1" applyFill="1" applyBorder="1"/>
    <xf numFmtId="43" fontId="52" fillId="7" borderId="76" xfId="0" applyNumberFormat="1" applyFont="1" applyFill="1" applyBorder="1"/>
    <xf numFmtId="0" fontId="52" fillId="7" borderId="78" xfId="0" applyFont="1" applyFill="1" applyBorder="1"/>
    <xf numFmtId="0" fontId="52" fillId="0" borderId="78" xfId="0" applyFont="1" applyBorder="1"/>
    <xf numFmtId="0" fontId="52" fillId="0" borderId="58" xfId="0" applyFont="1" applyBorder="1"/>
    <xf numFmtId="0" fontId="52" fillId="0" borderId="59" xfId="0" applyFont="1" applyBorder="1"/>
    <xf numFmtId="0" fontId="52" fillId="0" borderId="60" xfId="0" applyFont="1" applyBorder="1"/>
    <xf numFmtId="0" fontId="90" fillId="9" borderId="69" xfId="0" applyFont="1" applyFill="1" applyBorder="1"/>
    <xf numFmtId="44" fontId="90" fillId="9" borderId="69" xfId="0" applyNumberFormat="1" applyFont="1" applyFill="1" applyBorder="1" applyAlignment="1">
      <alignment horizontal="center"/>
    </xf>
    <xf numFmtId="10" fontId="90" fillId="9" borderId="69" xfId="0" applyNumberFormat="1" applyFont="1" applyFill="1" applyBorder="1" applyAlignment="1">
      <alignment horizontal="center"/>
    </xf>
    <xf numFmtId="2" fontId="90" fillId="9" borderId="69" xfId="0" applyNumberFormat="1" applyFont="1" applyFill="1" applyBorder="1" applyAlignment="1">
      <alignment horizontal="center"/>
    </xf>
    <xf numFmtId="164" fontId="10" fillId="0" borderId="3" xfId="0" applyNumberFormat="1" applyFont="1" applyBorder="1" applyAlignment="1">
      <alignment horizontal="center"/>
    </xf>
    <xf numFmtId="10" fontId="10" fillId="0" borderId="3" xfId="3" applyNumberFormat="1" applyFont="1" applyBorder="1" applyAlignment="1">
      <alignment horizontal="center"/>
    </xf>
    <xf numFmtId="164" fontId="10" fillId="0" borderId="9" xfId="0" applyNumberFormat="1" applyFont="1" applyBorder="1" applyAlignment="1">
      <alignment horizontal="center"/>
    </xf>
    <xf numFmtId="10" fontId="10" fillId="0" borderId="9" xfId="0" applyNumberFormat="1" applyFont="1" applyBorder="1" applyAlignment="1">
      <alignment horizontal="center"/>
    </xf>
    <xf numFmtId="164" fontId="90" fillId="9" borderId="69" xfId="0" applyNumberFormat="1" applyFont="1" applyFill="1" applyBorder="1" applyAlignment="1">
      <alignment horizontal="center"/>
    </xf>
    <xf numFmtId="10" fontId="90" fillId="9" borderId="69" xfId="3" applyNumberFormat="1" applyFont="1" applyFill="1" applyBorder="1" applyAlignment="1">
      <alignment horizontal="center"/>
    </xf>
    <xf numFmtId="0" fontId="51" fillId="6" borderId="48" xfId="0" applyFont="1" applyFill="1" applyBorder="1" applyAlignment="1">
      <alignment horizontal="center" vertical="center" wrapText="1"/>
    </xf>
    <xf numFmtId="0" fontId="51" fillId="6" borderId="79" xfId="0" applyFont="1" applyFill="1" applyBorder="1" applyAlignment="1">
      <alignment horizontal="center" vertical="center" wrapText="1"/>
    </xf>
    <xf numFmtId="0" fontId="91" fillId="9" borderId="69" xfId="0" applyFont="1" applyFill="1" applyBorder="1" applyAlignment="1">
      <alignment horizontal="left" vertical="top" wrapText="1"/>
    </xf>
    <xf numFmtId="9" fontId="91" fillId="9" borderId="69" xfId="3" applyFont="1" applyFill="1" applyBorder="1" applyAlignment="1">
      <alignment horizontal="left" vertical="top" wrapText="1"/>
    </xf>
    <xf numFmtId="10" fontId="91"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4" fillId="7" borderId="1" xfId="0" applyNumberFormat="1" applyFont="1" applyFill="1" applyBorder="1" applyAlignment="1">
      <alignment horizontal="center" wrapText="1"/>
    </xf>
    <xf numFmtId="0" fontId="95" fillId="0" borderId="0" xfId="0" applyFont="1"/>
    <xf numFmtId="0" fontId="94" fillId="0" borderId="0" xfId="0" applyFont="1"/>
    <xf numFmtId="175" fontId="95" fillId="0" borderId="1" xfId="0" applyNumberFormat="1" applyFont="1" applyBorder="1" applyAlignment="1">
      <alignment horizontal="center"/>
    </xf>
    <xf numFmtId="0" fontId="34" fillId="0" borderId="1" xfId="0" applyFont="1" applyBorder="1"/>
    <xf numFmtId="0" fontId="34" fillId="0" borderId="1" xfId="0" applyFont="1" applyBorder="1" applyAlignment="1">
      <alignment horizontal="center"/>
    </xf>
    <xf numFmtId="175" fontId="0" fillId="0" borderId="1" xfId="0" applyNumberFormat="1" applyBorder="1" applyAlignment="1">
      <alignment horizontal="center"/>
    </xf>
    <xf numFmtId="0" fontId="88" fillId="0" borderId="1" xfId="0" applyFont="1" applyBorder="1" applyAlignment="1">
      <alignment wrapText="1"/>
    </xf>
    <xf numFmtId="0" fontId="88" fillId="0" borderId="1" xfId="0" applyFont="1" applyBorder="1" applyAlignment="1">
      <alignment horizontal="center" wrapText="1"/>
    </xf>
    <xf numFmtId="10" fontId="88" fillId="0" borderId="1" xfId="0" applyNumberFormat="1" applyFont="1" applyBorder="1" applyAlignment="1">
      <alignment horizontal="center" wrapText="1"/>
    </xf>
    <xf numFmtId="2" fontId="88" fillId="0" borderId="1" xfId="0" applyNumberFormat="1" applyFont="1" applyBorder="1" applyAlignment="1">
      <alignment horizontal="center" wrapText="1"/>
    </xf>
    <xf numFmtId="44" fontId="13" fillId="4" borderId="1" xfId="0" applyNumberFormat="1" applyFont="1" applyFill="1" applyBorder="1"/>
    <xf numFmtId="0" fontId="0" fillId="0" borderId="28" xfId="0" applyBorder="1" applyAlignment="1">
      <alignment horizontal="center"/>
    </xf>
    <xf numFmtId="0" fontId="3" fillId="0" borderId="0" xfId="5"/>
    <xf numFmtId="1" fontId="3" fillId="0" borderId="0" xfId="5" applyNumberFormat="1"/>
    <xf numFmtId="0" fontId="3" fillId="4" borderId="0" xfId="5" applyFill="1"/>
    <xf numFmtId="1" fontId="3" fillId="4" borderId="0" xfId="5" applyNumberFormat="1" applyFill="1"/>
    <xf numFmtId="10" fontId="3" fillId="0" borderId="0" xfId="5" applyNumberFormat="1"/>
    <xf numFmtId="9" fontId="3" fillId="0" borderId="0" xfId="5" applyNumberFormat="1"/>
    <xf numFmtId="0" fontId="2" fillId="0" borderId="0" xfId="7"/>
    <xf numFmtId="0" fontId="2" fillId="0" borderId="0" xfId="7" applyAlignment="1">
      <alignment horizontal="center"/>
    </xf>
    <xf numFmtId="14" fontId="2" fillId="0" borderId="0" xfId="7" applyNumberFormat="1" applyAlignment="1">
      <alignment horizontal="center"/>
    </xf>
    <xf numFmtId="0" fontId="2" fillId="0" borderId="0" xfId="7" applyAlignment="1">
      <alignment horizontal="right"/>
    </xf>
    <xf numFmtId="43" fontId="2" fillId="0" borderId="0" xfId="7" applyNumberFormat="1" applyAlignment="1">
      <alignment horizontal="right"/>
    </xf>
    <xf numFmtId="0" fontId="2" fillId="0" borderId="29" xfId="7" applyBorder="1" applyAlignment="1">
      <alignment horizontal="right"/>
    </xf>
    <xf numFmtId="1" fontId="2" fillId="0" borderId="0" xfId="7" applyNumberFormat="1"/>
    <xf numFmtId="1" fontId="2" fillId="0" borderId="0" xfId="7" applyNumberFormat="1" applyAlignment="1">
      <alignment horizontal="right"/>
    </xf>
    <xf numFmtId="1" fontId="2" fillId="0" borderId="29" xfId="7" applyNumberFormat="1" applyBorder="1"/>
    <xf numFmtId="0" fontId="96" fillId="0" borderId="0" xfId="7" applyFont="1"/>
    <xf numFmtId="1" fontId="96" fillId="0" borderId="0" xfId="7" applyNumberFormat="1" applyFont="1"/>
    <xf numFmtId="1" fontId="2" fillId="0" borderId="29" xfId="7" applyNumberFormat="1" applyBorder="1" applyAlignment="1">
      <alignment horizontal="right"/>
    </xf>
    <xf numFmtId="9" fontId="2" fillId="0" borderId="0" xfId="7" applyNumberFormat="1"/>
    <xf numFmtId="9" fontId="0" fillId="0" borderId="0" xfId="8" applyFont="1"/>
    <xf numFmtId="4" fontId="2" fillId="0" borderId="0" xfId="7" applyNumberFormat="1"/>
    <xf numFmtId="4" fontId="2" fillId="0" borderId="0" xfId="7" applyNumberFormat="1" applyAlignment="1">
      <alignment horizontal="right"/>
    </xf>
    <xf numFmtId="4" fontId="2" fillId="0" borderId="29" xfId="7" applyNumberFormat="1" applyBorder="1" applyAlignment="1">
      <alignment horizontal="right"/>
    </xf>
    <xf numFmtId="2" fontId="2" fillId="0" borderId="0" xfId="7" applyNumberFormat="1"/>
    <xf numFmtId="3" fontId="2" fillId="0" borderId="0" xfId="7" applyNumberFormat="1"/>
    <xf numFmtId="3" fontId="2" fillId="0" borderId="0" xfId="7" applyNumberFormat="1" applyAlignment="1">
      <alignment horizontal="right"/>
    </xf>
    <xf numFmtId="41" fontId="2" fillId="0" borderId="0" xfId="7" applyNumberFormat="1"/>
    <xf numFmtId="0" fontId="2" fillId="0" borderId="29" xfId="7" applyBorder="1"/>
    <xf numFmtId="10" fontId="2" fillId="0" borderId="0" xfId="7" applyNumberFormat="1"/>
    <xf numFmtId="8" fontId="2" fillId="0" borderId="0" xfId="7" applyNumberFormat="1"/>
    <xf numFmtId="43" fontId="2" fillId="0" borderId="0" xfId="7" applyNumberFormat="1"/>
    <xf numFmtId="0" fontId="98" fillId="0" borderId="0" xfId="7" applyFont="1"/>
    <xf numFmtId="0" fontId="99" fillId="0" borderId="0" xfId="7" applyFont="1"/>
    <xf numFmtId="176" fontId="2" fillId="0" borderId="0" xfId="7" applyNumberFormat="1"/>
    <xf numFmtId="1" fontId="1" fillId="0" borderId="0" xfId="7" applyNumberFormat="1" applyFont="1"/>
    <xf numFmtId="0" fontId="44" fillId="0" borderId="0" xfId="0" applyFont="1"/>
    <xf numFmtId="0" fontId="42" fillId="7" borderId="61" xfId="0" applyFont="1" applyFill="1" applyBorder="1" applyAlignment="1">
      <alignment horizontal="center"/>
    </xf>
    <xf numFmtId="0" fontId="42" fillId="7" borderId="62" xfId="0" applyFont="1" applyFill="1" applyBorder="1" applyAlignment="1">
      <alignment horizontal="center"/>
    </xf>
    <xf numFmtId="0" fontId="42" fillId="7" borderId="63" xfId="0" applyFont="1" applyFill="1" applyBorder="1" applyAlignment="1">
      <alignment horizontal="center"/>
    </xf>
    <xf numFmtId="0" fontId="42" fillId="0" borderId="7" xfId="0" applyFont="1" applyBorder="1" applyAlignment="1">
      <alignment horizontal="left"/>
    </xf>
    <xf numFmtId="0" fontId="42" fillId="0" borderId="16" xfId="0" applyFont="1" applyBorder="1" applyAlignment="1">
      <alignment horizontal="left"/>
    </xf>
    <xf numFmtId="0" fontId="42" fillId="0" borderId="17" xfId="0" applyFont="1" applyBorder="1" applyAlignment="1">
      <alignment horizontal="left"/>
    </xf>
    <xf numFmtId="0" fontId="70" fillId="0" borderId="28" xfId="0" applyFont="1" applyBorder="1" applyAlignment="1">
      <alignment horizontal="center" wrapText="1"/>
    </xf>
    <xf numFmtId="0" fontId="70" fillId="0" borderId="18" xfId="0" applyFont="1" applyBorder="1" applyAlignment="1">
      <alignment horizontal="center" wrapText="1"/>
    </xf>
    <xf numFmtId="0" fontId="43" fillId="0" borderId="1" xfId="0" applyFont="1" applyBorder="1" applyAlignment="1">
      <alignment horizontal="center"/>
    </xf>
    <xf numFmtId="0" fontId="43" fillId="0" borderId="64" xfId="0" applyFont="1" applyBorder="1" applyAlignment="1">
      <alignment horizontal="center"/>
    </xf>
    <xf numFmtId="0" fontId="42" fillId="0" borderId="53" xfId="0" applyFont="1" applyBorder="1" applyAlignment="1">
      <alignment horizontal="center"/>
    </xf>
    <xf numFmtId="0" fontId="42" fillId="0" borderId="54" xfId="0" applyFont="1" applyBorder="1" applyAlignment="1">
      <alignment horizontal="center"/>
    </xf>
    <xf numFmtId="0" fontId="42" fillId="0" borderId="55" xfId="0" applyFont="1" applyBorder="1" applyAlignment="1">
      <alignment horizontal="center"/>
    </xf>
    <xf numFmtId="2" fontId="41" fillId="4" borderId="52" xfId="0" applyNumberFormat="1" applyFont="1" applyFill="1" applyBorder="1" applyAlignment="1">
      <alignment horizontal="center" vertical="center"/>
    </xf>
    <xf numFmtId="0" fontId="93" fillId="7" borderId="7" xfId="4" applyFont="1" applyFill="1" applyBorder="1" applyAlignment="1">
      <alignment horizontal="left" vertical="top" wrapText="1"/>
    </xf>
    <xf numFmtId="0" fontId="93" fillId="7" borderId="16" xfId="4" applyFont="1" applyFill="1" applyBorder="1" applyAlignment="1">
      <alignment horizontal="left" vertical="top" wrapText="1"/>
    </xf>
    <xf numFmtId="0" fontId="93" fillId="7" borderId="17" xfId="4" applyFont="1" applyFill="1" applyBorder="1" applyAlignment="1">
      <alignment horizontal="left" vertical="top" wrapText="1"/>
    </xf>
    <xf numFmtId="0" fontId="93" fillId="7" borderId="30" xfId="4" applyFont="1" applyFill="1" applyBorder="1" applyAlignment="1">
      <alignment horizontal="left" vertical="top" wrapText="1"/>
    </xf>
    <xf numFmtId="0" fontId="93" fillId="7" borderId="0" xfId="4" applyFont="1" applyFill="1" applyBorder="1" applyAlignment="1">
      <alignment horizontal="left" vertical="top" wrapText="1"/>
    </xf>
    <xf numFmtId="0" fontId="93" fillId="7" borderId="18" xfId="4" applyFont="1" applyFill="1" applyBorder="1" applyAlignment="1">
      <alignment horizontal="left" vertical="top" wrapText="1"/>
    </xf>
    <xf numFmtId="0" fontId="93" fillId="7" borderId="39" xfId="4" applyFont="1" applyFill="1" applyBorder="1" applyAlignment="1">
      <alignment horizontal="left" vertical="top" wrapText="1"/>
    </xf>
    <xf numFmtId="0" fontId="93" fillId="7" borderId="31" xfId="4" applyFont="1" applyFill="1" applyBorder="1" applyAlignment="1">
      <alignment horizontal="left" vertical="top" wrapText="1"/>
    </xf>
    <xf numFmtId="0" fontId="93" fillId="7" borderId="32" xfId="4" applyFont="1" applyFill="1" applyBorder="1" applyAlignment="1">
      <alignment horizontal="left" vertical="top" wrapText="1"/>
    </xf>
    <xf numFmtId="0" fontId="2" fillId="0" borderId="0" xfId="7"/>
    <xf numFmtId="0" fontId="97" fillId="0" borderId="0" xfId="6"/>
    <xf numFmtId="0" fontId="96" fillId="0" borderId="0" xfId="7" applyFont="1"/>
    <xf numFmtId="0" fontId="76" fillId="9" borderId="0" xfId="0" applyFont="1" applyFill="1" applyAlignment="1">
      <alignment horizontal="left" vertical="top" wrapText="1"/>
    </xf>
    <xf numFmtId="0" fontId="64" fillId="0" borderId="6" xfId="0" applyFont="1" applyBorder="1" applyAlignment="1">
      <alignment horizontal="center"/>
    </xf>
    <xf numFmtId="0" fontId="64" fillId="0" borderId="5" xfId="0" applyFont="1" applyBorder="1" applyAlignment="1">
      <alignment horizontal="center"/>
    </xf>
    <xf numFmtId="0" fontId="64" fillId="0" borderId="13" xfId="0" applyFont="1" applyBorder="1" applyAlignment="1">
      <alignment horizontal="center"/>
    </xf>
    <xf numFmtId="0" fontId="61" fillId="0" borderId="35" xfId="0" applyFont="1" applyBorder="1" applyAlignment="1">
      <alignment horizontal="left"/>
    </xf>
    <xf numFmtId="0" fontId="61" fillId="0" borderId="5" xfId="0" applyFont="1" applyBorder="1" applyAlignment="1">
      <alignment horizontal="left"/>
    </xf>
    <xf numFmtId="0" fontId="61" fillId="0" borderId="45" xfId="0" applyFont="1" applyBorder="1" applyAlignment="1">
      <alignment horizontal="left"/>
    </xf>
    <xf numFmtId="0" fontId="61" fillId="0" borderId="46" xfId="0" applyFont="1" applyBorder="1" applyAlignment="1">
      <alignment horizontal="left"/>
    </xf>
    <xf numFmtId="0" fontId="67" fillId="7" borderId="26" xfId="0" applyFont="1" applyFill="1" applyBorder="1" applyAlignment="1">
      <alignment horizontal="left" vertical="top" wrapText="1"/>
    </xf>
    <xf numFmtId="0" fontId="67" fillId="7" borderId="27" xfId="0" applyFont="1" applyFill="1" applyBorder="1" applyAlignment="1">
      <alignment horizontal="left" vertical="top" wrapText="1"/>
    </xf>
    <xf numFmtId="0" fontId="67" fillId="7" borderId="20" xfId="0" applyFont="1" applyFill="1" applyBorder="1" applyAlignment="1">
      <alignment horizontal="left" vertical="top" wrapText="1"/>
    </xf>
    <xf numFmtId="0" fontId="67" fillId="7" borderId="28" xfId="0" applyFont="1" applyFill="1" applyBorder="1" applyAlignment="1">
      <alignment horizontal="left" vertical="top" wrapText="1"/>
    </xf>
    <xf numFmtId="0" fontId="67" fillId="7" borderId="0" xfId="0" applyFont="1" applyFill="1" applyAlignment="1">
      <alignment horizontal="left" vertical="top" wrapText="1"/>
    </xf>
    <xf numFmtId="0" fontId="67" fillId="7" borderId="29" xfId="0" applyFont="1" applyFill="1" applyBorder="1" applyAlignment="1">
      <alignment horizontal="left" vertical="top" wrapText="1"/>
    </xf>
    <xf numFmtId="0" fontId="67" fillId="7" borderId="47" xfId="0" applyFont="1" applyFill="1" applyBorder="1" applyAlignment="1">
      <alignment horizontal="left" vertical="top" wrapText="1"/>
    </xf>
    <xf numFmtId="0" fontId="67" fillId="7" borderId="25" xfId="0" applyFont="1" applyFill="1" applyBorder="1" applyAlignment="1">
      <alignment horizontal="left" vertical="top" wrapText="1"/>
    </xf>
    <xf numFmtId="0" fontId="67" fillId="7" borderId="38" xfId="0" applyFont="1" applyFill="1" applyBorder="1" applyAlignment="1">
      <alignment horizontal="left" vertical="top" wrapText="1"/>
    </xf>
    <xf numFmtId="0" fontId="78" fillId="0" borderId="26" xfId="0" applyFont="1" applyBorder="1" applyAlignment="1">
      <alignment horizontal="left" wrapText="1"/>
    </xf>
    <xf numFmtId="0" fontId="79" fillId="0" borderId="27" xfId="0" applyFont="1" applyBorder="1" applyAlignment="1">
      <alignment horizontal="left" wrapText="1"/>
    </xf>
    <xf numFmtId="0" fontId="79" fillId="0" borderId="20" xfId="0" applyFont="1" applyBorder="1" applyAlignment="1">
      <alignment horizontal="left" wrapText="1"/>
    </xf>
    <xf numFmtId="0" fontId="79" fillId="0" borderId="28" xfId="0" applyFont="1" applyBorder="1" applyAlignment="1">
      <alignment horizontal="left" wrapText="1"/>
    </xf>
    <xf numFmtId="0" fontId="79" fillId="0" borderId="0" xfId="0" applyFont="1" applyAlignment="1">
      <alignment horizontal="left" wrapText="1"/>
    </xf>
    <xf numFmtId="0" fontId="79" fillId="0" borderId="29" xfId="0" applyFont="1" applyBorder="1" applyAlignment="1">
      <alignment horizontal="left" wrapText="1"/>
    </xf>
    <xf numFmtId="0" fontId="79" fillId="0" borderId="47" xfId="0" applyFont="1" applyBorder="1" applyAlignment="1">
      <alignment horizontal="left" wrapText="1"/>
    </xf>
    <xf numFmtId="0" fontId="79" fillId="0" borderId="25" xfId="0" applyFont="1" applyBorder="1" applyAlignment="1">
      <alignment horizontal="left" wrapText="1"/>
    </xf>
    <xf numFmtId="0" fontId="79" fillId="0" borderId="38" xfId="0" applyFont="1" applyBorder="1" applyAlignment="1">
      <alignment horizontal="left" wrapText="1"/>
    </xf>
    <xf numFmtId="0" fontId="68" fillId="0" borderId="26" xfId="0" applyFont="1" applyBorder="1" applyAlignment="1">
      <alignment horizontal="left" vertical="center" wrapText="1"/>
    </xf>
    <xf numFmtId="0" fontId="68" fillId="0" borderId="27" xfId="0" applyFont="1" applyBorder="1" applyAlignment="1">
      <alignment horizontal="left" vertical="center" wrapText="1"/>
    </xf>
    <xf numFmtId="0" fontId="68" fillId="0" borderId="20" xfId="0" applyFont="1" applyBorder="1" applyAlignment="1">
      <alignment horizontal="left" vertical="center" wrapText="1"/>
    </xf>
    <xf numFmtId="0" fontId="68" fillId="0" borderId="28" xfId="0" applyFont="1" applyBorder="1" applyAlignment="1">
      <alignment horizontal="left" vertical="center" wrapText="1"/>
    </xf>
    <xf numFmtId="0" fontId="68" fillId="0" borderId="0" xfId="0" applyFont="1" applyAlignment="1">
      <alignment horizontal="left" vertical="center" wrapText="1"/>
    </xf>
    <xf numFmtId="0" fontId="68" fillId="0" borderId="29" xfId="0" applyFont="1" applyBorder="1" applyAlignment="1">
      <alignment horizontal="left" vertical="center" wrapText="1"/>
    </xf>
    <xf numFmtId="0" fontId="68" fillId="0" borderId="47" xfId="0" applyFont="1" applyBorder="1" applyAlignment="1">
      <alignment horizontal="left" vertical="center" wrapText="1"/>
    </xf>
    <xf numFmtId="0" fontId="68" fillId="0" borderId="25" xfId="0" applyFont="1" applyBorder="1" applyAlignment="1">
      <alignment horizontal="left" vertical="center" wrapText="1"/>
    </xf>
    <xf numFmtId="0" fontId="68" fillId="0" borderId="38" xfId="0" applyFont="1" applyBorder="1" applyAlignment="1">
      <alignment horizontal="left" vertical="center" wrapText="1"/>
    </xf>
    <xf numFmtId="0" fontId="80" fillId="0" borderId="26" xfId="0" applyFont="1" applyBorder="1" applyAlignment="1">
      <alignment horizontal="left" vertical="center" wrapText="1"/>
    </xf>
    <xf numFmtId="0" fontId="61" fillId="0" borderId="27" xfId="0" applyFont="1" applyBorder="1" applyAlignment="1">
      <alignment horizontal="left" vertical="center" wrapText="1"/>
    </xf>
    <xf numFmtId="0" fontId="61" fillId="0" borderId="20" xfId="0" applyFont="1" applyBorder="1" applyAlignment="1">
      <alignment horizontal="left" vertical="center" wrapText="1"/>
    </xf>
    <xf numFmtId="0" fontId="61" fillId="0" borderId="28" xfId="0" applyFont="1" applyBorder="1" applyAlignment="1">
      <alignment horizontal="left" vertical="center" wrapText="1"/>
    </xf>
    <xf numFmtId="0" fontId="61" fillId="0" borderId="0" xfId="0" applyFont="1" applyAlignment="1">
      <alignment horizontal="left" vertical="center" wrapText="1"/>
    </xf>
    <xf numFmtId="0" fontId="61" fillId="0" borderId="29" xfId="0" applyFont="1" applyBorder="1" applyAlignment="1">
      <alignment horizontal="left" vertical="center" wrapText="1"/>
    </xf>
    <xf numFmtId="0" fontId="61" fillId="0" borderId="47" xfId="0" applyFont="1" applyBorder="1" applyAlignment="1">
      <alignment horizontal="left" vertical="center" wrapText="1"/>
    </xf>
    <xf numFmtId="0" fontId="61" fillId="0" borderId="25" xfId="0" applyFont="1" applyBorder="1" applyAlignment="1">
      <alignment horizontal="left" vertical="center" wrapText="1"/>
    </xf>
    <xf numFmtId="0" fontId="61" fillId="0" borderId="38" xfId="0" applyFont="1" applyBorder="1" applyAlignment="1">
      <alignment horizontal="left" vertical="center" wrapText="1"/>
    </xf>
    <xf numFmtId="0" fontId="68" fillId="0" borderId="30" xfId="0" applyFont="1" applyBorder="1" applyAlignment="1">
      <alignment horizontal="left" vertical="center" wrapText="1"/>
    </xf>
    <xf numFmtId="168" fontId="61" fillId="7" borderId="5" xfId="2" applyNumberFormat="1" applyFont="1" applyFill="1" applyBorder="1" applyAlignment="1">
      <alignment horizontal="right"/>
    </xf>
    <xf numFmtId="10" fontId="61" fillId="7" borderId="6" xfId="3" applyNumberFormat="1" applyFont="1" applyFill="1" applyBorder="1" applyAlignment="1">
      <alignment horizontal="center"/>
    </xf>
    <xf numFmtId="10" fontId="61" fillId="7" borderId="13" xfId="3" applyNumberFormat="1" applyFont="1" applyFill="1" applyBorder="1" applyAlignment="1">
      <alignment horizontal="center"/>
    </xf>
    <xf numFmtId="0" fontId="81" fillId="7" borderId="1" xfId="0" applyFont="1" applyFill="1" applyBorder="1" applyAlignment="1">
      <alignment horizontal="center"/>
    </xf>
    <xf numFmtId="0" fontId="81" fillId="0" borderId="6" xfId="0" applyFont="1" applyBorder="1" applyAlignment="1">
      <alignment horizontal="center"/>
    </xf>
    <xf numFmtId="0" fontId="81" fillId="0" borderId="5" xfId="0" applyFont="1" applyBorder="1" applyAlignment="1">
      <alignment horizontal="center"/>
    </xf>
    <xf numFmtId="0" fontId="81" fillId="0" borderId="13" xfId="0" applyFont="1" applyBorder="1" applyAlignment="1">
      <alignment horizontal="center"/>
    </xf>
    <xf numFmtId="0" fontId="81" fillId="0" borderId="48" xfId="0" applyFont="1" applyBorder="1" applyAlignment="1">
      <alignment horizontal="center"/>
    </xf>
    <xf numFmtId="0" fontId="61" fillId="0" borderId="14" xfId="0" applyFont="1" applyBorder="1" applyAlignment="1">
      <alignment horizontal="left"/>
    </xf>
    <xf numFmtId="0" fontId="61" fillId="0" borderId="15" xfId="0" applyFont="1" applyBorder="1" applyAlignment="1">
      <alignment horizontal="left"/>
    </xf>
    <xf numFmtId="0" fontId="61" fillId="0" borderId="21" xfId="0" applyFont="1" applyBorder="1" applyAlignment="1">
      <alignment horizontal="left"/>
    </xf>
    <xf numFmtId="0" fontId="61" fillId="0" borderId="44" xfId="0" applyFont="1" applyBorder="1" applyAlignment="1">
      <alignment horizontal="right"/>
    </xf>
    <xf numFmtId="0" fontId="61" fillId="0" borderId="12" xfId="0" applyFont="1" applyBorder="1" applyAlignment="1">
      <alignment horizontal="left"/>
    </xf>
    <xf numFmtId="0" fontId="61" fillId="0" borderId="1" xfId="0" applyFont="1" applyBorder="1" applyAlignment="1">
      <alignment horizontal="left"/>
    </xf>
    <xf numFmtId="0" fontId="61" fillId="0" borderId="6" xfId="0" applyFont="1" applyBorder="1" applyAlignment="1">
      <alignment horizontal="left"/>
    </xf>
    <xf numFmtId="17" fontId="50" fillId="0" borderId="73" xfId="0" applyNumberFormat="1" applyFont="1" applyBorder="1" applyAlignment="1">
      <alignment horizontal="center"/>
    </xf>
    <xf numFmtId="0" fontId="50" fillId="0" borderId="74" xfId="0" applyFont="1" applyBorder="1" applyAlignment="1">
      <alignment horizontal="center"/>
    </xf>
    <xf numFmtId="0" fontId="52" fillId="7" borderId="26" xfId="0" applyFont="1" applyFill="1" applyBorder="1" applyAlignment="1">
      <alignment horizontal="left" vertical="top" wrapText="1"/>
    </xf>
    <xf numFmtId="0" fontId="52" fillId="7" borderId="20" xfId="0" applyFont="1" applyFill="1" applyBorder="1" applyAlignment="1">
      <alignment horizontal="left" vertical="top" wrapText="1"/>
    </xf>
    <xf numFmtId="0" fontId="52" fillId="7" borderId="28" xfId="0" applyFont="1" applyFill="1" applyBorder="1" applyAlignment="1">
      <alignment horizontal="left" vertical="top" wrapText="1"/>
    </xf>
    <xf numFmtId="0" fontId="52" fillId="7" borderId="29" xfId="0" applyFont="1" applyFill="1" applyBorder="1" applyAlignment="1">
      <alignment horizontal="left" vertical="top" wrapText="1"/>
    </xf>
    <xf numFmtId="0" fontId="52" fillId="7" borderId="47" xfId="0" applyFont="1" applyFill="1" applyBorder="1" applyAlignment="1">
      <alignment horizontal="left" vertical="top" wrapText="1"/>
    </xf>
    <xf numFmtId="0" fontId="52" fillId="7" borderId="38" xfId="0" applyFont="1" applyFill="1" applyBorder="1" applyAlignment="1">
      <alignment horizontal="left" vertical="top" wrapText="1"/>
    </xf>
    <xf numFmtId="0" fontId="47" fillId="0" borderId="70" xfId="0" applyFont="1" applyBorder="1" applyAlignment="1">
      <alignment horizontal="center"/>
    </xf>
    <xf numFmtId="0" fontId="47" fillId="0" borderId="71" xfId="0" applyFont="1" applyBorder="1" applyAlignment="1">
      <alignment horizontal="center"/>
    </xf>
    <xf numFmtId="0" fontId="47" fillId="0" borderId="72" xfId="0" applyFont="1" applyBorder="1" applyAlignment="1">
      <alignment horizontal="center"/>
    </xf>
    <xf numFmtId="0" fontId="57" fillId="0" borderId="1" xfId="0" applyFont="1" applyBorder="1" applyAlignment="1">
      <alignment horizontal="center"/>
    </xf>
    <xf numFmtId="0" fontId="57" fillId="0" borderId="64" xfId="0" applyFont="1" applyBorder="1" applyAlignment="1">
      <alignment horizontal="center"/>
    </xf>
    <xf numFmtId="0" fontId="50" fillId="0" borderId="7" xfId="0" applyFont="1" applyBorder="1" applyAlignment="1">
      <alignment horizontal="center"/>
    </xf>
    <xf numFmtId="0" fontId="50" fillId="0" borderId="17" xfId="0" applyFont="1" applyBorder="1" applyAlignment="1">
      <alignment horizontal="center"/>
    </xf>
    <xf numFmtId="0" fontId="50" fillId="0" borderId="16" xfId="0" applyFont="1" applyBorder="1" applyAlignment="1">
      <alignment horizontal="center"/>
    </xf>
    <xf numFmtId="0" fontId="52" fillId="7" borderId="1" xfId="0" applyFont="1" applyFill="1" applyBorder="1" applyAlignment="1">
      <alignment horizontal="left" vertical="top" wrapText="1"/>
    </xf>
    <xf numFmtId="0" fontId="52" fillId="7" borderId="66" xfId="0" applyFont="1" applyFill="1" applyBorder="1" applyAlignment="1">
      <alignment horizontal="left" vertical="top" wrapText="1"/>
    </xf>
    <xf numFmtId="0" fontId="50" fillId="0" borderId="75" xfId="0" applyFont="1" applyBorder="1" applyAlignment="1">
      <alignment horizontal="center"/>
    </xf>
    <xf numFmtId="0" fontId="50" fillId="0" borderId="49" xfId="0" applyFont="1" applyBorder="1" applyAlignment="1">
      <alignment horizontal="center"/>
    </xf>
    <xf numFmtId="0" fontId="50" fillId="0" borderId="50" xfId="0" applyFont="1" applyBorder="1" applyAlignment="1">
      <alignment horizontal="center"/>
    </xf>
    <xf numFmtId="10" fontId="82" fillId="0" borderId="43" xfId="0" applyNumberFormat="1" applyFont="1" applyBorder="1" applyAlignment="1">
      <alignment horizontal="center"/>
    </xf>
    <xf numFmtId="10" fontId="82" fillId="0" borderId="22" xfId="0" applyNumberFormat="1" applyFont="1" applyBorder="1" applyAlignment="1">
      <alignment horizontal="center"/>
    </xf>
    <xf numFmtId="0" fontId="48" fillId="0" borderId="16" xfId="0" applyFont="1" applyBorder="1" applyAlignment="1">
      <alignment horizontal="center"/>
    </xf>
    <xf numFmtId="0" fontId="48" fillId="0" borderId="17" xfId="0" applyFont="1" applyBorder="1" applyAlignment="1">
      <alignment horizontal="center"/>
    </xf>
    <xf numFmtId="0" fontId="54" fillId="7" borderId="30" xfId="0" applyFont="1" applyFill="1" applyBorder="1" applyAlignment="1">
      <alignment horizontal="left" vertical="top" wrapText="1"/>
    </xf>
    <xf numFmtId="0" fontId="54" fillId="7" borderId="0" xfId="0" applyFont="1" applyFill="1" applyAlignment="1">
      <alignment horizontal="left" vertical="top" wrapText="1"/>
    </xf>
    <xf numFmtId="0" fontId="47" fillId="7" borderId="43" xfId="0" applyFont="1" applyFill="1" applyBorder="1" applyAlignment="1">
      <alignment horizontal="center"/>
    </xf>
    <xf numFmtId="0" fontId="47" fillId="7" borderId="44" xfId="0" applyFont="1" applyFill="1" applyBorder="1" applyAlignment="1">
      <alignment horizontal="center"/>
    </xf>
    <xf numFmtId="0" fontId="47" fillId="7" borderId="22" xfId="0" applyFont="1" applyFill="1" applyBorder="1" applyAlignment="1">
      <alignment horizontal="center"/>
    </xf>
    <xf numFmtId="0" fontId="40" fillId="7" borderId="7" xfId="0" applyFont="1" applyFill="1" applyBorder="1" applyAlignment="1">
      <alignment horizontal="left" wrapText="1"/>
    </xf>
    <xf numFmtId="0" fontId="40" fillId="7" borderId="16" xfId="0" applyFont="1" applyFill="1" applyBorder="1" applyAlignment="1">
      <alignment horizontal="left" wrapText="1"/>
    </xf>
    <xf numFmtId="0" fontId="40" fillId="7" borderId="17" xfId="0" applyFont="1" applyFill="1" applyBorder="1" applyAlignment="1">
      <alignment horizontal="left" wrapText="1"/>
    </xf>
    <xf numFmtId="0" fontId="40" fillId="7" borderId="39" xfId="0" applyFont="1" applyFill="1" applyBorder="1" applyAlignment="1">
      <alignment horizontal="left" wrapText="1"/>
    </xf>
    <xf numFmtId="0" fontId="40" fillId="7" borderId="31" xfId="0" applyFont="1" applyFill="1" applyBorder="1" applyAlignment="1">
      <alignment horizontal="left" wrapText="1"/>
    </xf>
    <xf numFmtId="0" fontId="40" fillId="7" borderId="32" xfId="0" applyFont="1" applyFill="1" applyBorder="1" applyAlignment="1">
      <alignment horizontal="left"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6" fillId="7" borderId="7" xfId="0" applyFont="1" applyFill="1" applyBorder="1" applyAlignment="1">
      <alignment horizontal="left" vertical="top" wrapText="1"/>
    </xf>
    <xf numFmtId="0" fontId="36" fillId="7" borderId="16" xfId="0" applyFont="1" applyFill="1" applyBorder="1" applyAlignment="1">
      <alignment horizontal="left" vertical="top" wrapText="1"/>
    </xf>
    <xf numFmtId="0" fontId="36" fillId="7" borderId="17" xfId="0" applyFont="1" applyFill="1" applyBorder="1" applyAlignment="1">
      <alignment horizontal="left" vertical="top" wrapText="1"/>
    </xf>
    <xf numFmtId="0" fontId="36" fillId="7" borderId="30" xfId="0" applyFont="1" applyFill="1" applyBorder="1" applyAlignment="1">
      <alignment horizontal="left" vertical="top" wrapText="1"/>
    </xf>
    <xf numFmtId="0" fontId="36" fillId="7" borderId="0" xfId="0" applyFont="1" applyFill="1" applyAlignment="1">
      <alignment horizontal="left" vertical="top" wrapText="1"/>
    </xf>
    <xf numFmtId="0" fontId="36" fillId="7" borderId="18" xfId="0" applyFont="1" applyFill="1" applyBorder="1" applyAlignment="1">
      <alignment horizontal="left" vertical="top" wrapText="1"/>
    </xf>
    <xf numFmtId="0" fontId="36" fillId="7" borderId="39" xfId="0" applyFont="1" applyFill="1" applyBorder="1" applyAlignment="1">
      <alignment horizontal="left" vertical="top" wrapText="1"/>
    </xf>
    <xf numFmtId="0" fontId="36" fillId="7" borderId="31" xfId="0" applyFont="1" applyFill="1" applyBorder="1" applyAlignment="1">
      <alignment horizontal="left" vertical="top" wrapText="1"/>
    </xf>
    <xf numFmtId="0" fontId="36"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3" fillId="11" borderId="0" xfId="0" applyFont="1" applyFill="1" applyAlignment="1">
      <alignment horizontal="center" vertical="center" wrapText="1"/>
    </xf>
    <xf numFmtId="0" fontId="4" fillId="7" borderId="1" xfId="0" applyFont="1" applyFill="1" applyBorder="1" applyAlignment="1">
      <alignment horizontal="left" vertical="top" wrapText="1"/>
    </xf>
    <xf numFmtId="0" fontId="25" fillId="0" borderId="27" xfId="0" applyFont="1" applyBorder="1" applyAlignment="1">
      <alignment horizontal="center"/>
    </xf>
    <xf numFmtId="0" fontId="37" fillId="0" borderId="43" xfId="0" applyFont="1" applyBorder="1" applyAlignment="1">
      <alignment horizontal="center"/>
    </xf>
    <xf numFmtId="0" fontId="37" fillId="0" borderId="44" xfId="0" applyFont="1" applyBorder="1" applyAlignment="1">
      <alignment horizontal="center"/>
    </xf>
    <xf numFmtId="0" fontId="37" fillId="0" borderId="22" xfId="0" applyFont="1" applyBorder="1" applyAlignment="1">
      <alignment horizontal="center"/>
    </xf>
    <xf numFmtId="0" fontId="27" fillId="0" borderId="43" xfId="0" applyFont="1" applyBorder="1" applyAlignment="1">
      <alignment horizontal="center"/>
    </xf>
    <xf numFmtId="0" fontId="27" fillId="0" borderId="44" xfId="0" applyFont="1" applyBorder="1" applyAlignment="1">
      <alignment horizontal="center"/>
    </xf>
    <xf numFmtId="0" fontId="27" fillId="0" borderId="22" xfId="0" applyFont="1" applyBorder="1" applyAlignment="1">
      <alignment horizontal="center"/>
    </xf>
    <xf numFmtId="0" fontId="27" fillId="0" borderId="16" xfId="0" applyFont="1" applyBorder="1" applyAlignment="1">
      <alignment horizontal="center"/>
    </xf>
    <xf numFmtId="0" fontId="28" fillId="7" borderId="43" xfId="0" applyFont="1" applyFill="1" applyBorder="1" applyAlignment="1">
      <alignment horizontal="center"/>
    </xf>
    <xf numFmtId="0" fontId="28" fillId="7" borderId="44" xfId="0" applyFont="1" applyFill="1" applyBorder="1" applyAlignment="1">
      <alignment horizontal="center"/>
    </xf>
    <xf numFmtId="0" fontId="28" fillId="7" borderId="22" xfId="0" applyFont="1" applyFill="1" applyBorder="1" applyAlignment="1">
      <alignment horizontal="center"/>
    </xf>
    <xf numFmtId="0" fontId="83" fillId="0" borderId="3" xfId="0" applyFont="1" applyBorder="1" applyAlignment="1">
      <alignment horizontal="center" vertical="center" textRotation="90" wrapText="1"/>
    </xf>
    <xf numFmtId="0" fontId="83" fillId="0" borderId="48" xfId="0" applyFont="1" applyBorder="1" applyAlignment="1">
      <alignment horizontal="center" vertical="center" textRotation="90" wrapText="1"/>
    </xf>
    <xf numFmtId="0" fontId="83" fillId="0" borderId="9" xfId="0" applyFont="1" applyBorder="1" applyAlignment="1">
      <alignment horizontal="center" vertical="center" textRotation="90" wrapText="1"/>
    </xf>
    <xf numFmtId="0" fontId="0" fillId="0" borderId="0" xfId="0" applyAlignment="1">
      <alignment horizontal="center"/>
    </xf>
    <xf numFmtId="0" fontId="63" fillId="0" borderId="25" xfId="0" applyFont="1" applyBorder="1" applyAlignment="1">
      <alignment horizontal="center"/>
    </xf>
    <xf numFmtId="2" fontId="63"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9"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cellXfs>
  <cellStyles count="9">
    <cellStyle name="Comma" xfId="1" builtinId="3"/>
    <cellStyle name="Currency" xfId="2" builtinId="4"/>
    <cellStyle name="Hyperlink" xfId="4" builtinId="8"/>
    <cellStyle name="Hyperlink 2" xfId="6" xr:uid="{83B549F1-CAF3-489D-BA34-8A1A0A05C635}"/>
    <cellStyle name="Normal" xfId="0" builtinId="0"/>
    <cellStyle name="Normal 2" xfId="5" xr:uid="{388C4DC9-16D4-4309-9A1A-8F4A6612A8D5}"/>
    <cellStyle name="Normal 3" xfId="7" xr:uid="{CBF190B4-FEB9-43F0-B6E8-D2FE27D8AE91}"/>
    <cellStyle name="Percent" xfId="3" builtinId="5"/>
    <cellStyle name="Percent 2" xfId="8" xr:uid="{351AE210-9E61-4BC4-BCCB-0A9992A27FDB}"/>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 displayName="Serban B Valentin-Daniel" id="{3FCCFCB3-6288-4338-B7A7-06B319A5EFBB}" userId="S::serbanvalentin22@stud.ase.ro::1cf3b1b8-7294-41c6-9467-ebca3619391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AH25" dT="2023-06-26T15:47:33.45" personId="{3FCCFCB3-6288-4338-B7A7-06B319A5EFBB}" id="{0BC778DC-6DE5-42D7-8C4F-D8DADA5C0E6D}">
    <text>527</text>
  </threadedComment>
</ThreadedComments>
</file>

<file path=xl/threadedComments/threadedComment3.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7.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14" zoomScale="75" zoomScaleNormal="100" workbookViewId="0">
      <selection activeCell="B37" sqref="B37"/>
    </sheetView>
  </sheetViews>
  <sheetFormatPr defaultColWidth="10.875" defaultRowHeight="10.199999999999999"/>
  <cols>
    <col min="1" max="1" width="73.75" style="3" customWidth="1"/>
    <col min="2" max="2" width="26.375" style="3" customWidth="1"/>
    <col min="3" max="3" width="23.125" style="3" customWidth="1"/>
    <col min="4" max="4" width="19.75" style="3" customWidth="1"/>
    <col min="5" max="7" width="10.875" style="3"/>
    <col min="8" max="8" width="11" style="3" bestFit="1" customWidth="1"/>
    <col min="9" max="9" width="21.875" style="3" customWidth="1"/>
    <col min="10" max="10" width="15" style="3" bestFit="1" customWidth="1"/>
    <col min="11" max="11" width="17.375" style="3" bestFit="1" customWidth="1"/>
    <col min="12" max="16384" width="10.875" style="3"/>
  </cols>
  <sheetData>
    <row r="1" spans="1:10" s="191" customFormat="1" ht="15">
      <c r="B1" s="228"/>
      <c r="C1" s="191" t="s">
        <v>747</v>
      </c>
      <c r="D1" s="229"/>
      <c r="E1" s="191" t="s">
        <v>748</v>
      </c>
    </row>
    <row r="2" spans="1:10" s="192" customFormat="1" ht="15.6"/>
    <row r="3" spans="1:10" s="192" customFormat="1" ht="15.6">
      <c r="A3" s="193" t="s">
        <v>364</v>
      </c>
      <c r="B3" s="194">
        <v>43935</v>
      </c>
      <c r="C3" s="404" t="s">
        <v>903</v>
      </c>
      <c r="D3" s="405"/>
      <c r="E3" s="405"/>
      <c r="F3" s="405"/>
      <c r="G3" s="405"/>
      <c r="H3" s="405"/>
      <c r="I3" s="405"/>
      <c r="J3" s="406"/>
    </row>
    <row r="4" spans="1:10" s="192" customFormat="1" ht="16.2" thickBot="1">
      <c r="A4" s="193" t="s">
        <v>28</v>
      </c>
      <c r="B4" s="414" t="s">
        <v>989</v>
      </c>
      <c r="C4" s="407" t="s">
        <v>90</v>
      </c>
      <c r="D4" s="408"/>
      <c r="E4" s="408"/>
      <c r="F4" s="408"/>
      <c r="G4" s="408"/>
      <c r="H4" s="408"/>
      <c r="I4" s="408"/>
      <c r="J4" s="409"/>
    </row>
    <row r="5" spans="1:10" s="192" customFormat="1" ht="16.2" thickBot="1">
      <c r="A5" s="531" t="s">
        <v>904</v>
      </c>
      <c r="B5" s="532"/>
      <c r="C5" s="532"/>
      <c r="D5" s="532"/>
      <c r="E5" s="532"/>
      <c r="F5" s="532"/>
      <c r="G5" s="532"/>
      <c r="H5" s="532"/>
      <c r="I5" s="532"/>
      <c r="J5" s="533"/>
    </row>
    <row r="6" spans="1:10" s="192" customFormat="1" ht="16.2" thickBot="1">
      <c r="A6" s="193" t="s">
        <v>905</v>
      </c>
      <c r="B6" s="193"/>
      <c r="C6" s="193"/>
      <c r="E6"/>
      <c r="F6"/>
      <c r="G6"/>
      <c r="H6"/>
      <c r="I6"/>
      <c r="J6"/>
    </row>
    <row r="7" spans="1:10" s="192" customFormat="1" ht="15.6">
      <c r="A7" s="192" t="s">
        <v>417</v>
      </c>
      <c r="B7" s="195" t="s">
        <v>327</v>
      </c>
      <c r="C7" s="193"/>
      <c r="F7" s="545" t="s">
        <v>981</v>
      </c>
      <c r="G7" s="546"/>
      <c r="H7" s="546"/>
      <c r="I7" s="547"/>
    </row>
    <row r="8" spans="1:10" s="192" customFormat="1" ht="15.6">
      <c r="A8" s="192" t="s">
        <v>408</v>
      </c>
      <c r="B8" s="195" t="s">
        <v>654</v>
      </c>
      <c r="F8" s="548"/>
      <c r="G8" s="549"/>
      <c r="H8" s="549"/>
      <c r="I8" s="550"/>
    </row>
    <row r="9" spans="1:10" s="192" customFormat="1" ht="15.6">
      <c r="A9" s="192" t="s">
        <v>409</v>
      </c>
      <c r="B9" s="195" t="s">
        <v>654</v>
      </c>
      <c r="C9"/>
      <c r="D9"/>
      <c r="F9" s="548"/>
      <c r="G9" s="549"/>
      <c r="H9" s="549"/>
      <c r="I9" s="550"/>
    </row>
    <row r="10" spans="1:10" s="192" customFormat="1" ht="15.6">
      <c r="B10" s="348" t="s">
        <v>902</v>
      </c>
      <c r="C10" s="348" t="s">
        <v>980</v>
      </c>
      <c r="D10" s="412" t="s">
        <v>497</v>
      </c>
      <c r="F10" s="548"/>
      <c r="G10" s="549"/>
      <c r="H10" s="549"/>
      <c r="I10" s="550"/>
    </row>
    <row r="11" spans="1:10" s="192" customFormat="1" ht="16.2" thickBot="1">
      <c r="A11" s="197" t="s">
        <v>5</v>
      </c>
      <c r="B11" s="198">
        <f>4298.467-974.499+1088.217</f>
        <v>4412.1849999999995</v>
      </c>
      <c r="C11" s="411">
        <v>4298.4669999999996</v>
      </c>
      <c r="D11" s="544">
        <v>0.25</v>
      </c>
      <c r="F11" s="551"/>
      <c r="G11" s="552"/>
      <c r="H11" s="552"/>
      <c r="I11" s="553"/>
    </row>
    <row r="12" spans="1:10" s="192" customFormat="1" ht="15.6">
      <c r="A12" s="197" t="s">
        <v>23</v>
      </c>
      <c r="B12" s="198">
        <f>587.336-78.405+153.499</f>
        <v>662.43000000000006</v>
      </c>
      <c r="C12" s="411">
        <v>587.33600000000001</v>
      </c>
      <c r="D12" s="544"/>
    </row>
    <row r="13" spans="1:10" s="192" customFormat="1" ht="15.6">
      <c r="A13" s="197" t="s">
        <v>410</v>
      </c>
      <c r="B13" s="198">
        <v>0</v>
      </c>
      <c r="C13" s="411">
        <v>0</v>
      </c>
      <c r="D13" s="544"/>
    </row>
    <row r="14" spans="1:10" s="192" customFormat="1" ht="15.6">
      <c r="A14" s="197" t="s">
        <v>24</v>
      </c>
      <c r="B14" s="198">
        <v>2248.9349999999999</v>
      </c>
      <c r="C14" s="411">
        <v>2233.6529999999998</v>
      </c>
      <c r="D14" s="544"/>
    </row>
    <row r="15" spans="1:10" s="192" customFormat="1" ht="15.6">
      <c r="A15" s="197" t="s">
        <v>25</v>
      </c>
      <c r="B15" s="198">
        <f>15.009+62.886</f>
        <v>77.89500000000001</v>
      </c>
      <c r="C15" s="411">
        <f>15.107+61.92</f>
        <v>77.027000000000001</v>
      </c>
      <c r="D15" s="544"/>
    </row>
    <row r="16" spans="1:10" s="192" customFormat="1" ht="15.6">
      <c r="A16" s="197" t="s">
        <v>400</v>
      </c>
      <c r="B16" s="200" t="s">
        <v>49</v>
      </c>
      <c r="C16" s="413" t="s">
        <v>842</v>
      </c>
      <c r="D16" s="199"/>
    </row>
    <row r="17" spans="1:14" s="192" customFormat="1" ht="15.6">
      <c r="A17" s="197" t="s">
        <v>225</v>
      </c>
      <c r="B17" s="200" t="s">
        <v>44</v>
      </c>
      <c r="C17" s="199" t="s">
        <v>843</v>
      </c>
      <c r="D17" s="199"/>
    </row>
    <row r="18" spans="1:14" s="192" customFormat="1" ht="15.6">
      <c r="A18" s="197" t="s">
        <v>483</v>
      </c>
      <c r="B18" s="198">
        <v>1534.38</v>
      </c>
      <c r="C18" s="198">
        <v>1520.8420000000001</v>
      </c>
      <c r="D18" s="199"/>
    </row>
    <row r="19" spans="1:14" s="192" customFormat="1" ht="15.6">
      <c r="A19" s="197" t="s">
        <v>484</v>
      </c>
      <c r="B19" s="201">
        <v>33.323</v>
      </c>
      <c r="C19" s="198">
        <v>33.323</v>
      </c>
      <c r="D19" s="199"/>
    </row>
    <row r="20" spans="1:14" s="192" customFormat="1" ht="16.2" thickBot="1">
      <c r="A20" s="197" t="s">
        <v>369</v>
      </c>
      <c r="B20" s="201">
        <v>0</v>
      </c>
      <c r="C20" s="198">
        <v>0</v>
      </c>
      <c r="D20" s="199"/>
    </row>
    <row r="21" spans="1:14" s="192" customFormat="1" ht="15.6">
      <c r="A21" s="197" t="s">
        <v>26</v>
      </c>
      <c r="B21" s="202">
        <v>154.97800000000001</v>
      </c>
      <c r="C21" s="199"/>
      <c r="E21" s="541" t="s">
        <v>224</v>
      </c>
      <c r="F21" s="542"/>
      <c r="G21" s="542"/>
      <c r="H21" s="542"/>
      <c r="I21" s="542"/>
      <c r="J21" s="542"/>
      <c r="K21" s="542"/>
      <c r="L21" s="542"/>
      <c r="M21" s="542"/>
      <c r="N21" s="543"/>
    </row>
    <row r="22" spans="1:14" s="192" customFormat="1" ht="15.6">
      <c r="A22" s="197" t="s">
        <v>27</v>
      </c>
      <c r="B22" s="198">
        <v>84.5</v>
      </c>
      <c r="C22" s="199"/>
      <c r="E22" s="423" t="s">
        <v>403</v>
      </c>
      <c r="N22" s="424"/>
    </row>
    <row r="23" spans="1:14" s="192" customFormat="1" ht="15.6">
      <c r="A23" s="192" t="s">
        <v>94</v>
      </c>
      <c r="B23" s="203">
        <v>0.15</v>
      </c>
      <c r="C23" s="199"/>
      <c r="E23" s="425"/>
      <c r="J23" s="196" t="s">
        <v>408</v>
      </c>
      <c r="K23" s="196" t="s">
        <v>409</v>
      </c>
      <c r="L23" s="539" t="s">
        <v>830</v>
      </c>
      <c r="M23" s="539"/>
      <c r="N23" s="540"/>
    </row>
    <row r="24" spans="1:14" s="192" customFormat="1" ht="15.6">
      <c r="A24" s="192" t="s">
        <v>95</v>
      </c>
      <c r="B24" s="203">
        <v>0.25</v>
      </c>
      <c r="C24" s="199"/>
      <c r="E24" s="425"/>
      <c r="I24" s="443" t="s">
        <v>221</v>
      </c>
      <c r="J24" s="438" t="s">
        <v>829</v>
      </c>
      <c r="K24" s="348" t="s">
        <v>829</v>
      </c>
      <c r="L24" s="348" t="s">
        <v>831</v>
      </c>
      <c r="M24" s="348" t="s">
        <v>738</v>
      </c>
      <c r="N24" s="426" t="s">
        <v>832</v>
      </c>
    </row>
    <row r="25" spans="1:14" s="192" customFormat="1" ht="15.6">
      <c r="A25" s="193" t="s">
        <v>29</v>
      </c>
      <c r="B25" s="204"/>
      <c r="C25" s="199"/>
      <c r="E25" s="427" t="s">
        <v>159</v>
      </c>
      <c r="I25" s="444">
        <f>IF(C11&gt;0,(B11/C11)^(1/D11)-1, "NA")</f>
        <v>0.11009582054279243</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6">
      <c r="A26" s="207" t="s">
        <v>601</v>
      </c>
      <c r="B26" s="208">
        <v>0.1</v>
      </c>
      <c r="C26" s="199" t="s">
        <v>864</v>
      </c>
      <c r="E26" s="427" t="s">
        <v>160</v>
      </c>
      <c r="I26" s="444">
        <f>'Valuation output'!B4</f>
        <v>0.16259186774806592</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6">
      <c r="A27" s="207" t="s">
        <v>603</v>
      </c>
      <c r="B27" s="208">
        <v>0.13</v>
      </c>
      <c r="C27" s="199" t="s">
        <v>867</v>
      </c>
      <c r="E27" s="427" t="s">
        <v>161</v>
      </c>
      <c r="I27" s="445">
        <f>B11/'Valuation output'!B39</f>
        <v>2.7566294408175476</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6">
      <c r="A28" s="197" t="s">
        <v>602</v>
      </c>
      <c r="B28" s="209">
        <v>9.2999999999999999E-2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43.536753445634133</v>
      </c>
      <c r="J28" s="442"/>
      <c r="K28" s="410"/>
      <c r="L28" s="216"/>
      <c r="M28" s="216"/>
      <c r="N28" s="431"/>
    </row>
    <row r="29" spans="1:14" s="192" customFormat="1" ht="15.6">
      <c r="A29" s="197" t="s">
        <v>841</v>
      </c>
      <c r="B29" s="209">
        <v>0.16</v>
      </c>
      <c r="C29" s="199" t="s">
        <v>866</v>
      </c>
      <c r="E29" s="427" t="s">
        <v>162</v>
      </c>
      <c r="I29" s="446">
        <f>'Valuation output'!B7/'Valuation output'!B39</f>
        <v>0.38097470005105682</v>
      </c>
      <c r="J29" s="440">
        <f>VLOOKUP(B8,'Industry Averages(US)'!A2:S95,5)</f>
        <v>0.37798197124632166</v>
      </c>
      <c r="K29" s="350">
        <f>VLOOKUP(B9,'Industry Average Beta (Global)'!A2:N95,5)</f>
        <v>0.15747684459567851</v>
      </c>
      <c r="L29"/>
      <c r="M29"/>
      <c r="N29" s="432"/>
    </row>
    <row r="30" spans="1:14" s="192" customFormat="1" ht="15.6">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2" thickBot="1">
      <c r="A31" s="197" t="s">
        <v>833</v>
      </c>
      <c r="B31" s="210">
        <v>1.8</v>
      </c>
      <c r="C31" s="199" t="s">
        <v>862</v>
      </c>
      <c r="E31" s="433" t="s">
        <v>362</v>
      </c>
      <c r="F31" s="434"/>
      <c r="G31" s="434"/>
      <c r="H31" s="434"/>
      <c r="I31" s="446">
        <f>B35</f>
        <v>9.4969838568748674E-2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2" thickBot="1">
      <c r="A32" s="197" t="s">
        <v>622</v>
      </c>
      <c r="B32" s="210">
        <v>1.5</v>
      </c>
      <c r="C32" s="199" t="s">
        <v>863</v>
      </c>
    </row>
    <row r="33" spans="1:14" s="192" customFormat="1" ht="15.6">
      <c r="A33" s="193" t="s">
        <v>30</v>
      </c>
      <c r="B33" s="213"/>
      <c r="C33" s="199"/>
      <c r="E33" s="534" t="s">
        <v>485</v>
      </c>
      <c r="F33" s="535"/>
      <c r="G33" s="535"/>
      <c r="H33" s="535"/>
      <c r="I33" s="535"/>
      <c r="J33" s="536"/>
    </row>
    <row r="34" spans="1:14" s="192" customFormat="1" ht="15.6">
      <c r="A34" s="197" t="s">
        <v>21</v>
      </c>
      <c r="B34" s="209">
        <v>4.6359999999999998E-2</v>
      </c>
      <c r="C34" s="199"/>
      <c r="E34" s="205" t="s">
        <v>486</v>
      </c>
      <c r="J34" s="212">
        <f>'Valuation output'!M3</f>
        <v>9927.0963571755055</v>
      </c>
    </row>
    <row r="35" spans="1:14" s="192" customFormat="1" ht="24.9" customHeight="1">
      <c r="A35" s="343" t="s">
        <v>32</v>
      </c>
      <c r="B35" s="344">
        <f>'Cost of capital worksheet'!B13</f>
        <v>9.4969838568748674E-2</v>
      </c>
      <c r="C35" s="537" t="s">
        <v>744</v>
      </c>
      <c r="D35" s="538"/>
      <c r="E35" s="205" t="s">
        <v>488</v>
      </c>
      <c r="J35" s="212">
        <f>'Valuation output'!M5</f>
        <v>1588.335417148081</v>
      </c>
    </row>
    <row r="36" spans="1:14" s="192" customFormat="1" ht="15.6">
      <c r="A36" s="193" t="s">
        <v>80</v>
      </c>
      <c r="B36" s="215"/>
      <c r="C36" s="215"/>
      <c r="D36" s="199"/>
      <c r="E36" s="205" t="s">
        <v>487</v>
      </c>
      <c r="J36" s="206">
        <f>'Valuation output'!L40</f>
        <v>0.25903503953169948</v>
      </c>
    </row>
    <row r="37" spans="1:14" s="192" customFormat="1" ht="16.2" thickBot="1">
      <c r="A37" s="192" t="s">
        <v>227</v>
      </c>
      <c r="B37" s="200" t="s">
        <v>49</v>
      </c>
      <c r="C37" s="190"/>
      <c r="D37" s="199"/>
      <c r="E37" s="324" t="s">
        <v>489</v>
      </c>
      <c r="F37" s="211"/>
      <c r="G37" s="211"/>
      <c r="H37" s="211"/>
      <c r="I37" s="211"/>
      <c r="J37" s="214"/>
    </row>
    <row r="38" spans="1:14" s="192" customFormat="1" ht="15.6">
      <c r="A38" s="192" t="s">
        <v>81</v>
      </c>
      <c r="B38" s="210">
        <f>0.622+1.393+1.12+0.396</f>
        <v>3.5310000000000001</v>
      </c>
      <c r="C38" s="216"/>
      <c r="D38" s="199"/>
    </row>
    <row r="39" spans="1:14" s="219" customFormat="1" ht="15.6">
      <c r="A39" s="192" t="s">
        <v>82</v>
      </c>
      <c r="B39" s="217">
        <v>60.86</v>
      </c>
      <c r="C39" s="218"/>
      <c r="D39" s="199"/>
      <c r="E39" s="192"/>
      <c r="F39" s="192"/>
      <c r="G39" s="192"/>
      <c r="H39" s="192"/>
      <c r="I39" s="192"/>
      <c r="J39" s="192"/>
      <c r="K39" s="192"/>
      <c r="L39" s="192"/>
      <c r="M39" s="192"/>
      <c r="N39" s="192"/>
    </row>
    <row r="40" spans="1:14" s="192" customFormat="1" ht="15.6">
      <c r="A40" s="192" t="s">
        <v>83</v>
      </c>
      <c r="B40" s="210">
        <v>7</v>
      </c>
      <c r="C40" s="216"/>
      <c r="D40" s="199"/>
    </row>
    <row r="41" spans="1:14" s="192" customFormat="1" ht="15.6">
      <c r="A41" s="192" t="s">
        <v>84</v>
      </c>
      <c r="B41" s="209">
        <v>0.33</v>
      </c>
      <c r="C41" s="199"/>
      <c r="E41" s="219"/>
      <c r="F41" s="219"/>
      <c r="G41" s="219"/>
    </row>
    <row r="42" spans="1:14" s="219" customFormat="1" ht="15.6">
      <c r="A42" s="192"/>
      <c r="B42" s="220"/>
      <c r="C42" s="215"/>
      <c r="D42" s="199"/>
      <c r="E42" s="192"/>
      <c r="F42" s="192"/>
      <c r="G42" s="192"/>
      <c r="H42" s="192"/>
      <c r="I42" s="192"/>
      <c r="J42" s="192"/>
      <c r="K42" s="192"/>
      <c r="L42" s="192"/>
      <c r="M42" s="192"/>
      <c r="N42" s="192"/>
    </row>
    <row r="43" spans="1:14" s="192" customFormat="1" ht="15.6">
      <c r="A43" s="530" t="s">
        <v>96</v>
      </c>
      <c r="B43" s="530"/>
      <c r="C43" s="221"/>
      <c r="D43" s="199"/>
      <c r="N43" s="219"/>
    </row>
    <row r="44" spans="1:14" s="192" customFormat="1" ht="15.6">
      <c r="A44" s="219" t="s">
        <v>97</v>
      </c>
      <c r="B44" s="219"/>
      <c r="C44" s="222"/>
      <c r="D44" s="199"/>
      <c r="E44" s="219"/>
      <c r="F44" s="219"/>
      <c r="G44" s="219"/>
      <c r="H44" s="219"/>
      <c r="I44" s="219"/>
      <c r="J44" s="219"/>
      <c r="K44" s="219"/>
      <c r="L44" s="219"/>
      <c r="M44" s="219"/>
    </row>
    <row r="45" spans="1:14" s="192" customFormat="1" ht="15.6">
      <c r="A45" s="192" t="s">
        <v>33</v>
      </c>
      <c r="B45" s="397" t="s">
        <v>44</v>
      </c>
      <c r="C45" s="199" t="s">
        <v>47</v>
      </c>
    </row>
    <row r="46" spans="1:14" s="192" customFormat="1" ht="15.6">
      <c r="A46" s="192" t="s">
        <v>35</v>
      </c>
      <c r="B46" s="209">
        <v>0.08</v>
      </c>
      <c r="C46" s="199" t="s">
        <v>623</v>
      </c>
      <c r="N46" s="219"/>
    </row>
    <row r="47" spans="1:14" s="192" customFormat="1" ht="15.6">
      <c r="A47" s="219" t="s">
        <v>98</v>
      </c>
      <c r="B47" s="219"/>
      <c r="C47" s="199"/>
      <c r="D47" s="219"/>
      <c r="H47" s="219"/>
      <c r="I47" s="219"/>
      <c r="J47" s="219"/>
      <c r="K47" s="219"/>
      <c r="L47" s="219"/>
      <c r="M47" s="219"/>
    </row>
    <row r="48" spans="1:14" s="192" customFormat="1" ht="15.6">
      <c r="A48" s="192" t="s">
        <v>33</v>
      </c>
      <c r="B48" s="397" t="s">
        <v>44</v>
      </c>
      <c r="C48" s="199" t="s">
        <v>46</v>
      </c>
    </row>
    <row r="49" spans="1:14" s="192" customFormat="1" ht="15.6">
      <c r="A49" s="192" t="s">
        <v>34</v>
      </c>
      <c r="B49" s="223">
        <v>0.15</v>
      </c>
      <c r="C49" s="199" t="s">
        <v>133</v>
      </c>
    </row>
    <row r="50" spans="1:14" s="192" customFormat="1" ht="15.6">
      <c r="A50" s="219" t="s">
        <v>129</v>
      </c>
      <c r="C50" s="199"/>
    </row>
    <row r="51" spans="1:14" s="192" customFormat="1" ht="15.6">
      <c r="A51" s="192" t="s">
        <v>33</v>
      </c>
      <c r="B51" s="397" t="s">
        <v>44</v>
      </c>
      <c r="C51" s="199" t="s">
        <v>104</v>
      </c>
    </row>
    <row r="52" spans="1:14" s="192" customFormat="1" ht="15.6">
      <c r="A52" s="192" t="s">
        <v>99</v>
      </c>
      <c r="B52" s="223">
        <v>0.12</v>
      </c>
      <c r="C52" s="199" t="s">
        <v>749</v>
      </c>
    </row>
    <row r="53" spans="1:14" s="192" customFormat="1" ht="15.6">
      <c r="A53" s="192" t="s">
        <v>102</v>
      </c>
      <c r="B53" s="223" t="s">
        <v>219</v>
      </c>
      <c r="C53" s="199" t="s">
        <v>93</v>
      </c>
    </row>
    <row r="54" spans="1:14" s="192" customFormat="1" ht="15.6">
      <c r="A54" s="192" t="s">
        <v>220</v>
      </c>
      <c r="B54" s="223">
        <v>0.5</v>
      </c>
      <c r="C54" s="199" t="s">
        <v>103</v>
      </c>
    </row>
    <row r="55" spans="1:14" s="192" customFormat="1" ht="15.6">
      <c r="A55" s="192" t="s">
        <v>837</v>
      </c>
      <c r="B55" s="354"/>
      <c r="C55" s="199"/>
    </row>
    <row r="56" spans="1:14" s="192" customFormat="1" ht="15.6">
      <c r="A56" s="192" t="s">
        <v>838</v>
      </c>
      <c r="B56" s="397" t="s">
        <v>44</v>
      </c>
      <c r="C56" s="199"/>
    </row>
    <row r="57" spans="1:14" s="192" customFormat="1" ht="15.6">
      <c r="A57" s="192" t="s">
        <v>839</v>
      </c>
      <c r="B57" s="355">
        <v>1</v>
      </c>
      <c r="C57" s="199"/>
    </row>
    <row r="58" spans="1:14" s="192" customFormat="1" ht="15.6">
      <c r="A58" s="219" t="s">
        <v>131</v>
      </c>
      <c r="B58" s="224"/>
      <c r="C58" s="199"/>
    </row>
    <row r="59" spans="1:14" s="192" customFormat="1" ht="15.6">
      <c r="A59" s="192" t="s">
        <v>33</v>
      </c>
      <c r="B59" s="200" t="s">
        <v>44</v>
      </c>
      <c r="C59" s="199"/>
    </row>
    <row r="60" spans="1:14" s="192" customFormat="1" ht="15.6">
      <c r="A60" s="219" t="s">
        <v>128</v>
      </c>
      <c r="C60" s="199"/>
    </row>
    <row r="61" spans="1:14" s="192" customFormat="1" ht="15.6">
      <c r="A61" s="192" t="s">
        <v>33</v>
      </c>
      <c r="B61" s="397" t="s">
        <v>44</v>
      </c>
      <c r="C61" s="199" t="s">
        <v>48</v>
      </c>
    </row>
    <row r="62" spans="1:14" s="192" customFormat="1" ht="15.6">
      <c r="A62" s="192" t="s">
        <v>42</v>
      </c>
      <c r="B62" s="217">
        <f>474.8+256.6</f>
        <v>731.40000000000009</v>
      </c>
      <c r="C62" s="199" t="s">
        <v>134</v>
      </c>
    </row>
    <row r="63" spans="1:14" s="192" customFormat="1" ht="15.6">
      <c r="A63" s="192" t="s">
        <v>596</v>
      </c>
      <c r="B63" s="225"/>
      <c r="C63" s="199"/>
    </row>
    <row r="64" spans="1:14" s="219" customFormat="1" ht="15.6">
      <c r="A64" s="192" t="s">
        <v>33</v>
      </c>
      <c r="B64" s="397" t="s">
        <v>44</v>
      </c>
      <c r="C64" s="199" t="s">
        <v>598</v>
      </c>
      <c r="D64" s="192"/>
      <c r="E64" s="192"/>
      <c r="F64" s="192"/>
      <c r="G64" s="192"/>
      <c r="H64" s="192"/>
      <c r="I64" s="192"/>
      <c r="J64" s="192"/>
      <c r="K64" s="192"/>
      <c r="L64" s="192"/>
      <c r="M64" s="192"/>
      <c r="N64" s="192"/>
    </row>
    <row r="65" spans="1:14" s="192" customFormat="1" ht="15.6">
      <c r="A65" s="192" t="s">
        <v>597</v>
      </c>
      <c r="B65" s="226">
        <v>0.03</v>
      </c>
      <c r="C65" s="199" t="s">
        <v>599</v>
      </c>
    </row>
    <row r="66" spans="1:14" s="192" customFormat="1" ht="15.6">
      <c r="A66" s="192" t="s">
        <v>493</v>
      </c>
      <c r="B66" s="218"/>
      <c r="C66" s="199"/>
      <c r="E66" s="219"/>
      <c r="F66" s="219"/>
      <c r="G66" s="219"/>
      <c r="H66" s="219"/>
      <c r="I66" s="219"/>
      <c r="J66" s="219"/>
      <c r="K66" s="219"/>
      <c r="L66" s="219"/>
      <c r="M66" s="219"/>
      <c r="N66" s="219"/>
    </row>
    <row r="67" spans="1:14" s="192" customFormat="1" ht="15.6">
      <c r="A67" s="192" t="s">
        <v>33</v>
      </c>
      <c r="B67" s="397" t="s">
        <v>44</v>
      </c>
      <c r="C67" s="199" t="s">
        <v>600</v>
      </c>
    </row>
    <row r="68" spans="1:14" s="192" customFormat="1" ht="15.6">
      <c r="A68" s="192" t="s">
        <v>494</v>
      </c>
      <c r="B68" s="226">
        <v>-0.05</v>
      </c>
      <c r="C68" s="199" t="s">
        <v>495</v>
      </c>
    </row>
    <row r="69" spans="1:14" s="192" customFormat="1" ht="15.6">
      <c r="A69" s="219" t="s">
        <v>498</v>
      </c>
      <c r="B69" s="219"/>
      <c r="C69" s="219"/>
      <c r="D69" s="219"/>
    </row>
    <row r="70" spans="1:14" s="192" customFormat="1" ht="15.6">
      <c r="A70" s="192" t="s">
        <v>490</v>
      </c>
      <c r="B70" s="397" t="s">
        <v>44</v>
      </c>
    </row>
    <row r="71" spans="1:14" s="192" customFormat="1" ht="15.6">
      <c r="A71" s="192" t="s">
        <v>501</v>
      </c>
      <c r="B71" s="227">
        <v>140000</v>
      </c>
      <c r="C71" s="199" t="s">
        <v>499</v>
      </c>
    </row>
    <row r="72" spans="1:14" s="192" customFormat="1" ht="15.6">
      <c r="A72" s="197" t="s">
        <v>491</v>
      </c>
      <c r="B72" s="223">
        <v>0.15</v>
      </c>
      <c r="C72" s="199" t="s">
        <v>500</v>
      </c>
    </row>
    <row r="73" spans="1:14" ht="15.6">
      <c r="A73" s="77"/>
      <c r="E73" s="192"/>
      <c r="F73" s="192"/>
      <c r="G73" s="192"/>
      <c r="H73" s="192"/>
      <c r="I73" s="192"/>
      <c r="J73" s="192"/>
      <c r="K73" s="192"/>
      <c r="L73" s="192"/>
      <c r="M73" s="192"/>
      <c r="N73" s="192"/>
    </row>
    <row r="74" spans="1:14" ht="15.6">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6" zoomScale="105" zoomScaleNormal="141" workbookViewId="0">
      <selection activeCell="B15" sqref="B15"/>
    </sheetView>
  </sheetViews>
  <sheetFormatPr defaultColWidth="11.375" defaultRowHeight="11.4"/>
  <cols>
    <col min="1" max="1" width="28.25" style="298" customWidth="1"/>
    <col min="2" max="2" width="17.25" style="298" customWidth="1"/>
    <col min="3" max="3" width="11" style="298" bestFit="1" customWidth="1"/>
    <col min="4" max="4" width="13.75" style="298" customWidth="1"/>
    <col min="5" max="5" width="11.125" style="298" bestFit="1" customWidth="1"/>
    <col min="6" max="6" width="12.125" style="298" bestFit="1" customWidth="1"/>
    <col min="7" max="10" width="10.875" style="298"/>
  </cols>
  <sheetData>
    <row r="1" spans="1:10" s="5" customFormat="1" ht="17.399999999999999">
      <c r="A1" s="325" t="s">
        <v>381</v>
      </c>
      <c r="B1" s="325"/>
      <c r="C1" s="325"/>
      <c r="D1" s="325"/>
      <c r="E1" s="325"/>
      <c r="F1" s="325"/>
      <c r="G1" s="325"/>
      <c r="H1" s="325"/>
      <c r="I1" s="325"/>
      <c r="J1" s="325"/>
    </row>
    <row r="2" spans="1:10" s="6" customFormat="1" ht="13.2">
      <c r="A2" s="300" t="s">
        <v>382</v>
      </c>
      <c r="B2" s="300"/>
      <c r="C2" s="300"/>
      <c r="D2" s="300"/>
      <c r="E2" s="300"/>
      <c r="F2" s="300"/>
      <c r="G2" s="300"/>
      <c r="H2" s="300"/>
      <c r="I2" s="300"/>
      <c r="J2" s="300"/>
    </row>
    <row r="3" spans="1:10" s="6" customFormat="1" ht="13.2">
      <c r="A3" s="300" t="s">
        <v>383</v>
      </c>
      <c r="B3" s="300"/>
      <c r="C3" s="300"/>
      <c r="D3" s="300"/>
      <c r="E3" s="300"/>
      <c r="F3" s="300"/>
      <c r="G3" s="300"/>
      <c r="H3" s="300"/>
      <c r="I3" s="300"/>
      <c r="J3" s="300"/>
    </row>
    <row r="4" spans="1:10" s="6" customFormat="1" ht="13.2">
      <c r="A4" s="300"/>
      <c r="B4" s="300"/>
      <c r="C4" s="300"/>
      <c r="D4" s="300"/>
      <c r="E4" s="300"/>
      <c r="F4" s="300"/>
      <c r="G4" s="300"/>
      <c r="H4" s="300"/>
      <c r="I4" s="300"/>
      <c r="J4" s="300"/>
    </row>
    <row r="5" spans="1:10" s="6" customFormat="1" ht="13.2">
      <c r="A5" s="304" t="s">
        <v>4</v>
      </c>
      <c r="B5" s="300"/>
      <c r="C5" s="300"/>
      <c r="D5" s="300"/>
      <c r="E5" s="300"/>
      <c r="F5" s="300"/>
      <c r="G5" s="300"/>
      <c r="H5" s="300"/>
      <c r="I5" s="300"/>
      <c r="J5" s="300"/>
    </row>
    <row r="6" spans="1:10" s="6" customFormat="1" ht="13.2">
      <c r="A6" s="300" t="s">
        <v>384</v>
      </c>
      <c r="B6" s="300"/>
      <c r="C6" s="300"/>
      <c r="D6" s="300"/>
      <c r="E6" s="300"/>
      <c r="F6" s="326">
        <v>5</v>
      </c>
      <c r="G6" s="300" t="s">
        <v>385</v>
      </c>
      <c r="H6" s="300"/>
      <c r="I6" s="300"/>
      <c r="J6" s="300"/>
    </row>
    <row r="7" spans="1:10" s="6" customFormat="1" ht="13.2">
      <c r="A7" s="300" t="s">
        <v>386</v>
      </c>
      <c r="B7" s="300"/>
      <c r="C7" s="300"/>
      <c r="D7" s="300"/>
      <c r="E7" s="300"/>
      <c r="F7" s="327">
        <f>70.63+70.559+68.559+72.704</f>
        <v>282.452</v>
      </c>
      <c r="G7" s="300" t="s">
        <v>387</v>
      </c>
      <c r="H7" s="300"/>
      <c r="I7" s="300"/>
      <c r="J7" s="300"/>
    </row>
    <row r="8" spans="1:10" s="6" customFormat="1" ht="13.2">
      <c r="A8" s="300" t="s">
        <v>388</v>
      </c>
      <c r="B8" s="300"/>
      <c r="C8" s="300"/>
      <c r="D8" s="300"/>
      <c r="E8" s="300"/>
      <c r="F8" s="300"/>
      <c r="G8" s="300"/>
      <c r="H8" s="300"/>
      <c r="I8" s="300"/>
      <c r="J8" s="300"/>
    </row>
    <row r="9" spans="1:10" s="6" customFormat="1" ht="13.2">
      <c r="A9" s="300" t="s">
        <v>389</v>
      </c>
      <c r="B9" s="300"/>
      <c r="C9" s="300"/>
      <c r="D9" s="300"/>
      <c r="E9" s="300"/>
      <c r="F9" s="300"/>
      <c r="G9" s="300"/>
      <c r="H9" s="300"/>
      <c r="I9" s="300"/>
      <c r="J9" s="300"/>
    </row>
    <row r="10" spans="1:10" s="95" customFormat="1" ht="13.2">
      <c r="A10" s="336" t="s">
        <v>108</v>
      </c>
      <c r="B10" s="336" t="s">
        <v>390</v>
      </c>
      <c r="C10" s="329"/>
      <c r="D10" s="329"/>
      <c r="E10" s="329"/>
      <c r="F10" s="329"/>
      <c r="G10" s="329"/>
      <c r="H10" s="329"/>
      <c r="I10" s="329"/>
      <c r="J10" s="330"/>
    </row>
    <row r="11" spans="1:10" s="95" customFormat="1" ht="13.2">
      <c r="A11" s="421">
        <v>-1</v>
      </c>
      <c r="B11" s="422">
        <v>280.79599999999999</v>
      </c>
      <c r="C11" s="329" t="s">
        <v>977</v>
      </c>
      <c r="D11" s="329"/>
      <c r="E11" s="329"/>
      <c r="F11" s="329"/>
      <c r="G11" s="329"/>
      <c r="H11" s="329"/>
      <c r="I11" s="329"/>
      <c r="J11" s="330"/>
    </row>
    <row r="12" spans="1:10" s="95" customFormat="1" ht="13.2">
      <c r="A12" s="421">
        <f>IF((0-A11)&lt;$F$6,IF(A11&gt;-1,,A11-1),)</f>
        <v>-2</v>
      </c>
      <c r="B12" s="422">
        <v>291.84399999999999</v>
      </c>
      <c r="C12" s="329" t="s">
        <v>978</v>
      </c>
      <c r="D12" s="329"/>
      <c r="E12" s="329"/>
      <c r="F12" s="329"/>
      <c r="G12" s="329"/>
      <c r="H12" s="329"/>
      <c r="I12" s="329"/>
      <c r="J12" s="330"/>
    </row>
    <row r="13" spans="1:10" s="95" customFormat="1" ht="13.2">
      <c r="A13" s="421">
        <f t="shared" ref="A13:A20" si="0">IF((0-A12)&lt;$F$6,IF(A12&gt;-1,,A12-1),)</f>
        <v>-3</v>
      </c>
      <c r="B13" s="422">
        <v>226.023</v>
      </c>
      <c r="C13" s="329"/>
      <c r="D13" s="329"/>
      <c r="E13" s="329"/>
      <c r="F13" s="329"/>
      <c r="G13" s="329"/>
      <c r="H13" s="329"/>
      <c r="I13" s="329"/>
      <c r="J13" s="330"/>
    </row>
    <row r="14" spans="1:10" s="95" customFormat="1" ht="13.2">
      <c r="A14" s="421">
        <f t="shared" si="0"/>
        <v>-4</v>
      </c>
      <c r="B14" s="422">
        <v>177.59</v>
      </c>
      <c r="C14" s="329"/>
      <c r="D14" s="329"/>
      <c r="E14" s="329"/>
      <c r="F14" s="329"/>
      <c r="G14" s="329"/>
      <c r="H14" s="329"/>
      <c r="I14" s="329"/>
      <c r="J14" s="330"/>
    </row>
    <row r="15" spans="1:10" s="95" customFormat="1" ht="13.2">
      <c r="A15" s="421">
        <f t="shared" si="0"/>
        <v>-5</v>
      </c>
      <c r="B15" s="422">
        <v>161.22999999999999</v>
      </c>
      <c r="C15" s="329"/>
      <c r="D15" s="329"/>
      <c r="E15" s="329"/>
      <c r="F15" s="329"/>
      <c r="G15" s="329"/>
      <c r="H15" s="329"/>
      <c r="I15" s="329"/>
      <c r="J15" s="330"/>
    </row>
    <row r="16" spans="1:10" s="95" customFormat="1" ht="13.2">
      <c r="A16" s="421">
        <f t="shared" si="0"/>
        <v>0</v>
      </c>
      <c r="B16" s="422"/>
      <c r="C16" s="329"/>
      <c r="D16" s="329"/>
      <c r="E16" s="329"/>
      <c r="F16" s="329"/>
      <c r="G16" s="329"/>
      <c r="H16" s="329"/>
      <c r="I16" s="329"/>
      <c r="J16" s="330"/>
    </row>
    <row r="17" spans="1:10" s="95" customFormat="1" ht="13.2">
      <c r="A17" s="421">
        <f t="shared" si="0"/>
        <v>0</v>
      </c>
      <c r="B17" s="422"/>
      <c r="C17" s="329"/>
      <c r="D17" s="329"/>
      <c r="E17" s="329"/>
      <c r="F17" s="329"/>
      <c r="G17" s="329"/>
      <c r="H17" s="329"/>
      <c r="I17" s="329"/>
      <c r="J17" s="330"/>
    </row>
    <row r="18" spans="1:10" s="95" customFormat="1" ht="13.2">
      <c r="A18" s="421">
        <f t="shared" si="0"/>
        <v>0</v>
      </c>
      <c r="B18" s="422"/>
      <c r="C18" s="329"/>
      <c r="D18" s="329"/>
      <c r="E18" s="329"/>
      <c r="F18" s="329"/>
      <c r="G18" s="329"/>
      <c r="H18" s="329"/>
      <c r="I18" s="329"/>
      <c r="J18" s="330"/>
    </row>
    <row r="19" spans="1:10" s="95" customFormat="1" ht="13.2">
      <c r="A19" s="421">
        <f t="shared" si="0"/>
        <v>0</v>
      </c>
      <c r="B19" s="422"/>
      <c r="C19" s="329"/>
      <c r="D19" s="329"/>
      <c r="E19" s="329"/>
      <c r="F19" s="329"/>
      <c r="G19" s="329"/>
      <c r="H19" s="329"/>
      <c r="I19" s="329"/>
      <c r="J19" s="330"/>
    </row>
    <row r="20" spans="1:10" s="95" customFormat="1" ht="13.2">
      <c r="A20" s="421">
        <f t="shared" si="0"/>
        <v>0</v>
      </c>
      <c r="B20" s="422"/>
      <c r="C20" s="329"/>
      <c r="D20" s="329"/>
      <c r="E20" s="329"/>
      <c r="F20" s="329"/>
      <c r="G20" s="329"/>
      <c r="H20" s="329"/>
      <c r="I20" s="329"/>
      <c r="J20" s="330"/>
    </row>
    <row r="21" spans="1:10" s="95" customFormat="1" ht="13.2">
      <c r="A21" s="329"/>
      <c r="B21" s="329"/>
      <c r="C21" s="329"/>
      <c r="D21" s="329"/>
      <c r="E21" s="329"/>
      <c r="F21" s="329"/>
      <c r="G21" s="329"/>
      <c r="H21" s="329"/>
      <c r="I21" s="329"/>
      <c r="J21" s="330"/>
    </row>
    <row r="22" spans="1:10" s="95" customFormat="1" ht="13.2">
      <c r="A22" s="332" t="s">
        <v>112</v>
      </c>
      <c r="B22" s="329"/>
      <c r="C22" s="329"/>
      <c r="D22" s="329"/>
      <c r="E22" s="329"/>
      <c r="F22" s="329"/>
      <c r="G22" s="329"/>
      <c r="H22" s="329"/>
      <c r="I22" s="329"/>
      <c r="J22" s="330"/>
    </row>
    <row r="23" spans="1:10" s="95" customFormat="1" ht="13.2">
      <c r="A23" s="328" t="s">
        <v>108</v>
      </c>
      <c r="B23" s="328" t="s">
        <v>391</v>
      </c>
      <c r="C23" s="333" t="s">
        <v>392</v>
      </c>
      <c r="D23" s="334"/>
      <c r="E23" s="329" t="s">
        <v>393</v>
      </c>
      <c r="F23" s="329"/>
      <c r="G23" s="329"/>
      <c r="H23" s="329"/>
      <c r="I23" s="329"/>
      <c r="J23" s="330"/>
    </row>
    <row r="24" spans="1:10" s="95" customFormat="1" ht="13.2">
      <c r="A24" s="328" t="s">
        <v>394</v>
      </c>
      <c r="B24" s="328">
        <f>F7</f>
        <v>282.452</v>
      </c>
      <c r="C24" s="328">
        <f>1</f>
        <v>1</v>
      </c>
      <c r="D24" s="328">
        <f>B24*C24</f>
        <v>282.452</v>
      </c>
      <c r="E24" s="329"/>
      <c r="F24" s="329"/>
      <c r="G24" s="329"/>
      <c r="H24" s="329"/>
      <c r="I24" s="329"/>
      <c r="J24" s="330"/>
    </row>
    <row r="25" spans="1:10" s="95" customFormat="1" ht="13.2">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3.2">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3.2">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3.2">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3.2">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3.2">
      <c r="A30" s="331">
        <f t="shared" si="2"/>
        <v>0</v>
      </c>
      <c r="B30" s="328">
        <f t="shared" si="2"/>
        <v>0</v>
      </c>
      <c r="C30" s="328">
        <f t="shared" si="4"/>
        <v>0</v>
      </c>
      <c r="D30" s="328">
        <f t="shared" si="3"/>
        <v>0</v>
      </c>
      <c r="E30" s="335">
        <f t="shared" si="1"/>
        <v>0</v>
      </c>
      <c r="F30" s="329"/>
      <c r="G30" s="329"/>
      <c r="H30" s="329"/>
      <c r="I30" s="329"/>
      <c r="J30" s="330"/>
    </row>
    <row r="31" spans="1:10" s="95" customFormat="1" ht="13.2">
      <c r="A31" s="331">
        <f t="shared" si="2"/>
        <v>0</v>
      </c>
      <c r="B31" s="328">
        <f t="shared" si="2"/>
        <v>0</v>
      </c>
      <c r="C31" s="328">
        <f t="shared" si="4"/>
        <v>0</v>
      </c>
      <c r="D31" s="328">
        <f t="shared" si="3"/>
        <v>0</v>
      </c>
      <c r="E31" s="335">
        <f t="shared" si="1"/>
        <v>0</v>
      </c>
      <c r="F31" s="329"/>
      <c r="G31" s="329"/>
      <c r="H31" s="329"/>
      <c r="I31" s="329"/>
      <c r="J31" s="330"/>
    </row>
    <row r="32" spans="1:10" s="95" customFormat="1" ht="13.2">
      <c r="A32" s="331">
        <f t="shared" si="2"/>
        <v>0</v>
      </c>
      <c r="B32" s="328">
        <f t="shared" si="2"/>
        <v>0</v>
      </c>
      <c r="C32" s="328">
        <f t="shared" si="4"/>
        <v>0</v>
      </c>
      <c r="D32" s="328">
        <f t="shared" si="3"/>
        <v>0</v>
      </c>
      <c r="E32" s="335">
        <f t="shared" si="1"/>
        <v>0</v>
      </c>
      <c r="F32" s="329"/>
      <c r="G32" s="329"/>
      <c r="H32" s="329"/>
      <c r="I32" s="329"/>
      <c r="J32" s="330"/>
    </row>
    <row r="33" spans="1:10" s="95" customFormat="1" ht="13.2">
      <c r="A33" s="331">
        <f t="shared" si="2"/>
        <v>0</v>
      </c>
      <c r="B33" s="328">
        <f t="shared" si="2"/>
        <v>0</v>
      </c>
      <c r="C33" s="328">
        <f t="shared" si="4"/>
        <v>0</v>
      </c>
      <c r="D33" s="328">
        <f t="shared" si="3"/>
        <v>0</v>
      </c>
      <c r="E33" s="335">
        <f t="shared" si="1"/>
        <v>0</v>
      </c>
      <c r="F33" s="329"/>
      <c r="G33" s="329"/>
      <c r="H33" s="329"/>
      <c r="I33" s="329"/>
      <c r="J33" s="330"/>
    </row>
    <row r="34" spans="1:10" s="95" customFormat="1" ht="15.9"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8" thickBot="1">
      <c r="A35" s="300" t="s">
        <v>395</v>
      </c>
      <c r="B35" s="300"/>
      <c r="C35" s="300"/>
      <c r="D35" s="338">
        <f>SUM(D24:D34)</f>
        <v>808.12239999999997</v>
      </c>
      <c r="E35" s="338">
        <f>SUM(E25:E34)</f>
        <v>227.4966</v>
      </c>
      <c r="F35" s="300"/>
      <c r="G35" s="300"/>
      <c r="H35" s="300"/>
      <c r="I35" s="300"/>
      <c r="J35" s="300"/>
    </row>
    <row r="36" spans="1:10" ht="12" thickBot="1">
      <c r="D36" s="339"/>
      <c r="E36" s="339"/>
    </row>
    <row r="37" spans="1:10" s="6" customFormat="1" ht="13.8" thickBot="1">
      <c r="A37" s="300" t="s">
        <v>396</v>
      </c>
      <c r="B37" s="300"/>
      <c r="C37" s="300"/>
      <c r="D37" s="338">
        <f>E35</f>
        <v>227.4966</v>
      </c>
      <c r="E37" s="340"/>
      <c r="F37" s="300"/>
      <c r="G37" s="300"/>
      <c r="H37" s="300"/>
      <c r="I37" s="300"/>
      <c r="J37" s="300"/>
    </row>
    <row r="38" spans="1:10" s="6" customFormat="1" ht="13.8" thickBot="1">
      <c r="A38" s="300"/>
      <c r="B38" s="300"/>
      <c r="C38" s="300"/>
      <c r="D38" s="300"/>
      <c r="E38" s="300"/>
      <c r="F38" s="300"/>
      <c r="G38" s="300"/>
      <c r="H38" s="300"/>
      <c r="I38" s="300"/>
      <c r="J38" s="300"/>
    </row>
    <row r="39" spans="1:10" s="6" customFormat="1" ht="13.2">
      <c r="A39" s="300" t="s">
        <v>397</v>
      </c>
      <c r="B39" s="300"/>
      <c r="C39" s="300"/>
      <c r="D39" s="341">
        <f>F7-D37</f>
        <v>54.955399999999997</v>
      </c>
      <c r="E39" s="300" t="s">
        <v>398</v>
      </c>
      <c r="F39" s="300"/>
      <c r="G39" s="300"/>
      <c r="H39" s="300"/>
      <c r="I39" s="300"/>
      <c r="J39" s="300"/>
    </row>
    <row r="40" spans="1:10" ht="13.2">
      <c r="A40" s="298" t="s">
        <v>399</v>
      </c>
      <c r="D40" s="342">
        <f>D39*'Input sheet'!B24</f>
        <v>13.738849999999999</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375"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2.9" customHeight="1">
      <c r="A3" s="11" t="s">
        <v>4</v>
      </c>
      <c r="H3" s="653" t="s">
        <v>722</v>
      </c>
      <c r="I3" s="654"/>
      <c r="J3" s="654"/>
      <c r="K3" s="654"/>
      <c r="L3" s="655"/>
    </row>
    <row r="4" spans="1:12" s="6" customFormat="1" ht="13.2">
      <c r="A4" s="6" t="s">
        <v>106</v>
      </c>
      <c r="E4" s="19">
        <v>295</v>
      </c>
      <c r="H4" s="656"/>
      <c r="I4" s="657"/>
      <c r="J4" s="657"/>
      <c r="K4" s="657"/>
      <c r="L4" s="658"/>
    </row>
    <row r="5" spans="1:12" s="9" customFormat="1" ht="13.2">
      <c r="A5" s="9" t="s">
        <v>107</v>
      </c>
      <c r="H5" s="656"/>
      <c r="I5" s="657"/>
      <c r="J5" s="657"/>
      <c r="K5" s="657"/>
      <c r="L5" s="658"/>
    </row>
    <row r="6" spans="1:12" s="6" customFormat="1" ht="13.2">
      <c r="A6" s="16" t="s">
        <v>108</v>
      </c>
      <c r="B6" s="16" t="s">
        <v>109</v>
      </c>
      <c r="C6" s="6" t="s">
        <v>110</v>
      </c>
      <c r="H6" s="656"/>
      <c r="I6" s="657"/>
      <c r="J6" s="657"/>
      <c r="K6" s="657"/>
      <c r="L6" s="658"/>
    </row>
    <row r="7" spans="1:12" s="6" customFormat="1" ht="13.2">
      <c r="A7" s="16">
        <v>1</v>
      </c>
      <c r="B7" s="169">
        <v>287</v>
      </c>
      <c r="H7" s="656"/>
      <c r="I7" s="657"/>
      <c r="J7" s="657"/>
      <c r="K7" s="657"/>
      <c r="L7" s="658"/>
    </row>
    <row r="8" spans="1:12" s="6" customFormat="1" ht="13.2">
      <c r="A8" s="16">
        <v>2</v>
      </c>
      <c r="B8" s="169">
        <v>235</v>
      </c>
      <c r="H8" s="656"/>
      <c r="I8" s="657"/>
      <c r="J8" s="657"/>
      <c r="K8" s="657"/>
      <c r="L8" s="658"/>
    </row>
    <row r="9" spans="1:12" s="6" customFormat="1" ht="13.2">
      <c r="A9" s="16">
        <v>3</v>
      </c>
      <c r="B9" s="169">
        <v>194</v>
      </c>
      <c r="H9" s="656"/>
      <c r="I9" s="657"/>
      <c r="J9" s="657"/>
      <c r="K9" s="657"/>
      <c r="L9" s="658"/>
    </row>
    <row r="10" spans="1:12" s="6" customFormat="1" ht="13.2">
      <c r="A10" s="16">
        <v>4</v>
      </c>
      <c r="B10" s="169">
        <v>151</v>
      </c>
      <c r="H10" s="656"/>
      <c r="I10" s="657"/>
      <c r="J10" s="657"/>
      <c r="K10" s="657"/>
      <c r="L10" s="658"/>
    </row>
    <row r="11" spans="1:12" s="6" customFormat="1" ht="13.8" thickBot="1">
      <c r="A11" s="16">
        <v>5</v>
      </c>
      <c r="B11" s="169">
        <v>98</v>
      </c>
      <c r="H11" s="659"/>
      <c r="I11" s="660"/>
      <c r="J11" s="660"/>
      <c r="K11" s="660"/>
      <c r="L11" s="661"/>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5.2260000000000001E-2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272.74627943664115</v>
      </c>
    </row>
    <row r="23" spans="1:7" s="6" customFormat="1" ht="13.2">
      <c r="A23" s="12">
        <f t="shared" ref="A23:B26" si="0">A8</f>
        <v>2</v>
      </c>
      <c r="B23" s="14">
        <f t="shared" si="0"/>
        <v>235</v>
      </c>
      <c r="C23" s="7">
        <f>B23/(1+$C$15)^A23</f>
        <v>212.23731309636668</v>
      </c>
    </row>
    <row r="24" spans="1:7" s="6" customFormat="1" ht="13.2">
      <c r="A24" s="12">
        <f t="shared" si="0"/>
        <v>3</v>
      </c>
      <c r="B24" s="14">
        <f t="shared" si="0"/>
        <v>194</v>
      </c>
      <c r="C24" s="7">
        <f>B24/(1+$C$15)^A24</f>
        <v>166.5070186953032</v>
      </c>
    </row>
    <row r="25" spans="1:7" s="6" customFormat="1" ht="13.2">
      <c r="A25" s="12">
        <f t="shared" si="0"/>
        <v>4</v>
      </c>
      <c r="B25" s="14">
        <f t="shared" si="0"/>
        <v>151</v>
      </c>
      <c r="C25" s="7">
        <f>B25/(1+$C$15)^A25</f>
        <v>123.16425962200348</v>
      </c>
    </row>
    <row r="26" spans="1:7" s="6" customFormat="1" ht="13.2">
      <c r="A26" s="12">
        <f t="shared" si="0"/>
        <v>5</v>
      </c>
      <c r="B26" s="14">
        <f t="shared" si="0"/>
        <v>98</v>
      </c>
      <c r="C26" s="7">
        <f>B26/(1+$C$15)^A26</f>
        <v>75.964514618087492</v>
      </c>
    </row>
    <row r="27" spans="1:7" s="6" customFormat="1" ht="13.8" thickBot="1">
      <c r="A27" s="22" t="str">
        <f>A12</f>
        <v>6 and beyond</v>
      </c>
      <c r="B27" s="23">
        <f>IF(B12&gt;0,IF(D18&gt;0,B12/D18,B12),0)</f>
        <v>201.66666666666666</v>
      </c>
      <c r="C27" s="24">
        <f>IF(D18&gt;0,(B27*(1-(1+C15)^(-D18))/C15)/(1+$C$15)^5,B27/(1+C15)^6)</f>
        <v>423.90595045400494</v>
      </c>
      <c r="D27" s="6" t="s">
        <v>119</v>
      </c>
    </row>
    <row r="28" spans="1:7" s="6" customFormat="1" ht="13.8" thickBot="1">
      <c r="A28" s="18" t="s">
        <v>120</v>
      </c>
      <c r="B28" s="25"/>
      <c r="C28" s="26">
        <f>SUM(C22:C27)</f>
        <v>1274.5253359224071</v>
      </c>
    </row>
    <row r="29" spans="1:7" s="6" customFormat="1" ht="13.2"/>
    <row r="30" spans="1:7" s="6" customFormat="1" ht="13.2">
      <c r="A30" s="9" t="s">
        <v>121</v>
      </c>
    </row>
    <row r="31" spans="1:7" s="6" customFormat="1" ht="13.8" thickBot="1">
      <c r="A31" s="6" t="s">
        <v>122</v>
      </c>
      <c r="F31" s="24">
        <f>C28/(5+D18)</f>
        <v>159.31566699030088</v>
      </c>
      <c r="G31" s="6" t="s">
        <v>123</v>
      </c>
    </row>
    <row r="32" spans="1:7" s="6" customFormat="1" ht="13.8" thickBot="1">
      <c r="A32" s="6" t="s">
        <v>124</v>
      </c>
      <c r="F32" s="39">
        <f>E4-F31</f>
        <v>135.68433300969912</v>
      </c>
      <c r="G32" s="6" t="s">
        <v>126</v>
      </c>
    </row>
    <row r="33" spans="1:7" s="6" customFormat="1" ht="13.8" thickBot="1">
      <c r="A33" s="6" t="s">
        <v>125</v>
      </c>
      <c r="F33" s="27">
        <f>C28</f>
        <v>1274.5253359224071</v>
      </c>
      <c r="G33" s="6" t="s">
        <v>127</v>
      </c>
    </row>
    <row r="34" spans="1:7" ht="13.2">
      <c r="A34" s="6" t="s">
        <v>467</v>
      </c>
      <c r="F34" s="110">
        <f>C28/(5+D18)</f>
        <v>159.31566699030088</v>
      </c>
    </row>
  </sheetData>
  <mergeCells count="1">
    <mergeCell ref="H3:L11"/>
  </mergeCells>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375" defaultRowHeight="11.4"/>
  <cols>
    <col min="1" max="1" width="40.125" bestFit="1" customWidth="1"/>
    <col min="2" max="2" width="17.25" bestFit="1" customWidth="1"/>
    <col min="3" max="3" width="12.875" bestFit="1" customWidth="1"/>
    <col min="4" max="4" width="13.75" customWidth="1"/>
    <col min="5" max="5" width="12" customWidth="1"/>
    <col min="7" max="7" width="19.375" bestFit="1" customWidth="1"/>
    <col min="8" max="8" width="16.25" customWidth="1"/>
    <col min="10" max="10" width="14.75" customWidth="1"/>
    <col min="11" max="11" width="18.125" bestFit="1" customWidth="1"/>
    <col min="12" max="12" width="17.375" customWidth="1"/>
  </cols>
  <sheetData>
    <row r="1" spans="1:17">
      <c r="A1" s="675" t="s">
        <v>585</v>
      </c>
      <c r="B1" s="675"/>
      <c r="C1" s="675"/>
      <c r="D1" s="675"/>
      <c r="E1" s="675"/>
      <c r="F1" s="675"/>
      <c r="G1" s="675"/>
      <c r="H1" s="675"/>
      <c r="I1" s="675"/>
      <c r="J1" s="675"/>
      <c r="K1" s="675"/>
    </row>
    <row r="2" spans="1:17">
      <c r="A2" s="675"/>
      <c r="B2" s="675"/>
      <c r="C2" s="675"/>
      <c r="D2" s="675"/>
      <c r="E2" s="675"/>
      <c r="F2" s="675"/>
      <c r="G2" s="675"/>
      <c r="H2" s="675"/>
      <c r="I2" s="675"/>
      <c r="J2" s="675"/>
      <c r="K2" s="675"/>
    </row>
    <row r="3" spans="1:17" s="59" customFormat="1" ht="18.600000000000001" thickBot="1">
      <c r="A3" s="676" t="s">
        <v>164</v>
      </c>
      <c r="B3" s="676"/>
      <c r="C3" s="676"/>
      <c r="D3" s="676"/>
      <c r="E3" s="676"/>
      <c r="G3" s="72" t="s">
        <v>482</v>
      </c>
    </row>
    <row r="4" spans="1:17" s="8" customFormat="1" ht="15" customHeight="1">
      <c r="A4" s="664" t="s">
        <v>861</v>
      </c>
      <c r="B4" s="665"/>
      <c r="C4" s="665"/>
      <c r="D4" s="665"/>
      <c r="E4" s="666"/>
      <c r="F4" s="59"/>
      <c r="G4" s="83" t="s">
        <v>332</v>
      </c>
      <c r="H4" s="83" t="s">
        <v>5</v>
      </c>
      <c r="I4" s="83" t="s">
        <v>358</v>
      </c>
      <c r="J4" s="83" t="s">
        <v>360</v>
      </c>
      <c r="K4" s="83" t="s">
        <v>359</v>
      </c>
    </row>
    <row r="5" spans="1:17" s="6" customFormat="1" ht="15" customHeight="1">
      <c r="A5" s="667"/>
      <c r="B5" s="668"/>
      <c r="C5" s="668"/>
      <c r="D5" s="668"/>
      <c r="E5" s="669"/>
      <c r="F5" s="59"/>
      <c r="G5" s="81" t="s">
        <v>327</v>
      </c>
      <c r="H5" s="493">
        <f>'Input sheet'!B11*0.35</f>
        <v>1544.2647499999998</v>
      </c>
      <c r="I5" s="66">
        <f>IF(H5=0,0,VLOOKUP(G5,'Country equity risk premiums'!$A$5:$D$195,4))</f>
        <v>4.3299999999999998E-2</v>
      </c>
      <c r="J5" s="66">
        <f t="shared" ref="J5:J12" si="0">IF(H5&gt;0,H5/$H$18,)</f>
        <v>0.35</v>
      </c>
      <c r="K5" s="66">
        <f t="shared" ref="K5:K12" si="1">IF(J5=0,0,I5*J5)</f>
        <v>1.5154999999999998E-2</v>
      </c>
      <c r="M5" s="674" t="s">
        <v>529</v>
      </c>
      <c r="N5" s="674"/>
      <c r="O5" s="674"/>
      <c r="P5" s="674"/>
      <c r="Q5" s="674"/>
    </row>
    <row r="6" spans="1:17" s="6" customFormat="1" ht="15" customHeight="1">
      <c r="A6" s="667"/>
      <c r="B6" s="668"/>
      <c r="C6" s="668"/>
      <c r="D6" s="668"/>
      <c r="E6" s="669"/>
      <c r="F6" s="59"/>
      <c r="G6" s="81" t="s">
        <v>265</v>
      </c>
      <c r="H6" s="493">
        <f>'Input sheet'!B11*0.15</f>
        <v>661.82774999999992</v>
      </c>
      <c r="I6" s="66">
        <f>IF(H6=0,0,VLOOKUP(G6,'Country equity risk premiums'!$A$5:$D$195,4))</f>
        <v>4.3299999999999998E-2</v>
      </c>
      <c r="J6" s="66">
        <f t="shared" si="0"/>
        <v>0.15</v>
      </c>
      <c r="K6" s="66">
        <f t="shared" si="1"/>
        <v>6.4949999999999999E-3</v>
      </c>
      <c r="M6" s="674"/>
      <c r="N6" s="674"/>
      <c r="O6" s="674"/>
      <c r="P6" s="674"/>
      <c r="Q6" s="674"/>
    </row>
    <row r="7" spans="1:17" s="6" customFormat="1" ht="15" customHeight="1">
      <c r="A7" s="667"/>
      <c r="B7" s="668"/>
      <c r="C7" s="668"/>
      <c r="D7" s="668"/>
      <c r="E7" s="669"/>
      <c r="F7" s="59"/>
      <c r="G7" s="81"/>
      <c r="H7" s="81"/>
      <c r="I7" s="66">
        <f>IF(H7=0,0,VLOOKUP(G7,'Country equity risk premiums'!$A$5:$D$195,4))</f>
        <v>0</v>
      </c>
      <c r="J7" s="66">
        <f t="shared" si="0"/>
        <v>0</v>
      </c>
      <c r="K7" s="66">
        <f t="shared" si="1"/>
        <v>0</v>
      </c>
      <c r="M7" s="674"/>
      <c r="N7" s="674"/>
      <c r="O7" s="674"/>
      <c r="P7" s="674"/>
      <c r="Q7" s="674"/>
    </row>
    <row r="8" spans="1:17" s="6" customFormat="1" ht="15" customHeight="1">
      <c r="A8" s="667"/>
      <c r="B8" s="668"/>
      <c r="C8" s="668"/>
      <c r="D8" s="668"/>
      <c r="E8" s="669"/>
      <c r="F8" s="59"/>
      <c r="G8" s="81"/>
      <c r="H8" s="81"/>
      <c r="I8" s="66">
        <f>IF(H8=0,0,VLOOKUP(G8,'Country equity risk premiums'!$A$5:$D$195,4))</f>
        <v>0</v>
      </c>
      <c r="J8" s="66">
        <f t="shared" si="0"/>
        <v>0</v>
      </c>
      <c r="K8" s="66">
        <f t="shared" si="1"/>
        <v>0</v>
      </c>
      <c r="M8" s="674"/>
      <c r="N8" s="674"/>
      <c r="O8" s="674"/>
      <c r="P8" s="674"/>
      <c r="Q8" s="674"/>
    </row>
    <row r="9" spans="1:17" s="6" customFormat="1" ht="15" customHeight="1" thickBot="1">
      <c r="A9" s="670"/>
      <c r="B9" s="671"/>
      <c r="C9" s="671"/>
      <c r="D9" s="671"/>
      <c r="E9" s="672"/>
      <c r="F9" s="59"/>
      <c r="G9" s="81"/>
      <c r="H9" s="81"/>
      <c r="I9" s="66">
        <f>IF(H9=0,0,VLOOKUP(G9,'Country equity risk premiums'!$A$5:$D$195,4))</f>
        <v>0</v>
      </c>
      <c r="J9" s="66">
        <f t="shared" si="0"/>
        <v>0</v>
      </c>
      <c r="K9" s="66">
        <f t="shared" si="1"/>
        <v>0</v>
      </c>
      <c r="M9" s="674"/>
      <c r="N9" s="674"/>
      <c r="O9" s="674"/>
      <c r="P9" s="674"/>
      <c r="Q9" s="674"/>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74"/>
      <c r="N10" s="674"/>
      <c r="O10" s="674"/>
      <c r="P10" s="674"/>
      <c r="Q10" s="674"/>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74"/>
      <c r="N11" s="674"/>
      <c r="O11" s="674"/>
      <c r="P11" s="674"/>
      <c r="Q11" s="674"/>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74"/>
      <c r="N12" s="674"/>
      <c r="O12" s="674"/>
      <c r="P12" s="674"/>
      <c r="Q12" s="674"/>
    </row>
    <row r="13" spans="1:17" s="6" customFormat="1" ht="15" customHeight="1">
      <c r="A13" s="185" t="s">
        <v>735</v>
      </c>
      <c r="B13" s="188">
        <f>IF(B11="I will input",B12,IF(B11="Detailed",E62,IF(B11="Industry Average",B67,B72)))</f>
        <v>9.4969838568748674E-2</v>
      </c>
      <c r="C13" s="185"/>
      <c r="D13" s="185"/>
      <c r="E13" s="185"/>
      <c r="F13" s="59"/>
      <c r="G13" s="81"/>
      <c r="H13" s="81"/>
      <c r="I13" s="66">
        <f>IF(H13=0,0,VLOOKUP(G13,'Country equity risk premiums'!$A$5:$D$195,4))</f>
        <v>0</v>
      </c>
      <c r="J13" s="66">
        <f>IF(H13&gt;0,H13/$H$18,)</f>
        <v>0</v>
      </c>
      <c r="K13" s="66">
        <f>IF(J13=0,0,I13*J13)</f>
        <v>0</v>
      </c>
      <c r="M13" s="674"/>
      <c r="N13" s="674"/>
      <c r="O13" s="674"/>
      <c r="P13" s="674"/>
      <c r="Q13" s="674"/>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74"/>
      <c r="N14" s="674"/>
      <c r="O14" s="674"/>
      <c r="P14" s="674"/>
      <c r="Q14" s="674"/>
    </row>
    <row r="15" spans="1:17" s="6" customFormat="1" ht="15" customHeight="1" thickBot="1">
      <c r="A15" s="677" t="s">
        <v>724</v>
      </c>
      <c r="B15" s="678"/>
      <c r="C15" s="678"/>
      <c r="D15" s="678"/>
      <c r="E15" s="678"/>
      <c r="F15" s="679"/>
      <c r="G15" s="81"/>
      <c r="H15" s="81"/>
      <c r="I15" s="66">
        <f>IF(H15=0,0,VLOOKUP(G15,'Country equity risk premiums'!$A$5:$D$195,4))</f>
        <v>0</v>
      </c>
      <c r="J15" s="66">
        <f>IF(H15&gt;0,H15/$H$18,)</f>
        <v>0</v>
      </c>
      <c r="K15" s="66">
        <f>IF(J15=0,0,I15*J15)</f>
        <v>0</v>
      </c>
      <c r="M15" s="674"/>
      <c r="N15" s="674"/>
      <c r="O15" s="674"/>
      <c r="P15" s="674"/>
      <c r="Q15" s="674"/>
    </row>
    <row r="16" spans="1:17" s="6" customFormat="1" ht="15" customHeight="1">
      <c r="A16" s="8" t="s">
        <v>4</v>
      </c>
      <c r="B16" s="177"/>
      <c r="C16" s="107"/>
      <c r="D16" s="8"/>
      <c r="E16" s="8"/>
      <c r="F16" s="8"/>
      <c r="G16" s="139" t="s">
        <v>588</v>
      </c>
      <c r="H16" s="493">
        <f>0.5*'Input sheet'!B11</f>
        <v>2206.0924999999997</v>
      </c>
      <c r="I16" s="145">
        <v>6.4100000000000004E-2</v>
      </c>
      <c r="J16" s="66">
        <f>IF(H16&gt;0,H16/$H$18,)</f>
        <v>0.5</v>
      </c>
      <c r="K16" s="66">
        <f>IF(J16=0,0,I16*J16)</f>
        <v>3.2050000000000002E-2</v>
      </c>
      <c r="M16" s="674"/>
      <c r="N16" s="674"/>
      <c r="O16" s="674"/>
      <c r="P16" s="674"/>
      <c r="Q16" s="674"/>
    </row>
    <row r="17" spans="1:17" s="6" customFormat="1" ht="15" customHeight="1">
      <c r="A17" s="11" t="s">
        <v>165</v>
      </c>
      <c r="B17" s="178"/>
      <c r="G17" s="139"/>
      <c r="H17" s="81"/>
      <c r="I17" s="139"/>
      <c r="J17" s="66">
        <f>IF(H17&gt;0,H17/$H$18,)</f>
        <v>0</v>
      </c>
      <c r="K17" s="66">
        <f>IF(J17=0,0,I17*J17)</f>
        <v>0</v>
      </c>
      <c r="M17" s="674"/>
      <c r="N17" s="674"/>
      <c r="O17" s="674"/>
      <c r="P17" s="674"/>
      <c r="Q17" s="674"/>
    </row>
    <row r="18" spans="1:17" s="6" customFormat="1" ht="15" customHeight="1">
      <c r="A18" s="6" t="s">
        <v>166</v>
      </c>
      <c r="B18" s="63">
        <f>'Input sheet'!B21</f>
        <v>154.97800000000001</v>
      </c>
      <c r="G18" s="82" t="s">
        <v>361</v>
      </c>
      <c r="H18" s="82">
        <f>SUM(H5:H17)</f>
        <v>4412.1849999999995</v>
      </c>
      <c r="I18" s="82"/>
      <c r="J18" s="66">
        <f>SUM(J5:J17)</f>
        <v>1</v>
      </c>
      <c r="K18" s="66">
        <f>SUM(K5:K17)</f>
        <v>5.3699999999999998E-2</v>
      </c>
      <c r="M18" s="674"/>
      <c r="N18" s="674"/>
      <c r="O18" s="674"/>
      <c r="P18" s="674"/>
      <c r="Q18" s="674"/>
    </row>
    <row r="19" spans="1:17" s="6" customFormat="1" ht="15" customHeight="1">
      <c r="A19" s="6" t="s">
        <v>167</v>
      </c>
      <c r="B19" s="64">
        <f>'Input sheet'!B22</f>
        <v>84.5</v>
      </c>
      <c r="G19" s="72" t="s">
        <v>420</v>
      </c>
      <c r="M19" s="674"/>
      <c r="N19" s="674"/>
      <c r="O19" s="674"/>
      <c r="P19" s="674"/>
      <c r="Q19" s="674"/>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77.89500000000001</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3.2">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73" t="s">
        <v>746</v>
      </c>
      <c r="N44" s="673"/>
      <c r="O44" s="673"/>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73"/>
      <c r="N45" s="673"/>
      <c r="O45" s="673"/>
    </row>
    <row r="46" spans="1:15" ht="13.2">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73"/>
      <c r="N46" s="673"/>
      <c r="O46" s="673"/>
    </row>
    <row r="47" spans="1:15" ht="13.2">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73"/>
      <c r="N47" s="673"/>
      <c r="O47" s="673"/>
    </row>
    <row r="48" spans="1:15" ht="13.2">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73"/>
      <c r="N48" s="673"/>
      <c r="O48" s="673"/>
    </row>
    <row r="49" spans="1:15" ht="13.2">
      <c r="A49" s="6" t="s">
        <v>181</v>
      </c>
      <c r="B49" s="60">
        <v>70</v>
      </c>
      <c r="C49" s="6"/>
      <c r="D49" s="6"/>
      <c r="E49" s="6"/>
      <c r="F49" s="6"/>
    </row>
    <row r="50" spans="1:15" ht="18">
      <c r="A50" s="6" t="s">
        <v>182</v>
      </c>
      <c r="B50" s="60">
        <v>5</v>
      </c>
      <c r="C50" s="6"/>
      <c r="D50" s="6"/>
      <c r="E50" s="6"/>
      <c r="F50" s="6"/>
      <c r="G50" s="109"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3.2">
      <c r="A53" s="12" t="s">
        <v>183</v>
      </c>
      <c r="B53" s="12"/>
      <c r="C53" s="65">
        <f>B31*(1-(1+B37)^(-B32))/B37+B30/(1+B37)^B32</f>
        <v>60.380161899754349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3.2">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3.2">
      <c r="A60" s="12" t="s">
        <v>189</v>
      </c>
      <c r="B60" s="65">
        <f>B18*B19</f>
        <v>13095.641000000001</v>
      </c>
      <c r="C60" s="168">
        <f>C53+C54+C55</f>
        <v>60.380161899754349</v>
      </c>
      <c r="D60" s="65">
        <f>B48*B49</f>
        <v>0</v>
      </c>
      <c r="E60" s="168">
        <f>SUM(B60:D60)</f>
        <v>13156.021161899756</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73" t="s">
        <v>860</v>
      </c>
      <c r="N60" s="673"/>
      <c r="O60" s="673"/>
    </row>
    <row r="61" spans="1:15" ht="13.8" thickBot="1">
      <c r="A61" s="12" t="s">
        <v>190</v>
      </c>
      <c r="B61" s="66">
        <f>B60/$E$60</f>
        <v>0.99541045418240759</v>
      </c>
      <c r="C61" s="66">
        <f>C60/$E$60</f>
        <v>4.5895458175924161E-3</v>
      </c>
      <c r="D61" s="66">
        <f>D60/$E$60</f>
        <v>0</v>
      </c>
      <c r="E61" s="67">
        <f>SUM(B61:D61)</f>
        <v>1</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73"/>
      <c r="N61" s="673"/>
      <c r="O61" s="673"/>
    </row>
    <row r="62" spans="1:15" ht="13.8" thickBot="1">
      <c r="A62" s="12" t="s">
        <v>191</v>
      </c>
      <c r="B62" s="68">
        <f>B24+C57*B27</f>
        <v>9.5227000000000006E-2</v>
      </c>
      <c r="C62" s="66">
        <f>B37*(1-B38)</f>
        <v>3.9195000000000001E-2</v>
      </c>
      <c r="D62" s="69">
        <f>B50/B49</f>
        <v>7.1428571428571425E-2</v>
      </c>
      <c r="E62" s="70">
        <f>B61*B62+C61*C62+D61*D62</f>
        <v>9.4969838568748674E-2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73"/>
      <c r="N62" s="673"/>
      <c r="O62" s="673"/>
    </row>
    <row r="63" spans="1:15" ht="13.2">
      <c r="G63" s="81"/>
      <c r="H63" s="86"/>
      <c r="I63" s="87">
        <f>IF(G63=0,,VLOOKUP(G63,'Industry Average Beta (Global)'!$A$2:$O$95,15))</f>
        <v>0</v>
      </c>
      <c r="J63" s="88">
        <f t="shared" si="5"/>
        <v>0</v>
      </c>
      <c r="K63" s="87">
        <f>IF(G63=0,,VLOOKUP(G63,'Industry Average Beta (Global)'!$A$2:$O$95,7))</f>
        <v>0</v>
      </c>
      <c r="L63" s="181">
        <f>IF(I63=0,0,VLOOKUP(G63,'Industry Average Beta (Global)'!$A$2:$M$95,13))</f>
        <v>0</v>
      </c>
      <c r="M63" s="673"/>
      <c r="N63" s="673"/>
      <c r="O63" s="673"/>
    </row>
    <row r="64" spans="1:15" ht="13.8"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73"/>
      <c r="N64" s="673"/>
      <c r="O64" s="673"/>
    </row>
    <row r="65" spans="1:6" ht="16.2" thickBot="1">
      <c r="A65" s="680" t="s">
        <v>725</v>
      </c>
      <c r="B65" s="681"/>
      <c r="C65" s="681"/>
      <c r="D65" s="681"/>
      <c r="E65" s="681"/>
      <c r="F65" s="682"/>
    </row>
    <row r="66" spans="1:6" ht="13.8" thickBot="1">
      <c r="A66" s="6" t="s">
        <v>726</v>
      </c>
      <c r="B66" s="183" t="s">
        <v>454</v>
      </c>
    </row>
    <row r="67" spans="1:6" ht="12"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 thickBot="1"/>
    <row r="69" spans="1:6" ht="16.2" thickBot="1">
      <c r="A69" s="680" t="s">
        <v>728</v>
      </c>
      <c r="B69" s="683"/>
      <c r="C69" s="681"/>
      <c r="D69" s="681"/>
      <c r="E69" s="681"/>
      <c r="F69" s="682"/>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62" t="s">
        <v>740</v>
      </c>
      <c r="B80" s="663"/>
      <c r="C80" s="663"/>
      <c r="D80" s="663"/>
      <c r="E80" s="663"/>
      <c r="F80" s="663"/>
    </row>
    <row r="81" spans="1:6">
      <c r="A81" s="663"/>
      <c r="B81" s="663"/>
      <c r="C81" s="663"/>
      <c r="D81" s="663"/>
      <c r="E81" s="663"/>
      <c r="F81" s="663"/>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375" defaultRowHeight="11.4"/>
  <sheetData>
    <row r="1" spans="1:11" s="232" customFormat="1" ht="22.8">
      <c r="A1" s="232" t="s">
        <v>750</v>
      </c>
    </row>
    <row r="2" spans="1:11" s="230" customFormat="1" ht="17.399999999999999">
      <c r="A2" s="230" t="s">
        <v>751</v>
      </c>
    </row>
    <row r="3" spans="1:11" ht="12" thickBot="1"/>
    <row r="4" spans="1:11" ht="13.8" thickBot="1">
      <c r="A4" s="684" t="s">
        <v>620</v>
      </c>
      <c r="B4" s="685"/>
      <c r="C4" s="685"/>
      <c r="D4" s="685"/>
      <c r="E4" s="685"/>
      <c r="F4" s="685"/>
      <c r="G4" s="685"/>
      <c r="H4" s="685"/>
      <c r="I4" s="685"/>
      <c r="J4" s="685"/>
      <c r="K4" s="686"/>
    </row>
    <row r="5" spans="1:11" ht="15.6">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7.399999999999999">
      <c r="A16" s="230" t="s">
        <v>763</v>
      </c>
    </row>
    <row r="17" spans="1:24">
      <c r="O17" s="690" t="s">
        <v>769</v>
      </c>
      <c r="P17" s="690"/>
      <c r="Q17" s="690"/>
      <c r="R17" s="690"/>
      <c r="S17" s="690"/>
      <c r="T17" s="690"/>
      <c r="U17" s="690"/>
      <c r="V17" s="690"/>
      <c r="W17" s="690"/>
      <c r="X17" s="690"/>
    </row>
    <row r="18" spans="1:24" ht="15.6">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 customHeight="1">
      <c r="A19" s="687"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6">
      <c r="A20" s="688"/>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6">
      <c r="A21" s="688"/>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6">
      <c r="A22" s="688"/>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6">
      <c r="A23" s="688"/>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6">
      <c r="A24" s="688"/>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6">
      <c r="A25" s="688"/>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6">
      <c r="A26" s="688"/>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6">
      <c r="A27" s="688"/>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6">
      <c r="A28" s="689"/>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6">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6">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6">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0"/>
  <sheetViews>
    <sheetView topLeftCell="A153" workbookViewId="0">
      <selection activeCell="J208" sqref="J208"/>
    </sheetView>
  </sheetViews>
  <sheetFormatPr defaultColWidth="11.375" defaultRowHeight="15.6"/>
  <cols>
    <col min="1" max="1" width="27.375" bestFit="1" customWidth="1"/>
    <col min="2" max="2" width="15" bestFit="1" customWidth="1"/>
    <col min="3" max="3" width="18.375" bestFit="1" customWidth="1"/>
    <col min="4" max="4" width="21" bestFit="1" customWidth="1"/>
    <col min="5" max="5" width="20" bestFit="1" customWidth="1"/>
    <col min="6" max="6" width="17.75" bestFit="1" customWidth="1"/>
    <col min="7" max="7" width="13.75" style="483" bestFit="1" customWidth="1"/>
    <col min="8" max="8" width="13.125" bestFit="1" customWidth="1"/>
  </cols>
  <sheetData>
    <row r="1" spans="1:7">
      <c r="A1" t="s">
        <v>584</v>
      </c>
      <c r="B1" s="145">
        <v>4.3299999999999998E-2</v>
      </c>
      <c r="C1" t="s">
        <v>984</v>
      </c>
    </row>
    <row r="2" spans="1:7" s="10" customFormat="1">
      <c r="A2" s="170" t="s">
        <v>628</v>
      </c>
      <c r="B2" s="170"/>
      <c r="C2" s="170"/>
      <c r="D2" s="170"/>
      <c r="E2" s="170"/>
      <c r="F2" s="170"/>
      <c r="G2" s="484"/>
    </row>
    <row r="4" spans="1:7" ht="31.2">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10">
      <c r="A193" s="382" t="s">
        <v>891</v>
      </c>
      <c r="B193" s="118" t="s">
        <v>636</v>
      </c>
      <c r="C193" s="117">
        <v>0.10896601681957191</v>
      </c>
      <c r="D193" s="117">
        <f t="shared" si="2"/>
        <v>0.18958029460560966</v>
      </c>
      <c r="E193" s="117">
        <v>0.14628029460560965</v>
      </c>
      <c r="F193" s="117">
        <v>0.2</v>
      </c>
      <c r="G193" s="485">
        <v>21610</v>
      </c>
    </row>
    <row r="194" spans="1:10">
      <c r="A194" s="381" t="s">
        <v>331</v>
      </c>
      <c r="B194" s="118" t="s">
        <v>605</v>
      </c>
      <c r="C194" s="117">
        <v>0.10896601681957188</v>
      </c>
      <c r="D194" s="117">
        <f t="shared" si="2"/>
        <v>0.18958029460560966</v>
      </c>
      <c r="E194" s="117">
        <v>0.14628029460560965</v>
      </c>
      <c r="F194" s="117">
        <v>0.35</v>
      </c>
      <c r="G194" s="485">
        <v>29163.782138341488</v>
      </c>
    </row>
    <row r="195" spans="1:10">
      <c r="A195" s="383" t="s">
        <v>583</v>
      </c>
      <c r="B195" s="118" t="s">
        <v>636</v>
      </c>
      <c r="C195" s="117">
        <v>9.8082219604926024E-2</v>
      </c>
      <c r="D195" s="117">
        <f t="shared" si="2"/>
        <v>0.17496945436885658</v>
      </c>
      <c r="E195" s="117">
        <v>0.13166945436885658</v>
      </c>
      <c r="F195" s="117">
        <v>0.25</v>
      </c>
      <c r="G195" s="485">
        <v>27366.627153085246</v>
      </c>
    </row>
    <row r="200" spans="1:10">
      <c r="A200" s="486" t="s">
        <v>335</v>
      </c>
      <c r="B200" s="487" t="s">
        <v>358</v>
      </c>
      <c r="C200" s="487" t="s">
        <v>900</v>
      </c>
      <c r="D200" s="487" t="s">
        <v>637</v>
      </c>
      <c r="E200" s="487" t="s">
        <v>901</v>
      </c>
      <c r="F200" s="80" t="s">
        <v>985</v>
      </c>
    </row>
    <row r="201" spans="1:10">
      <c r="A201" s="1" t="s">
        <v>338</v>
      </c>
      <c r="B201" s="481">
        <f>$B$1+E201</f>
        <v>0.13493852306889545</v>
      </c>
      <c r="C201" s="481">
        <v>6.8262679351091926E-2</v>
      </c>
      <c r="D201" s="481">
        <v>0.27302836489005694</v>
      </c>
      <c r="E201" s="481">
        <v>9.1638523068895444E-2</v>
      </c>
      <c r="F201" s="488">
        <v>2508220.6789325164</v>
      </c>
    </row>
    <row r="202" spans="1:10">
      <c r="A202" s="1" t="s">
        <v>404</v>
      </c>
      <c r="B202" s="481">
        <f t="shared" ref="B202:B210" si="3">$B$1+E202</f>
        <v>6.0105405008578569E-2</v>
      </c>
      <c r="C202" s="481">
        <v>1.2518555898193178E-2</v>
      </c>
      <c r="D202" s="481">
        <v>0.2576437502455447</v>
      </c>
      <c r="E202" s="481">
        <v>1.6805405008578567E-2</v>
      </c>
      <c r="F202" s="488">
        <v>32948678.067337982</v>
      </c>
    </row>
    <row r="203" spans="1:10">
      <c r="A203" s="1" t="s">
        <v>340</v>
      </c>
      <c r="B203" s="481">
        <f t="shared" si="3"/>
        <v>4.3347923618641933E-2</v>
      </c>
      <c r="C203" s="481">
        <v>3.5698901544265913E-5</v>
      </c>
      <c r="D203" s="481">
        <v>0.29744361328762281</v>
      </c>
      <c r="E203" s="481">
        <v>4.7923618641935289E-5</v>
      </c>
      <c r="F203" s="488">
        <v>1942472.3523971008</v>
      </c>
    </row>
    <row r="204" spans="1:10">
      <c r="A204" s="1" t="s">
        <v>342</v>
      </c>
      <c r="B204" s="481">
        <f t="shared" si="3"/>
        <v>0.18483488197001549</v>
      </c>
      <c r="C204" s="481">
        <v>0.1054310997313879</v>
      </c>
      <c r="D204" s="481">
        <v>0.2724561140242252</v>
      </c>
      <c r="E204" s="481">
        <v>0.14153488197001549</v>
      </c>
      <c r="F204" s="488">
        <v>869389.47891538299</v>
      </c>
    </row>
    <row r="205" spans="1:10">
      <c r="A205" s="1" t="s">
        <v>339</v>
      </c>
      <c r="B205" s="481">
        <f t="shared" si="3"/>
        <v>0.10091091058162495</v>
      </c>
      <c r="C205" s="481">
        <v>4.2915086193622262E-2</v>
      </c>
      <c r="D205" s="481">
        <v>0.31595749426030023</v>
      </c>
      <c r="E205" s="481">
        <v>5.7610910581624951E-2</v>
      </c>
      <c r="F205" s="488">
        <v>5601817.8332648547</v>
      </c>
    </row>
    <row r="206" spans="1:10">
      <c r="A206" s="1" t="s">
        <v>337</v>
      </c>
      <c r="B206" s="481">
        <f t="shared" si="3"/>
        <v>9.3879383477192269E-2</v>
      </c>
      <c r="C206" s="481">
        <v>3.7670398345457844E-2</v>
      </c>
      <c r="D206" s="481">
        <v>0.18485819102180306</v>
      </c>
      <c r="E206" s="481">
        <v>5.0579383477192263E-2</v>
      </c>
      <c r="F206" s="488">
        <v>5010073.2660032045</v>
      </c>
      <c r="H206">
        <f>282970</f>
        <v>282970</v>
      </c>
      <c r="I206">
        <f>H206/H208</f>
        <v>0.61047803556249758</v>
      </c>
      <c r="J206">
        <f>I206*0.085</f>
        <v>5.1890633022812299E-2</v>
      </c>
    </row>
    <row r="207" spans="1:10">
      <c r="A207" s="1" t="s">
        <v>343</v>
      </c>
      <c r="B207" s="481">
        <f t="shared" si="3"/>
        <v>6.4889990892489854E-2</v>
      </c>
      <c r="C207" s="481">
        <v>1.6082653627874467E-2</v>
      </c>
      <c r="D207" s="481">
        <v>0.18760152153615242</v>
      </c>
      <c r="E207" s="481">
        <v>2.1589990892489853E-2</v>
      </c>
      <c r="F207" s="488">
        <v>3382577.6565681733</v>
      </c>
      <c r="H207" s="494">
        <v>180552</v>
      </c>
      <c r="I207">
        <f>H207/H208</f>
        <v>0.38952196443750242</v>
      </c>
      <c r="J207">
        <f>I207*0.25</f>
        <v>9.7380491109375605E-2</v>
      </c>
    </row>
    <row r="208" spans="1:10">
      <c r="A208" s="1" t="s">
        <v>345</v>
      </c>
      <c r="B208" s="481">
        <f t="shared" si="3"/>
        <v>4.3299999999999998E-2</v>
      </c>
      <c r="C208" s="481">
        <v>0</v>
      </c>
      <c r="D208" s="481">
        <v>0.25116286561170831</v>
      </c>
      <c r="E208" s="481">
        <v>0</v>
      </c>
      <c r="F208" s="488">
        <v>27577639.220074911</v>
      </c>
      <c r="H208">
        <f>SUM(H206:H207)</f>
        <v>463522</v>
      </c>
      <c r="J208">
        <f>SUM(J206:J207)</f>
        <v>0.1492711241321879</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T32" sqref="T32"/>
    </sheetView>
  </sheetViews>
  <sheetFormatPr defaultColWidth="11.375" defaultRowHeight="11.4"/>
  <cols>
    <col min="1" max="1" width="23.125" customWidth="1"/>
    <col min="2" max="23" width="10.75" style="92" customWidth="1"/>
  </cols>
  <sheetData>
    <row r="1" spans="1:27" s="171"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3.2">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3.2">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3.2">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3.2">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3.2">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3.2">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3.2">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3.2">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3.2">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3.2">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3.2">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3.2">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3.2">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3.2">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3.2">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3.2">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3.2">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3.2">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3.2">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3.2">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3.2">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3.2">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3.2">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3.2">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3.2">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3.2">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3.2">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3.2">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3.2">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3.2">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3.2">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3.2">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3.2">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3.2">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3.2">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3.2">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3.2">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3.2">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3.2">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3.2">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3.2">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3.2">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3.2">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3.2">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3.2">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3.2">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3.2">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3.2">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3.2">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3.2">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3.2">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3.2">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3.2">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3.2">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3.2">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3.2">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3.2">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3.2">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3.2">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3.2">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3.2">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3.2">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3.2">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3.2">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3.2">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3.2">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3.2">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3.2">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3.2">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3.2">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3.2">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3.2">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3.2">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3.2">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3.2">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3.2">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3.2">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3.2">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3.2">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3.2">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3.2">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3.2">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3.2">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3.2">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3.2">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3.2">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3.2">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3.2">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3.2">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3.2">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3.2">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3.2">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3.2">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3.2">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3.2">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3.2">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6"/>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E24" sqref="E24"/>
    </sheetView>
  </sheetViews>
  <sheetFormatPr defaultColWidth="11.375" defaultRowHeight="11.4"/>
  <cols>
    <col min="1" max="1" width="23.125" customWidth="1"/>
    <col min="2" max="23" width="10.75" style="92" customWidth="1"/>
  </cols>
  <sheetData>
    <row r="1" spans="1:27" s="172"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3.2">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3.2">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3.2">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3.2">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3.2">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3.2">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3.2">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3.2">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3.2">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3.2">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3.2">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3.2">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3.2">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3.2">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3.2">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3.2">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3.2">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3.2">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3.2">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3.2">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3.2">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3.2">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3.2">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3.2">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3.2">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3.2">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3.2">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3.2">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3.2">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3.2">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3.2">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3.2">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3.2">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3.2">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3.2">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3.2">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3.2">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3.2">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3.2">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3.2">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3.2">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3.2">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3.2">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3.2">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3.2">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3.2">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3.2">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3.2">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3.2">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3.2">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3.2">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3.2">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3.2">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3.2">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3.2">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3.2">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3.2">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3.2">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3.2">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3.2">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3.2">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3.2">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3.2">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3.2">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3.2">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3.2">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3.2">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3.2">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3.2">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3.2">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3.2">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3.2">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3.2">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3.2">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3.2">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3.2">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3.2">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3.2">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3.2">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3.2">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3.2">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3.2">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3.2">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3.2">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3.2">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3.2">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3.2">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3.2">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3.2">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3.2">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3.2">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3.2">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3.2">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3.2">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3.2">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3.2">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375" defaultRowHeight="11.4"/>
  <cols>
    <col min="1" max="1" width="41" customWidth="1"/>
    <col min="3" max="18" width="14.875" customWidth="1"/>
  </cols>
  <sheetData>
    <row r="1" spans="1:20" s="2" customFormat="1" ht="15.6">
      <c r="A1" s="347"/>
      <c r="B1" s="151"/>
      <c r="C1" s="691" t="s">
        <v>821</v>
      </c>
      <c r="D1" s="691"/>
      <c r="E1" s="691"/>
      <c r="F1" s="691" t="s">
        <v>822</v>
      </c>
      <c r="G1" s="691"/>
      <c r="H1" s="691"/>
      <c r="I1" s="692" t="s">
        <v>823</v>
      </c>
      <c r="J1" s="692"/>
      <c r="K1" s="692"/>
      <c r="L1" s="691" t="s">
        <v>534</v>
      </c>
      <c r="M1" s="691"/>
      <c r="N1" s="691"/>
      <c r="O1" s="151" t="s">
        <v>447</v>
      </c>
      <c r="P1" s="691" t="s">
        <v>824</v>
      </c>
      <c r="Q1" s="691"/>
      <c r="R1" s="691"/>
    </row>
    <row r="2" spans="1:20" ht="31.2">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375"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94" t="s">
        <v>899</v>
      </c>
      <c r="B1" s="695"/>
      <c r="C1" s="695"/>
      <c r="D1" s="695"/>
      <c r="E1" s="695"/>
      <c r="F1" s="696"/>
    </row>
    <row r="2" spans="1:6">
      <c r="A2" s="697"/>
      <c r="B2" s="698"/>
      <c r="C2" s="698"/>
      <c r="D2" s="698"/>
      <c r="E2" s="698"/>
      <c r="F2" s="699"/>
    </row>
    <row r="3" spans="1:6">
      <c r="A3" s="697"/>
      <c r="B3" s="698"/>
      <c r="C3" s="698"/>
      <c r="D3" s="698"/>
      <c r="E3" s="698"/>
      <c r="F3" s="699"/>
    </row>
    <row r="4" spans="1:6" ht="12" thickBot="1">
      <c r="A4" s="700"/>
      <c r="B4" s="701"/>
      <c r="C4" s="701"/>
      <c r="D4" s="701"/>
      <c r="E4" s="701"/>
      <c r="F4" s="702"/>
    </row>
    <row r="6" spans="1:6">
      <c r="B6" s="80" t="s">
        <v>898</v>
      </c>
      <c r="C6" s="80" t="s">
        <v>401</v>
      </c>
      <c r="D6" s="80" t="s">
        <v>402</v>
      </c>
      <c r="E6" s="80" t="s">
        <v>373</v>
      </c>
    </row>
    <row r="7" spans="1:6" ht="12.6">
      <c r="A7" s="36" t="s">
        <v>5</v>
      </c>
      <c r="B7" s="96">
        <v>15794.34</v>
      </c>
      <c r="C7" s="96">
        <v>7608.13</v>
      </c>
      <c r="D7" s="96">
        <v>9444.11</v>
      </c>
      <c r="E7" s="97">
        <f>B7-C7+D7</f>
        <v>17630.32</v>
      </c>
    </row>
    <row r="8" spans="1:6" ht="12.6">
      <c r="A8" s="36" t="s">
        <v>589</v>
      </c>
      <c r="B8" s="96">
        <v>1221.81</v>
      </c>
      <c r="C8" s="96">
        <v>581.41</v>
      </c>
      <c r="D8" s="96">
        <v>756</v>
      </c>
      <c r="E8" s="97">
        <f>B8-C8+D8</f>
        <v>1396.4</v>
      </c>
    </row>
    <row r="9" spans="1:6" ht="12.6">
      <c r="A9" s="36" t="s">
        <v>23</v>
      </c>
      <c r="B9" s="96">
        <v>1605.23</v>
      </c>
      <c r="C9" s="96">
        <v>908.79</v>
      </c>
      <c r="D9" s="96">
        <v>1165.5</v>
      </c>
      <c r="E9" s="97">
        <f>B9-C9+D9</f>
        <v>1861.94</v>
      </c>
    </row>
    <row r="10" spans="1:6" ht="12.6">
      <c r="A10" s="36" t="s">
        <v>411</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365</v>
      </c>
      <c r="B15" s="96">
        <v>0</v>
      </c>
      <c r="C15" s="96"/>
      <c r="D15" s="96">
        <v>0</v>
      </c>
      <c r="E15" s="97"/>
    </row>
    <row r="16" spans="1:6" ht="12.6">
      <c r="A16" s="36" t="s">
        <v>369</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374</v>
      </c>
      <c r="B21" s="101"/>
      <c r="C21" s="101"/>
      <c r="D21" s="101"/>
      <c r="E21" s="102"/>
    </row>
    <row r="22" spans="1:5" ht="12.6">
      <c r="A22" s="35" t="s">
        <v>375</v>
      </c>
      <c r="B22" s="143">
        <v>172.47</v>
      </c>
      <c r="C22" s="99"/>
      <c r="D22" s="99" t="s">
        <v>88</v>
      </c>
      <c r="E22" s="100"/>
    </row>
    <row r="23" spans="1:5" ht="12.6">
      <c r="A23" s="35" t="s">
        <v>376</v>
      </c>
      <c r="B23" s="143">
        <v>139.4</v>
      </c>
      <c r="C23" s="693" t="s">
        <v>531</v>
      </c>
      <c r="D23" s="99" t="s">
        <v>88</v>
      </c>
      <c r="E23" s="100"/>
    </row>
    <row r="24" spans="1:5" ht="12.6">
      <c r="A24" s="35" t="s">
        <v>377</v>
      </c>
      <c r="B24" s="143">
        <v>145.18</v>
      </c>
      <c r="C24" s="693"/>
      <c r="D24" s="99" t="s">
        <v>88</v>
      </c>
      <c r="E24" s="100"/>
    </row>
    <row r="25" spans="1:5" ht="12.6">
      <c r="A25" s="35" t="s">
        <v>378</v>
      </c>
      <c r="B25" s="143">
        <v>156.53</v>
      </c>
      <c r="C25" s="693"/>
      <c r="D25" s="99" t="s">
        <v>88</v>
      </c>
      <c r="E25" s="100"/>
    </row>
    <row r="26" spans="1:5" ht="12.6">
      <c r="A26" s="35" t="s">
        <v>379</v>
      </c>
      <c r="B26" s="143">
        <v>151.19999999999999</v>
      </c>
      <c r="C26" s="693"/>
      <c r="D26" s="99" t="s">
        <v>88</v>
      </c>
      <c r="E26" s="100"/>
    </row>
    <row r="27" spans="1:5" ht="13.8">
      <c r="A27" s="35" t="s">
        <v>380</v>
      </c>
      <c r="B27" s="142">
        <v>943.63</v>
      </c>
      <c r="C27" s="693"/>
      <c r="D27" s="99" t="s">
        <v>88</v>
      </c>
      <c r="E27" s="100"/>
    </row>
    <row r="28" spans="1:5">
      <c r="B28" s="94"/>
      <c r="C28" s="693"/>
    </row>
    <row r="30" spans="1:5" ht="12.6">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5834-0673-4113-8442-4663DABAAA80}">
  <dimension ref="A1:R40"/>
  <sheetViews>
    <sheetView workbookViewId="0">
      <pane ySplit="1" topLeftCell="A11" activePane="bottomLeft" state="frozen"/>
      <selection pane="bottomLeft" activeCell="I39" sqref="I39"/>
    </sheetView>
  </sheetViews>
  <sheetFormatPr defaultColWidth="9" defaultRowHeight="14.4"/>
  <cols>
    <col min="1" max="1" width="24.25" style="495" bestFit="1" customWidth="1"/>
    <col min="2" max="16384" width="9" style="495"/>
  </cols>
  <sheetData>
    <row r="1" spans="1:18">
      <c r="B1" s="495">
        <v>2018</v>
      </c>
      <c r="C1" s="495">
        <f t="shared" ref="C1:R1" si="0">B1+1</f>
        <v>2019</v>
      </c>
      <c r="D1" s="495">
        <f t="shared" si="0"/>
        <v>2020</v>
      </c>
      <c r="E1" s="495">
        <f t="shared" si="0"/>
        <v>2021</v>
      </c>
      <c r="F1" s="495">
        <f t="shared" si="0"/>
        <v>2022</v>
      </c>
      <c r="G1" s="495">
        <f t="shared" si="0"/>
        <v>2023</v>
      </c>
      <c r="H1" s="495">
        <f t="shared" si="0"/>
        <v>2024</v>
      </c>
      <c r="I1" s="495">
        <f t="shared" si="0"/>
        <v>2025</v>
      </c>
      <c r="J1" s="495">
        <f t="shared" si="0"/>
        <v>2026</v>
      </c>
      <c r="K1" s="495">
        <f t="shared" si="0"/>
        <v>2027</v>
      </c>
      <c r="L1" s="495">
        <f t="shared" si="0"/>
        <v>2028</v>
      </c>
      <c r="M1" s="495">
        <f t="shared" si="0"/>
        <v>2029</v>
      </c>
      <c r="N1" s="495">
        <f t="shared" si="0"/>
        <v>2030</v>
      </c>
      <c r="O1" s="495">
        <f t="shared" si="0"/>
        <v>2031</v>
      </c>
      <c r="P1" s="495">
        <f t="shared" si="0"/>
        <v>2032</v>
      </c>
      <c r="Q1" s="495">
        <f t="shared" si="0"/>
        <v>2033</v>
      </c>
      <c r="R1" s="495">
        <f t="shared" si="0"/>
        <v>2034</v>
      </c>
    </row>
    <row r="2" spans="1:18">
      <c r="A2" s="495" t="s">
        <v>1005</v>
      </c>
      <c r="G2" s="495">
        <v>2500</v>
      </c>
      <c r="H2" s="495">
        <f t="shared" ref="H2:R2" si="1">G2*1.085</f>
        <v>2712.5</v>
      </c>
      <c r="I2" s="495">
        <f t="shared" si="1"/>
        <v>2943.0625</v>
      </c>
      <c r="J2" s="495">
        <f t="shared" si="1"/>
        <v>3193.2228124999997</v>
      </c>
      <c r="K2" s="495">
        <f t="shared" si="1"/>
        <v>3464.6467515624995</v>
      </c>
      <c r="L2" s="495">
        <f t="shared" si="1"/>
        <v>3759.1417254453117</v>
      </c>
      <c r="M2" s="495">
        <f t="shared" si="1"/>
        <v>4078.668772108163</v>
      </c>
      <c r="N2" s="495">
        <f t="shared" si="1"/>
        <v>4425.3556177373566</v>
      </c>
      <c r="O2" s="495">
        <f t="shared" si="1"/>
        <v>4801.5108452450322</v>
      </c>
      <c r="P2" s="495">
        <f t="shared" si="1"/>
        <v>5209.6392670908599</v>
      </c>
      <c r="Q2" s="495">
        <f t="shared" si="1"/>
        <v>5652.4586047935827</v>
      </c>
      <c r="R2" s="495">
        <f t="shared" si="1"/>
        <v>6132.917586201037</v>
      </c>
    </row>
    <row r="3" spans="1:18">
      <c r="A3" s="495" t="s">
        <v>1001</v>
      </c>
      <c r="G3" s="496">
        <v>728</v>
      </c>
      <c r="H3" s="497">
        <f t="shared" ref="H3:R3" si="2">H2*H4</f>
        <v>759.50000000000011</v>
      </c>
      <c r="I3" s="497">
        <f t="shared" si="2"/>
        <v>882.91874999999993</v>
      </c>
      <c r="J3" s="497">
        <f t="shared" si="2"/>
        <v>957.96684374999984</v>
      </c>
      <c r="K3" s="497">
        <f t="shared" si="2"/>
        <v>1039.3940254687498</v>
      </c>
      <c r="L3" s="497">
        <f t="shared" si="2"/>
        <v>1127.7425176335935</v>
      </c>
      <c r="M3" s="497">
        <f t="shared" si="2"/>
        <v>1223.6006316324488</v>
      </c>
      <c r="N3" s="497">
        <f t="shared" si="2"/>
        <v>1327.6066853212069</v>
      </c>
      <c r="O3" s="497">
        <f t="shared" si="2"/>
        <v>1440.4532535735095</v>
      </c>
      <c r="P3" s="497">
        <f t="shared" si="2"/>
        <v>1562.891780127258</v>
      </c>
      <c r="Q3" s="497">
        <f t="shared" si="2"/>
        <v>1695.7375814380748</v>
      </c>
      <c r="R3" s="497">
        <f t="shared" si="2"/>
        <v>1839.8752758603111</v>
      </c>
    </row>
    <row r="4" spans="1:18">
      <c r="A4" s="495" t="s">
        <v>994</v>
      </c>
      <c r="G4" s="495">
        <f>G3/G2</f>
        <v>0.29120000000000001</v>
      </c>
      <c r="H4" s="495">
        <v>0.28000000000000003</v>
      </c>
      <c r="I4" s="495">
        <v>0.3</v>
      </c>
      <c r="J4" s="495">
        <v>0.3</v>
      </c>
      <c r="K4" s="495">
        <v>0.3</v>
      </c>
      <c r="L4" s="495">
        <v>0.3</v>
      </c>
      <c r="M4" s="495">
        <v>0.3</v>
      </c>
      <c r="N4" s="495">
        <v>0.3</v>
      </c>
      <c r="O4" s="495">
        <v>0.3</v>
      </c>
      <c r="P4" s="495">
        <v>0.3</v>
      </c>
      <c r="Q4" s="495">
        <v>0.3</v>
      </c>
      <c r="R4" s="495">
        <v>0.3</v>
      </c>
    </row>
    <row r="7" spans="1:18">
      <c r="A7" s="495" t="s">
        <v>1004</v>
      </c>
      <c r="B7" s="495">
        <v>4370</v>
      </c>
      <c r="C7" s="495">
        <v>4480</v>
      </c>
      <c r="D7" s="495">
        <v>5080</v>
      </c>
      <c r="E7" s="495">
        <v>5240</v>
      </c>
      <c r="F7" s="495">
        <v>4670</v>
      </c>
      <c r="G7" s="495">
        <v>4820</v>
      </c>
      <c r="H7" s="495">
        <v>4900</v>
      </c>
      <c r="I7" s="495">
        <v>4980</v>
      </c>
      <c r="J7" s="495">
        <v>5060</v>
      </c>
      <c r="K7" s="495">
        <v>5160</v>
      </c>
      <c r="L7" s="495">
        <v>5250</v>
      </c>
      <c r="M7" s="497">
        <f t="shared" ref="M7:R7" si="3">L7*1.017</f>
        <v>5339.2499999999991</v>
      </c>
      <c r="N7" s="497">
        <f t="shared" si="3"/>
        <v>5430.017249999999</v>
      </c>
      <c r="O7" s="497">
        <f t="shared" si="3"/>
        <v>5522.3275432499986</v>
      </c>
      <c r="P7" s="497">
        <f t="shared" si="3"/>
        <v>5616.2071114852479</v>
      </c>
      <c r="Q7" s="497">
        <f t="shared" si="3"/>
        <v>5711.6826323804962</v>
      </c>
      <c r="R7" s="497">
        <f t="shared" si="3"/>
        <v>5808.7812371309637</v>
      </c>
    </row>
    <row r="8" spans="1:18">
      <c r="A8" s="495" t="s">
        <v>1001</v>
      </c>
      <c r="B8" s="496">
        <v>498.47199999999998</v>
      </c>
      <c r="C8" s="496">
        <v>536.61900000000003</v>
      </c>
      <c r="D8" s="496">
        <v>571.72</v>
      </c>
      <c r="E8" s="496">
        <v>784</v>
      </c>
      <c r="F8" s="496">
        <v>967</v>
      </c>
      <c r="G8" s="496">
        <v>836</v>
      </c>
      <c r="H8" s="497">
        <f t="shared" ref="H8:R8" si="4">H7*H9</f>
        <v>833.00000000000011</v>
      </c>
      <c r="I8" s="497">
        <f t="shared" si="4"/>
        <v>846.6</v>
      </c>
      <c r="J8" s="497">
        <f t="shared" si="4"/>
        <v>860.2</v>
      </c>
      <c r="K8" s="497">
        <f t="shared" si="4"/>
        <v>980.4</v>
      </c>
      <c r="L8" s="497">
        <f t="shared" si="4"/>
        <v>997.5</v>
      </c>
      <c r="M8" s="497">
        <f t="shared" si="4"/>
        <v>1067.8499999999999</v>
      </c>
      <c r="N8" s="497">
        <f t="shared" si="4"/>
        <v>1086.0034499999999</v>
      </c>
      <c r="O8" s="497">
        <f t="shared" si="4"/>
        <v>1104.4655086499997</v>
      </c>
      <c r="P8" s="497">
        <f t="shared" si="4"/>
        <v>1123.2414222970497</v>
      </c>
      <c r="Q8" s="497">
        <f t="shared" si="4"/>
        <v>1142.3365264760994</v>
      </c>
      <c r="R8" s="497">
        <f t="shared" si="4"/>
        <v>1161.7562474261929</v>
      </c>
    </row>
    <row r="9" spans="1:18">
      <c r="B9" s="499">
        <f>B8/B7</f>
        <v>0.11406681922196796</v>
      </c>
      <c r="C9" s="499">
        <f>C8/B7</f>
        <v>0.12279610983981694</v>
      </c>
      <c r="D9" s="499">
        <f>D8/D7</f>
        <v>0.11254330708661418</v>
      </c>
      <c r="E9" s="499">
        <f>E8/E7</f>
        <v>0.14961832061068703</v>
      </c>
      <c r="F9" s="499">
        <f>F8/F7</f>
        <v>0.20706638115631693</v>
      </c>
      <c r="G9" s="499">
        <f>G8/G7</f>
        <v>0.17344398340248962</v>
      </c>
      <c r="H9" s="500">
        <v>0.17</v>
      </c>
      <c r="I9" s="500">
        <v>0.17</v>
      </c>
      <c r="J9" s="500">
        <v>0.17</v>
      </c>
      <c r="K9" s="500">
        <v>0.19</v>
      </c>
      <c r="L9" s="500">
        <v>0.19</v>
      </c>
      <c r="M9" s="500">
        <v>0.2</v>
      </c>
      <c r="N9" s="500">
        <v>0.2</v>
      </c>
      <c r="O9" s="500">
        <v>0.2</v>
      </c>
      <c r="P9" s="500">
        <v>0.2</v>
      </c>
      <c r="Q9" s="500">
        <v>0.2</v>
      </c>
      <c r="R9" s="500">
        <v>0.2</v>
      </c>
    </row>
    <row r="10" spans="1:18">
      <c r="A10" s="495" t="s">
        <v>1003</v>
      </c>
      <c r="C10" s="499">
        <f t="shared" ref="C10:R10" si="5">C7/B7-1</f>
        <v>2.517162471395884E-2</v>
      </c>
      <c r="D10" s="499">
        <f t="shared" si="5"/>
        <v>0.1339285714285714</v>
      </c>
      <c r="E10" s="499">
        <f t="shared" si="5"/>
        <v>3.1496062992125928E-2</v>
      </c>
      <c r="F10" s="499">
        <f t="shared" si="5"/>
        <v>-0.10877862595419852</v>
      </c>
      <c r="G10" s="499">
        <f t="shared" si="5"/>
        <v>3.2119914346895095E-2</v>
      </c>
      <c r="H10" s="499">
        <f t="shared" si="5"/>
        <v>1.6597510373443924E-2</v>
      </c>
      <c r="I10" s="499">
        <f t="shared" si="5"/>
        <v>1.6326530612244872E-2</v>
      </c>
      <c r="J10" s="499">
        <f t="shared" si="5"/>
        <v>1.6064257028112428E-2</v>
      </c>
      <c r="K10" s="499">
        <f t="shared" si="5"/>
        <v>1.9762845849802479E-2</v>
      </c>
      <c r="L10" s="499">
        <f t="shared" si="5"/>
        <v>1.744186046511631E-2</v>
      </c>
      <c r="M10" s="499">
        <f t="shared" si="5"/>
        <v>1.6999999999999904E-2</v>
      </c>
      <c r="N10" s="499">
        <f t="shared" si="5"/>
        <v>1.6999999999999904E-2</v>
      </c>
      <c r="O10" s="499">
        <f t="shared" si="5"/>
        <v>1.6999999999999904E-2</v>
      </c>
      <c r="P10" s="499">
        <f t="shared" si="5"/>
        <v>1.6999999999999904E-2</v>
      </c>
      <c r="Q10" s="499">
        <f t="shared" si="5"/>
        <v>1.6999999999999904E-2</v>
      </c>
      <c r="R10" s="499">
        <f t="shared" si="5"/>
        <v>1.6999999999999904E-2</v>
      </c>
    </row>
    <row r="12" spans="1:18">
      <c r="A12" s="495" t="s">
        <v>1002</v>
      </c>
      <c r="B12" s="496"/>
      <c r="C12" s="496"/>
      <c r="D12" s="496"/>
      <c r="E12" s="496"/>
      <c r="F12" s="496"/>
      <c r="G12" s="496"/>
      <c r="H12" s="499"/>
    </row>
    <row r="13" spans="1:18">
      <c r="A13" s="495" t="s">
        <v>1001</v>
      </c>
      <c r="B13" s="496">
        <v>112.14700000000001</v>
      </c>
      <c r="C13" s="496">
        <v>121.282</v>
      </c>
      <c r="D13" s="496">
        <v>129.19300000000001</v>
      </c>
      <c r="E13" s="496">
        <v>440</v>
      </c>
      <c r="F13" s="496">
        <v>404</v>
      </c>
      <c r="G13" s="496">
        <v>228</v>
      </c>
      <c r="H13" s="497">
        <f t="shared" ref="H13:R13" si="6">G13*1.05</f>
        <v>239.4</v>
      </c>
      <c r="I13" s="497">
        <f t="shared" si="6"/>
        <v>251.37</v>
      </c>
      <c r="J13" s="497">
        <f t="shared" si="6"/>
        <v>263.93850000000003</v>
      </c>
      <c r="K13" s="497">
        <f t="shared" si="6"/>
        <v>277.13542500000005</v>
      </c>
      <c r="L13" s="497">
        <f t="shared" si="6"/>
        <v>290.99219625000006</v>
      </c>
      <c r="M13" s="497">
        <f t="shared" si="6"/>
        <v>305.54180606250009</v>
      </c>
      <c r="N13" s="497">
        <f t="shared" si="6"/>
        <v>320.81889636562511</v>
      </c>
      <c r="O13" s="497">
        <f t="shared" si="6"/>
        <v>336.85984118390638</v>
      </c>
      <c r="P13" s="497">
        <f t="shared" si="6"/>
        <v>353.70283324310174</v>
      </c>
      <c r="Q13" s="497">
        <f t="shared" si="6"/>
        <v>371.38797490525684</v>
      </c>
      <c r="R13" s="497">
        <f t="shared" si="6"/>
        <v>389.95737365051968</v>
      </c>
    </row>
    <row r="16" spans="1:18">
      <c r="A16" s="495" t="s">
        <v>1000</v>
      </c>
      <c r="B16" s="496">
        <v>107.94199999999999</v>
      </c>
      <c r="C16" s="496">
        <v>128.315</v>
      </c>
      <c r="D16" s="496">
        <v>135.309</v>
      </c>
      <c r="E16" s="496">
        <v>384</v>
      </c>
      <c r="F16" s="496">
        <v>310</v>
      </c>
      <c r="G16" s="496">
        <v>254</v>
      </c>
      <c r="H16" s="498">
        <f>G16*0.95</f>
        <v>241.29999999999998</v>
      </c>
      <c r="I16" s="498">
        <f t="shared" ref="I16:R16" si="7">H16*1.02</f>
        <v>246.12599999999998</v>
      </c>
      <c r="J16" s="498">
        <f t="shared" si="7"/>
        <v>251.04851999999997</v>
      </c>
      <c r="K16" s="498">
        <f t="shared" si="7"/>
        <v>256.06949039999995</v>
      </c>
      <c r="L16" s="498">
        <f t="shared" si="7"/>
        <v>261.19088020799995</v>
      </c>
      <c r="M16" s="498">
        <f t="shared" si="7"/>
        <v>266.41469781215994</v>
      </c>
      <c r="N16" s="498">
        <f t="shared" si="7"/>
        <v>271.74299176840316</v>
      </c>
      <c r="O16" s="498">
        <f t="shared" si="7"/>
        <v>277.17785160377122</v>
      </c>
      <c r="P16" s="498">
        <f t="shared" si="7"/>
        <v>282.72140863584667</v>
      </c>
      <c r="Q16" s="498">
        <f t="shared" si="7"/>
        <v>288.37583680856363</v>
      </c>
      <c r="R16" s="498">
        <f t="shared" si="7"/>
        <v>294.14335354473491</v>
      </c>
    </row>
    <row r="19" spans="1:18">
      <c r="A19" s="495" t="s">
        <v>999</v>
      </c>
      <c r="E19" s="495">
        <v>3125.86</v>
      </c>
      <c r="F19" s="495">
        <f t="shared" ref="F19:R19" si="8">E19*1.0663</f>
        <v>3333.1045180000001</v>
      </c>
      <c r="G19" s="495">
        <f t="shared" si="8"/>
        <v>3554.0893475434</v>
      </c>
      <c r="H19" s="495">
        <f t="shared" si="8"/>
        <v>3789.7254712855274</v>
      </c>
      <c r="I19" s="495">
        <f t="shared" si="8"/>
        <v>4040.9842700317581</v>
      </c>
      <c r="J19" s="495">
        <f t="shared" si="8"/>
        <v>4308.9015271348635</v>
      </c>
      <c r="K19" s="495">
        <f t="shared" si="8"/>
        <v>4594.5816983839049</v>
      </c>
      <c r="L19" s="495">
        <f t="shared" si="8"/>
        <v>4899.2024649867581</v>
      </c>
      <c r="M19" s="495">
        <f t="shared" si="8"/>
        <v>5224.01958841538</v>
      </c>
      <c r="N19" s="495">
        <f t="shared" si="8"/>
        <v>5570.3720871273199</v>
      </c>
      <c r="O19" s="495">
        <f t="shared" si="8"/>
        <v>5939.6877565038612</v>
      </c>
      <c r="P19" s="495">
        <f t="shared" si="8"/>
        <v>6333.4890547600671</v>
      </c>
      <c r="Q19" s="495">
        <f t="shared" si="8"/>
        <v>6753.3993790906597</v>
      </c>
      <c r="R19" s="495">
        <f t="shared" si="8"/>
        <v>7201.1497579243705</v>
      </c>
    </row>
    <row r="20" spans="1:18">
      <c r="A20" s="495" t="s">
        <v>998</v>
      </c>
      <c r="B20" s="496">
        <v>182.71700000000001</v>
      </c>
      <c r="C20" s="496">
        <v>648.13</v>
      </c>
      <c r="D20" s="496">
        <v>690.17399999999998</v>
      </c>
      <c r="E20" s="496">
        <v>1239</v>
      </c>
      <c r="F20" s="496">
        <v>1452</v>
      </c>
      <c r="G20" s="496">
        <v>1211</v>
      </c>
      <c r="H20" s="495">
        <f t="shared" ref="H20:R20" si="9">H21*H19</f>
        <v>1136.9176413856583</v>
      </c>
      <c r="I20" s="495">
        <f t="shared" si="9"/>
        <v>1414.3444945111153</v>
      </c>
      <c r="J20" s="495">
        <f t="shared" si="9"/>
        <v>1508.1155344972021</v>
      </c>
      <c r="K20" s="495">
        <f t="shared" si="9"/>
        <v>1608.1035944343666</v>
      </c>
      <c r="L20" s="495">
        <f t="shared" si="9"/>
        <v>1616.7368134456303</v>
      </c>
      <c r="M20" s="495">
        <f t="shared" si="9"/>
        <v>1723.9264641770756</v>
      </c>
      <c r="N20" s="495">
        <f t="shared" si="9"/>
        <v>1671.111626138196</v>
      </c>
      <c r="O20" s="495">
        <f t="shared" si="9"/>
        <v>1781.9063269511582</v>
      </c>
      <c r="P20" s="495">
        <f t="shared" si="9"/>
        <v>1900.0467164280201</v>
      </c>
      <c r="Q20" s="495">
        <f t="shared" si="9"/>
        <v>2026.0198137271977</v>
      </c>
      <c r="R20" s="495">
        <f t="shared" si="9"/>
        <v>2160.3449273773113</v>
      </c>
    </row>
    <row r="21" spans="1:18">
      <c r="E21" s="495">
        <f>E20/E19</f>
        <v>0.39637091872316738</v>
      </c>
      <c r="F21" s="495">
        <f>F20/F19</f>
        <v>0.43562990364048343</v>
      </c>
      <c r="G21" s="495">
        <f>G20/G19</f>
        <v>0.34073425892825338</v>
      </c>
      <c r="H21" s="497">
        <v>0.3</v>
      </c>
      <c r="I21" s="497">
        <v>0.35</v>
      </c>
      <c r="J21" s="497">
        <v>0.35</v>
      </c>
      <c r="K21" s="497">
        <v>0.35</v>
      </c>
      <c r="L21" s="497">
        <v>0.33</v>
      </c>
      <c r="M21" s="497">
        <v>0.33</v>
      </c>
      <c r="N21" s="497">
        <v>0.3</v>
      </c>
      <c r="O21" s="497">
        <v>0.3</v>
      </c>
      <c r="P21" s="497">
        <v>0.3</v>
      </c>
      <c r="Q21" s="497">
        <v>0.3</v>
      </c>
      <c r="R21" s="497">
        <v>0.3</v>
      </c>
    </row>
    <row r="24" spans="1:18">
      <c r="A24" s="495" t="s">
        <v>997</v>
      </c>
      <c r="B24" s="496">
        <v>314.81700000000001</v>
      </c>
      <c r="C24" s="496">
        <v>259.52100000000002</v>
      </c>
      <c r="D24" s="496">
        <v>365.61599999999999</v>
      </c>
      <c r="E24" s="496">
        <v>1045</v>
      </c>
      <c r="F24" s="496">
        <v>997</v>
      </c>
      <c r="G24" s="496">
        <v>888</v>
      </c>
      <c r="H24" s="495">
        <f>G24*0.95</f>
        <v>843.59999999999991</v>
      </c>
      <c r="I24" s="495">
        <f>H24*0.97</f>
        <v>818.29199999999992</v>
      </c>
      <c r="J24" s="495">
        <f t="shared" ref="J24:R24" si="10">I24*1.04</f>
        <v>851.0236799999999</v>
      </c>
      <c r="K24" s="495">
        <f t="shared" si="10"/>
        <v>885.0646271999999</v>
      </c>
      <c r="L24" s="495">
        <f t="shared" si="10"/>
        <v>920.46721228799993</v>
      </c>
      <c r="M24" s="495">
        <f t="shared" si="10"/>
        <v>957.28590077951992</v>
      </c>
      <c r="N24" s="495">
        <f t="shared" si="10"/>
        <v>995.57733681070079</v>
      </c>
      <c r="O24" s="495">
        <f t="shared" si="10"/>
        <v>1035.4004302831288</v>
      </c>
      <c r="P24" s="495">
        <f t="shared" si="10"/>
        <v>1076.816447494454</v>
      </c>
      <c r="Q24" s="495">
        <f t="shared" si="10"/>
        <v>1119.8891053942323</v>
      </c>
      <c r="R24" s="495">
        <f t="shared" si="10"/>
        <v>1164.6846696100015</v>
      </c>
    </row>
    <row r="28" spans="1:18">
      <c r="A28" s="495" t="s">
        <v>996</v>
      </c>
      <c r="F28" s="495">
        <v>11640</v>
      </c>
      <c r="G28" s="495">
        <f>F28*0.88</f>
        <v>10243.200000000001</v>
      </c>
      <c r="H28" s="495">
        <f t="shared" ref="H28:R28" si="11">G28*1.116</f>
        <v>11431.411200000002</v>
      </c>
      <c r="I28" s="495">
        <f t="shared" si="11"/>
        <v>12757.454899200004</v>
      </c>
      <c r="J28" s="495">
        <f t="shared" si="11"/>
        <v>14237.319667507205</v>
      </c>
      <c r="K28" s="495">
        <f t="shared" si="11"/>
        <v>15888.848748938042</v>
      </c>
      <c r="L28" s="495">
        <f t="shared" si="11"/>
        <v>17731.955203814858</v>
      </c>
      <c r="M28" s="495">
        <f t="shared" si="11"/>
        <v>19788.862007457385</v>
      </c>
      <c r="N28" s="495">
        <f t="shared" si="11"/>
        <v>22084.370000322444</v>
      </c>
      <c r="O28" s="495">
        <f t="shared" si="11"/>
        <v>24646.156920359848</v>
      </c>
      <c r="P28" s="495">
        <f t="shared" si="11"/>
        <v>27505.111123121595</v>
      </c>
      <c r="Q28" s="495">
        <f t="shared" si="11"/>
        <v>30695.704013403702</v>
      </c>
      <c r="R28" s="495">
        <f t="shared" si="11"/>
        <v>34256.405678958537</v>
      </c>
    </row>
    <row r="29" spans="1:18">
      <c r="A29" s="495" t="s">
        <v>995</v>
      </c>
      <c r="F29" s="495">
        <v>150</v>
      </c>
      <c r="G29" s="495">
        <v>112</v>
      </c>
      <c r="H29" s="495">
        <f t="shared" ref="H29:R29" si="12">H30*H28</f>
        <v>114.31411200000002</v>
      </c>
      <c r="I29" s="495">
        <f t="shared" si="12"/>
        <v>127.57454899200003</v>
      </c>
      <c r="J29" s="495">
        <f t="shared" si="12"/>
        <v>213.55979501260808</v>
      </c>
      <c r="K29" s="495">
        <f t="shared" si="12"/>
        <v>238.33273123407062</v>
      </c>
      <c r="L29" s="495">
        <f t="shared" si="12"/>
        <v>265.97932805722286</v>
      </c>
      <c r="M29" s="495">
        <f t="shared" si="12"/>
        <v>395.7772401491477</v>
      </c>
      <c r="N29" s="495">
        <f t="shared" si="12"/>
        <v>441.68740000644891</v>
      </c>
      <c r="O29" s="495">
        <f t="shared" si="12"/>
        <v>492.92313840719697</v>
      </c>
      <c r="P29" s="495">
        <f t="shared" si="12"/>
        <v>825.15333369364782</v>
      </c>
      <c r="Q29" s="495">
        <f t="shared" si="12"/>
        <v>920.87112040211105</v>
      </c>
      <c r="R29" s="495">
        <f t="shared" si="12"/>
        <v>1027.692170368756</v>
      </c>
    </row>
    <row r="30" spans="1:18">
      <c r="A30" s="495" t="s">
        <v>994</v>
      </c>
      <c r="F30" s="495">
        <f>F29/F28</f>
        <v>1.2886597938144329E-2</v>
      </c>
      <c r="G30" s="495">
        <f>G29/G28</f>
        <v>1.0934083099031551E-2</v>
      </c>
      <c r="H30" s="495">
        <v>0.01</v>
      </c>
      <c r="I30" s="495">
        <v>0.01</v>
      </c>
      <c r="J30" s="495">
        <f>0.015</f>
        <v>1.4999999999999999E-2</v>
      </c>
      <c r="K30" s="495">
        <f>0.015</f>
        <v>1.4999999999999999E-2</v>
      </c>
      <c r="L30" s="495">
        <f>0.015</f>
        <v>1.4999999999999999E-2</v>
      </c>
      <c r="M30" s="495">
        <f>0.02</f>
        <v>0.02</v>
      </c>
      <c r="N30" s="495">
        <f>0.02</f>
        <v>0.02</v>
      </c>
      <c r="O30" s="495">
        <f>0.02</f>
        <v>0.02</v>
      </c>
      <c r="P30" s="495">
        <f>0.03</f>
        <v>0.03</v>
      </c>
      <c r="Q30" s="495">
        <f>0.03</f>
        <v>0.03</v>
      </c>
      <c r="R30" s="495">
        <f>0.03</f>
        <v>0.03</v>
      </c>
    </row>
    <row r="33" spans="1:18">
      <c r="A33" s="495" t="s">
        <v>993</v>
      </c>
      <c r="G33" s="495">
        <v>274</v>
      </c>
      <c r="H33" s="495">
        <f>G33*0.95</f>
        <v>260.3</v>
      </c>
      <c r="I33" s="495">
        <f t="shared" ref="I33:R33" si="13">H33*1.04</f>
        <v>270.71200000000005</v>
      </c>
      <c r="J33" s="495">
        <f t="shared" si="13"/>
        <v>281.54048000000006</v>
      </c>
      <c r="K33" s="495">
        <f t="shared" si="13"/>
        <v>292.80209920000004</v>
      </c>
      <c r="L33" s="495">
        <f t="shared" si="13"/>
        <v>304.51418316800005</v>
      </c>
      <c r="M33" s="495">
        <f t="shared" si="13"/>
        <v>316.69475049472004</v>
      </c>
      <c r="N33" s="495">
        <f t="shared" si="13"/>
        <v>329.36254051450885</v>
      </c>
      <c r="O33" s="495">
        <f t="shared" si="13"/>
        <v>342.53704213508922</v>
      </c>
      <c r="P33" s="495">
        <f t="shared" si="13"/>
        <v>356.23852382049279</v>
      </c>
      <c r="Q33" s="495">
        <f t="shared" si="13"/>
        <v>370.48806477331249</v>
      </c>
      <c r="R33" s="495">
        <f t="shared" si="13"/>
        <v>385.30758736424502</v>
      </c>
    </row>
    <row r="36" spans="1:18">
      <c r="I36" s="495">
        <f>I37/H37-1</f>
        <v>9.701306587723546E-2</v>
      </c>
    </row>
    <row r="37" spans="1:18">
      <c r="A37" s="495" t="s">
        <v>992</v>
      </c>
      <c r="H37" s="496">
        <f t="shared" ref="H37:R37" si="14">H33+H29+H24+H20+H16+H13+H8+H3</f>
        <v>4428.3317533856589</v>
      </c>
      <c r="I37" s="496">
        <f t="shared" si="14"/>
        <v>4857.9377935031152</v>
      </c>
      <c r="J37" s="496">
        <f t="shared" si="14"/>
        <v>5187.3933532598094</v>
      </c>
      <c r="K37" s="496">
        <f t="shared" si="14"/>
        <v>5577.3019929371867</v>
      </c>
      <c r="L37" s="496">
        <f t="shared" si="14"/>
        <v>5785.1231310504472</v>
      </c>
      <c r="M37" s="496">
        <f t="shared" si="14"/>
        <v>6257.0914911075724</v>
      </c>
      <c r="N37" s="496">
        <f t="shared" si="14"/>
        <v>6443.9109269250894</v>
      </c>
      <c r="O37" s="496">
        <f t="shared" si="14"/>
        <v>6811.7233927877605</v>
      </c>
      <c r="P37" s="496">
        <f t="shared" si="14"/>
        <v>7480.8124657398712</v>
      </c>
      <c r="Q37" s="496">
        <f t="shared" si="14"/>
        <v>7935.1060239248491</v>
      </c>
      <c r="R37" s="496">
        <f t="shared" si="14"/>
        <v>8423.761605202073</v>
      </c>
    </row>
    <row r="39" spans="1:18">
      <c r="H39" s="495" t="s">
        <v>991</v>
      </c>
      <c r="I39" s="495">
        <f>(L37/I37)^(1/5)-1</f>
        <v>3.5552523994435425E-2</v>
      </c>
      <c r="J39" s="500" t="e">
        <f>XIRR(H37:R37,H1:R1)</f>
        <v>#NUM!</v>
      </c>
    </row>
    <row r="40" spans="1:18">
      <c r="H40" s="495" t="s">
        <v>990</v>
      </c>
      <c r="I40" s="495">
        <f>(R37/L37)^(1/6) -1</f>
        <v>6.4630515325808213E-2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375" defaultRowHeight="11.4"/>
  <cols>
    <col min="1" max="1" width="6.25" bestFit="1" customWidth="1"/>
    <col min="2" max="2" width="16.375" bestFit="1" customWidth="1"/>
    <col min="3" max="3" width="18.25" bestFit="1" customWidth="1"/>
    <col min="4" max="5" width="12.25" bestFit="1" customWidth="1"/>
    <col min="6" max="6" width="17.75" bestFit="1" customWidth="1"/>
    <col min="9" max="9" width="20.25" customWidth="1"/>
    <col min="10" max="10" width="18.875" customWidth="1"/>
  </cols>
  <sheetData>
    <row r="1" spans="1:10" s="146" customFormat="1" ht="12">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0BD42-3E34-4922-8973-7690BE8126D7}">
  <dimension ref="A1:CO83"/>
  <sheetViews>
    <sheetView zoomScale="90" zoomScaleNormal="90" workbookViewId="0">
      <pane xSplit="1" topLeftCell="E1" activePane="topRight" state="frozen"/>
      <selection activeCell="A34" sqref="A34"/>
      <selection pane="topRight" activeCell="R40" sqref="R40"/>
    </sheetView>
  </sheetViews>
  <sheetFormatPr defaultColWidth="9.125" defaultRowHeight="14.4"/>
  <cols>
    <col min="1" max="1" width="23.25" style="501" customWidth="1"/>
    <col min="2" max="2" width="20.25" style="501" bestFit="1" customWidth="1"/>
    <col min="3" max="9" width="20.25" style="501" customWidth="1"/>
    <col min="10" max="10" width="11" style="501" bestFit="1" customWidth="1"/>
    <col min="11" max="13" width="11.25" style="501" bestFit="1" customWidth="1"/>
    <col min="14" max="14" width="10.75" style="525" bestFit="1" customWidth="1"/>
    <col min="15" max="34" width="9.125" style="501"/>
    <col min="35" max="35" width="10.625" style="501" bestFit="1" customWidth="1"/>
    <col min="36" max="38" width="9.125" style="501"/>
    <col min="39" max="39" width="11.75" style="501" bestFit="1" customWidth="1"/>
    <col min="40" max="40" width="26.875" style="501" bestFit="1" customWidth="1"/>
    <col min="41" max="16384" width="9.125" style="501"/>
  </cols>
  <sheetData>
    <row r="1" spans="1:57">
      <c r="A1" s="555" t="s">
        <v>1006</v>
      </c>
      <c r="B1" s="555"/>
      <c r="E1" s="502" t="s">
        <v>1007</v>
      </c>
      <c r="F1" s="503">
        <v>44232</v>
      </c>
      <c r="G1" s="502" t="s">
        <v>1008</v>
      </c>
      <c r="H1" s="502" t="s">
        <v>1009</v>
      </c>
      <c r="I1" s="502" t="s">
        <v>1010</v>
      </c>
      <c r="J1" s="503">
        <v>44597</v>
      </c>
      <c r="K1" s="502" t="s">
        <v>1011</v>
      </c>
      <c r="L1" s="502" t="s">
        <v>1012</v>
      </c>
      <c r="M1" s="502" t="s">
        <v>1013</v>
      </c>
      <c r="N1" s="503">
        <v>44962</v>
      </c>
    </row>
    <row r="2" spans="1:57">
      <c r="A2" s="555"/>
      <c r="B2" s="555"/>
      <c r="C2" s="504" t="s">
        <v>1014</v>
      </c>
      <c r="D2" s="504" t="s">
        <v>1015</v>
      </c>
      <c r="E2" s="504" t="s">
        <v>1016</v>
      </c>
      <c r="F2" s="504" t="s">
        <v>1017</v>
      </c>
      <c r="G2" s="504" t="s">
        <v>1018</v>
      </c>
      <c r="H2" s="504" t="s">
        <v>1019</v>
      </c>
      <c r="I2" s="504" t="s">
        <v>1020</v>
      </c>
      <c r="J2" s="504" t="s">
        <v>1021</v>
      </c>
      <c r="K2" s="504" t="s">
        <v>1022</v>
      </c>
      <c r="L2" s="504" t="s">
        <v>1023</v>
      </c>
      <c r="M2" s="504" t="s">
        <v>1024</v>
      </c>
      <c r="N2" s="505" t="s">
        <v>1025</v>
      </c>
      <c r="O2" s="506" t="s">
        <v>1026</v>
      </c>
      <c r="P2" s="504" t="s">
        <v>1027</v>
      </c>
      <c r="Q2" s="504" t="s">
        <v>1028</v>
      </c>
      <c r="R2" s="504" t="s">
        <v>1029</v>
      </c>
      <c r="S2" s="504" t="s">
        <v>1030</v>
      </c>
      <c r="T2" s="504" t="s">
        <v>1031</v>
      </c>
      <c r="U2" s="504" t="s">
        <v>1032</v>
      </c>
      <c r="V2" s="504" t="s">
        <v>1033</v>
      </c>
      <c r="W2" s="504"/>
      <c r="X2" s="504">
        <v>2014</v>
      </c>
      <c r="Y2" s="504">
        <v>2015</v>
      </c>
      <c r="Z2" s="504">
        <v>2016</v>
      </c>
      <c r="AA2" s="504">
        <v>2017</v>
      </c>
      <c r="AB2" s="501">
        <v>2018</v>
      </c>
      <c r="AC2" s="501">
        <v>2019</v>
      </c>
      <c r="AD2" s="501">
        <v>2020</v>
      </c>
      <c r="AE2" s="501">
        <f>2021</f>
        <v>2021</v>
      </c>
      <c r="AF2" s="501">
        <f>AE2+1</f>
        <v>2022</v>
      </c>
      <c r="AG2" s="501">
        <f t="shared" ref="AG2:AN2" si="0">AF2+1</f>
        <v>2023</v>
      </c>
      <c r="AH2" s="501">
        <f t="shared" si="0"/>
        <v>2024</v>
      </c>
      <c r="AI2" s="501">
        <f t="shared" si="0"/>
        <v>2025</v>
      </c>
      <c r="AJ2" s="501">
        <f t="shared" si="0"/>
        <v>2026</v>
      </c>
      <c r="AK2" s="501">
        <f t="shared" si="0"/>
        <v>2027</v>
      </c>
      <c r="AL2" s="501">
        <f t="shared" si="0"/>
        <v>2028</v>
      </c>
      <c r="AM2" s="501">
        <f t="shared" si="0"/>
        <v>2029</v>
      </c>
      <c r="AN2" s="501">
        <f t="shared" si="0"/>
        <v>2030</v>
      </c>
    </row>
    <row r="3" spans="1:57">
      <c r="A3" s="554" t="s">
        <v>1034</v>
      </c>
      <c r="B3" s="554"/>
      <c r="C3" s="507">
        <v>120.46899999999999</v>
      </c>
      <c r="D3" s="507">
        <v>169.12100000000001</v>
      </c>
      <c r="E3" s="507">
        <v>213.63800000000001</v>
      </c>
      <c r="F3" s="507">
        <v>177.679</v>
      </c>
      <c r="G3" s="508">
        <v>182.87799999999999</v>
      </c>
      <c r="H3" s="507">
        <v>189.01400000000001</v>
      </c>
      <c r="I3" s="507">
        <v>231.09</v>
      </c>
      <c r="J3" s="508">
        <v>178.126</v>
      </c>
      <c r="K3" s="507">
        <v>183.28299999999999</v>
      </c>
      <c r="L3" s="508">
        <v>185.2</v>
      </c>
      <c r="M3" s="508">
        <v>199.10599999999999</v>
      </c>
      <c r="N3" s="508">
        <v>160.768</v>
      </c>
      <c r="O3" s="509">
        <v>174.45400000000001</v>
      </c>
      <c r="P3" s="507"/>
      <c r="Q3" s="507"/>
      <c r="R3" s="507"/>
      <c r="S3" s="507"/>
      <c r="T3" s="507"/>
      <c r="U3" s="507"/>
      <c r="V3" s="507"/>
      <c r="W3" s="507"/>
      <c r="X3" s="507"/>
      <c r="Y3" s="507">
        <v>178.03800000000001</v>
      </c>
      <c r="Z3" s="507">
        <v>229.71799999999999</v>
      </c>
      <c r="AA3" s="507">
        <v>301.02100000000002</v>
      </c>
      <c r="AB3" s="507">
        <v>516.63699999999994</v>
      </c>
      <c r="AC3" s="507">
        <v>536.89</v>
      </c>
      <c r="AD3" s="507">
        <v>544.51900000000001</v>
      </c>
      <c r="AE3" s="507">
        <f>SUM(C3:F3)</f>
        <v>680.90700000000004</v>
      </c>
      <c r="AF3" s="507">
        <f>SUM(G3:J3)</f>
        <v>781.10799999999995</v>
      </c>
      <c r="AG3" s="507">
        <f>SUM(K3:N3)</f>
        <v>728.35699999999997</v>
      </c>
      <c r="AH3" s="507"/>
      <c r="AI3" s="507"/>
      <c r="AJ3" s="507"/>
      <c r="AK3" s="507"/>
      <c r="AL3" s="507"/>
      <c r="AM3" s="507"/>
      <c r="AN3" s="507"/>
      <c r="AO3" s="507"/>
      <c r="AP3" s="507"/>
      <c r="AQ3" s="507"/>
      <c r="AR3" s="507"/>
      <c r="AS3" s="507"/>
      <c r="AT3" s="507"/>
      <c r="AU3" s="507"/>
      <c r="AV3" s="507"/>
      <c r="AW3" s="507"/>
      <c r="AX3" s="507"/>
      <c r="AY3" s="507"/>
      <c r="AZ3" s="507"/>
      <c r="BA3" s="507"/>
      <c r="BB3" s="507"/>
      <c r="BC3" s="507"/>
      <c r="BD3" s="507"/>
      <c r="BE3" s="507"/>
    </row>
    <row r="4" spans="1:57">
      <c r="A4" s="554" t="s">
        <v>1035</v>
      </c>
      <c r="B4" s="554"/>
      <c r="C4" s="507">
        <v>145.36000000000001</v>
      </c>
      <c r="D4" s="507">
        <v>201.61699999999999</v>
      </c>
      <c r="E4" s="507">
        <v>218.26900000000001</v>
      </c>
      <c r="F4" s="507">
        <v>219.24199999999999</v>
      </c>
      <c r="G4" s="508">
        <v>218.357</v>
      </c>
      <c r="H4" s="507">
        <v>236.27199999999999</v>
      </c>
      <c r="I4" s="507">
        <v>281.608</v>
      </c>
      <c r="J4" s="508">
        <v>231.06399999999999</v>
      </c>
      <c r="K4" s="507">
        <v>227.72</v>
      </c>
      <c r="L4" s="508">
        <v>200.85300000000001</v>
      </c>
      <c r="M4" s="508">
        <v>220.059</v>
      </c>
      <c r="N4" s="508">
        <v>187.8</v>
      </c>
      <c r="O4" s="509">
        <v>180.85499999999999</v>
      </c>
      <c r="P4" s="507"/>
      <c r="Q4" s="507"/>
      <c r="R4" s="507"/>
      <c r="S4" s="507"/>
      <c r="T4" s="507"/>
      <c r="U4" s="507"/>
      <c r="V4" s="507"/>
      <c r="W4" s="507"/>
      <c r="X4" s="507"/>
      <c r="Y4" s="507">
        <v>213.49600000000001</v>
      </c>
      <c r="Z4" s="507">
        <v>196.01300000000001</v>
      </c>
      <c r="AA4" s="507">
        <v>246.39</v>
      </c>
      <c r="AB4" s="507">
        <v>498.47199999999998</v>
      </c>
      <c r="AC4" s="507">
        <v>536.61900000000003</v>
      </c>
      <c r="AD4" s="507">
        <v>571.72</v>
      </c>
      <c r="AE4" s="507">
        <f t="shared" ref="AE4:AE26" si="1">SUM(C4:F4)</f>
        <v>784.48799999999994</v>
      </c>
      <c r="AF4" s="507">
        <f t="shared" ref="AF4:AF26" si="2">SUM(G4:J4)</f>
        <v>967.30100000000004</v>
      </c>
      <c r="AG4" s="507">
        <f t="shared" ref="AG4:AH26" si="3">SUM(K4:N4)</f>
        <v>836.43200000000002</v>
      </c>
      <c r="AH4" s="507"/>
      <c r="AI4" s="507"/>
      <c r="AJ4" s="507"/>
      <c r="AK4" s="507"/>
      <c r="AL4" s="507"/>
      <c r="AM4" s="507"/>
      <c r="AN4" s="507"/>
      <c r="AO4" s="507"/>
      <c r="AP4" s="507"/>
      <c r="AQ4" s="507"/>
      <c r="AR4" s="507"/>
      <c r="AS4" s="507"/>
      <c r="AT4" s="507"/>
      <c r="AU4" s="507"/>
      <c r="AV4" s="507"/>
      <c r="AW4" s="507"/>
      <c r="AX4" s="507"/>
      <c r="AY4" s="507"/>
      <c r="AZ4" s="507"/>
      <c r="BA4" s="507"/>
      <c r="BB4" s="507"/>
      <c r="BC4" s="507"/>
      <c r="BD4" s="507"/>
      <c r="BE4" s="507"/>
    </row>
    <row r="5" spans="1:57">
      <c r="A5" s="554" t="s">
        <v>1036</v>
      </c>
      <c r="B5" s="554"/>
      <c r="C5" s="507">
        <v>60.850999999999999</v>
      </c>
      <c r="D5" s="507">
        <v>102.46899999999999</v>
      </c>
      <c r="E5" s="507">
        <v>131.69999999999999</v>
      </c>
      <c r="F5" s="507">
        <v>144.845</v>
      </c>
      <c r="G5" s="508">
        <v>109.91800000000001</v>
      </c>
      <c r="H5" s="507">
        <v>94.471000000000004</v>
      </c>
      <c r="I5" s="507">
        <v>115.11499999999999</v>
      </c>
      <c r="J5" s="508">
        <v>84.147000000000006</v>
      </c>
      <c r="K5" s="507">
        <v>59.386000000000003</v>
      </c>
      <c r="L5" s="508">
        <v>60.165999999999997</v>
      </c>
      <c r="M5" s="508">
        <v>58.481000000000002</v>
      </c>
      <c r="N5" s="508">
        <v>49.658999999999999</v>
      </c>
      <c r="O5" s="509">
        <v>75.2</v>
      </c>
      <c r="P5" s="507"/>
      <c r="Q5" s="507"/>
      <c r="R5" s="507"/>
      <c r="S5" s="507"/>
      <c r="T5" s="507"/>
      <c r="U5" s="507"/>
      <c r="V5" s="507"/>
      <c r="W5" s="507"/>
      <c r="X5" s="507"/>
      <c r="Y5" s="507">
        <v>211.911</v>
      </c>
      <c r="Z5" s="507">
        <v>245.101</v>
      </c>
      <c r="AA5" s="507">
        <v>314.36200000000002</v>
      </c>
      <c r="AB5" s="507">
        <v>112.14700000000001</v>
      </c>
      <c r="AC5" s="507">
        <v>121.282</v>
      </c>
      <c r="AD5" s="507">
        <v>129.19300000000001</v>
      </c>
      <c r="AE5" s="507">
        <f t="shared" si="1"/>
        <v>439.86500000000001</v>
      </c>
      <c r="AF5" s="507">
        <f t="shared" si="2"/>
        <v>403.65100000000001</v>
      </c>
      <c r="AG5" s="507">
        <f t="shared" si="3"/>
        <v>227.69199999999998</v>
      </c>
      <c r="AH5" s="507"/>
      <c r="AI5" s="507"/>
      <c r="AJ5" s="507"/>
      <c r="AK5" s="507"/>
      <c r="AL5" s="507"/>
      <c r="AM5" s="507"/>
      <c r="AN5" s="507"/>
      <c r="AO5" s="507"/>
      <c r="AP5" s="507"/>
      <c r="AQ5" s="507"/>
      <c r="AR5" s="507"/>
      <c r="AS5" s="507"/>
      <c r="AT5" s="507"/>
      <c r="AU5" s="507"/>
      <c r="AV5" s="507"/>
      <c r="AW5" s="507"/>
      <c r="AX5" s="507"/>
      <c r="AY5" s="507"/>
      <c r="AZ5" s="507"/>
      <c r="BA5" s="507"/>
      <c r="BB5" s="507"/>
      <c r="BC5" s="507"/>
      <c r="BD5" s="507"/>
      <c r="BE5" s="507"/>
    </row>
    <row r="6" spans="1:57">
      <c r="A6" s="554" t="s">
        <v>1037</v>
      </c>
      <c r="B6" s="554"/>
      <c r="C6" s="507">
        <v>46.048000000000002</v>
      </c>
      <c r="D6" s="507">
        <v>83.085999999999999</v>
      </c>
      <c r="E6" s="507">
        <v>138.05199999999999</v>
      </c>
      <c r="F6" s="507">
        <v>117.11499999999999</v>
      </c>
      <c r="G6" s="508">
        <v>79.272000000000006</v>
      </c>
      <c r="H6" s="507">
        <v>80.801000000000002</v>
      </c>
      <c r="I6" s="507">
        <v>82.858999999999995</v>
      </c>
      <c r="J6" s="508">
        <v>67.191000000000003</v>
      </c>
      <c r="K6" s="507">
        <v>66.584999999999994</v>
      </c>
      <c r="L6" s="508">
        <v>54.203000000000003</v>
      </c>
      <c r="M6" s="508">
        <v>65.156999999999996</v>
      </c>
      <c r="N6" s="508">
        <v>68.429000000000002</v>
      </c>
      <c r="O6" s="509">
        <v>70.335999999999999</v>
      </c>
      <c r="P6" s="507"/>
      <c r="Q6" s="507"/>
      <c r="R6" s="507"/>
      <c r="S6" s="507"/>
      <c r="T6" s="507"/>
      <c r="U6" s="507"/>
      <c r="V6" s="507"/>
      <c r="W6" s="507"/>
      <c r="X6" s="507"/>
      <c r="Y6" s="507">
        <v>62.215000000000003</v>
      </c>
      <c r="Z6" s="507">
        <v>89.322000000000003</v>
      </c>
      <c r="AA6" s="507">
        <v>127.009</v>
      </c>
      <c r="AB6" s="507">
        <v>107.94199999999999</v>
      </c>
      <c r="AC6" s="507">
        <v>128.315</v>
      </c>
      <c r="AD6" s="507">
        <v>135.309</v>
      </c>
      <c r="AE6" s="507">
        <f t="shared" si="1"/>
        <v>384.30100000000004</v>
      </c>
      <c r="AF6" s="507">
        <f t="shared" si="2"/>
        <v>310.12300000000005</v>
      </c>
      <c r="AG6" s="507">
        <f t="shared" si="3"/>
        <v>254.374</v>
      </c>
      <c r="AH6" s="507"/>
      <c r="AI6" s="507"/>
      <c r="AJ6" s="507"/>
      <c r="AK6" s="507"/>
      <c r="AL6" s="507"/>
      <c r="AM6" s="507"/>
      <c r="AN6" s="507"/>
      <c r="AO6" s="507"/>
      <c r="AP6" s="507"/>
      <c r="AQ6" s="507"/>
      <c r="AR6" s="507"/>
      <c r="AS6" s="507"/>
      <c r="AT6" s="507"/>
      <c r="AU6" s="507"/>
      <c r="AV6" s="507"/>
      <c r="AW6" s="507"/>
      <c r="AX6" s="507"/>
      <c r="AY6" s="507"/>
      <c r="AZ6" s="507"/>
      <c r="BA6" s="507"/>
      <c r="BB6" s="507"/>
      <c r="BC6" s="507"/>
      <c r="BD6" s="507"/>
      <c r="BE6" s="507"/>
    </row>
    <row r="7" spans="1:57">
      <c r="A7" s="554" t="s">
        <v>1038</v>
      </c>
      <c r="B7" s="554"/>
      <c r="C7" s="507">
        <v>181.90299999999999</v>
      </c>
      <c r="D7" s="507">
        <v>297.71100000000001</v>
      </c>
      <c r="E7" s="507">
        <v>436.42599999999999</v>
      </c>
      <c r="F7" s="507">
        <v>322.96499999999997</v>
      </c>
      <c r="G7" s="508">
        <v>335.39699999999999</v>
      </c>
      <c r="H7" s="507">
        <v>330.77699999999999</v>
      </c>
      <c r="I7" s="507">
        <v>469.28199999999998</v>
      </c>
      <c r="J7" s="508">
        <v>316.42700000000002</v>
      </c>
      <c r="K7" s="507">
        <v>282.80599999999998</v>
      </c>
      <c r="L7" s="508">
        <v>297.67599999999999</v>
      </c>
      <c r="M7" s="508">
        <v>391.97500000000002</v>
      </c>
      <c r="N7" s="508">
        <v>239.02799999999999</v>
      </c>
      <c r="O7" s="509">
        <v>266.42899999999997</v>
      </c>
      <c r="P7" s="507"/>
      <c r="Q7" s="507"/>
      <c r="R7" s="507"/>
      <c r="S7" s="507"/>
      <c r="T7" s="507"/>
      <c r="U7" s="507"/>
      <c r="V7" s="507"/>
      <c r="W7" s="507"/>
      <c r="X7" s="507"/>
      <c r="Y7" s="507">
        <v>68.06</v>
      </c>
      <c r="Z7" s="507">
        <v>59.075000000000003</v>
      </c>
      <c r="AA7" s="507">
        <v>65.510000000000005</v>
      </c>
      <c r="AB7" s="507">
        <v>182.71700000000001</v>
      </c>
      <c r="AC7" s="507">
        <v>648.13</v>
      </c>
      <c r="AD7" s="507">
        <v>690.17399999999998</v>
      </c>
      <c r="AE7" s="507">
        <f t="shared" si="1"/>
        <v>1239.0049999999999</v>
      </c>
      <c r="AF7" s="507">
        <f t="shared" si="2"/>
        <v>1451.8829999999998</v>
      </c>
      <c r="AG7" s="507">
        <f t="shared" si="3"/>
        <v>1211.4849999999999</v>
      </c>
      <c r="AH7" s="507"/>
      <c r="AI7" s="507"/>
      <c r="AJ7" s="507"/>
      <c r="AK7" s="507"/>
      <c r="AL7" s="507"/>
      <c r="AM7" s="507"/>
      <c r="AN7" s="507"/>
      <c r="AO7" s="507"/>
      <c r="AP7" s="507"/>
      <c r="AQ7" s="507"/>
      <c r="AR7" s="507"/>
      <c r="AS7" s="507"/>
      <c r="AT7" s="507"/>
      <c r="AU7" s="507"/>
      <c r="AV7" s="507"/>
      <c r="AW7" s="507"/>
      <c r="AX7" s="507"/>
      <c r="AY7" s="507"/>
      <c r="AZ7" s="507"/>
      <c r="BA7" s="507"/>
      <c r="BB7" s="507"/>
      <c r="BC7" s="507"/>
      <c r="BD7" s="507"/>
      <c r="BE7" s="507"/>
    </row>
    <row r="8" spans="1:57">
      <c r="A8" s="554" t="s">
        <v>1039</v>
      </c>
      <c r="B8" s="554"/>
      <c r="C8" s="507">
        <v>130.07400000000001</v>
      </c>
      <c r="D8" s="507">
        <v>236.70400000000001</v>
      </c>
      <c r="E8" s="507">
        <v>292.5</v>
      </c>
      <c r="F8" s="507">
        <v>385.65699999999998</v>
      </c>
      <c r="G8" s="508">
        <v>234.88499999999999</v>
      </c>
      <c r="H8" s="507">
        <v>231.65299999999999</v>
      </c>
      <c r="I8" s="507">
        <v>287.18700000000001</v>
      </c>
      <c r="J8" s="508">
        <v>243.43899999999999</v>
      </c>
      <c r="K8" s="507">
        <v>246.24199999999999</v>
      </c>
      <c r="L8" s="508">
        <v>236.18</v>
      </c>
      <c r="M8" s="508">
        <v>226.374</v>
      </c>
      <c r="N8" s="508">
        <v>178.721</v>
      </c>
      <c r="O8" s="509">
        <f>139.346</f>
        <v>139.346</v>
      </c>
      <c r="P8" s="507"/>
      <c r="Q8" s="507"/>
      <c r="R8" s="507"/>
      <c r="S8" s="507"/>
      <c r="T8" s="507"/>
      <c r="U8" s="507"/>
      <c r="V8" s="507"/>
      <c r="W8" s="507"/>
      <c r="X8" s="507"/>
      <c r="Y8" s="507">
        <v>487.21</v>
      </c>
      <c r="Z8" s="507">
        <v>492.54300000000001</v>
      </c>
      <c r="AA8" s="507">
        <v>501.56200000000001</v>
      </c>
      <c r="AB8" s="507">
        <v>314.81700000000001</v>
      </c>
      <c r="AC8" s="507">
        <v>259.52100000000002</v>
      </c>
      <c r="AD8" s="507">
        <v>365.61599999999999</v>
      </c>
      <c r="AE8" s="507">
        <f t="shared" si="1"/>
        <v>1044.9349999999999</v>
      </c>
      <c r="AF8" s="507">
        <f t="shared" si="2"/>
        <v>997.16399999999999</v>
      </c>
      <c r="AG8" s="507">
        <f t="shared" si="3"/>
        <v>887.51700000000005</v>
      </c>
      <c r="AH8" s="507"/>
      <c r="AI8" s="507"/>
      <c r="AJ8" s="507"/>
      <c r="AK8" s="507"/>
      <c r="AL8" s="507"/>
      <c r="AM8" s="507"/>
      <c r="AN8" s="507"/>
      <c r="AO8" s="507"/>
      <c r="AP8" s="507"/>
      <c r="AQ8" s="507"/>
      <c r="AR8" s="507"/>
      <c r="AS8" s="507"/>
      <c r="AT8" s="507"/>
      <c r="AU8" s="507"/>
      <c r="AV8" s="507"/>
      <c r="AW8" s="507"/>
      <c r="AX8" s="507"/>
      <c r="AY8" s="507"/>
      <c r="AZ8" s="507"/>
      <c r="BA8" s="507"/>
      <c r="BB8" s="507"/>
      <c r="BC8" s="507"/>
      <c r="BD8" s="507"/>
      <c r="BE8" s="507"/>
    </row>
    <row r="9" spans="1:57">
      <c r="A9" s="554" t="s">
        <v>1040</v>
      </c>
      <c r="B9" s="554"/>
      <c r="C9" s="507">
        <v>29.009</v>
      </c>
      <c r="D9" s="507">
        <v>43.581000000000003</v>
      </c>
      <c r="E9" s="507">
        <v>72.566000000000003</v>
      </c>
      <c r="F9" s="507">
        <v>29.739000000000001</v>
      </c>
      <c r="G9" s="508">
        <v>28.484000000000002</v>
      </c>
      <c r="H9" s="507">
        <v>39.491999999999997</v>
      </c>
      <c r="I9" s="507">
        <v>56.747999999999998</v>
      </c>
      <c r="J9" s="508">
        <v>25.058</v>
      </c>
      <c r="K9" s="507">
        <v>22.31</v>
      </c>
      <c r="L9" s="508">
        <v>39.195</v>
      </c>
      <c r="M9" s="508">
        <v>38.320999999999998</v>
      </c>
      <c r="N9" s="508">
        <v>11.823</v>
      </c>
      <c r="O9" s="509">
        <v>31.029</v>
      </c>
      <c r="P9" s="507"/>
      <c r="Q9" s="507"/>
      <c r="R9" s="507"/>
      <c r="S9" s="507"/>
      <c r="T9" s="507"/>
      <c r="U9" s="507"/>
      <c r="V9" s="507"/>
      <c r="W9" s="507"/>
      <c r="X9" s="507"/>
      <c r="Y9" s="507">
        <v>426.11700000000002</v>
      </c>
      <c r="Z9" s="507">
        <v>430.19</v>
      </c>
      <c r="AA9" s="507">
        <v>480.31200000000001</v>
      </c>
      <c r="AB9" s="507">
        <v>252.33</v>
      </c>
      <c r="AC9" s="507">
        <v>230.37799999999999</v>
      </c>
      <c r="AD9" s="507">
        <v>221.791</v>
      </c>
      <c r="AE9" s="507">
        <f t="shared" si="1"/>
        <v>174.89500000000001</v>
      </c>
      <c r="AF9" s="507">
        <f t="shared" si="2"/>
        <v>149.78199999999998</v>
      </c>
      <c r="AG9" s="507">
        <f t="shared" si="3"/>
        <v>111.649</v>
      </c>
      <c r="AH9" s="507"/>
      <c r="AI9" s="507"/>
      <c r="AJ9" s="507"/>
      <c r="AK9" s="507"/>
      <c r="AL9" s="507"/>
      <c r="AM9" s="507"/>
      <c r="AN9" s="507"/>
      <c r="AO9" s="507"/>
      <c r="AP9" s="507"/>
      <c r="AQ9" s="507"/>
      <c r="AR9" s="507"/>
      <c r="AS9" s="507"/>
      <c r="AT9" s="507"/>
      <c r="AU9" s="507"/>
      <c r="AV9" s="507"/>
      <c r="AW9" s="507"/>
      <c r="AX9" s="507"/>
      <c r="AY9" s="507"/>
      <c r="AZ9" s="507"/>
      <c r="BA9" s="507"/>
      <c r="BB9" s="507"/>
      <c r="BC9" s="507"/>
      <c r="BD9" s="507"/>
      <c r="BE9" s="507"/>
    </row>
    <row r="10" spans="1:57">
      <c r="A10" s="554" t="s">
        <v>1041</v>
      </c>
      <c r="B10" s="554"/>
      <c r="C10" s="507">
        <v>71.364999999999995</v>
      </c>
      <c r="D10" s="507">
        <v>114.27500000000001</v>
      </c>
      <c r="E10" s="507">
        <v>152.952</v>
      </c>
      <c r="F10" s="507">
        <v>130.184</v>
      </c>
      <c r="G10" s="508">
        <v>116.607</v>
      </c>
      <c r="H10" s="507">
        <v>98.078000000000003</v>
      </c>
      <c r="I10" s="507">
        <v>104.28</v>
      </c>
      <c r="J10" s="508">
        <v>82.459000000000003</v>
      </c>
      <c r="K10" s="507">
        <v>69.445999999999998</v>
      </c>
      <c r="L10" s="508">
        <v>73.271000000000001</v>
      </c>
      <c r="M10" s="508">
        <v>69.103999999999999</v>
      </c>
      <c r="N10" s="508">
        <v>62.41</v>
      </c>
      <c r="O10" s="509">
        <v>36.85</v>
      </c>
      <c r="P10" s="507"/>
      <c r="Q10" s="507"/>
      <c r="R10" s="507"/>
      <c r="S10" s="507"/>
      <c r="T10" s="507"/>
      <c r="U10" s="507"/>
      <c r="V10" s="507"/>
      <c r="W10" s="507"/>
      <c r="X10" s="507"/>
      <c r="Y10" s="507">
        <v>140.994</v>
      </c>
      <c r="Z10" s="507">
        <v>103.886</v>
      </c>
      <c r="AA10" s="507">
        <v>76.879000000000005</v>
      </c>
      <c r="AB10" s="507">
        <v>491.995</v>
      </c>
      <c r="AC10" s="507">
        <v>277.42899999999997</v>
      </c>
      <c r="AD10" s="507">
        <v>273.75200000000001</v>
      </c>
      <c r="AE10" s="507">
        <f t="shared" si="1"/>
        <v>468.77599999999995</v>
      </c>
      <c r="AF10" s="507">
        <f t="shared" si="2"/>
        <v>401.42400000000004</v>
      </c>
      <c r="AG10" s="507">
        <f t="shared" si="3"/>
        <v>274.23099999999999</v>
      </c>
      <c r="AH10" s="507"/>
      <c r="AI10" s="507"/>
      <c r="AJ10" s="507"/>
      <c r="AK10" s="507"/>
      <c r="AL10" s="507"/>
      <c r="AM10" s="507"/>
      <c r="AN10" s="507"/>
      <c r="AO10" s="507"/>
      <c r="AP10" s="507"/>
      <c r="AQ10" s="507"/>
      <c r="AR10" s="507"/>
      <c r="AS10" s="507"/>
      <c r="AT10" s="507"/>
      <c r="AU10" s="507"/>
      <c r="AV10" s="507"/>
      <c r="AW10" s="507"/>
      <c r="AX10" s="507"/>
      <c r="AY10" s="507"/>
      <c r="AZ10" s="507"/>
      <c r="BA10" s="507"/>
      <c r="BB10" s="507"/>
      <c r="BC10" s="507"/>
      <c r="BD10" s="507"/>
      <c r="BE10" s="507"/>
    </row>
    <row r="11" spans="1:57">
      <c r="A11" s="501" t="s">
        <v>1042</v>
      </c>
      <c r="C11" s="507">
        <v>6.81</v>
      </c>
      <c r="D11" s="507">
        <v>8.5730000000000004</v>
      </c>
      <c r="E11" s="507">
        <v>10.593</v>
      </c>
      <c r="F11" s="507">
        <v>8.4179999999999993</v>
      </c>
      <c r="G11" s="508"/>
      <c r="H11" s="507"/>
      <c r="I11" s="507"/>
      <c r="J11" s="508"/>
      <c r="K11" s="507"/>
      <c r="L11" s="508"/>
      <c r="M11" s="508"/>
      <c r="N11" s="508"/>
      <c r="O11" s="509"/>
      <c r="P11" s="507"/>
      <c r="Q11" s="507"/>
      <c r="R11" s="507"/>
      <c r="S11" s="507"/>
      <c r="T11" s="507"/>
      <c r="U11" s="507"/>
      <c r="V11" s="507"/>
      <c r="W11" s="507"/>
      <c r="X11" s="507"/>
      <c r="Y11" s="507">
        <v>96.68</v>
      </c>
      <c r="Z11" s="507">
        <v>98.641000000000005</v>
      </c>
      <c r="AA11" s="507">
        <v>107.087</v>
      </c>
      <c r="AB11" s="507">
        <v>89.373000000000005</v>
      </c>
      <c r="AC11" s="507">
        <v>49.344000000000001</v>
      </c>
      <c r="AD11" s="507">
        <v>43.404000000000003</v>
      </c>
      <c r="AE11" s="507">
        <f t="shared" si="1"/>
        <v>34.393999999999998</v>
      </c>
      <c r="AF11" s="507">
        <f t="shared" si="2"/>
        <v>0</v>
      </c>
      <c r="AG11" s="507">
        <f t="shared" si="3"/>
        <v>0</v>
      </c>
      <c r="AH11" s="507"/>
      <c r="AI11" s="507"/>
      <c r="AJ11" s="507"/>
      <c r="AK11" s="507"/>
      <c r="AL11" s="507"/>
      <c r="AM11" s="507"/>
      <c r="AN11" s="507"/>
      <c r="AO11" s="507"/>
      <c r="AP11" s="507"/>
      <c r="AQ11" s="507"/>
      <c r="AR11" s="507"/>
      <c r="AS11" s="507"/>
      <c r="AT11" s="507"/>
      <c r="AU11" s="507"/>
      <c r="AV11" s="507"/>
      <c r="AW11" s="507"/>
      <c r="AX11" s="507"/>
      <c r="AY11" s="507"/>
      <c r="AZ11" s="507"/>
      <c r="BA11" s="507"/>
      <c r="BB11" s="507"/>
      <c r="BC11" s="507"/>
      <c r="BD11" s="507"/>
      <c r="BE11" s="507"/>
    </row>
    <row r="12" spans="1:57">
      <c r="A12" s="554" t="s">
        <v>1043</v>
      </c>
      <c r="B12" s="554"/>
      <c r="C12" s="507">
        <v>5.0000000000000001E-3</v>
      </c>
      <c r="D12" s="507">
        <v>2.0999999999999999E-3</v>
      </c>
      <c r="E12" s="507">
        <v>0.60599999999999998</v>
      </c>
      <c r="F12" s="507">
        <v>8.1000000000000003E-2</v>
      </c>
      <c r="G12" s="508">
        <v>6.26</v>
      </c>
      <c r="H12" s="507">
        <v>5.7089999999999996</v>
      </c>
      <c r="I12" s="507">
        <v>4.6130000000000004</v>
      </c>
      <c r="J12" s="508">
        <v>2.0830000000000002</v>
      </c>
      <c r="K12" s="507">
        <v>2.0870000000000002</v>
      </c>
      <c r="L12" s="508">
        <v>2.2069999999999999</v>
      </c>
      <c r="M12" s="508">
        <v>1.3480000000000001</v>
      </c>
      <c r="N12" s="508">
        <v>1.4390000000000001</v>
      </c>
      <c r="O12" s="509"/>
      <c r="P12" s="507"/>
      <c r="Q12" s="507"/>
      <c r="R12" s="507"/>
      <c r="S12" s="507"/>
      <c r="T12" s="507"/>
      <c r="U12" s="507"/>
      <c r="V12" s="507"/>
      <c r="W12" s="507"/>
      <c r="X12" s="507"/>
      <c r="Y12" s="507">
        <v>2.7250000000000001</v>
      </c>
      <c r="Z12" s="507">
        <v>2.57</v>
      </c>
      <c r="AA12" s="507">
        <v>1.2949999999999999</v>
      </c>
      <c r="AB12" s="507">
        <v>0.433</v>
      </c>
      <c r="AC12" s="507">
        <v>0.41399999999999998</v>
      </c>
      <c r="AD12" s="507">
        <v>0.373</v>
      </c>
      <c r="AE12" s="507">
        <f t="shared" si="1"/>
        <v>0.69409999999999994</v>
      </c>
      <c r="AF12" s="507">
        <f t="shared" si="2"/>
        <v>18.664999999999999</v>
      </c>
      <c r="AG12" s="507">
        <f t="shared" si="3"/>
        <v>7.0810000000000004</v>
      </c>
      <c r="AH12" s="507"/>
      <c r="AI12" s="507"/>
      <c r="AJ12" s="507"/>
      <c r="AK12" s="507"/>
      <c r="AL12" s="507"/>
      <c r="AM12" s="507"/>
      <c r="AN12" s="507"/>
      <c r="AO12" s="507"/>
      <c r="AP12" s="507"/>
      <c r="AQ12" s="507"/>
      <c r="AR12" s="507"/>
      <c r="AS12" s="507"/>
      <c r="AT12" s="507"/>
      <c r="AU12" s="507"/>
      <c r="AV12" s="507"/>
      <c r="AW12" s="507"/>
      <c r="AX12" s="507"/>
      <c r="AY12" s="507"/>
      <c r="AZ12" s="507"/>
      <c r="BA12" s="507"/>
      <c r="BB12" s="507"/>
      <c r="BC12" s="507"/>
      <c r="BD12" s="507"/>
      <c r="BE12" s="507"/>
    </row>
    <row r="13" spans="1:57">
      <c r="A13" s="556" t="s">
        <v>845</v>
      </c>
      <c r="B13" s="556"/>
      <c r="C13" s="511">
        <f t="shared" ref="C13:O13" si="4">SUM(C3:C12)</f>
        <v>791.89399999999989</v>
      </c>
      <c r="D13" s="511">
        <f t="shared" si="4"/>
        <v>1257.1391000000001</v>
      </c>
      <c r="E13" s="511">
        <f t="shared" si="4"/>
        <v>1667.3020000000001</v>
      </c>
      <c r="F13" s="511">
        <f t="shared" si="4"/>
        <v>1535.9249999999997</v>
      </c>
      <c r="G13" s="511">
        <f t="shared" si="4"/>
        <v>1312.058</v>
      </c>
      <c r="H13" s="507">
        <f t="shared" si="4"/>
        <v>1306.2670000000001</v>
      </c>
      <c r="I13" s="507">
        <f t="shared" si="4"/>
        <v>1632.7820000000002</v>
      </c>
      <c r="J13" s="508">
        <f t="shared" si="4"/>
        <v>1229.9940000000001</v>
      </c>
      <c r="K13" s="508">
        <f t="shared" si="4"/>
        <v>1159.8649999999998</v>
      </c>
      <c r="L13" s="508">
        <f t="shared" si="4"/>
        <v>1148.951</v>
      </c>
      <c r="M13" s="508">
        <f t="shared" si="4"/>
        <v>1269.925</v>
      </c>
      <c r="N13" s="508">
        <f t="shared" si="4"/>
        <v>960.07699999999988</v>
      </c>
      <c r="O13" s="512">
        <f t="shared" si="4"/>
        <v>974.49899999999991</v>
      </c>
      <c r="P13" s="507">
        <v>1057.008</v>
      </c>
      <c r="Q13" s="507">
        <v>1255.473</v>
      </c>
      <c r="R13" s="507">
        <v>1011.487</v>
      </c>
      <c r="S13" s="507">
        <v>1088.2170000000001</v>
      </c>
      <c r="T13" s="507"/>
      <c r="U13" s="507"/>
      <c r="V13" s="507"/>
      <c r="W13" s="507"/>
      <c r="X13" s="507"/>
      <c r="Y13" s="507">
        <f>SUM(Y3:Y12)+117.462</f>
        <v>2004.9079999999999</v>
      </c>
      <c r="Z13" s="507">
        <f>SUM(Z3:Z12)+71.041</f>
        <v>2018.1</v>
      </c>
      <c r="AA13" s="507">
        <f>SUM(AA3:AA12)</f>
        <v>2221.4270000000001</v>
      </c>
      <c r="AB13" s="507">
        <f>SUM(AB3:AB12)</f>
        <v>2566.8629999999998</v>
      </c>
      <c r="AC13" s="507">
        <f>SUM(AC3:AC12)</f>
        <v>2788.3220000000006</v>
      </c>
      <c r="AD13" s="507">
        <f>SUM(AD3:AD12)</f>
        <v>2975.8510000000001</v>
      </c>
      <c r="AE13" s="507">
        <f t="shared" si="1"/>
        <v>5252.2600999999995</v>
      </c>
      <c r="AF13" s="507">
        <f t="shared" si="2"/>
        <v>5481.1010000000006</v>
      </c>
      <c r="AG13" s="507">
        <f t="shared" si="3"/>
        <v>4538.8180000000002</v>
      </c>
      <c r="AH13" s="507">
        <f>SUM(O13:R13)</f>
        <v>4298.4669999999996</v>
      </c>
      <c r="AI13" s="507"/>
      <c r="AJ13" s="507"/>
      <c r="AK13" s="507"/>
      <c r="AL13" s="507"/>
      <c r="AM13" s="507"/>
      <c r="AN13" s="507"/>
      <c r="AO13" s="507"/>
      <c r="AP13" s="507"/>
      <c r="AQ13" s="507"/>
      <c r="AR13" s="507"/>
      <c r="AS13" s="507"/>
      <c r="AT13" s="507"/>
      <c r="AU13" s="507"/>
      <c r="AV13" s="507"/>
      <c r="AW13" s="507"/>
      <c r="AX13" s="507"/>
      <c r="AY13" s="507"/>
      <c r="AZ13" s="507"/>
      <c r="BA13" s="507"/>
      <c r="BB13" s="507"/>
      <c r="BC13" s="507"/>
      <c r="BD13" s="507"/>
      <c r="BE13" s="507"/>
    </row>
    <row r="14" spans="1:57">
      <c r="A14" s="554" t="s">
        <v>1044</v>
      </c>
      <c r="B14" s="554"/>
      <c r="C14" s="507">
        <v>482.63799999999998</v>
      </c>
      <c r="D14" s="507">
        <v>684.59900000000005</v>
      </c>
      <c r="E14" s="507">
        <v>914.851</v>
      </c>
      <c r="F14" s="507">
        <v>821.12699999999995</v>
      </c>
      <c r="G14" s="508">
        <v>739.06600000000003</v>
      </c>
      <c r="H14" s="507">
        <v>760.26800000000003</v>
      </c>
      <c r="I14" s="507">
        <v>971.64599999999996</v>
      </c>
      <c r="J14" s="508">
        <v>733.09199999999998</v>
      </c>
      <c r="K14" s="508">
        <v>697.22</v>
      </c>
      <c r="L14" s="508">
        <v>707.02599999999995</v>
      </c>
      <c r="M14" s="508">
        <v>789.48900000000003</v>
      </c>
      <c r="N14" s="508">
        <v>612.70299999999997</v>
      </c>
      <c r="O14" s="509">
        <v>595.71199999999999</v>
      </c>
      <c r="P14" s="507">
        <v>615.40300000000002</v>
      </c>
      <c r="Q14" s="507">
        <v>726.25199999999995</v>
      </c>
      <c r="R14" s="507">
        <v>572.05100000000004</v>
      </c>
      <c r="S14" s="507">
        <v>619.51700000000005</v>
      </c>
      <c r="T14" s="507"/>
      <c r="U14" s="507"/>
      <c r="V14" s="507"/>
      <c r="W14" s="507"/>
      <c r="X14" s="507"/>
      <c r="Y14" s="507">
        <v>1299.451</v>
      </c>
      <c r="Z14" s="507">
        <v>1337.0530000000001</v>
      </c>
      <c r="AA14" s="507">
        <v>1395.211</v>
      </c>
      <c r="AB14" s="507">
        <v>1648.7439999999999</v>
      </c>
      <c r="AC14" s="507">
        <v>1737.9690000000001</v>
      </c>
      <c r="AD14" s="507">
        <v>1838.6849999999999</v>
      </c>
      <c r="AE14" s="507">
        <f t="shared" si="1"/>
        <v>2903.2150000000001</v>
      </c>
      <c r="AF14" s="507">
        <f t="shared" si="2"/>
        <v>3204.0720000000001</v>
      </c>
      <c r="AG14" s="507">
        <f t="shared" si="3"/>
        <v>2806.4380000000001</v>
      </c>
      <c r="AH14" s="507">
        <f t="shared" si="3"/>
        <v>2704.93</v>
      </c>
      <c r="AI14" s="507"/>
      <c r="AJ14" s="507"/>
      <c r="AK14" s="507"/>
      <c r="AL14" s="507"/>
      <c r="AM14" s="507"/>
      <c r="AN14" s="507"/>
      <c r="AO14" s="507"/>
      <c r="AP14" s="507"/>
      <c r="AQ14" s="507"/>
      <c r="AR14" s="507"/>
      <c r="AS14" s="507"/>
      <c r="AT14" s="507"/>
      <c r="AU14" s="507"/>
      <c r="AV14" s="507"/>
      <c r="AW14" s="507"/>
      <c r="AX14" s="507"/>
      <c r="AY14" s="507"/>
      <c r="AZ14" s="507"/>
      <c r="BA14" s="507"/>
      <c r="BB14" s="507"/>
      <c r="BC14" s="507"/>
      <c r="BD14" s="507"/>
      <c r="BE14" s="507"/>
    </row>
    <row r="15" spans="1:57">
      <c r="A15" s="554" t="s">
        <v>1045</v>
      </c>
      <c r="B15" s="554"/>
      <c r="C15" s="507">
        <v>3.5230000000000001</v>
      </c>
      <c r="D15" s="507">
        <v>2.8359999999999999</v>
      </c>
      <c r="E15" s="507">
        <v>3.4409999999999998</v>
      </c>
      <c r="F15" s="507">
        <v>3.5289999999999999</v>
      </c>
      <c r="G15" s="508">
        <v>4.0659999999999998</v>
      </c>
      <c r="H15" s="507">
        <v>3.8359999999999999</v>
      </c>
      <c r="I15" s="507">
        <v>3.1259999999999999</v>
      </c>
      <c r="J15" s="508">
        <v>2.9950000000000001</v>
      </c>
      <c r="K15" s="508">
        <v>3.0419999999999998</v>
      </c>
      <c r="L15" s="508">
        <v>3.145</v>
      </c>
      <c r="M15" s="508">
        <v>3.1680000000000001</v>
      </c>
      <c r="N15" s="508">
        <v>3.51</v>
      </c>
      <c r="O15" s="509">
        <v>3.145</v>
      </c>
      <c r="P15" s="507">
        <v>2.9830000000000001</v>
      </c>
      <c r="Q15" s="507">
        <v>2.4409999999999998</v>
      </c>
      <c r="R15" s="507">
        <v>2.4590000000000001</v>
      </c>
      <c r="S15" s="507">
        <v>2.4420000000000002</v>
      </c>
      <c r="T15" s="507"/>
      <c r="U15" s="507"/>
      <c r="V15" s="507"/>
      <c r="W15" s="507"/>
      <c r="X15" s="507"/>
      <c r="Y15" s="507">
        <v>0</v>
      </c>
      <c r="Z15" s="507">
        <v>0</v>
      </c>
      <c r="AA15" s="507">
        <v>6.1749999999999998</v>
      </c>
      <c r="AB15" s="507">
        <v>8.8780000000000001</v>
      </c>
      <c r="AC15" s="507">
        <v>13.342000000000001</v>
      </c>
      <c r="AD15" s="507">
        <v>14.785</v>
      </c>
      <c r="AE15" s="507">
        <f t="shared" si="1"/>
        <v>13.329000000000001</v>
      </c>
      <c r="AF15" s="507">
        <f t="shared" si="2"/>
        <v>14.023</v>
      </c>
      <c r="AG15" s="507">
        <f t="shared" si="3"/>
        <v>12.865</v>
      </c>
      <c r="AH15" s="507">
        <f t="shared" si="3"/>
        <v>12.968</v>
      </c>
      <c r="AI15" s="507"/>
      <c r="AJ15" s="507"/>
      <c r="AK15" s="507"/>
      <c r="AL15" s="507"/>
      <c r="AM15" s="507"/>
      <c r="AN15" s="507"/>
      <c r="AO15" s="507"/>
      <c r="AP15" s="507"/>
      <c r="AQ15" s="507"/>
      <c r="AR15" s="507"/>
      <c r="AS15" s="507"/>
      <c r="AT15" s="507"/>
      <c r="AU15" s="507"/>
      <c r="AV15" s="507"/>
      <c r="AW15" s="507"/>
      <c r="AX15" s="507"/>
      <c r="AY15" s="507"/>
      <c r="AZ15" s="507"/>
      <c r="BA15" s="507"/>
      <c r="BB15" s="507"/>
      <c r="BC15" s="507"/>
      <c r="BD15" s="507"/>
      <c r="BE15" s="507"/>
    </row>
    <row r="16" spans="1:57">
      <c r="A16" s="554" t="s">
        <v>1046</v>
      </c>
      <c r="B16" s="554"/>
      <c r="C16" s="508">
        <f t="shared" ref="C16:N16" si="5">C13-C14-C15</f>
        <v>305.73299999999989</v>
      </c>
      <c r="D16" s="508">
        <f t="shared" si="5"/>
        <v>569.70410000000004</v>
      </c>
      <c r="E16" s="508">
        <f t="shared" si="5"/>
        <v>749.0100000000001</v>
      </c>
      <c r="F16" s="508">
        <f t="shared" si="5"/>
        <v>711.26899999999978</v>
      </c>
      <c r="G16" s="508">
        <f t="shared" si="5"/>
        <v>568.92599999999993</v>
      </c>
      <c r="H16" s="508">
        <f t="shared" si="5"/>
        <v>542.16300000000001</v>
      </c>
      <c r="I16" s="508">
        <f t="shared" si="5"/>
        <v>658.01000000000022</v>
      </c>
      <c r="J16" s="508">
        <f>J13-J14-J15</f>
        <v>493.90700000000015</v>
      </c>
      <c r="K16" s="508">
        <f t="shared" si="5"/>
        <v>459.60299999999978</v>
      </c>
      <c r="L16" s="508">
        <f t="shared" si="5"/>
        <v>438.78000000000009</v>
      </c>
      <c r="M16" s="508">
        <f t="shared" si="5"/>
        <v>477.26799999999992</v>
      </c>
      <c r="N16" s="508">
        <f t="shared" si="5"/>
        <v>343.86399999999992</v>
      </c>
      <c r="O16" s="509">
        <f>O13-O14-O15</f>
        <v>375.64199999999994</v>
      </c>
      <c r="P16" s="507">
        <f>P13-P14-P15</f>
        <v>438.62200000000001</v>
      </c>
      <c r="Q16" s="507">
        <v>526.78</v>
      </c>
      <c r="R16" s="507">
        <v>436.97699999999998</v>
      </c>
      <c r="S16" s="509">
        <f>S13-S14-S15</f>
        <v>466.25800000000004</v>
      </c>
      <c r="T16" s="507"/>
      <c r="U16" s="507"/>
      <c r="V16" s="507"/>
      <c r="W16" s="507"/>
      <c r="X16" s="507"/>
      <c r="Y16" s="507">
        <f>Y13-Y14</f>
        <v>705.45699999999988</v>
      </c>
      <c r="Z16" s="507">
        <f>Z13-Z14</f>
        <v>681.0469999999998</v>
      </c>
      <c r="AA16" s="507">
        <f>AA13-AA14-AA15</f>
        <v>820.04100000000017</v>
      </c>
      <c r="AB16" s="507">
        <f>AB13-AB14-AB15</f>
        <v>909.24099999999987</v>
      </c>
      <c r="AC16" s="507">
        <f>AC13-AC14-AC15</f>
        <v>1037.0110000000004</v>
      </c>
      <c r="AD16" s="507">
        <f>AD13-AD14-AD15</f>
        <v>1122.3810000000001</v>
      </c>
      <c r="AE16" s="507">
        <f>AE13-AE14-AE15</f>
        <v>2335.7160999999992</v>
      </c>
      <c r="AF16" s="507">
        <f t="shared" si="2"/>
        <v>2263.0060000000003</v>
      </c>
      <c r="AG16" s="507">
        <f t="shared" si="3"/>
        <v>1719.5149999999999</v>
      </c>
      <c r="AH16" s="507">
        <f t="shared" ref="AH16:AH26" si="6">SUM(O16:R16)</f>
        <v>1778.0209999999997</v>
      </c>
      <c r="AI16" s="507"/>
      <c r="AJ16" s="507"/>
      <c r="AK16" s="507"/>
      <c r="AL16" s="507"/>
      <c r="AM16" s="507"/>
      <c r="AN16" s="507"/>
      <c r="AO16" s="507"/>
      <c r="AP16" s="507"/>
      <c r="AQ16" s="507"/>
      <c r="AR16" s="507"/>
      <c r="AS16" s="507"/>
      <c r="AT16" s="507"/>
      <c r="AU16" s="507"/>
      <c r="AV16" s="507"/>
      <c r="AW16" s="507"/>
      <c r="AX16" s="507"/>
      <c r="AY16" s="507"/>
      <c r="AZ16" s="507"/>
      <c r="BA16" s="507"/>
      <c r="BB16" s="507"/>
      <c r="BC16" s="507"/>
      <c r="BD16" s="507"/>
      <c r="BE16" s="507"/>
    </row>
    <row r="17" spans="1:93">
      <c r="A17" s="554" t="s">
        <v>1047</v>
      </c>
      <c r="B17" s="554"/>
      <c r="C17" s="507">
        <v>133.238</v>
      </c>
      <c r="D17" s="507">
        <v>158.797</v>
      </c>
      <c r="E17" s="507">
        <v>204.48500000000001</v>
      </c>
      <c r="F17" s="507">
        <v>273.76400000000001</v>
      </c>
      <c r="G17" s="508">
        <v>252.31399999999999</v>
      </c>
      <c r="H17" s="507">
        <v>256.62700000000001</v>
      </c>
      <c r="I17" s="507">
        <v>269.94099999999997</v>
      </c>
      <c r="J17" s="508">
        <v>247.017</v>
      </c>
      <c r="K17" s="508">
        <v>229.37799999999999</v>
      </c>
      <c r="L17" s="508">
        <v>202.09100000000001</v>
      </c>
      <c r="M17" s="508">
        <v>196.65299999999999</v>
      </c>
      <c r="N17" s="508">
        <v>181.06</v>
      </c>
      <c r="O17" s="509">
        <v>179.185</v>
      </c>
      <c r="P17" s="507">
        <v>176.35599999999999</v>
      </c>
      <c r="Q17" s="507">
        <v>189.17500000000001</v>
      </c>
      <c r="R17" s="507">
        <v>185.59399999999999</v>
      </c>
      <c r="S17" s="507">
        <v>196.905</v>
      </c>
      <c r="T17" s="507"/>
      <c r="U17" s="507"/>
      <c r="V17" s="507"/>
      <c r="W17" s="507"/>
      <c r="X17" s="507"/>
      <c r="Y17" s="507">
        <v>321.74900000000002</v>
      </c>
      <c r="Z17" s="507">
        <v>319.01499999999999</v>
      </c>
      <c r="AA17" s="507">
        <v>379.64100000000002</v>
      </c>
      <c r="AB17" s="507">
        <v>435.48899999999998</v>
      </c>
      <c r="AC17" s="507">
        <v>488.26299999999998</v>
      </c>
      <c r="AD17" s="507">
        <v>533.32399999999996</v>
      </c>
      <c r="AE17" s="507">
        <f t="shared" si="1"/>
        <v>770.28399999999999</v>
      </c>
      <c r="AF17" s="507">
        <f t="shared" si="2"/>
        <v>1025.8990000000001</v>
      </c>
      <c r="AG17" s="507">
        <f t="shared" si="3"/>
        <v>809.18200000000002</v>
      </c>
      <c r="AH17" s="507">
        <f t="shared" si="6"/>
        <v>730.31</v>
      </c>
      <c r="AI17" s="513"/>
      <c r="AJ17" s="507"/>
      <c r="AK17" s="507"/>
      <c r="AL17" s="507"/>
      <c r="AM17" s="507"/>
      <c r="AN17" s="507"/>
      <c r="AO17" s="507"/>
      <c r="AP17" s="507"/>
      <c r="AQ17" s="507"/>
      <c r="AR17" s="507"/>
      <c r="AS17" s="507"/>
      <c r="AT17" s="507"/>
      <c r="AU17" s="507"/>
      <c r="AV17" s="507"/>
      <c r="AW17" s="507"/>
      <c r="AX17" s="507"/>
      <c r="AY17" s="507"/>
      <c r="AZ17" s="507"/>
      <c r="BA17" s="507"/>
      <c r="BB17" s="507"/>
      <c r="BC17" s="507"/>
      <c r="BD17" s="507"/>
      <c r="BE17" s="507"/>
    </row>
    <row r="18" spans="1:93">
      <c r="A18" s="554" t="s">
        <v>1048</v>
      </c>
      <c r="B18" s="554"/>
      <c r="C18" s="507">
        <v>49.725000000000001</v>
      </c>
      <c r="D18" s="507">
        <v>53.378999999999998</v>
      </c>
      <c r="E18" s="507">
        <v>53.91</v>
      </c>
      <c r="F18" s="507">
        <v>69.009</v>
      </c>
      <c r="G18" s="508">
        <v>69.245999999999995</v>
      </c>
      <c r="H18" s="507">
        <v>68.661000000000001</v>
      </c>
      <c r="I18" s="507">
        <v>75.528999999999996</v>
      </c>
      <c r="J18" s="508">
        <v>78.408000000000001</v>
      </c>
      <c r="K18" s="508">
        <v>75.516999999999996</v>
      </c>
      <c r="L18" s="508">
        <v>69.009</v>
      </c>
      <c r="M18" s="508">
        <v>65.64</v>
      </c>
      <c r="N18" s="508">
        <v>70.63</v>
      </c>
      <c r="O18" s="509">
        <v>70.558999999999997</v>
      </c>
      <c r="P18" s="507">
        <v>68.558999999999997</v>
      </c>
      <c r="Q18" s="507">
        <v>72.703999999999994</v>
      </c>
      <c r="R18" s="507">
        <v>75.421000000000006</v>
      </c>
      <c r="S18" s="507">
        <v>75.307000000000002</v>
      </c>
      <c r="T18" s="507"/>
      <c r="U18" s="507"/>
      <c r="V18" s="507"/>
      <c r="W18" s="507"/>
      <c r="X18" s="507"/>
      <c r="Y18" s="507">
        <v>107.54300000000001</v>
      </c>
      <c r="Z18" s="507">
        <v>113.176</v>
      </c>
      <c r="AA18" s="507">
        <v>130.52500000000001</v>
      </c>
      <c r="AB18" s="507">
        <v>143.76</v>
      </c>
      <c r="AC18" s="507">
        <v>161.22999999999999</v>
      </c>
      <c r="AD18" s="507">
        <v>177.59299999999999</v>
      </c>
      <c r="AE18" s="507">
        <f t="shared" si="1"/>
        <v>226.02300000000002</v>
      </c>
      <c r="AF18" s="507">
        <f t="shared" si="2"/>
        <v>291.84399999999999</v>
      </c>
      <c r="AG18" s="507">
        <f t="shared" si="3"/>
        <v>280.79599999999999</v>
      </c>
      <c r="AH18" s="507">
        <f t="shared" si="6"/>
        <v>287.24299999999999</v>
      </c>
      <c r="AI18" s="507"/>
      <c r="AJ18" s="507"/>
      <c r="AK18" s="507"/>
      <c r="AL18" s="507"/>
      <c r="AM18" s="507"/>
      <c r="AN18" s="507"/>
      <c r="AO18" s="507"/>
      <c r="AP18" s="507"/>
      <c r="AQ18" s="507"/>
      <c r="AR18" s="507"/>
      <c r="AS18" s="507"/>
      <c r="AT18" s="507"/>
      <c r="AU18" s="507"/>
      <c r="AV18" s="507"/>
      <c r="AW18" s="507"/>
      <c r="AX18" s="507"/>
      <c r="AY18" s="507"/>
      <c r="AZ18" s="507"/>
      <c r="BA18" s="507"/>
      <c r="BB18" s="507"/>
      <c r="BC18" s="507"/>
      <c r="BD18" s="507"/>
      <c r="BE18" s="507"/>
    </row>
    <row r="19" spans="1:93">
      <c r="A19" s="554" t="s">
        <v>590</v>
      </c>
      <c r="B19" s="554"/>
      <c r="C19" s="507">
        <v>29.071000000000002</v>
      </c>
      <c r="D19" s="507">
        <v>31.664000000000001</v>
      </c>
      <c r="E19" s="507">
        <v>37.606000000000002</v>
      </c>
      <c r="F19" s="507">
        <v>68.236000000000004</v>
      </c>
      <c r="G19" s="508">
        <v>40.542000000000002</v>
      </c>
      <c r="H19" s="507">
        <v>33.271000000000001</v>
      </c>
      <c r="I19" s="507">
        <v>38.478000000000002</v>
      </c>
      <c r="J19" s="508">
        <v>36.356999999999999</v>
      </c>
      <c r="K19" s="508">
        <v>35.86</v>
      </c>
      <c r="L19" s="508">
        <v>26.588999999999999</v>
      </c>
      <c r="M19" s="508">
        <v>29.765999999999998</v>
      </c>
      <c r="N19" s="508">
        <v>32.436999999999998</v>
      </c>
      <c r="O19" s="509">
        <v>41.296999999999997</v>
      </c>
      <c r="P19" s="507">
        <v>35.537999999999997</v>
      </c>
      <c r="Q19" s="507">
        <v>39.710999999999999</v>
      </c>
      <c r="R19" s="507">
        <v>38.51</v>
      </c>
      <c r="S19" s="507">
        <v>37.457999999999998</v>
      </c>
      <c r="T19" s="507"/>
      <c r="U19" s="507"/>
      <c r="V19" s="507"/>
      <c r="W19" s="507"/>
      <c r="X19" s="507"/>
      <c r="Y19" s="507">
        <v>125.995</v>
      </c>
      <c r="Z19" s="507">
        <v>101.012</v>
      </c>
      <c r="AA19" s="507">
        <v>100.27</v>
      </c>
      <c r="AB19" s="507">
        <v>96.352999999999994</v>
      </c>
      <c r="AC19" s="507">
        <v>98.731999999999999</v>
      </c>
      <c r="AD19" s="507">
        <v>94.015000000000001</v>
      </c>
      <c r="AE19" s="507">
        <f t="shared" si="1"/>
        <v>166.577</v>
      </c>
      <c r="AF19" s="507">
        <f t="shared" si="2"/>
        <v>148.648</v>
      </c>
      <c r="AG19" s="507">
        <f t="shared" si="3"/>
        <v>124.652</v>
      </c>
      <c r="AH19" s="507">
        <f t="shared" si="6"/>
        <v>155.05599999999998</v>
      </c>
      <c r="AI19" s="507"/>
      <c r="AJ19" s="507"/>
      <c r="AK19" s="507"/>
      <c r="AL19" s="507"/>
      <c r="AM19" s="507"/>
      <c r="AN19" s="507"/>
      <c r="AO19" s="507"/>
      <c r="AP19" s="507"/>
      <c r="AQ19" s="507"/>
      <c r="AR19" s="507"/>
      <c r="AS19" s="507"/>
      <c r="AT19" s="507"/>
      <c r="AU19" s="507"/>
      <c r="AV19" s="507"/>
      <c r="AW19" s="507"/>
      <c r="AX19" s="507"/>
      <c r="AY19" s="507"/>
      <c r="AZ19" s="507"/>
      <c r="BA19" s="507"/>
      <c r="BB19" s="507"/>
      <c r="BC19" s="507"/>
      <c r="BD19" s="507"/>
      <c r="BE19" s="507"/>
    </row>
    <row r="20" spans="1:93">
      <c r="A20" s="556" t="s">
        <v>1049</v>
      </c>
      <c r="B20" s="556"/>
      <c r="C20" s="511">
        <f>SUM(C17:C19)+4.609-0.053</f>
        <v>216.59</v>
      </c>
      <c r="D20" s="511">
        <f>SUM(D17:D19)+4.331-0.0001</f>
        <v>248.17089999999996</v>
      </c>
      <c r="E20" s="511">
        <f>SUM(E17:E19)+4.946</f>
        <v>300.947</v>
      </c>
      <c r="F20" s="508">
        <f>SUM(F17:F19)+5.178</f>
        <v>416.18700000000001</v>
      </c>
      <c r="G20" s="508">
        <f>SUM(G17:G19)+5.217</f>
        <v>367.31899999999996</v>
      </c>
      <c r="H20" s="508">
        <f>SUM(H17:H19)+0.011-0.925+5.107</f>
        <v>362.75200000000007</v>
      </c>
      <c r="I20" s="508">
        <f>SUM(I17:I19)+7+1.759-1.11+3.662</f>
        <v>395.25899999999996</v>
      </c>
      <c r="J20" s="508">
        <f>SUM(J17:J19)+0.395+2.961</f>
        <v>365.13800000000003</v>
      </c>
      <c r="K20" s="508">
        <f>SUM(K17:K19)+3.369</f>
        <v>344.12400000000002</v>
      </c>
      <c r="L20" s="508">
        <f>SUM(L17:L19)+2.873+10.817</f>
        <v>311.37900000000002</v>
      </c>
      <c r="M20" s="508">
        <f>SUM(M17:M19)+2.81+5.654</f>
        <v>300.52300000000002</v>
      </c>
      <c r="N20" s="508">
        <f>SUM(N17:N19)+18.102+2.791</f>
        <v>305.02</v>
      </c>
      <c r="O20" s="509">
        <f>SUM(O17:O19)+2.685+3.511</f>
        <v>297.23700000000002</v>
      </c>
      <c r="P20" s="507">
        <f>SUM(P17:P19)+3.318-1.788</f>
        <v>281.98299999999995</v>
      </c>
      <c r="Q20" s="507">
        <f>SUM(Q17:Q19)+3</f>
        <v>304.59000000000003</v>
      </c>
      <c r="R20" s="507">
        <f>SUM(R17:R19)+2.655+3.526-0.25+1.304</f>
        <v>306.75999999999993</v>
      </c>
      <c r="S20" s="507">
        <f>SUM(S17:S19)+2.703+0.386</f>
        <v>312.75899999999996</v>
      </c>
      <c r="T20" s="507"/>
      <c r="U20" s="507"/>
      <c r="V20" s="507"/>
      <c r="W20" s="507"/>
      <c r="X20" s="507"/>
      <c r="Y20" s="507">
        <f>SUM(Y17:Y19)+0.763-4.777</f>
        <v>551.27300000000002</v>
      </c>
      <c r="Z20" s="507">
        <f>SUM(Z17:Z19)+0.984+17.802</f>
        <v>551.98900000000003</v>
      </c>
      <c r="AA20" s="507">
        <f>SUM(AA17:AA19)+5.814+0.023</f>
        <v>616.27300000000002</v>
      </c>
      <c r="AB20" s="507">
        <f>SUM(AB17:AB19)+8.93-0.116</f>
        <v>684.41599999999994</v>
      </c>
      <c r="AC20" s="507">
        <f>SUM(AC17:AC19)+14.29+11.302</f>
        <v>773.81699999999989</v>
      </c>
      <c r="AD20" s="507">
        <f>SUM(AD17:AD19)+0.144+17.563</f>
        <v>822.6389999999999</v>
      </c>
      <c r="AE20" s="507">
        <f t="shared" si="1"/>
        <v>1181.8949</v>
      </c>
      <c r="AF20" s="507">
        <f t="shared" si="2"/>
        <v>1490.4679999999998</v>
      </c>
      <c r="AG20" s="507">
        <f t="shared" si="3"/>
        <v>1261.046</v>
      </c>
      <c r="AH20" s="507">
        <f t="shared" si="6"/>
        <v>1190.57</v>
      </c>
      <c r="AI20" s="513"/>
      <c r="AJ20" s="513"/>
      <c r="AK20" s="513"/>
      <c r="AL20" s="507"/>
      <c r="AM20" s="507"/>
      <c r="AN20" s="507"/>
      <c r="AO20" s="507"/>
      <c r="AP20" s="507"/>
      <c r="AQ20" s="507"/>
      <c r="AR20" s="507"/>
      <c r="AS20" s="507"/>
      <c r="AT20" s="507"/>
      <c r="AU20" s="507"/>
      <c r="AV20" s="507"/>
      <c r="AW20" s="507"/>
      <c r="AX20" s="507"/>
      <c r="AY20" s="507"/>
      <c r="AZ20" s="507"/>
      <c r="BA20" s="507"/>
      <c r="BB20" s="507"/>
      <c r="BC20" s="507"/>
      <c r="BD20" s="507"/>
      <c r="BE20" s="507"/>
    </row>
    <row r="21" spans="1:93">
      <c r="A21" s="556" t="s">
        <v>846</v>
      </c>
      <c r="B21" s="556"/>
      <c r="C21" s="511">
        <f t="shared" ref="C21:S21" si="7">C16-C20</f>
        <v>89.142999999999887</v>
      </c>
      <c r="D21" s="511">
        <f t="shared" si="7"/>
        <v>321.53320000000008</v>
      </c>
      <c r="E21" s="511">
        <f t="shared" si="7"/>
        <v>448.0630000000001</v>
      </c>
      <c r="F21" s="508">
        <f t="shared" si="7"/>
        <v>295.08199999999977</v>
      </c>
      <c r="G21" s="508">
        <f t="shared" si="7"/>
        <v>201.60699999999997</v>
      </c>
      <c r="H21" s="508">
        <f t="shared" si="7"/>
        <v>179.41099999999994</v>
      </c>
      <c r="I21" s="508">
        <f t="shared" si="7"/>
        <v>262.75100000000026</v>
      </c>
      <c r="J21" s="508">
        <f t="shared" si="7"/>
        <v>128.76900000000012</v>
      </c>
      <c r="K21" s="508">
        <f t="shared" si="7"/>
        <v>115.47899999999976</v>
      </c>
      <c r="L21" s="508">
        <f t="shared" si="7"/>
        <v>127.40100000000007</v>
      </c>
      <c r="M21" s="508">
        <f>M16-M20</f>
        <v>176.74499999999989</v>
      </c>
      <c r="N21" s="508">
        <f t="shared" si="7"/>
        <v>38.843999999999937</v>
      </c>
      <c r="O21" s="512">
        <f t="shared" si="7"/>
        <v>78.404999999999916</v>
      </c>
      <c r="P21" s="508">
        <f t="shared" si="7"/>
        <v>156.63900000000007</v>
      </c>
      <c r="Q21" s="508">
        <f t="shared" si="7"/>
        <v>222.18999999999994</v>
      </c>
      <c r="R21" s="508">
        <f t="shared" si="7"/>
        <v>130.21700000000004</v>
      </c>
      <c r="S21" s="507">
        <f t="shared" si="7"/>
        <v>153.49900000000008</v>
      </c>
      <c r="T21" s="514"/>
      <c r="U21" s="514"/>
      <c r="V21" s="507"/>
      <c r="W21" s="507"/>
      <c r="X21" s="507"/>
      <c r="Y21" s="507">
        <f>Y16-Y20</f>
        <v>154.18399999999986</v>
      </c>
      <c r="Z21" s="507">
        <f>Z16-Z20</f>
        <v>129.05799999999977</v>
      </c>
      <c r="AA21" s="507">
        <f>+AA16-AA20</f>
        <v>203.76800000000014</v>
      </c>
      <c r="AB21" s="507">
        <f>AB16-AB20</f>
        <v>224.82499999999993</v>
      </c>
      <c r="AC21" s="507">
        <f>AC16-AC20</f>
        <v>263.19400000000053</v>
      </c>
      <c r="AD21" s="507">
        <f>AD16-AD20</f>
        <v>299.74200000000019</v>
      </c>
      <c r="AE21" s="507">
        <f>AE16-AE20</f>
        <v>1153.8211999999992</v>
      </c>
      <c r="AF21" s="507">
        <f t="shared" si="2"/>
        <v>772.53800000000035</v>
      </c>
      <c r="AG21" s="507">
        <f t="shared" si="3"/>
        <v>458.46899999999965</v>
      </c>
      <c r="AH21" s="507">
        <f t="shared" si="6"/>
        <v>587.45100000000002</v>
      </c>
      <c r="AI21" s="507"/>
      <c r="AJ21" s="507"/>
      <c r="AK21" s="507"/>
      <c r="AL21" s="507"/>
      <c r="AM21" s="507"/>
      <c r="AN21" s="507"/>
      <c r="AO21" s="507"/>
      <c r="AP21" s="507"/>
      <c r="AQ21" s="507"/>
      <c r="AR21" s="507"/>
      <c r="AS21" s="507"/>
      <c r="AT21" s="507"/>
      <c r="AU21" s="507"/>
      <c r="AV21" s="507"/>
      <c r="AW21" s="507"/>
      <c r="AX21" s="507"/>
      <c r="AY21" s="507"/>
      <c r="AZ21" s="507"/>
      <c r="BA21" s="507"/>
      <c r="BB21" s="507"/>
      <c r="BC21" s="507"/>
      <c r="BD21" s="507"/>
      <c r="BE21" s="507"/>
    </row>
    <row r="22" spans="1:93">
      <c r="A22" s="554" t="s">
        <v>1050</v>
      </c>
      <c r="B22" s="554"/>
      <c r="C22" s="507">
        <f>0.62+2.029</f>
        <v>2.649</v>
      </c>
      <c r="D22" s="507">
        <f>0.513+1.149</f>
        <v>1.6619999999999999</v>
      </c>
      <c r="E22" s="507">
        <f>0.311+6.483</f>
        <v>6.7939999999999996</v>
      </c>
      <c r="F22" s="507">
        <f>0.34-11.45</f>
        <v>-11.11</v>
      </c>
      <c r="G22" s="507">
        <f>0.316+8.435</f>
        <v>8.7510000000000012</v>
      </c>
      <c r="H22" s="507">
        <f>0.201-6.703</f>
        <v>-6.5020000000000007</v>
      </c>
      <c r="I22" s="507">
        <f>0.278-3.673</f>
        <v>-3.395</v>
      </c>
      <c r="J22" s="508">
        <f>0.451+2.501</f>
        <v>2.952</v>
      </c>
      <c r="K22" s="508">
        <f>1.449+5.624</f>
        <v>7.0729999999999995</v>
      </c>
      <c r="L22" s="508">
        <f>3.459-25.397</f>
        <v>-21.937999999999999</v>
      </c>
      <c r="M22" s="508">
        <f>4.665+1.406</f>
        <v>6.0709999999999997</v>
      </c>
      <c r="N22" s="508">
        <f>8.758+5.089</f>
        <v>13.847</v>
      </c>
      <c r="O22" s="509">
        <f>9.826-12.972</f>
        <v>-3.145999999999999</v>
      </c>
      <c r="P22" s="529">
        <f>11.856-1.044</f>
        <v>10.811999999999999</v>
      </c>
      <c r="Q22" s="507">
        <v>13</v>
      </c>
      <c r="R22" s="507">
        <f>16.128-2.549</f>
        <v>13.579000000000001</v>
      </c>
      <c r="S22" s="507">
        <f>15.79-1.898</f>
        <v>13.891999999999999</v>
      </c>
      <c r="T22" s="507"/>
      <c r="U22" s="507"/>
      <c r="V22" s="507"/>
      <c r="W22" s="507"/>
      <c r="X22" s="507"/>
      <c r="Y22" s="507">
        <f>1.197-2.298</f>
        <v>-1.101</v>
      </c>
      <c r="Z22" s="507">
        <f>0.79+1.624</f>
        <v>2.4140000000000001</v>
      </c>
      <c r="AA22" s="507">
        <f>1.452+1.677</f>
        <v>3.129</v>
      </c>
      <c r="AB22" s="507">
        <f>4.969-2.437</f>
        <v>2.5320000000000005</v>
      </c>
      <c r="AC22" s="507">
        <f>8.375-0.436</f>
        <v>7.9390000000000001</v>
      </c>
      <c r="AD22" s="507">
        <f>9.619+38.212</f>
        <v>47.831000000000003</v>
      </c>
      <c r="AE22" s="507">
        <f t="shared" si="1"/>
        <v>-4.9999999999990052E-3</v>
      </c>
      <c r="AF22" s="507">
        <f t="shared" si="2"/>
        <v>1.8060000000000005</v>
      </c>
      <c r="AG22" s="507">
        <f t="shared" si="3"/>
        <v>5.0530000000000008</v>
      </c>
      <c r="AH22" s="507">
        <f t="shared" si="6"/>
        <v>34.245000000000005</v>
      </c>
      <c r="AI22" s="507"/>
      <c r="AJ22" s="507"/>
      <c r="AK22" s="507"/>
      <c r="AL22" s="507"/>
      <c r="AM22" s="507"/>
      <c r="AN22" s="507"/>
      <c r="AO22" s="507"/>
      <c r="AP22" s="507"/>
      <c r="AQ22" s="507"/>
      <c r="AR22" s="507"/>
      <c r="AS22" s="507"/>
      <c r="AT22" s="507"/>
      <c r="AU22" s="507"/>
      <c r="AV22" s="507"/>
      <c r="AW22" s="507"/>
      <c r="AX22" s="507"/>
      <c r="AY22" s="507"/>
      <c r="AZ22" s="507"/>
      <c r="BA22" s="507"/>
      <c r="BB22" s="507"/>
      <c r="BC22" s="507"/>
      <c r="BD22" s="507"/>
      <c r="BE22" s="507"/>
    </row>
    <row r="23" spans="1:93">
      <c r="A23" s="556" t="s">
        <v>1051</v>
      </c>
      <c r="B23" s="556"/>
      <c r="C23" s="511">
        <f t="shared" ref="C23:P23" si="8">C21+C22</f>
        <v>91.791999999999888</v>
      </c>
      <c r="D23" s="511">
        <f t="shared" si="8"/>
        <v>323.19520000000006</v>
      </c>
      <c r="E23" s="508">
        <f t="shared" si="8"/>
        <v>454.85700000000008</v>
      </c>
      <c r="F23" s="508">
        <f t="shared" si="8"/>
        <v>283.97199999999975</v>
      </c>
      <c r="G23" s="508">
        <f t="shared" si="8"/>
        <v>210.35799999999998</v>
      </c>
      <c r="H23" s="508">
        <f t="shared" si="8"/>
        <v>172.90899999999993</v>
      </c>
      <c r="I23" s="508">
        <f t="shared" si="8"/>
        <v>259.35600000000028</v>
      </c>
      <c r="J23" s="508">
        <f t="shared" si="8"/>
        <v>131.72100000000012</v>
      </c>
      <c r="K23" s="508">
        <f t="shared" si="8"/>
        <v>122.55199999999975</v>
      </c>
      <c r="L23" s="508">
        <f t="shared" si="8"/>
        <v>105.46300000000006</v>
      </c>
      <c r="M23" s="508">
        <f t="shared" si="8"/>
        <v>182.81599999999989</v>
      </c>
      <c r="N23" s="508">
        <f t="shared" si="8"/>
        <v>52.690999999999939</v>
      </c>
      <c r="O23" s="512">
        <f t="shared" si="8"/>
        <v>75.258999999999915</v>
      </c>
      <c r="P23" s="508">
        <f t="shared" si="8"/>
        <v>167.45100000000008</v>
      </c>
      <c r="Q23" s="507">
        <f>Q21+Q22</f>
        <v>235.18999999999994</v>
      </c>
      <c r="R23" s="507">
        <f>R21+R22</f>
        <v>143.79600000000005</v>
      </c>
      <c r="S23" s="507">
        <f>S21+S22</f>
        <v>167.39100000000008</v>
      </c>
      <c r="T23" s="507"/>
      <c r="U23" s="507"/>
      <c r="V23" s="507"/>
      <c r="W23" s="507"/>
      <c r="X23" s="507"/>
      <c r="Y23" s="507">
        <f>Y21+Y22</f>
        <v>153.08299999999986</v>
      </c>
      <c r="Z23" s="507">
        <f>+Z21+Z22</f>
        <v>131.47199999999975</v>
      </c>
      <c r="AA23" s="507">
        <f>AA21+AA22</f>
        <v>206.89700000000013</v>
      </c>
      <c r="AB23" s="507">
        <f>AB21+AB22</f>
        <v>227.35699999999994</v>
      </c>
      <c r="AC23" s="507">
        <f>AC22+AC21</f>
        <v>271.13300000000055</v>
      </c>
      <c r="AD23" s="507">
        <f>AD21+AD22</f>
        <v>347.57300000000021</v>
      </c>
      <c r="AE23" s="507">
        <f t="shared" si="1"/>
        <v>1153.8161999999998</v>
      </c>
      <c r="AF23" s="507">
        <f t="shared" si="2"/>
        <v>774.34400000000039</v>
      </c>
      <c r="AG23" s="507">
        <f t="shared" si="3"/>
        <v>463.52199999999959</v>
      </c>
      <c r="AH23" s="507">
        <f t="shared" si="6"/>
        <v>621.69599999999991</v>
      </c>
      <c r="AI23" s="507"/>
      <c r="AJ23" s="507"/>
      <c r="AK23" s="507"/>
      <c r="AL23" s="507"/>
      <c r="AM23" s="507"/>
      <c r="AN23" s="507"/>
      <c r="AO23" s="507"/>
      <c r="AP23" s="507"/>
      <c r="AQ23" s="507"/>
      <c r="AR23" s="507"/>
      <c r="AS23" s="507"/>
      <c r="AT23" s="507"/>
      <c r="AU23" s="507"/>
      <c r="AV23" s="507"/>
      <c r="AW23" s="507"/>
      <c r="AX23" s="507"/>
      <c r="AY23" s="507"/>
      <c r="AZ23" s="507"/>
      <c r="BA23" s="507"/>
      <c r="BB23" s="507"/>
      <c r="BC23" s="507"/>
      <c r="BD23" s="507"/>
      <c r="BE23" s="507"/>
    </row>
    <row r="24" spans="1:93">
      <c r="A24" s="554" t="s">
        <v>1052</v>
      </c>
      <c r="B24" s="554"/>
      <c r="C24" s="507">
        <v>14.003</v>
      </c>
      <c r="D24" s="507">
        <v>56.301000000000002</v>
      </c>
      <c r="E24" s="507">
        <v>72.334000000000003</v>
      </c>
      <c r="F24" s="507">
        <v>58.225000000000001</v>
      </c>
      <c r="G24" s="507">
        <v>24.991</v>
      </c>
      <c r="H24" s="507">
        <v>33.453000000000003</v>
      </c>
      <c r="I24" s="507">
        <v>49.344999999999999</v>
      </c>
      <c r="J24" s="508">
        <v>23.515999999999998</v>
      </c>
      <c r="K24" s="508">
        <v>21.175999999999998</v>
      </c>
      <c r="L24" s="508">
        <v>23.372</v>
      </c>
      <c r="M24" s="508">
        <v>42.662999999999997</v>
      </c>
      <c r="N24" s="508">
        <v>11.196</v>
      </c>
      <c r="O24" s="509">
        <v>12.532</v>
      </c>
      <c r="P24" s="507">
        <v>30.334</v>
      </c>
      <c r="Q24" s="507">
        <v>-9.5939999999999994</v>
      </c>
      <c r="R24" s="507">
        <v>-23.818999999999999</v>
      </c>
      <c r="S24" s="507">
        <v>25.558</v>
      </c>
      <c r="T24" s="507"/>
      <c r="U24" s="507"/>
      <c r="V24" s="507"/>
      <c r="W24" s="507"/>
      <c r="X24" s="507"/>
      <c r="Y24" s="507">
        <v>4.6539999999999999</v>
      </c>
      <c r="Z24" s="507">
        <v>3.11</v>
      </c>
      <c r="AA24" s="507">
        <v>9.1129999999999995</v>
      </c>
      <c r="AB24" s="507">
        <v>23.722999999999999</v>
      </c>
      <c r="AC24" s="507">
        <v>13.56</v>
      </c>
      <c r="AD24" s="507">
        <v>-125.39700000000001</v>
      </c>
      <c r="AE24" s="507">
        <f t="shared" si="1"/>
        <v>200.863</v>
      </c>
      <c r="AF24" s="507">
        <f t="shared" si="2"/>
        <v>131.30500000000001</v>
      </c>
      <c r="AG24" s="507">
        <f t="shared" si="3"/>
        <v>98.406999999999996</v>
      </c>
      <c r="AH24" s="507">
        <f t="shared" si="6"/>
        <v>9.4529999999999994</v>
      </c>
      <c r="AI24" s="507"/>
      <c r="AJ24" s="507"/>
      <c r="AK24" s="507"/>
      <c r="AL24" s="507"/>
      <c r="AM24" s="507"/>
      <c r="AN24" s="507"/>
      <c r="AO24" s="507"/>
      <c r="AP24" s="507"/>
      <c r="AQ24" s="507"/>
      <c r="AR24" s="507"/>
      <c r="AS24" s="507"/>
      <c r="AT24" s="507"/>
      <c r="AU24" s="507"/>
      <c r="AV24" s="507"/>
      <c r="AW24" s="507"/>
      <c r="AX24" s="507"/>
      <c r="AY24" s="507"/>
      <c r="AZ24" s="507"/>
      <c r="BA24" s="507"/>
      <c r="BB24" s="507"/>
      <c r="BC24" s="507"/>
      <c r="BD24" s="507"/>
      <c r="BE24" s="507"/>
    </row>
    <row r="25" spans="1:93">
      <c r="A25" s="556" t="s">
        <v>1053</v>
      </c>
      <c r="B25" s="556"/>
      <c r="C25" s="511">
        <f t="shared" ref="C25:N25" si="9">C23-C24</f>
        <v>77.788999999999888</v>
      </c>
      <c r="D25" s="511">
        <f t="shared" si="9"/>
        <v>266.89420000000007</v>
      </c>
      <c r="E25" s="507">
        <f t="shared" si="9"/>
        <v>382.52300000000008</v>
      </c>
      <c r="F25" s="507">
        <f t="shared" si="9"/>
        <v>225.74699999999976</v>
      </c>
      <c r="G25" s="507">
        <f t="shared" si="9"/>
        <v>185.36699999999996</v>
      </c>
      <c r="H25" s="508">
        <f t="shared" si="9"/>
        <v>139.45599999999993</v>
      </c>
      <c r="I25" s="508">
        <f t="shared" si="9"/>
        <v>210.01100000000028</v>
      </c>
      <c r="J25" s="508">
        <f t="shared" si="9"/>
        <v>108.20500000000013</v>
      </c>
      <c r="K25" s="508">
        <f t="shared" si="9"/>
        <v>101.37599999999975</v>
      </c>
      <c r="L25" s="508">
        <f t="shared" si="9"/>
        <v>82.091000000000065</v>
      </c>
      <c r="M25" s="508">
        <f t="shared" si="9"/>
        <v>140.15299999999991</v>
      </c>
      <c r="N25" s="508">
        <f t="shared" si="9"/>
        <v>41.494999999999941</v>
      </c>
      <c r="O25" s="509">
        <f>O23-O24</f>
        <v>62.726999999999919</v>
      </c>
      <c r="P25" s="507">
        <f>P23-P24</f>
        <v>137.11700000000008</v>
      </c>
      <c r="Q25" s="507">
        <f>Q23-Q24</f>
        <v>244.78399999999993</v>
      </c>
      <c r="R25" s="507">
        <f>R23-R24</f>
        <v>167.61500000000004</v>
      </c>
      <c r="S25" s="507">
        <f>S23-S24</f>
        <v>141.83300000000008</v>
      </c>
      <c r="T25" s="507"/>
      <c r="U25" s="507"/>
      <c r="V25" s="507"/>
      <c r="W25" s="507"/>
      <c r="X25" s="507"/>
      <c r="Y25" s="507">
        <f t="shared" ref="Y25:AD25" si="10">Y23-Y24</f>
        <v>148.42899999999986</v>
      </c>
      <c r="Z25" s="507">
        <f t="shared" si="10"/>
        <v>128.36199999999974</v>
      </c>
      <c r="AA25" s="507">
        <f t="shared" si="10"/>
        <v>197.78400000000013</v>
      </c>
      <c r="AB25" s="507">
        <f t="shared" si="10"/>
        <v>203.63399999999996</v>
      </c>
      <c r="AC25" s="507">
        <f t="shared" si="10"/>
        <v>257.57300000000055</v>
      </c>
      <c r="AD25" s="507">
        <f t="shared" si="10"/>
        <v>472.9700000000002</v>
      </c>
      <c r="AE25" s="507">
        <f t="shared" si="1"/>
        <v>952.95319999999981</v>
      </c>
      <c r="AF25" s="507">
        <f t="shared" si="2"/>
        <v>643.03900000000033</v>
      </c>
      <c r="AG25" s="507">
        <f t="shared" si="3"/>
        <v>365.11499999999967</v>
      </c>
      <c r="AH25" s="507">
        <f t="shared" si="6"/>
        <v>612.24299999999994</v>
      </c>
      <c r="AI25" s="507">
        <v>550</v>
      </c>
      <c r="AJ25" s="507">
        <v>650</v>
      </c>
      <c r="AK25" s="507">
        <f>AJ25*1.1</f>
        <v>715.00000000000011</v>
      </c>
      <c r="AL25" s="507">
        <f>AK25*1.18</f>
        <v>843.7</v>
      </c>
      <c r="AM25" s="507">
        <f>AL25*1.1</f>
        <v>928.07000000000016</v>
      </c>
      <c r="AN25" s="507">
        <f>AM25*1.1</f>
        <v>1020.8770000000003</v>
      </c>
      <c r="AO25" s="507">
        <f>AN25*0.98</f>
        <v>1000.4594600000003</v>
      </c>
      <c r="AP25" s="507">
        <f t="shared" ref="AP25:CO25" si="11">AO25*0.98</f>
        <v>980.45027080000023</v>
      </c>
      <c r="AQ25" s="507">
        <f t="shared" si="11"/>
        <v>960.84126538400017</v>
      </c>
      <c r="AR25" s="507">
        <f t="shared" si="11"/>
        <v>941.62444007632018</v>
      </c>
      <c r="AS25" s="507">
        <f t="shared" si="11"/>
        <v>922.79195127479375</v>
      </c>
      <c r="AT25" s="507">
        <f t="shared" si="11"/>
        <v>904.3361122492978</v>
      </c>
      <c r="AU25" s="507">
        <f t="shared" si="11"/>
        <v>886.24939000431186</v>
      </c>
      <c r="AV25" s="507">
        <f t="shared" si="11"/>
        <v>868.52440220422557</v>
      </c>
      <c r="AW25" s="507">
        <f t="shared" si="11"/>
        <v>851.15391416014108</v>
      </c>
      <c r="AX25" s="507">
        <f t="shared" si="11"/>
        <v>834.13083587693825</v>
      </c>
      <c r="AY25" s="507">
        <f t="shared" si="11"/>
        <v>817.44821915939951</v>
      </c>
      <c r="AZ25" s="507">
        <f t="shared" si="11"/>
        <v>801.09925477621152</v>
      </c>
      <c r="BA25" s="507">
        <f t="shared" si="11"/>
        <v>785.07726968068732</v>
      </c>
      <c r="BB25" s="507">
        <f>BA25*0.98</f>
        <v>769.37572428707358</v>
      </c>
      <c r="BC25" s="507">
        <f>BB25*0.98</f>
        <v>753.98820980133212</v>
      </c>
      <c r="BD25" s="507">
        <f t="shared" si="11"/>
        <v>738.90844560530547</v>
      </c>
      <c r="BE25" s="507">
        <f t="shared" si="11"/>
        <v>724.13027669319933</v>
      </c>
      <c r="BF25" s="507">
        <f t="shared" si="11"/>
        <v>709.64767115933535</v>
      </c>
      <c r="BG25" s="507">
        <f t="shared" si="11"/>
        <v>695.45471773614861</v>
      </c>
      <c r="BH25" s="507">
        <f t="shared" si="11"/>
        <v>681.54562338142557</v>
      </c>
      <c r="BI25" s="507">
        <f t="shared" si="11"/>
        <v>667.91471091379708</v>
      </c>
      <c r="BJ25" s="507">
        <f t="shared" si="11"/>
        <v>654.55641669552108</v>
      </c>
      <c r="BK25" s="507">
        <f t="shared" si="11"/>
        <v>641.46528836161065</v>
      </c>
      <c r="BL25" s="507">
        <f t="shared" si="11"/>
        <v>628.63598259437845</v>
      </c>
      <c r="BM25" s="507">
        <f t="shared" si="11"/>
        <v>616.06326294249084</v>
      </c>
      <c r="BN25" s="507">
        <f t="shared" si="11"/>
        <v>603.74199768364099</v>
      </c>
      <c r="BO25" s="507">
        <f t="shared" si="11"/>
        <v>591.66715772996815</v>
      </c>
      <c r="BP25" s="507">
        <f t="shared" si="11"/>
        <v>579.83381457536882</v>
      </c>
      <c r="BQ25" s="507">
        <f t="shared" si="11"/>
        <v>568.23713828386144</v>
      </c>
      <c r="BR25" s="507">
        <f t="shared" si="11"/>
        <v>556.87239551818425</v>
      </c>
      <c r="BS25" s="507">
        <f t="shared" si="11"/>
        <v>545.73494760782057</v>
      </c>
      <c r="BT25" s="507">
        <f t="shared" si="11"/>
        <v>534.82024865566416</v>
      </c>
      <c r="BU25" s="507">
        <f t="shared" si="11"/>
        <v>524.12384368255084</v>
      </c>
      <c r="BV25" s="507">
        <f t="shared" si="11"/>
        <v>513.64136680889976</v>
      </c>
      <c r="BW25" s="507">
        <f t="shared" si="11"/>
        <v>503.36853947272175</v>
      </c>
      <c r="BX25" s="507">
        <f t="shared" si="11"/>
        <v>493.30116868326729</v>
      </c>
      <c r="BY25" s="507">
        <f t="shared" si="11"/>
        <v>483.43514530960192</v>
      </c>
      <c r="BZ25" s="507">
        <f t="shared" si="11"/>
        <v>473.76644240340988</v>
      </c>
      <c r="CA25" s="507">
        <f t="shared" si="11"/>
        <v>464.29111355534167</v>
      </c>
      <c r="CB25" s="507">
        <f t="shared" si="11"/>
        <v>455.00529128423483</v>
      </c>
      <c r="CC25" s="507">
        <f t="shared" si="11"/>
        <v>445.90518545855014</v>
      </c>
      <c r="CD25" s="507">
        <f t="shared" si="11"/>
        <v>436.98708174937912</v>
      </c>
      <c r="CE25" s="507">
        <f t="shared" si="11"/>
        <v>428.24734011439153</v>
      </c>
      <c r="CF25" s="507">
        <f t="shared" si="11"/>
        <v>419.68239331210367</v>
      </c>
      <c r="CG25" s="507">
        <f t="shared" si="11"/>
        <v>411.28874544586159</v>
      </c>
      <c r="CH25" s="507">
        <f t="shared" si="11"/>
        <v>403.06297053694436</v>
      </c>
      <c r="CI25" s="507">
        <f t="shared" si="11"/>
        <v>395.00171112620546</v>
      </c>
      <c r="CJ25" s="507">
        <f t="shared" si="11"/>
        <v>387.10167690368132</v>
      </c>
      <c r="CK25" s="507">
        <f t="shared" si="11"/>
        <v>379.35964336560767</v>
      </c>
      <c r="CL25" s="507">
        <f t="shared" si="11"/>
        <v>371.77245049829548</v>
      </c>
      <c r="CM25" s="507">
        <f t="shared" si="11"/>
        <v>364.33700148832958</v>
      </c>
      <c r="CN25" s="507">
        <f t="shared" si="11"/>
        <v>357.050261458563</v>
      </c>
      <c r="CO25" s="507">
        <f t="shared" si="11"/>
        <v>349.90925622939176</v>
      </c>
    </row>
    <row r="26" spans="1:93">
      <c r="A26" s="554" t="s">
        <v>1054</v>
      </c>
      <c r="B26" s="554"/>
      <c r="C26" s="515">
        <f t="shared" ref="C26:S26" si="12">C25/C27</f>
        <v>0.45724076719156798</v>
      </c>
      <c r="D26" s="515">
        <f t="shared" si="12"/>
        <v>1.5573059014365573</v>
      </c>
      <c r="E26" s="515">
        <f t="shared" si="12"/>
        <v>2.216406797731</v>
      </c>
      <c r="F26" s="515">
        <f t="shared" si="12"/>
        <v>1.3052430125929424</v>
      </c>
      <c r="G26" s="515">
        <f t="shared" si="12"/>
        <v>1.0775898151377743</v>
      </c>
      <c r="H26" s="515">
        <f t="shared" si="12"/>
        <v>0.81389960488610535</v>
      </c>
      <c r="I26" s="515">
        <f t="shared" si="12"/>
        <v>1.2374916768312461</v>
      </c>
      <c r="J26" s="516">
        <f t="shared" si="12"/>
        <v>0.64310506733866735</v>
      </c>
      <c r="K26" s="516">
        <f t="shared" si="12"/>
        <v>0.60920880256721355</v>
      </c>
      <c r="L26" s="516">
        <f t="shared" si="12"/>
        <v>0.4995557665157494</v>
      </c>
      <c r="M26" s="516">
        <f t="shared" si="12"/>
        <v>0.86232610795611808</v>
      </c>
      <c r="N26" s="505">
        <f t="shared" si="12"/>
        <v>0.25689680790470731</v>
      </c>
      <c r="O26" s="517">
        <f t="shared" si="12"/>
        <v>0.39166432518497657</v>
      </c>
      <c r="P26" s="516">
        <f t="shared" si="12"/>
        <v>0.86272918318295688</v>
      </c>
      <c r="Q26" s="516">
        <f t="shared" si="12"/>
        <v>1.5547764227642273</v>
      </c>
      <c r="R26" s="516">
        <f t="shared" si="12"/>
        <v>1.0730519064812682</v>
      </c>
      <c r="S26" s="516">
        <f t="shared" si="12"/>
        <v>0.91518150963362588</v>
      </c>
      <c r="Y26" s="518">
        <f t="shared" ref="Y26:AD26" si="13">Y25/Y27</f>
        <v>0.89321434159375024</v>
      </c>
      <c r="Z26" s="518">
        <f t="shared" si="13"/>
        <v>0.77423518625747767</v>
      </c>
      <c r="AA26" s="518">
        <f t="shared" si="13"/>
        <v>1.1947807176513239</v>
      </c>
      <c r="AB26" s="518">
        <f t="shared" si="13"/>
        <v>1.2051417107077542</v>
      </c>
      <c r="AC26" s="518">
        <f t="shared" si="13"/>
        <v>1.5154472979731153</v>
      </c>
      <c r="AD26" s="518">
        <f t="shared" si="13"/>
        <v>2.7923438874490065</v>
      </c>
      <c r="AE26" s="515">
        <f t="shared" si="1"/>
        <v>5.5361964789520677</v>
      </c>
      <c r="AF26" s="515">
        <f t="shared" si="2"/>
        <v>3.7720861641937931</v>
      </c>
      <c r="AG26" s="515">
        <f t="shared" si="3"/>
        <v>2.2279874849437884</v>
      </c>
      <c r="AH26" s="507">
        <f t="shared" si="6"/>
        <v>3.8822218376134288</v>
      </c>
      <c r="AI26" s="501">
        <f>AI25/AI27</f>
        <v>3.4161490683229814</v>
      </c>
      <c r="AJ26" s="501">
        <f t="shared" ref="AJ26:CO26" si="14">AJ25/AJ27</f>
        <v>4.0372670807453419</v>
      </c>
      <c r="AK26" s="501">
        <f t="shared" si="14"/>
        <v>4.4409937888198767</v>
      </c>
      <c r="AL26" s="501">
        <f t="shared" si="14"/>
        <v>5.2403726708074538</v>
      </c>
      <c r="AM26" s="501">
        <f t="shared" si="14"/>
        <v>5.7644099378881997</v>
      </c>
      <c r="AN26" s="501">
        <f t="shared" si="14"/>
        <v>6.3408509316770205</v>
      </c>
      <c r="AO26" s="501">
        <f t="shared" si="14"/>
        <v>6.2140339130434796</v>
      </c>
      <c r="AP26" s="501">
        <f t="shared" si="14"/>
        <v>6.0897532347826102</v>
      </c>
      <c r="AQ26" s="501">
        <f t="shared" si="14"/>
        <v>5.9679581700869573</v>
      </c>
      <c r="AR26" s="501">
        <f t="shared" si="14"/>
        <v>5.8485990066852187</v>
      </c>
      <c r="AS26" s="501">
        <f t="shared" si="14"/>
        <v>5.7316270265515143</v>
      </c>
      <c r="AT26" s="501">
        <f t="shared" si="14"/>
        <v>5.6169944860204835</v>
      </c>
      <c r="AU26" s="501">
        <f t="shared" si="14"/>
        <v>5.5046545963000737</v>
      </c>
      <c r="AV26" s="501">
        <f t="shared" si="14"/>
        <v>5.3945615043740718</v>
      </c>
      <c r="AW26" s="501">
        <f t="shared" si="14"/>
        <v>5.2866702742865908</v>
      </c>
      <c r="AX26" s="501">
        <f t="shared" si="14"/>
        <v>5.1809368688008588</v>
      </c>
      <c r="AY26" s="501">
        <f t="shared" si="14"/>
        <v>5.0773181314248417</v>
      </c>
      <c r="AZ26" s="501">
        <f t="shared" si="14"/>
        <v>4.9757717687963448</v>
      </c>
      <c r="BA26" s="501">
        <f t="shared" si="14"/>
        <v>4.8762563334204181</v>
      </c>
      <c r="BB26" s="501">
        <f t="shared" si="14"/>
        <v>4.7787312067520098</v>
      </c>
      <c r="BC26" s="501">
        <f t="shared" si="14"/>
        <v>4.6831565826169701</v>
      </c>
      <c r="BD26" s="501">
        <f t="shared" si="14"/>
        <v>4.5894934509646301</v>
      </c>
      <c r="BE26" s="501">
        <f t="shared" si="14"/>
        <v>4.4977035819453377</v>
      </c>
      <c r="BF26" s="501">
        <f t="shared" si="14"/>
        <v>4.4077495103064308</v>
      </c>
      <c r="BG26" s="501">
        <f t="shared" si="14"/>
        <v>4.3195945201003019</v>
      </c>
      <c r="BH26" s="501">
        <f t="shared" si="14"/>
        <v>4.2332026296982956</v>
      </c>
      <c r="BI26" s="501">
        <f t="shared" si="14"/>
        <v>4.1485385771043299</v>
      </c>
      <c r="BJ26" s="501">
        <f t="shared" si="14"/>
        <v>4.0655678055622424</v>
      </c>
      <c r="BK26" s="501">
        <f t="shared" si="14"/>
        <v>3.984256449450998</v>
      </c>
      <c r="BL26" s="501">
        <f t="shared" si="14"/>
        <v>3.9045713204619781</v>
      </c>
      <c r="BM26" s="501">
        <f t="shared" si="14"/>
        <v>3.826479894052738</v>
      </c>
      <c r="BN26" s="501">
        <f t="shared" si="14"/>
        <v>3.7499502961716833</v>
      </c>
      <c r="BO26" s="501">
        <f t="shared" si="14"/>
        <v>3.6749512902482495</v>
      </c>
      <c r="BP26" s="501">
        <f t="shared" si="14"/>
        <v>3.6014522644432847</v>
      </c>
      <c r="BQ26" s="501">
        <f t="shared" si="14"/>
        <v>3.529423219154419</v>
      </c>
      <c r="BR26" s="501">
        <f t="shared" si="14"/>
        <v>3.4588347547713307</v>
      </c>
      <c r="BS26" s="501">
        <f t="shared" si="14"/>
        <v>3.3896580596759041</v>
      </c>
      <c r="BT26" s="501">
        <f t="shared" si="14"/>
        <v>3.321864898482386</v>
      </c>
      <c r="BU26" s="501">
        <f t="shared" si="14"/>
        <v>3.2554276005127383</v>
      </c>
      <c r="BV26" s="501">
        <f t="shared" si="14"/>
        <v>3.190319048502483</v>
      </c>
      <c r="BW26" s="501">
        <f t="shared" si="14"/>
        <v>3.1265126675324333</v>
      </c>
      <c r="BX26" s="501">
        <f t="shared" si="14"/>
        <v>3.0639824141817846</v>
      </c>
      <c r="BY26" s="501">
        <f t="shared" si="14"/>
        <v>3.0027027658981487</v>
      </c>
      <c r="BZ26" s="501">
        <f t="shared" si="14"/>
        <v>2.9426487105801855</v>
      </c>
      <c r="CA26" s="501">
        <f t="shared" si="14"/>
        <v>2.8837957363685818</v>
      </c>
      <c r="CB26" s="501">
        <f t="shared" si="14"/>
        <v>2.82611982164121</v>
      </c>
      <c r="CC26" s="501">
        <f t="shared" si="14"/>
        <v>2.7695974252083859</v>
      </c>
      <c r="CD26" s="501">
        <f t="shared" si="14"/>
        <v>2.7142054767042181</v>
      </c>
      <c r="CE26" s="501">
        <f t="shared" si="14"/>
        <v>2.6599213671701336</v>
      </c>
      <c r="CF26" s="501">
        <f t="shared" si="14"/>
        <v>2.6067229398267311</v>
      </c>
      <c r="CG26" s="501">
        <f t="shared" si="14"/>
        <v>2.5545884810301964</v>
      </c>
      <c r="CH26" s="501">
        <f t="shared" si="14"/>
        <v>2.5034967114095923</v>
      </c>
      <c r="CI26" s="501">
        <f t="shared" si="14"/>
        <v>2.4534267771814005</v>
      </c>
      <c r="CJ26" s="501">
        <f t="shared" si="14"/>
        <v>2.4043582416377722</v>
      </c>
      <c r="CK26" s="501">
        <f t="shared" si="14"/>
        <v>2.3562710768050166</v>
      </c>
      <c r="CL26" s="501">
        <f t="shared" si="14"/>
        <v>2.309145655268916</v>
      </c>
      <c r="CM26" s="501">
        <f t="shared" si="14"/>
        <v>2.2629627421635377</v>
      </c>
      <c r="CN26" s="501">
        <f t="shared" si="14"/>
        <v>2.217703487320267</v>
      </c>
      <c r="CO26" s="501">
        <f t="shared" si="14"/>
        <v>2.1733494175738617</v>
      </c>
    </row>
    <row r="27" spans="1:93">
      <c r="A27" s="554" t="s">
        <v>1055</v>
      </c>
      <c r="B27" s="554"/>
      <c r="C27" s="519">
        <v>170.12700000000001</v>
      </c>
      <c r="D27" s="519">
        <v>171.38200000000001</v>
      </c>
      <c r="E27" s="519">
        <v>172.58699999999999</v>
      </c>
      <c r="F27" s="519">
        <v>172.95400000000001</v>
      </c>
      <c r="G27" s="519">
        <v>172.02</v>
      </c>
      <c r="H27" s="519">
        <v>171.34299999999999</v>
      </c>
      <c r="I27" s="519">
        <v>169.70699999999999</v>
      </c>
      <c r="J27" s="519">
        <v>168.25399999999999</v>
      </c>
      <c r="K27" s="519">
        <v>166.40600000000001</v>
      </c>
      <c r="L27" s="520">
        <v>164.328</v>
      </c>
      <c r="M27" s="520">
        <v>162.529</v>
      </c>
      <c r="N27" s="521">
        <v>161.524</v>
      </c>
      <c r="O27" s="522">
        <v>160.155</v>
      </c>
      <c r="P27" s="522">
        <v>158.934</v>
      </c>
      <c r="Q27" s="522">
        <v>157.44</v>
      </c>
      <c r="R27" s="522">
        <v>156.20400000000001</v>
      </c>
      <c r="S27" s="501">
        <v>154.97800000000001</v>
      </c>
      <c r="Y27" s="507">
        <v>166.17400000000001</v>
      </c>
      <c r="Z27" s="507">
        <v>165.792</v>
      </c>
      <c r="AA27" s="507">
        <v>165.54</v>
      </c>
      <c r="AB27" s="507">
        <v>168.971</v>
      </c>
      <c r="AC27" s="507">
        <v>169.965</v>
      </c>
      <c r="AD27" s="507">
        <v>169.381</v>
      </c>
      <c r="AE27" s="519">
        <f>AVERAGE(C27:F27)</f>
        <v>171.76249999999999</v>
      </c>
      <c r="AF27" s="519">
        <f>AVERAGE(G27:J27)</f>
        <v>170.33099999999999</v>
      </c>
      <c r="AG27" s="519">
        <f>AVERAGE(K27:N27)</f>
        <v>163.69675000000001</v>
      </c>
      <c r="AH27" s="519">
        <f>AVERAGE(L27:O27)</f>
        <v>162.13399999999999</v>
      </c>
      <c r="AI27" s="501">
        <v>161</v>
      </c>
      <c r="AJ27" s="501">
        <v>161</v>
      </c>
      <c r="AK27" s="501">
        <v>161</v>
      </c>
      <c r="AL27" s="501">
        <v>161</v>
      </c>
      <c r="AM27" s="501">
        <v>161</v>
      </c>
      <c r="AN27" s="501">
        <v>161</v>
      </c>
      <c r="AO27" s="501">
        <v>161</v>
      </c>
      <c r="AP27" s="501">
        <v>161</v>
      </c>
      <c r="AQ27" s="501">
        <v>161</v>
      </c>
      <c r="AR27" s="501">
        <v>161</v>
      </c>
      <c r="AS27" s="501">
        <v>161</v>
      </c>
      <c r="AT27" s="501">
        <v>161</v>
      </c>
      <c r="AU27" s="501">
        <v>161</v>
      </c>
      <c r="AV27" s="501">
        <v>161</v>
      </c>
      <c r="AW27" s="501">
        <v>161</v>
      </c>
      <c r="AX27" s="501">
        <v>161</v>
      </c>
      <c r="AY27" s="501">
        <v>161</v>
      </c>
      <c r="AZ27" s="501">
        <v>161</v>
      </c>
      <c r="BA27" s="501">
        <v>161</v>
      </c>
      <c r="BB27" s="501">
        <v>161</v>
      </c>
      <c r="BC27" s="501">
        <v>161</v>
      </c>
      <c r="BD27" s="501">
        <v>161</v>
      </c>
      <c r="BE27" s="501">
        <v>161</v>
      </c>
      <c r="BF27" s="501">
        <v>161</v>
      </c>
      <c r="BG27" s="501">
        <v>161</v>
      </c>
      <c r="BH27" s="501">
        <v>161</v>
      </c>
      <c r="BI27" s="501">
        <v>161</v>
      </c>
      <c r="BJ27" s="501">
        <v>161</v>
      </c>
      <c r="BK27" s="501">
        <v>161</v>
      </c>
      <c r="BL27" s="501">
        <v>161</v>
      </c>
      <c r="BM27" s="501">
        <v>161</v>
      </c>
      <c r="BN27" s="501">
        <v>161</v>
      </c>
      <c r="BO27" s="501">
        <v>161</v>
      </c>
      <c r="BP27" s="501">
        <v>161</v>
      </c>
      <c r="BQ27" s="501">
        <v>161</v>
      </c>
      <c r="BR27" s="501">
        <v>161</v>
      </c>
      <c r="BS27" s="501">
        <v>161</v>
      </c>
      <c r="BT27" s="501">
        <v>161</v>
      </c>
      <c r="BU27" s="501">
        <v>161</v>
      </c>
      <c r="BV27" s="501">
        <v>161</v>
      </c>
      <c r="BW27" s="501">
        <v>161</v>
      </c>
      <c r="BX27" s="501">
        <v>161</v>
      </c>
      <c r="BY27" s="501">
        <v>161</v>
      </c>
      <c r="BZ27" s="501">
        <v>161</v>
      </c>
      <c r="CA27" s="501">
        <v>161</v>
      </c>
      <c r="CB27" s="501">
        <v>161</v>
      </c>
      <c r="CC27" s="501">
        <v>161</v>
      </c>
      <c r="CD27" s="501">
        <v>161</v>
      </c>
      <c r="CE27" s="501">
        <v>161</v>
      </c>
      <c r="CF27" s="501">
        <v>161</v>
      </c>
      <c r="CG27" s="501">
        <v>161</v>
      </c>
      <c r="CH27" s="501">
        <v>161</v>
      </c>
      <c r="CI27" s="501">
        <v>161</v>
      </c>
      <c r="CJ27" s="501">
        <v>161</v>
      </c>
      <c r="CK27" s="501">
        <v>161</v>
      </c>
      <c r="CL27" s="501">
        <v>161</v>
      </c>
      <c r="CM27" s="501">
        <v>161</v>
      </c>
      <c r="CN27" s="501">
        <v>161</v>
      </c>
      <c r="CO27" s="501">
        <v>161</v>
      </c>
    </row>
    <row r="29" spans="1:93">
      <c r="A29" s="501" t="s">
        <v>1056</v>
      </c>
      <c r="G29" s="523">
        <f>G3/C3-1</f>
        <v>0.51805028679577325</v>
      </c>
      <c r="H29" s="523">
        <f t="shared" ref="H29:N38" si="15">H3/D3-1</f>
        <v>0.11762584185287461</v>
      </c>
      <c r="I29" s="523">
        <f t="shared" si="15"/>
        <v>8.1689587058482171E-2</v>
      </c>
      <c r="J29" s="523">
        <f t="shared" si="15"/>
        <v>2.5157728262765744E-3</v>
      </c>
      <c r="K29" s="523">
        <f t="shared" si="15"/>
        <v>2.2145911481972202E-3</v>
      </c>
      <c r="L29" s="523">
        <f t="shared" si="15"/>
        <v>-2.01783994836362E-2</v>
      </c>
      <c r="M29" s="523">
        <f t="shared" si="15"/>
        <v>-0.1384049504522048</v>
      </c>
      <c r="N29" s="523">
        <f t="shared" si="15"/>
        <v>-9.7447873976847843E-2</v>
      </c>
      <c r="O29" s="523"/>
      <c r="Z29" s="514">
        <f>Z3/Y3-1</f>
        <v>0.29027510980801829</v>
      </c>
      <c r="AA29" s="514">
        <f t="shared" ref="AA29:AG29" si="16">AA3/Z3-1</f>
        <v>0.31039361303859536</v>
      </c>
      <c r="AB29" s="514">
        <f t="shared" si="16"/>
        <v>0.71628225273319779</v>
      </c>
      <c r="AC29" s="514">
        <f t="shared" si="16"/>
        <v>3.9201605769621617E-2</v>
      </c>
      <c r="AD29" s="514">
        <f t="shared" si="16"/>
        <v>1.4209614632419987E-2</v>
      </c>
      <c r="AE29" s="514">
        <f t="shared" si="16"/>
        <v>0.25047427178849602</v>
      </c>
      <c r="AF29" s="514">
        <f t="shared" si="16"/>
        <v>0.14715812878998147</v>
      </c>
      <c r="AG29" s="514">
        <f t="shared" si="16"/>
        <v>-6.7533554898938419E-2</v>
      </c>
      <c r="AI29" s="524"/>
    </row>
    <row r="30" spans="1:93">
      <c r="A30" s="501" t="s">
        <v>1057</v>
      </c>
      <c r="G30" s="523">
        <f t="shared" ref="G30:G38" si="17">G4/C4-1</f>
        <v>0.5021807925151347</v>
      </c>
      <c r="H30" s="523">
        <f t="shared" si="15"/>
        <v>0.17188530729055596</v>
      </c>
      <c r="I30" s="523">
        <f t="shared" si="15"/>
        <v>0.29018779579326437</v>
      </c>
      <c r="J30" s="523">
        <f t="shared" si="15"/>
        <v>5.3922149953020027E-2</v>
      </c>
      <c r="K30" s="523">
        <f t="shared" si="15"/>
        <v>4.2879321478129784E-2</v>
      </c>
      <c r="L30" s="523">
        <f t="shared" si="15"/>
        <v>-0.14990773345974129</v>
      </c>
      <c r="M30" s="523">
        <f t="shared" si="15"/>
        <v>-0.21856268287832736</v>
      </c>
      <c r="N30" s="523">
        <f t="shared" si="15"/>
        <v>-0.18723816778035518</v>
      </c>
      <c r="Q30" s="507"/>
      <c r="R30" s="507"/>
      <c r="Z30" s="514">
        <f t="shared" ref="Z30:AG39" si="18">Z4/Y4-1</f>
        <v>-8.1889122044441098E-2</v>
      </c>
      <c r="AA30" s="514">
        <f t="shared" si="18"/>
        <v>0.2570084637243446</v>
      </c>
      <c r="AB30" s="514">
        <f t="shared" si="18"/>
        <v>1.0231015869150535</v>
      </c>
      <c r="AC30" s="514">
        <f t="shared" si="18"/>
        <v>7.6527869168178109E-2</v>
      </c>
      <c r="AD30" s="514">
        <f t="shared" si="18"/>
        <v>6.5411399894524713E-2</v>
      </c>
      <c r="AE30" s="514">
        <f t="shared" si="18"/>
        <v>0.37215420135730759</v>
      </c>
      <c r="AF30" s="514">
        <f t="shared" si="18"/>
        <v>0.23303479466862487</v>
      </c>
      <c r="AG30" s="514">
        <f t="shared" si="18"/>
        <v>-0.13529294397503988</v>
      </c>
      <c r="AI30" s="524"/>
      <c r="AM30" s="501" t="s">
        <v>1058</v>
      </c>
      <c r="AN30" s="524">
        <f>NPV(AN31,AH25:CO25)</f>
        <v>10644.586175277567</v>
      </c>
    </row>
    <row r="31" spans="1:93">
      <c r="A31" s="501" t="s">
        <v>1059</v>
      </c>
      <c r="G31" s="523">
        <f t="shared" si="17"/>
        <v>0.80634665001396866</v>
      </c>
      <c r="H31" s="523">
        <f t="shared" si="15"/>
        <v>-7.805287452790588E-2</v>
      </c>
      <c r="I31" s="523">
        <f t="shared" si="15"/>
        <v>-0.12593014426727411</v>
      </c>
      <c r="J31" s="523">
        <f t="shared" si="15"/>
        <v>-0.41905485173806478</v>
      </c>
      <c r="K31" s="523">
        <f t="shared" si="15"/>
        <v>-0.45972452191633761</v>
      </c>
      <c r="L31" s="523">
        <f t="shared" si="15"/>
        <v>-0.36312730890961253</v>
      </c>
      <c r="M31" s="523">
        <f t="shared" si="15"/>
        <v>-0.49197758762976151</v>
      </c>
      <c r="N31" s="523">
        <f t="shared" si="15"/>
        <v>-0.40985418374986637</v>
      </c>
      <c r="Q31" s="513"/>
      <c r="Z31" s="514">
        <f t="shared" si="18"/>
        <v>0.1566223556115538</v>
      </c>
      <c r="AA31" s="514">
        <f t="shared" si="18"/>
        <v>0.28258146641588588</v>
      </c>
      <c r="AB31" s="514">
        <f t="shared" si="18"/>
        <v>-0.64325522804919166</v>
      </c>
      <c r="AC31" s="514">
        <f t="shared" si="18"/>
        <v>8.1455589538730333E-2</v>
      </c>
      <c r="AD31" s="514">
        <f t="shared" si="18"/>
        <v>6.5228145973846186E-2</v>
      </c>
      <c r="AE31" s="514">
        <f t="shared" si="18"/>
        <v>2.4047123296153812</v>
      </c>
      <c r="AF31" s="514">
        <f t="shared" si="18"/>
        <v>-8.2329805735850803E-2</v>
      </c>
      <c r="AG31" s="514">
        <f t="shared" si="18"/>
        <v>-0.43591865249931261</v>
      </c>
      <c r="AM31" s="501" t="s">
        <v>1060</v>
      </c>
      <c r="AN31" s="513">
        <v>7.1499999999999994E-2</v>
      </c>
    </row>
    <row r="32" spans="1:93">
      <c r="A32" s="501" t="s">
        <v>1061</v>
      </c>
      <c r="G32" s="523">
        <f t="shared" si="17"/>
        <v>0.72150799166087576</v>
      </c>
      <c r="H32" s="523">
        <f t="shared" si="15"/>
        <v>-2.7501624822473092E-2</v>
      </c>
      <c r="I32" s="523">
        <f t="shared" si="15"/>
        <v>-0.39979862660446785</v>
      </c>
      <c r="J32" s="523">
        <f t="shared" si="15"/>
        <v>-0.42628185971054089</v>
      </c>
      <c r="K32" s="523">
        <f t="shared" si="15"/>
        <v>-0.1600438994853165</v>
      </c>
      <c r="L32" s="523">
        <f t="shared" si="15"/>
        <v>-0.32917909431813963</v>
      </c>
      <c r="M32" s="523">
        <f t="shared" si="15"/>
        <v>-0.21364003910257179</v>
      </c>
      <c r="N32" s="523">
        <f t="shared" si="15"/>
        <v>1.8425086693158343E-2</v>
      </c>
      <c r="T32" s="507"/>
      <c r="Z32" s="514">
        <f t="shared" si="18"/>
        <v>0.43569878646628624</v>
      </c>
      <c r="AA32" s="514">
        <f t="shared" si="18"/>
        <v>0.42192293052103613</v>
      </c>
      <c r="AB32" s="514">
        <f t="shared" si="18"/>
        <v>-0.15012321961435815</v>
      </c>
      <c r="AC32" s="514">
        <f t="shared" si="18"/>
        <v>0.18874024939319267</v>
      </c>
      <c r="AD32" s="514">
        <f t="shared" si="18"/>
        <v>5.4506487939835591E-2</v>
      </c>
      <c r="AE32" s="514">
        <f t="shared" si="18"/>
        <v>1.8401732331182705</v>
      </c>
      <c r="AF32" s="514">
        <f t="shared" si="18"/>
        <v>-0.19302057501801972</v>
      </c>
      <c r="AG32" s="514">
        <f t="shared" si="18"/>
        <v>-0.17976415809211199</v>
      </c>
      <c r="AM32" s="501" t="s">
        <v>1062</v>
      </c>
      <c r="AN32" s="513">
        <v>-0.02</v>
      </c>
    </row>
    <row r="33" spans="1:40">
      <c r="A33" s="501" t="s">
        <v>1063</v>
      </c>
      <c r="G33" s="523">
        <f t="shared" si="17"/>
        <v>0.84382335640423745</v>
      </c>
      <c r="H33" s="523">
        <f t="shared" si="15"/>
        <v>0.11106744460231566</v>
      </c>
      <c r="I33" s="523">
        <f t="shared" si="15"/>
        <v>7.5284240627276899E-2</v>
      </c>
      <c r="J33" s="523">
        <f t="shared" si="15"/>
        <v>-2.0243679655690072E-2</v>
      </c>
      <c r="K33" s="523">
        <f t="shared" si="15"/>
        <v>-0.15680223734857501</v>
      </c>
      <c r="L33" s="523">
        <f t="shared" si="15"/>
        <v>-0.10007044020593936</v>
      </c>
      <c r="M33" s="523">
        <f t="shared" si="15"/>
        <v>-0.16473463716912207</v>
      </c>
      <c r="N33" s="523">
        <f t="shared" si="15"/>
        <v>-0.24460302060190831</v>
      </c>
      <c r="Z33" s="514">
        <f t="shared" si="18"/>
        <v>-0.13201586835145462</v>
      </c>
      <c r="AA33" s="514">
        <f t="shared" si="18"/>
        <v>0.10892932712653414</v>
      </c>
      <c r="AB33" s="514">
        <f t="shared" si="18"/>
        <v>1.789146695161044</v>
      </c>
      <c r="AC33" s="514">
        <f t="shared" si="18"/>
        <v>2.547179518052507</v>
      </c>
      <c r="AD33" s="514">
        <f t="shared" si="18"/>
        <v>6.4869702065943446E-2</v>
      </c>
      <c r="AE33" s="514">
        <f t="shared" si="18"/>
        <v>0.79520671598756243</v>
      </c>
      <c r="AF33" s="514">
        <f t="shared" si="18"/>
        <v>0.17181367306830886</v>
      </c>
      <c r="AG33" s="514">
        <f t="shared" si="18"/>
        <v>-0.16557670280594228</v>
      </c>
      <c r="AM33" s="501" t="s">
        <v>1064</v>
      </c>
      <c r="AN33" s="524">
        <f>AN30/'Input sheet'!B21</f>
        <v>68.684498285418357</v>
      </c>
    </row>
    <row r="34" spans="1:40">
      <c r="A34" s="501" t="s">
        <v>1065</v>
      </c>
      <c r="G34" s="523">
        <f t="shared" si="17"/>
        <v>0.80577978689053897</v>
      </c>
      <c r="H34" s="523">
        <f t="shared" si="15"/>
        <v>-2.1338887386778471E-2</v>
      </c>
      <c r="I34" s="523">
        <f t="shared" si="15"/>
        <v>-1.8164102564102502E-2</v>
      </c>
      <c r="J34" s="523">
        <f t="shared" si="15"/>
        <v>-0.36876810222555279</v>
      </c>
      <c r="K34" s="523">
        <f t="shared" si="15"/>
        <v>4.8351320859143732E-2</v>
      </c>
      <c r="L34" s="523">
        <f t="shared" si="15"/>
        <v>1.9542160041096102E-2</v>
      </c>
      <c r="M34" s="523">
        <f t="shared" si="15"/>
        <v>-0.21175401393517124</v>
      </c>
      <c r="N34" s="523">
        <f t="shared" si="15"/>
        <v>-0.26584893957007705</v>
      </c>
      <c r="Z34" s="514">
        <f t="shared" si="18"/>
        <v>1.0945998645347954E-2</v>
      </c>
      <c r="AA34" s="514">
        <f t="shared" si="18"/>
        <v>1.8311091620426989E-2</v>
      </c>
      <c r="AB34" s="514">
        <f t="shared" si="18"/>
        <v>-0.37232685091773299</v>
      </c>
      <c r="AC34" s="514">
        <f t="shared" si="18"/>
        <v>-0.17564489846482234</v>
      </c>
      <c r="AD34" s="514">
        <f t="shared" si="18"/>
        <v>0.40881084767706644</v>
      </c>
      <c r="AE34" s="514">
        <f t="shared" si="18"/>
        <v>1.8580122314121921</v>
      </c>
      <c r="AF34" s="514">
        <f t="shared" si="18"/>
        <v>-4.5716719221769786E-2</v>
      </c>
      <c r="AG34" s="514">
        <f t="shared" si="18"/>
        <v>-0.10995884327954075</v>
      </c>
      <c r="AM34" s="501" t="s">
        <v>1066</v>
      </c>
      <c r="AN34" s="514">
        <f>AN33/#REF!-1</f>
        <v>0.23533270297515019</v>
      </c>
    </row>
    <row r="35" spans="1:40">
      <c r="A35" s="501" t="s">
        <v>1067</v>
      </c>
      <c r="G35" s="523">
        <f t="shared" si="17"/>
        <v>-1.8097831707401091E-2</v>
      </c>
      <c r="H35" s="523">
        <f t="shared" si="15"/>
        <v>-9.3825290837750486E-2</v>
      </c>
      <c r="I35" s="523">
        <f t="shared" si="15"/>
        <v>-0.21798087258495724</v>
      </c>
      <c r="J35" s="523">
        <f t="shared" si="15"/>
        <v>-0.15740273714650799</v>
      </c>
      <c r="K35" s="523">
        <f t="shared" si="15"/>
        <v>-0.21675326499087211</v>
      </c>
      <c r="L35" s="523">
        <f t="shared" si="15"/>
        <v>-7.5205104831357339E-3</v>
      </c>
      <c r="M35" s="523">
        <f t="shared" si="15"/>
        <v>-0.32471628956086562</v>
      </c>
      <c r="N35" s="523">
        <f t="shared" si="15"/>
        <v>-0.52817463484715454</v>
      </c>
      <c r="Z35" s="514">
        <f t="shared" si="18"/>
        <v>9.5584076673775886E-3</v>
      </c>
      <c r="AA35" s="514">
        <f t="shared" si="18"/>
        <v>0.11651130895650752</v>
      </c>
      <c r="AB35" s="514">
        <f t="shared" si="18"/>
        <v>-0.47465397491630434</v>
      </c>
      <c r="AC35" s="514">
        <f t="shared" si="18"/>
        <v>-8.6997186224388789E-2</v>
      </c>
      <c r="AD35" s="514">
        <f t="shared" si="18"/>
        <v>-3.727352438166831E-2</v>
      </c>
      <c r="AE35" s="514">
        <f t="shared" si="18"/>
        <v>-0.21144230379050544</v>
      </c>
      <c r="AF35" s="514">
        <f t="shared" si="18"/>
        <v>-0.14358901054918682</v>
      </c>
      <c r="AG35" s="514">
        <f t="shared" si="18"/>
        <v>-0.25459000413934907</v>
      </c>
    </row>
    <row r="36" spans="1:40">
      <c r="A36" s="501" t="s">
        <v>1068</v>
      </c>
      <c r="G36" s="523">
        <f t="shared" si="17"/>
        <v>0.63395221747355146</v>
      </c>
      <c r="H36" s="523">
        <f t="shared" si="15"/>
        <v>-0.14173703784729819</v>
      </c>
      <c r="I36" s="523">
        <f t="shared" si="15"/>
        <v>-0.31821747999372352</v>
      </c>
      <c r="J36" s="523">
        <f t="shared" si="15"/>
        <v>-0.36659650955570577</v>
      </c>
      <c r="K36" s="523">
        <f t="shared" si="15"/>
        <v>-0.40444398706767182</v>
      </c>
      <c r="L36" s="523">
        <f t="shared" si="15"/>
        <v>-0.25293134036175291</v>
      </c>
      <c r="M36" s="523">
        <f t="shared" si="15"/>
        <v>-0.33732259301879552</v>
      </c>
      <c r="N36" s="523">
        <f t="shared" si="15"/>
        <v>-0.24313901454055964</v>
      </c>
      <c r="Z36" s="514">
        <f t="shared" si="18"/>
        <v>-0.26318850447536779</v>
      </c>
      <c r="AA36" s="514">
        <f t="shared" si="18"/>
        <v>-0.25996765685462908</v>
      </c>
      <c r="AB36" s="514">
        <f t="shared" si="18"/>
        <v>5.3996019719299158</v>
      </c>
      <c r="AC36" s="514">
        <f t="shared" si="18"/>
        <v>-0.43611418815231873</v>
      </c>
      <c r="AD36" s="514">
        <f t="shared" si="18"/>
        <v>-1.3253841523416687E-2</v>
      </c>
      <c r="AE36" s="514">
        <f t="shared" si="18"/>
        <v>0.71241123352523439</v>
      </c>
      <c r="AF36" s="514">
        <f t="shared" si="18"/>
        <v>-0.14367629742136956</v>
      </c>
      <c r="AG36" s="514">
        <f t="shared" si="18"/>
        <v>-0.31685449798716581</v>
      </c>
    </row>
    <row r="37" spans="1:40" hidden="1">
      <c r="A37" s="501" t="s">
        <v>1069</v>
      </c>
      <c r="G37" s="523">
        <f t="shared" si="17"/>
        <v>-1</v>
      </c>
      <c r="H37" s="523">
        <f t="shared" si="15"/>
        <v>-1</v>
      </c>
      <c r="I37" s="523">
        <f t="shared" si="15"/>
        <v>-1</v>
      </c>
      <c r="J37" s="523">
        <f t="shared" si="15"/>
        <v>-1</v>
      </c>
      <c r="K37" s="523" t="e">
        <f t="shared" si="15"/>
        <v>#DIV/0!</v>
      </c>
      <c r="L37" s="523" t="e">
        <f t="shared" si="15"/>
        <v>#DIV/0!</v>
      </c>
      <c r="M37" s="523" t="e">
        <f t="shared" si="15"/>
        <v>#DIV/0!</v>
      </c>
      <c r="N37" s="523" t="e">
        <f t="shared" si="15"/>
        <v>#DIV/0!</v>
      </c>
      <c r="Z37" s="514">
        <f t="shared" si="18"/>
        <v>2.0283409184939982E-2</v>
      </c>
      <c r="AA37" s="514">
        <f t="shared" si="18"/>
        <v>8.5623625064628284E-2</v>
      </c>
      <c r="AB37" s="514">
        <f t="shared" si="18"/>
        <v>-0.16541690401262521</v>
      </c>
      <c r="AC37" s="514">
        <f t="shared" si="18"/>
        <v>-0.44788694572186227</v>
      </c>
      <c r="AD37" s="514">
        <f t="shared" si="18"/>
        <v>-0.12037937743190652</v>
      </c>
      <c r="AE37" s="514">
        <f t="shared" si="18"/>
        <v>-0.20758455441894763</v>
      </c>
      <c r="AF37" s="514">
        <f t="shared" si="18"/>
        <v>-1</v>
      </c>
      <c r="AG37" s="514" t="e">
        <f t="shared" si="18"/>
        <v>#DIV/0!</v>
      </c>
    </row>
    <row r="38" spans="1:40">
      <c r="A38" s="501" t="s">
        <v>1070</v>
      </c>
      <c r="G38" s="523">
        <f t="shared" si="17"/>
        <v>1251</v>
      </c>
      <c r="H38" s="523">
        <f t="shared" si="15"/>
        <v>2717.5714285714284</v>
      </c>
      <c r="I38" s="523">
        <f t="shared" si="15"/>
        <v>6.6122112211221129</v>
      </c>
      <c r="J38" s="523">
        <f t="shared" si="15"/>
        <v>24.716049382716051</v>
      </c>
      <c r="K38" s="523">
        <f t="shared" si="15"/>
        <v>-0.66661341853035139</v>
      </c>
      <c r="L38" s="523">
        <f t="shared" si="15"/>
        <v>-0.61341741110527237</v>
      </c>
      <c r="M38" s="523">
        <f t="shared" si="15"/>
        <v>-0.70778235421634506</v>
      </c>
      <c r="N38" s="523">
        <f t="shared" si="15"/>
        <v>-0.30916946711473836</v>
      </c>
      <c r="Z38" s="514">
        <f t="shared" si="18"/>
        <v>-5.6880733944954187E-2</v>
      </c>
      <c r="AA38" s="514">
        <f t="shared" si="18"/>
        <v>-0.49610894941634243</v>
      </c>
      <c r="AB38" s="514">
        <f t="shared" si="18"/>
        <v>-0.66563706563706559</v>
      </c>
      <c r="AC38" s="514">
        <f t="shared" si="18"/>
        <v>-4.3879907621247161E-2</v>
      </c>
      <c r="AD38" s="514">
        <f t="shared" si="18"/>
        <v>-9.9033816425120769E-2</v>
      </c>
      <c r="AE38" s="514">
        <f t="shared" si="18"/>
        <v>0.86085790884718483</v>
      </c>
      <c r="AF38" s="514">
        <f t="shared" si="18"/>
        <v>25.890937905200982</v>
      </c>
      <c r="AG38" s="514">
        <f t="shared" si="18"/>
        <v>-0.6206268416822931</v>
      </c>
    </row>
    <row r="39" spans="1:40">
      <c r="G39" s="523"/>
      <c r="H39" s="523"/>
      <c r="I39" s="523"/>
      <c r="J39" s="523"/>
      <c r="K39" s="523"/>
      <c r="L39" s="523"/>
      <c r="M39" s="523"/>
      <c r="N39" s="523"/>
      <c r="Z39" s="514">
        <f t="shared" si="18"/>
        <v>6.5798530406382394E-3</v>
      </c>
      <c r="AA39" s="514">
        <f t="shared" si="18"/>
        <v>0.10075169714087528</v>
      </c>
      <c r="AB39" s="514">
        <f t="shared" si="18"/>
        <v>0.15550184633571118</v>
      </c>
      <c r="AC39" s="514">
        <f t="shared" si="18"/>
        <v>8.6276127709192352E-2</v>
      </c>
      <c r="AD39" s="514">
        <f t="shared" si="18"/>
        <v>6.7255144850558723E-2</v>
      </c>
      <c r="AE39" s="514">
        <f t="shared" si="18"/>
        <v>0.76496071207866234</v>
      </c>
      <c r="AF39" s="514">
        <f t="shared" si="18"/>
        <v>4.356998618556629E-2</v>
      </c>
      <c r="AG39" s="514">
        <f t="shared" si="18"/>
        <v>-0.17191491271552928</v>
      </c>
    </row>
    <row r="40" spans="1:40">
      <c r="A40" s="501" t="s">
        <v>1071</v>
      </c>
      <c r="G40" s="523">
        <f t="shared" ref="G40:S40" si="19">G13/C13-1</f>
        <v>0.65686064043925096</v>
      </c>
      <c r="H40" s="523">
        <f t="shared" si="19"/>
        <v>3.9079128156939813E-2</v>
      </c>
      <c r="I40" s="523">
        <f t="shared" si="19"/>
        <v>-2.0704107594185062E-2</v>
      </c>
      <c r="J40" s="523">
        <f t="shared" si="19"/>
        <v>-0.19918355388446674</v>
      </c>
      <c r="K40" s="523">
        <f t="shared" si="19"/>
        <v>-0.1159956343393358</v>
      </c>
      <c r="L40" s="523">
        <f t="shared" si="19"/>
        <v>-0.12043173409417829</v>
      </c>
      <c r="M40" s="523">
        <f t="shared" si="19"/>
        <v>-0.22223236169923488</v>
      </c>
      <c r="N40" s="523">
        <f t="shared" si="19"/>
        <v>-0.219445785914403</v>
      </c>
      <c r="O40" s="523">
        <f t="shared" si="19"/>
        <v>-0.15981687523979071</v>
      </c>
      <c r="P40" s="523">
        <f t="shared" si="19"/>
        <v>-8.0023430067948875E-2</v>
      </c>
      <c r="Q40" s="523">
        <f t="shared" si="19"/>
        <v>-1.1380199618087672E-2</v>
      </c>
      <c r="R40" s="523">
        <f t="shared" si="19"/>
        <v>5.3547788354475934E-2</v>
      </c>
      <c r="S40" s="523">
        <f t="shared" si="19"/>
        <v>0.11669380881868552</v>
      </c>
      <c r="Z40" s="514">
        <f>Z13/Y13-1</f>
        <v>6.5798530406382394E-3</v>
      </c>
      <c r="AA40" s="514">
        <f t="shared" ref="AA40:AH40" si="20">AA13/Z13-1</f>
        <v>0.10075169714087528</v>
      </c>
      <c r="AB40" s="514">
        <f t="shared" si="20"/>
        <v>0.15550184633571118</v>
      </c>
      <c r="AC40" s="514">
        <f t="shared" si="20"/>
        <v>8.6276127709192352E-2</v>
      </c>
      <c r="AD40" s="514">
        <f t="shared" si="20"/>
        <v>6.7255144850558723E-2</v>
      </c>
      <c r="AE40" s="514">
        <f t="shared" si="20"/>
        <v>0.76496071207866234</v>
      </c>
      <c r="AF40" s="514">
        <f t="shared" si="20"/>
        <v>4.356998618556629E-2</v>
      </c>
      <c r="AG40" s="514">
        <f t="shared" si="20"/>
        <v>-0.17191491271552928</v>
      </c>
      <c r="AH40" s="514">
        <f t="shared" si="20"/>
        <v>-5.2954535740362463E-2</v>
      </c>
    </row>
    <row r="41" spans="1:40">
      <c r="A41" s="501" t="s">
        <v>1072</v>
      </c>
      <c r="G41" s="523">
        <f>G16/G13</f>
        <v>0.43361345306381266</v>
      </c>
      <c r="H41" s="523">
        <f t="shared" ref="H41:R41" si="21">H16/H13</f>
        <v>0.41504761277747965</v>
      </c>
      <c r="I41" s="523">
        <f t="shared" si="21"/>
        <v>0.40299929813043023</v>
      </c>
      <c r="J41" s="523">
        <f t="shared" si="21"/>
        <v>0.40155236529609095</v>
      </c>
      <c r="K41" s="523">
        <f t="shared" si="21"/>
        <v>0.39625559871191895</v>
      </c>
      <c r="L41" s="523">
        <f t="shared" si="21"/>
        <v>0.38189618182150509</v>
      </c>
      <c r="M41" s="523">
        <f t="shared" si="21"/>
        <v>0.37582376912022358</v>
      </c>
      <c r="N41" s="523">
        <f t="shared" si="21"/>
        <v>0.35816293901426655</v>
      </c>
      <c r="O41" s="523">
        <f t="shared" si="21"/>
        <v>0.38547191941705428</v>
      </c>
      <c r="P41" s="523">
        <f t="shared" si="21"/>
        <v>0.4149656388598762</v>
      </c>
      <c r="Q41" s="523">
        <f t="shared" si="21"/>
        <v>0.41958688080110046</v>
      </c>
      <c r="R41" s="523">
        <f t="shared" si="21"/>
        <v>0.43201445001270405</v>
      </c>
      <c r="S41" s="523">
        <f t="shared" ref="S41" si="22">S16/S13</f>
        <v>0.4284605000657038</v>
      </c>
      <c r="Y41" s="514">
        <f>Y16/Y13</f>
        <v>0.35186502323298618</v>
      </c>
      <c r="Z41" s="514">
        <f>Z16/Z13</f>
        <v>0.33746940191269009</v>
      </c>
      <c r="AA41" s="514">
        <f t="shared" ref="AA41:AH41" si="23">AA16/AA13</f>
        <v>0.36915055052450524</v>
      </c>
      <c r="AB41" s="514">
        <f t="shared" si="23"/>
        <v>0.3542226445275809</v>
      </c>
      <c r="AC41" s="514">
        <f t="shared" si="23"/>
        <v>0.37191221100002086</v>
      </c>
      <c r="AD41" s="514">
        <f t="shared" si="23"/>
        <v>0.37716303672462098</v>
      </c>
      <c r="AE41" s="514">
        <f t="shared" si="23"/>
        <v>0.44470686057607839</v>
      </c>
      <c r="AF41" s="514">
        <f t="shared" si="23"/>
        <v>0.41287434769036369</v>
      </c>
      <c r="AG41" s="514">
        <f t="shared" si="23"/>
        <v>0.378846430943034</v>
      </c>
      <c r="AH41" s="514">
        <f t="shared" si="23"/>
        <v>0.41364072354167192</v>
      </c>
    </row>
    <row r="42" spans="1:40">
      <c r="A42" s="501" t="s">
        <v>505</v>
      </c>
      <c r="G42" s="523">
        <f t="shared" ref="G42:I42" si="24">G21/G13</f>
        <v>0.15365707918399946</v>
      </c>
      <c r="H42" s="523">
        <f t="shared" si="24"/>
        <v>0.1373463464973087</v>
      </c>
      <c r="I42" s="523">
        <f t="shared" si="24"/>
        <v>0.16092227866304273</v>
      </c>
      <c r="J42" s="523">
        <f>J21/J13</f>
        <v>0.10469075458904686</v>
      </c>
      <c r="K42" s="523">
        <f t="shared" ref="K42:R42" si="25">K21/K13</f>
        <v>9.9562449078125281E-2</v>
      </c>
      <c r="L42" s="523">
        <f t="shared" si="25"/>
        <v>0.11088462432253426</v>
      </c>
      <c r="M42" s="523">
        <f t="shared" si="25"/>
        <v>0.13917751048290244</v>
      </c>
      <c r="N42" s="523">
        <f t="shared" si="25"/>
        <v>4.0459254830602066E-2</v>
      </c>
      <c r="O42" s="523">
        <f t="shared" si="25"/>
        <v>8.0456726995102021E-2</v>
      </c>
      <c r="P42" s="523">
        <f t="shared" si="25"/>
        <v>0.14819093138367928</v>
      </c>
      <c r="Q42" s="523">
        <f t="shared" si="25"/>
        <v>0.17697712336306712</v>
      </c>
      <c r="R42" s="523">
        <f t="shared" si="25"/>
        <v>0.12873818447493646</v>
      </c>
      <c r="S42" s="523">
        <f t="shared" ref="S42" si="26">S21/S13</f>
        <v>0.14105550639256698</v>
      </c>
      <c r="Y42" s="514">
        <f>Y21/Y13</f>
        <v>7.6903279352468976E-2</v>
      </c>
      <c r="Z42" s="514">
        <f t="shared" ref="Z42:AH42" si="27">Z21/Z13</f>
        <v>6.3950250235369793E-2</v>
      </c>
      <c r="AA42" s="514">
        <f t="shared" si="27"/>
        <v>9.1728425016892351E-2</v>
      </c>
      <c r="AB42" s="514">
        <f t="shared" si="27"/>
        <v>8.758745597252364E-2</v>
      </c>
      <c r="AC42" s="514">
        <f t="shared" si="27"/>
        <v>9.4391537275824125E-2</v>
      </c>
      <c r="AD42" s="514">
        <f t="shared" si="27"/>
        <v>0.10072480107370974</v>
      </c>
      <c r="AE42" s="514">
        <f t="shared" si="27"/>
        <v>0.21968089508743088</v>
      </c>
      <c r="AF42" s="514">
        <f t="shared" si="27"/>
        <v>0.14094576983711854</v>
      </c>
      <c r="AG42" s="514">
        <f t="shared" si="27"/>
        <v>0.10101065960344734</v>
      </c>
      <c r="AH42" s="514">
        <f t="shared" si="27"/>
        <v>0.13666523437309164</v>
      </c>
    </row>
    <row r="43" spans="1:40">
      <c r="A43" s="501" t="s">
        <v>1073</v>
      </c>
      <c r="G43" s="523">
        <f>G24/G23</f>
        <v>0.11880223238479165</v>
      </c>
      <c r="H43" s="523">
        <f t="shared" ref="H43:R43" si="28">H24/H23</f>
        <v>0.1934717105529499</v>
      </c>
      <c r="I43" s="523">
        <f t="shared" si="28"/>
        <v>0.1902597202301082</v>
      </c>
      <c r="J43" s="523">
        <f t="shared" si="28"/>
        <v>0.17852886024248205</v>
      </c>
      <c r="K43" s="523">
        <f t="shared" si="28"/>
        <v>0.17279195769958908</v>
      </c>
      <c r="L43" s="523">
        <f t="shared" si="28"/>
        <v>0.22161326721219751</v>
      </c>
      <c r="M43" s="523">
        <f t="shared" si="28"/>
        <v>0.23336578855242443</v>
      </c>
      <c r="N43" s="523">
        <f t="shared" si="28"/>
        <v>0.21248410544495289</v>
      </c>
      <c r="O43" s="523">
        <f t="shared" si="28"/>
        <v>0.1665182901712754</v>
      </c>
      <c r="P43" s="523">
        <f t="shared" si="28"/>
        <v>0.1811515010361239</v>
      </c>
      <c r="Q43" s="523">
        <f t="shared" si="28"/>
        <v>-4.0792550703686391E-2</v>
      </c>
      <c r="R43" s="523">
        <f t="shared" si="28"/>
        <v>-0.1656443851011154</v>
      </c>
      <c r="S43" s="523">
        <f t="shared" ref="S43" si="29">S24/S23</f>
        <v>0.15268443345221661</v>
      </c>
      <c r="Y43" s="514">
        <f>Y24/Y25</f>
        <v>3.1355058647568899E-2</v>
      </c>
      <c r="Z43" s="514">
        <f t="shared" ref="Z43:AH43" si="30">Z24/Z25</f>
        <v>2.4228354185818281E-2</v>
      </c>
      <c r="AA43" s="514">
        <f t="shared" si="30"/>
        <v>4.607551672531647E-2</v>
      </c>
      <c r="AB43" s="514">
        <f t="shared" si="30"/>
        <v>0.11649822721156587</v>
      </c>
      <c r="AC43" s="514">
        <f t="shared" si="30"/>
        <v>5.2645269496414501E-2</v>
      </c>
      <c r="AD43" s="514">
        <f t="shared" si="30"/>
        <v>-0.26512675222529958</v>
      </c>
      <c r="AE43" s="514">
        <f t="shared" si="30"/>
        <v>0.21077950102901175</v>
      </c>
      <c r="AF43" s="514">
        <f t="shared" si="30"/>
        <v>0.20419445787891549</v>
      </c>
      <c r="AG43" s="514">
        <f t="shared" si="30"/>
        <v>0.26952330087780585</v>
      </c>
      <c r="AH43" s="514">
        <f t="shared" si="30"/>
        <v>1.5439947863838378E-2</v>
      </c>
      <c r="AJ43" s="501">
        <v>400</v>
      </c>
      <c r="AK43" s="501">
        <v>600</v>
      </c>
      <c r="AL43" s="501">
        <v>609</v>
      </c>
    </row>
    <row r="46" spans="1:40">
      <c r="A46" s="510" t="s">
        <v>1074</v>
      </c>
      <c r="AG46" s="507">
        <f>SUM(AG47:AG50)</f>
        <v>2605.174</v>
      </c>
    </row>
    <row r="47" spans="1:40">
      <c r="A47" s="501" t="s">
        <v>1075</v>
      </c>
      <c r="AG47" s="507">
        <v>1149.0229999999999</v>
      </c>
    </row>
    <row r="48" spans="1:40">
      <c r="A48" s="501" t="s">
        <v>1076</v>
      </c>
      <c r="AG48" s="507">
        <v>630.38199999999995</v>
      </c>
    </row>
    <row r="49" spans="1:41">
      <c r="A49" s="501" t="s">
        <v>1077</v>
      </c>
      <c r="AG49" s="507">
        <v>682.89300000000003</v>
      </c>
    </row>
    <row r="50" spans="1:41">
      <c r="A50" s="501" t="s">
        <v>1078</v>
      </c>
      <c r="AG50" s="507">
        <v>142.876</v>
      </c>
    </row>
    <row r="51" spans="1:41">
      <c r="A51" s="510" t="s">
        <v>1079</v>
      </c>
      <c r="AG51" s="507">
        <f>SUM(AG52:AG55)</f>
        <v>955.57900000000006</v>
      </c>
    </row>
    <row r="52" spans="1:41">
      <c r="A52" s="501" t="s">
        <v>1080</v>
      </c>
      <c r="AG52" s="507">
        <v>121.503</v>
      </c>
    </row>
    <row r="53" spans="1:41">
      <c r="A53" s="501" t="s">
        <v>1081</v>
      </c>
      <c r="AG53" s="507">
        <v>454.61</v>
      </c>
    </row>
    <row r="54" spans="1:41">
      <c r="A54" s="501" t="s">
        <v>1082</v>
      </c>
      <c r="AG54" s="507">
        <v>63.173000000000002</v>
      </c>
    </row>
    <row r="55" spans="1:41">
      <c r="A55" s="501" t="s">
        <v>1083</v>
      </c>
      <c r="AG55" s="507">
        <v>316.29300000000001</v>
      </c>
    </row>
    <row r="56" spans="1:41">
      <c r="A56" s="526" t="s">
        <v>1084</v>
      </c>
      <c r="AG56" s="507">
        <f>AG51+AG46</f>
        <v>3560.7530000000002</v>
      </c>
    </row>
    <row r="57" spans="1:41">
      <c r="A57" s="510" t="s">
        <v>1085</v>
      </c>
      <c r="AG57" s="507">
        <f>AG58+AG59</f>
        <v>1050.107</v>
      </c>
    </row>
    <row r="58" spans="1:41">
      <c r="A58" s="501" t="s">
        <v>1086</v>
      </c>
      <c r="AG58" s="507">
        <v>406.96800000000002</v>
      </c>
    </row>
    <row r="59" spans="1:41">
      <c r="A59" s="501" t="s">
        <v>1087</v>
      </c>
      <c r="AG59" s="507">
        <v>643.13900000000001</v>
      </c>
      <c r="AN59" s="501" t="s">
        <v>1088</v>
      </c>
      <c r="AO59" s="513">
        <v>0</v>
      </c>
    </row>
    <row r="60" spans="1:41">
      <c r="A60" s="510" t="s">
        <v>1089</v>
      </c>
      <c r="AG60" s="507">
        <f>SUM(AG61:AG62)</f>
        <v>253.08600000000001</v>
      </c>
      <c r="AN60" s="501" t="s">
        <v>1090</v>
      </c>
      <c r="AO60" s="514">
        <v>0.27</v>
      </c>
    </row>
    <row r="61" spans="1:41">
      <c r="A61" s="501" t="s">
        <v>1091</v>
      </c>
      <c r="AG61" s="507">
        <v>106.39100000000001</v>
      </c>
      <c r="AN61" s="501" t="s">
        <v>1092</v>
      </c>
      <c r="AO61" s="501">
        <v>0</v>
      </c>
    </row>
    <row r="62" spans="1:41">
      <c r="A62" s="501" t="s">
        <v>1093</v>
      </c>
      <c r="AG62" s="507">
        <v>146.69499999999999</v>
      </c>
      <c r="AN62" s="501" t="s">
        <v>1094</v>
      </c>
      <c r="AO62" s="513">
        <v>0</v>
      </c>
    </row>
    <row r="63" spans="1:41">
      <c r="A63" s="526" t="s">
        <v>1095</v>
      </c>
      <c r="AG63" s="507">
        <f>AG60+AG57</f>
        <v>1303.193</v>
      </c>
      <c r="AN63" s="501" t="s">
        <v>1096</v>
      </c>
      <c r="AO63" s="513">
        <f>(1-AO60)*AO59</f>
        <v>0</v>
      </c>
    </row>
    <row r="64" spans="1:41">
      <c r="A64" s="526" t="s">
        <v>1097</v>
      </c>
      <c r="AG64" s="507">
        <f>SUM(AG65:AG69)</f>
        <v>2257.56</v>
      </c>
    </row>
    <row r="65" spans="1:41">
      <c r="A65" s="527" t="s">
        <v>1098</v>
      </c>
      <c r="AG65" s="507">
        <v>30.148</v>
      </c>
      <c r="AN65" s="501" t="s">
        <v>1099</v>
      </c>
      <c r="AO65" s="523">
        <v>3.712E-2</v>
      </c>
    </row>
    <row r="66" spans="1:41">
      <c r="A66" s="501" t="s">
        <v>1100</v>
      </c>
      <c r="AG66" s="507">
        <v>127.38</v>
      </c>
      <c r="AN66" s="501" t="s">
        <v>1101</v>
      </c>
      <c r="AO66" s="501">
        <v>0.86</v>
      </c>
    </row>
    <row r="67" spans="1:41">
      <c r="A67" s="501" t="s">
        <v>1102</v>
      </c>
      <c r="AG67" s="507">
        <v>-977.26599999999996</v>
      </c>
      <c r="AN67" s="501" t="s">
        <v>1103</v>
      </c>
      <c r="AO67" s="513">
        <v>0.04</v>
      </c>
    </row>
    <row r="68" spans="1:41">
      <c r="A68" s="501" t="s">
        <v>1104</v>
      </c>
      <c r="AG68" s="507">
        <v>3177.5749999999998</v>
      </c>
      <c r="AN68" s="501" t="s">
        <v>1105</v>
      </c>
      <c r="AO68" s="513">
        <v>1</v>
      </c>
    </row>
    <row r="69" spans="1:41">
      <c r="A69" s="501" t="s">
        <v>1106</v>
      </c>
      <c r="AG69" s="507">
        <v>-100.277</v>
      </c>
      <c r="AN69" s="501" t="s">
        <v>1107</v>
      </c>
      <c r="AO69" s="528">
        <f>AO65+(AO66*AO67)</f>
        <v>7.152E-2</v>
      </c>
    </row>
    <row r="71" spans="1:41">
      <c r="AN71" s="501" t="s">
        <v>1108</v>
      </c>
    </row>
    <row r="72" spans="1:41">
      <c r="AN72" s="501" t="s">
        <v>1109</v>
      </c>
      <c r="AO72" s="501">
        <f>AG47</f>
        <v>1149.0229999999999</v>
      </c>
    </row>
    <row r="73" spans="1:41">
      <c r="AN73" s="501" t="s">
        <v>1110</v>
      </c>
      <c r="AO73" s="501">
        <v>0</v>
      </c>
    </row>
    <row r="74" spans="1:41">
      <c r="AN74" s="501" t="s">
        <v>1111</v>
      </c>
      <c r="AO74" s="501">
        <f>AO73-AO72</f>
        <v>-1149.0229999999999</v>
      </c>
    </row>
    <row r="76" spans="1:41">
      <c r="AN76" s="501" t="s">
        <v>1112</v>
      </c>
    </row>
    <row r="78" spans="1:41">
      <c r="AN78" s="501" t="s">
        <v>1113</v>
      </c>
      <c r="AO78" s="501">
        <v>158.73770999999999</v>
      </c>
    </row>
    <row r="79" spans="1:41">
      <c r="AN79" s="501" t="s">
        <v>1114</v>
      </c>
      <c r="AO79" s="501">
        <v>55.4</v>
      </c>
    </row>
    <row r="80" spans="1:41">
      <c r="AN80" s="501" t="s">
        <v>1115</v>
      </c>
      <c r="AO80" s="501">
        <f>AO79*AO78</f>
        <v>8794.0691339999994</v>
      </c>
    </row>
    <row r="83" spans="39:41">
      <c r="AM83" s="501" t="s">
        <v>1116</v>
      </c>
      <c r="AO83" s="528">
        <f>AO69*AO68</f>
        <v>7.152E-2</v>
      </c>
    </row>
  </sheetData>
  <mergeCells count="26">
    <mergeCell ref="A26:B26"/>
    <mergeCell ref="A27:B27"/>
    <mergeCell ref="A20:B20"/>
    <mergeCell ref="A21:B21"/>
    <mergeCell ref="A22:B22"/>
    <mergeCell ref="A23:B23"/>
    <mergeCell ref="A24:B24"/>
    <mergeCell ref="A25:B25"/>
    <mergeCell ref="A19:B19"/>
    <mergeCell ref="A7:B7"/>
    <mergeCell ref="A8:B8"/>
    <mergeCell ref="A9:B9"/>
    <mergeCell ref="A10:B10"/>
    <mergeCell ref="A12:B12"/>
    <mergeCell ref="A13:B13"/>
    <mergeCell ref="A14:B14"/>
    <mergeCell ref="A15:B15"/>
    <mergeCell ref="A16:B16"/>
    <mergeCell ref="A17:B17"/>
    <mergeCell ref="A18:B18"/>
    <mergeCell ref="A6:B6"/>
    <mergeCell ref="A1:B1"/>
    <mergeCell ref="A2:B2"/>
    <mergeCell ref="A3:B3"/>
    <mergeCell ref="A4:B4"/>
    <mergeCell ref="A5:B5"/>
  </mergeCells>
  <hyperlinks>
    <hyperlink ref="A1" location="main!A1" display="main" xr:uid="{339AB999-1533-4428-9A52-1FE49A7B46BC}"/>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abSelected="1" zoomScale="96" zoomScaleNormal="125" workbookViewId="0">
      <selection activeCell="B5" sqref="B5"/>
    </sheetView>
  </sheetViews>
  <sheetFormatPr defaultColWidth="11.375" defaultRowHeight="15.6"/>
  <cols>
    <col min="1" max="1" width="23" style="31" bestFit="1" customWidth="1"/>
    <col min="2" max="2" width="16.75" style="31" customWidth="1"/>
    <col min="3" max="13" width="15.875" style="34" bestFit="1" customWidth="1"/>
    <col min="14" max="14" width="12.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v>
      </c>
      <c r="D2" s="41">
        <f>'Input sheet'!B28</f>
        <v>9.2999999999999999E-2</v>
      </c>
      <c r="E2" s="41">
        <f>D2</f>
        <v>9.2999999999999999E-2</v>
      </c>
      <c r="F2" s="41">
        <f>E2</f>
        <v>9.2999999999999999E-2</v>
      </c>
      <c r="G2" s="41">
        <f>F2</f>
        <v>9.2999999999999999E-2</v>
      </c>
      <c r="H2" s="41">
        <f>G2-((G2-$M$2)/5)</f>
        <v>8.3671999999999996E-2</v>
      </c>
      <c r="I2" s="41">
        <f>G2-((G2-$M$2)/5)*2</f>
        <v>7.4343999999999993E-2</v>
      </c>
      <c r="J2" s="41">
        <f>G2-((G2-$M$2)/5)*3</f>
        <v>6.5016000000000004E-2</v>
      </c>
      <c r="K2" s="41">
        <f>G2-((G2-$M$2)/5)*4</f>
        <v>5.5688000000000001E-2</v>
      </c>
      <c r="L2" s="41">
        <f>G2-((G2-$M$2)/5)*5</f>
        <v>4.6359999999999998E-2</v>
      </c>
      <c r="M2" s="42">
        <f>IF('Input sheet'!B67="Yes",'Input sheet'!B68,IF('Input sheet'!B64="Yes",'Input sheet'!B65,'Input sheet'!B34))</f>
        <v>4.6359999999999998E-2</v>
      </c>
    </row>
    <row r="3" spans="1:14" ht="15" customHeight="1">
      <c r="A3" s="31" t="s">
        <v>5</v>
      </c>
      <c r="B3" s="43">
        <f>'Input sheet'!B11</f>
        <v>4412.1849999999995</v>
      </c>
      <c r="C3" s="44">
        <f>B3*(1+C2)</f>
        <v>4853.4034999999994</v>
      </c>
      <c r="D3" s="44">
        <f t="shared" ref="D3:L3" si="0">C3*(1+D2)</f>
        <v>5304.7700254999991</v>
      </c>
      <c r="E3" s="44">
        <f t="shared" si="0"/>
        <v>5798.1136378714991</v>
      </c>
      <c r="F3" s="44">
        <f t="shared" si="0"/>
        <v>6337.3382061935481</v>
      </c>
      <c r="G3" s="44">
        <f t="shared" si="0"/>
        <v>6926.710659369548</v>
      </c>
      <c r="H3" s="44">
        <f t="shared" si="0"/>
        <v>7506.2823936603163</v>
      </c>
      <c r="I3" s="44">
        <f t="shared" si="0"/>
        <v>8064.3294519345982</v>
      </c>
      <c r="J3" s="44">
        <f t="shared" si="0"/>
        <v>8588.6398955815785</v>
      </c>
      <c r="K3" s="44">
        <f t="shared" si="0"/>
        <v>9066.9240740867244</v>
      </c>
      <c r="L3" s="44">
        <f t="shared" si="0"/>
        <v>9487.2666741613848</v>
      </c>
      <c r="M3" s="352">
        <f>L3*(1+M2)</f>
        <v>9927.0963571755055</v>
      </c>
    </row>
    <row r="4" spans="1:14" ht="15" customHeight="1">
      <c r="A4" s="31" t="s">
        <v>20</v>
      </c>
      <c r="B4" s="45">
        <f>B5/B3</f>
        <v>0.16259186774806592</v>
      </c>
      <c r="C4" s="41">
        <f>'Input sheet'!B27</f>
        <v>0.13</v>
      </c>
      <c r="D4" s="41">
        <f>IF(D1&gt;'Input sheet'!$B$30,'Input sheet'!$B$29,'Input sheet'!$B$29-(('Input sheet'!$B$29-$C$4)/'Input sheet'!$B$30)*('Input sheet'!$B$30-D1))</f>
        <v>0.14200000000000002</v>
      </c>
      <c r="E4" s="41">
        <f>IF(E1&gt;'Input sheet'!$B$30,'Input sheet'!$B$29,'Input sheet'!$B$29-(('Input sheet'!$B$29-$C$4)/'Input sheet'!$B$30)*('Input sheet'!$B$30-E1))</f>
        <v>0.14799999999999999</v>
      </c>
      <c r="F4" s="41">
        <f>IF(F1&gt;'Input sheet'!$B$30,'Input sheet'!$B$29,'Input sheet'!$B$29-(('Input sheet'!$B$29-$C$4)/'Input sheet'!$B$30)*('Input sheet'!$B$30-F1))</f>
        <v>0.154</v>
      </c>
      <c r="G4" s="41">
        <f>IF(G1&gt;'Input sheet'!$B$30,'Input sheet'!$B$29,'Input sheet'!$B$29-(('Input sheet'!$B$29-$C$4)/'Input sheet'!$B$30)*('Input sheet'!$B$30-G1))</f>
        <v>0.16</v>
      </c>
      <c r="H4" s="41">
        <f>IF(H1&gt;'Input sheet'!$B$30,'Input sheet'!$B$29,'Input sheet'!$B$29-(('Input sheet'!$B$29-$C$4)/'Input sheet'!$B$30)*('Input sheet'!$B$30-H1))</f>
        <v>0.16</v>
      </c>
      <c r="I4" s="41">
        <f>IF(I1&gt;'Input sheet'!$B$30,'Input sheet'!$B$29,'Input sheet'!$B$29-(('Input sheet'!$B$29-$C$4)/'Input sheet'!$B$30)*('Input sheet'!$B$30-I1))</f>
        <v>0.16</v>
      </c>
      <c r="J4" s="41">
        <f>IF(J1&gt;'Input sheet'!$B$30,'Input sheet'!$B$29,'Input sheet'!$B$29-(('Input sheet'!$B$29-$C$4)/'Input sheet'!$B$30)*('Input sheet'!$B$30-J1))</f>
        <v>0.16</v>
      </c>
      <c r="K4" s="41">
        <f>IF(K1&gt;'Input sheet'!$B$30,'Input sheet'!$B$29,'Input sheet'!$B$29-(('Input sheet'!$B$29-$C$4)/'Input sheet'!$B$30)*('Input sheet'!$B$30-K1))</f>
        <v>0.16</v>
      </c>
      <c r="L4" s="41">
        <f>IF(L1&gt;'Input sheet'!$B$30,'Input sheet'!$B$29,'Input sheet'!$B$29-(('Input sheet'!$B$29-$C$4)/'Input sheet'!$B$30)*('Input sheet'!$B$30-L1))</f>
        <v>0.16</v>
      </c>
      <c r="M4" s="42">
        <f>L4</f>
        <v>0.16</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717.38540000000012</v>
      </c>
      <c r="C5" s="44">
        <f t="shared" ref="C5:M5" si="1">C4*C3</f>
        <v>630.942455</v>
      </c>
      <c r="D5" s="44">
        <f t="shared" si="1"/>
        <v>753.277343621</v>
      </c>
      <c r="E5" s="44">
        <f t="shared" si="1"/>
        <v>858.12081840498183</v>
      </c>
      <c r="F5" s="44">
        <f t="shared" si="1"/>
        <v>975.95008375380644</v>
      </c>
      <c r="G5" s="44">
        <f t="shared" si="1"/>
        <v>1108.2737054991278</v>
      </c>
      <c r="H5" s="44">
        <f t="shared" si="1"/>
        <v>1201.0051829856507</v>
      </c>
      <c r="I5" s="44">
        <f t="shared" si="1"/>
        <v>1290.2927123095358</v>
      </c>
      <c r="J5" s="44">
        <f t="shared" si="1"/>
        <v>1374.1823832930527</v>
      </c>
      <c r="K5" s="44">
        <f t="shared" si="1"/>
        <v>1450.707851853876</v>
      </c>
      <c r="L5" s="44">
        <f t="shared" si="1"/>
        <v>1517.9626678658217</v>
      </c>
      <c r="M5" s="352">
        <f t="shared" si="1"/>
        <v>1588.335417148081</v>
      </c>
      <c r="N5" s="353">
        <f>M5-B5</f>
        <v>870.95001714808086</v>
      </c>
    </row>
    <row r="6" spans="1:14" ht="15" customHeight="1">
      <c r="A6" s="31" t="s">
        <v>130</v>
      </c>
      <c r="B6" s="46">
        <f>'Input sheet'!B23</f>
        <v>0.15</v>
      </c>
      <c r="C6" s="47">
        <f>B6</f>
        <v>0.15</v>
      </c>
      <c r="D6" s="47">
        <f>C6</f>
        <v>0.15</v>
      </c>
      <c r="E6" s="47">
        <f>D6</f>
        <v>0.15</v>
      </c>
      <c r="F6" s="47">
        <f>E6</f>
        <v>0.15</v>
      </c>
      <c r="G6" s="47">
        <f>F6</f>
        <v>0.15</v>
      </c>
      <c r="H6" s="47">
        <f>G6+($M$6-$G$6)/5</f>
        <v>0.16999999999999998</v>
      </c>
      <c r="I6" s="47">
        <f>H6+($M$6-$G$6)/5</f>
        <v>0.18999999999999997</v>
      </c>
      <c r="J6" s="47">
        <f>I6+($M$6-$G$6)/5</f>
        <v>0.20999999999999996</v>
      </c>
      <c r="K6" s="47">
        <f>J6+($M$6-$G$6)/5</f>
        <v>0.22999999999999995</v>
      </c>
      <c r="L6" s="47">
        <f>K6+($M$6-$G$6)/5</f>
        <v>0.24999999999999994</v>
      </c>
      <c r="M6" s="47">
        <f>IF('Input sheet'!B59="Yes",'Input sheet'!B23,'Input sheet'!B24)</f>
        <v>0.25</v>
      </c>
    </row>
    <row r="7" spans="1:14" ht="15" customHeight="1">
      <c r="A7" s="31" t="s">
        <v>6</v>
      </c>
      <c r="B7" s="43">
        <f>IF(B5&gt;0,B5*(1-B6),B5)</f>
        <v>609.77759000000003</v>
      </c>
      <c r="C7" s="44">
        <f>IF(C5&gt;0,IF(C5&lt;B10,C5,C5-(C5-B10)*C6),C5)</f>
        <v>536.30108674999997</v>
      </c>
      <c r="D7" s="44">
        <f t="shared" ref="D7:L7" si="2">IF(D5&gt;0,IF(D5&lt;C10,D5,D5-(D5-C10)*D6),D5)</f>
        <v>640.28574207785005</v>
      </c>
      <c r="E7" s="44">
        <f t="shared" si="2"/>
        <v>729.40269564423454</v>
      </c>
      <c r="F7" s="44">
        <f t="shared" si="2"/>
        <v>829.55757119073542</v>
      </c>
      <c r="G7" s="44">
        <f t="shared" si="2"/>
        <v>942.03264967425866</v>
      </c>
      <c r="H7" s="44">
        <f t="shared" si="2"/>
        <v>996.83430187809006</v>
      </c>
      <c r="I7" s="44">
        <f t="shared" si="2"/>
        <v>1045.1370969707241</v>
      </c>
      <c r="J7" s="44">
        <f t="shared" si="2"/>
        <v>1085.6040828015116</v>
      </c>
      <c r="K7" s="44">
        <f t="shared" si="2"/>
        <v>1117.0450459274846</v>
      </c>
      <c r="L7" s="44">
        <f t="shared" si="2"/>
        <v>1138.4720008993663</v>
      </c>
      <c r="M7" s="44">
        <f>M5*(1-M6)</f>
        <v>1191.2515628610608</v>
      </c>
    </row>
    <row r="8" spans="1:14" ht="15" customHeight="1">
      <c r="A8" s="31" t="s">
        <v>9</v>
      </c>
      <c r="B8" s="43"/>
      <c r="C8" s="44">
        <f>IF('Input sheet'!$B$56="No",(D3-C3)/C38,IF('Input sheet'!$B$57=0,(C3-B3)/C38,IF('Input sheet'!$B$57=2,(E3-D3)/C38,IF('Input sheet'!$B$57=3,(F3-E3)/C38,(D3-C3)/C38))))</f>
        <v>250.75918083333312</v>
      </c>
      <c r="D8" s="44">
        <f>IF('Input sheet'!$B$56="No",(E3-D3)/D38,IF('Input sheet'!$B$57=0,(D3-C3)/D38,IF('Input sheet'!$B$57=2,(F3-E3)/D38,IF('Input sheet'!$B$57=3,(G3-F3)/D38,(E3-D3)/D38))))</f>
        <v>274.07978465083335</v>
      </c>
      <c r="E8" s="44">
        <f>IF('Input sheet'!$B$56="No",(F3-E3)/E38,IF('Input sheet'!$B$57=0,(E3-D3)/E38,IF('Input sheet'!$B$57=2,(G3-F3)/E38,IF('Input sheet'!$B$57=3,(H3-G3)/E38,(F3-E3)/E38))))</f>
        <v>299.56920462336052</v>
      </c>
      <c r="F8" s="44">
        <f>IF('Input sheet'!$B$56="No",(G3-F3)/F38,IF('Input sheet'!$B$57=0,(F3-E3)/F38,IF('Input sheet'!$B$57=2,(H3-G3)/F38,IF('Input sheet'!$B$57=3,(I3-H3)/F38,(G3-F3)/F38))))</f>
        <v>327.42914065333326</v>
      </c>
      <c r="G8" s="44">
        <f>IF('Input sheet'!$B$56="No",(H3-G3)/G38,IF('Input sheet'!$B$57=0,(G3-F3)/G38,IF('Input sheet'!$B$57=2,(I3-H3)/G38,IF('Input sheet'!$B$57=3,(J3-I3)/G38,(H3-G3)/G38))))</f>
        <v>321.98429682820461</v>
      </c>
      <c r="H8" s="44">
        <f>IF('Input sheet'!$B$56="No",(I3-H3)/H38,IF('Input sheet'!$B$57=0,(H3-G3)/H38,IF('Input sheet'!$B$57=2,(J3-I3)/H38,IF('Input sheet'!$B$57=3,(K3-J3)/H38,(I3-H3)/H38))))</f>
        <v>372.03137218285457</v>
      </c>
      <c r="I8" s="44">
        <f>IF('Input sheet'!$B$56="No",(J3-I3)/I38,IF('Input sheet'!$B$57=0,(I3-H3)/I38,IF('Input sheet'!$B$57=2,(K3-J3)/I38,IF('Input sheet'!$B$57=3,(L3-K3)/I38,(J3-I3)/I38))))</f>
        <v>349.54029576465354</v>
      </c>
      <c r="J8" s="44">
        <f>IF('Input sheet'!$B$56="No",(K3-J3)/J38,IF('Input sheet'!$B$57=0,(J3-I3)/J38,IF('Input sheet'!$B$57=2,(L3-K3)/J38,IF('Input sheet'!$B$57=3,(M3-L3)/J38,(K3-J3)/J38))))</f>
        <v>318.85611900343065</v>
      </c>
      <c r="K8" s="44">
        <f>IF('Input sheet'!$B$56="No",(L3-K3)/K38,IF('Input sheet'!$B$57=0,(K3-J3)/K38,IF('Input sheet'!$B$57=2,L3*L2/K38,IF('Input sheet'!$B$57=3,M3*M2/K38,(L3-K3)/K38))))</f>
        <v>280.2284000497736</v>
      </c>
      <c r="L8" s="44">
        <f>IF('Input sheet'!$B$56="No",(M3-L3)/L38,IF('Input sheet'!$B$57=0,(L3-K3)/L38,IF('Input sheet'!$B$57=2,M3*M2/L38,IF('Input sheet'!$B$57=3,K8*(1+M2),(M3-L3)/L38))))</f>
        <v>293.2197886760805</v>
      </c>
      <c r="M8" s="48">
        <f>IF(M2&gt;0,(M2/M40)*M7,0)</f>
        <v>615.95385293596678</v>
      </c>
      <c r="N8" s="353">
        <f>SUM(C8:M8)</f>
        <v>3703.6514362018243</v>
      </c>
    </row>
    <row r="9" spans="1:14" ht="15" customHeight="1">
      <c r="A9" s="31" t="s">
        <v>10</v>
      </c>
      <c r="B9" s="43"/>
      <c r="C9" s="44">
        <f t="shared" ref="C9:L9" si="3">C7-C8</f>
        <v>285.54190591666685</v>
      </c>
      <c r="D9" s="44">
        <f t="shared" si="3"/>
        <v>366.2059574270167</v>
      </c>
      <c r="E9" s="44">
        <f t="shared" si="3"/>
        <v>429.83349102087402</v>
      </c>
      <c r="F9" s="44">
        <f t="shared" si="3"/>
        <v>502.12843053740215</v>
      </c>
      <c r="G9" s="44">
        <f t="shared" si="3"/>
        <v>620.04835284605406</v>
      </c>
      <c r="H9" s="44">
        <f t="shared" si="3"/>
        <v>624.80292969523543</v>
      </c>
      <c r="I9" s="44">
        <f t="shared" si="3"/>
        <v>695.5968012060705</v>
      </c>
      <c r="J9" s="44">
        <f t="shared" si="3"/>
        <v>766.74796379808095</v>
      </c>
      <c r="K9" s="44">
        <f t="shared" si="3"/>
        <v>836.81664587771093</v>
      </c>
      <c r="L9" s="44">
        <f t="shared" si="3"/>
        <v>845.25221222328582</v>
      </c>
      <c r="M9" s="48">
        <f>M7-M8</f>
        <v>575.29770992509407</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9.4969838568748674E-2</v>
      </c>
      <c r="D12" s="41">
        <f>C12</f>
        <v>9.4969838568748674E-2</v>
      </c>
      <c r="E12" s="41">
        <f>D12</f>
        <v>9.4969838568748674E-2</v>
      </c>
      <c r="F12" s="41">
        <f>E12</f>
        <v>9.4969838568748674E-2</v>
      </c>
      <c r="G12" s="41">
        <f>F12</f>
        <v>9.4969838568748674E-2</v>
      </c>
      <c r="H12" s="41">
        <f>G12-($G$12-$M$12)/5</f>
        <v>9.3907870854998937E-2</v>
      </c>
      <c r="I12" s="41">
        <f>H12-($G$12-$M$12)/5</f>
        <v>9.28459031412492E-2</v>
      </c>
      <c r="J12" s="41">
        <f>I12-($G$12-$M$12)/5</f>
        <v>9.1783935427499463E-2</v>
      </c>
      <c r="K12" s="41">
        <f>J12-($G$12-$M$12)/5</f>
        <v>9.0721967713749727E-2</v>
      </c>
      <c r="L12" s="41">
        <f>K12-($G$12-$M$12)/5</f>
        <v>8.965999999999999E-2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0.9132671647897761</v>
      </c>
      <c r="D13" s="79">
        <f>C13*(1/(1+D12))</f>
        <v>0.83405691428315609</v>
      </c>
      <c r="E13" s="79">
        <f t="shared" ref="E13:L13" si="5">D13*(1/(1+E12))</f>
        <v>0.76171679338068732</v>
      </c>
      <c r="F13" s="79">
        <f t="shared" si="5"/>
        <v>0.69565093626354002</v>
      </c>
      <c r="G13" s="79">
        <f t="shared" si="5"/>
        <v>0.63531515824475648</v>
      </c>
      <c r="H13" s="79">
        <f t="shared" si="5"/>
        <v>0.58077574462298531</v>
      </c>
      <c r="I13" s="79">
        <f t="shared" si="5"/>
        <v>0.53143425157528423</v>
      </c>
      <c r="J13" s="79">
        <f t="shared" si="5"/>
        <v>0.48675771307002752</v>
      </c>
      <c r="K13" s="79">
        <f t="shared" si="5"/>
        <v>0.44627111901882294</v>
      </c>
      <c r="L13" s="79">
        <f t="shared" si="5"/>
        <v>0.40955079476058853</v>
      </c>
      <c r="M13" s="49"/>
    </row>
    <row r="14" spans="1:14" ht="15" customHeight="1">
      <c r="A14" s="31" t="s">
        <v>15</v>
      </c>
      <c r="B14" s="40"/>
      <c r="C14" s="44">
        <f t="shared" ref="C14:L14" si="6">C9*C13</f>
        <v>260.77604684518332</v>
      </c>
      <c r="D14" s="44">
        <f t="shared" si="6"/>
        <v>305.43661084368637</v>
      </c>
      <c r="E14" s="44">
        <f t="shared" si="6"/>
        <v>327.4113884680466</v>
      </c>
      <c r="F14" s="44">
        <f t="shared" si="6"/>
        <v>349.30611282788573</v>
      </c>
      <c r="G14" s="44">
        <f t="shared" si="6"/>
        <v>393.92611740779142</v>
      </c>
      <c r="H14" s="44">
        <f t="shared" si="6"/>
        <v>362.87038673637312</v>
      </c>
      <c r="I14" s="44">
        <f t="shared" si="6"/>
        <v>369.66396544710983</v>
      </c>
      <c r="J14" s="44">
        <f t="shared" si="6"/>
        <v>373.22048535945413</v>
      </c>
      <c r="K14" s="44">
        <f t="shared" si="6"/>
        <v>373.44710096942413</v>
      </c>
      <c r="L14" s="44">
        <f t="shared" si="6"/>
        <v>346.17371528919233</v>
      </c>
      <c r="M14" s="49"/>
    </row>
    <row r="15" spans="1:14" ht="15" customHeight="1"/>
    <row r="16" spans="1:14" ht="15" customHeight="1">
      <c r="A16" s="30" t="s">
        <v>16</v>
      </c>
      <c r="B16" s="43">
        <f>M9</f>
        <v>575.29770992509407</v>
      </c>
    </row>
    <row r="17" spans="1:13" ht="15" customHeight="1">
      <c r="A17" s="30" t="s">
        <v>132</v>
      </c>
      <c r="B17" s="45">
        <f>M12</f>
        <v>8.965999999999999E-2</v>
      </c>
      <c r="D17" s="356"/>
    </row>
    <row r="18" spans="1:13">
      <c r="A18" s="30" t="s">
        <v>17</v>
      </c>
      <c r="B18" s="43">
        <f>B16/(B17-M2)</f>
        <v>13286.321245383237</v>
      </c>
      <c r="D18" s="357"/>
      <c r="M18" s="356"/>
    </row>
    <row r="19" spans="1:13">
      <c r="A19" s="30" t="s">
        <v>18</v>
      </c>
      <c r="B19" s="50">
        <f>B18*L13</f>
        <v>5441.4234254911971</v>
      </c>
      <c r="D19" s="356"/>
    </row>
    <row r="20" spans="1:13">
      <c r="A20" s="30" t="s">
        <v>39</v>
      </c>
      <c r="B20" s="50">
        <f>SUM(C14:L14)</f>
        <v>3462.2319301941475</v>
      </c>
    </row>
    <row r="21" spans="1:13">
      <c r="A21" s="30" t="s">
        <v>40</v>
      </c>
      <c r="B21" s="50">
        <f>B19+B20</f>
        <v>8903.6553556853451</v>
      </c>
    </row>
    <row r="22" spans="1:13">
      <c r="A22" s="30" t="s">
        <v>100</v>
      </c>
      <c r="B22" s="51">
        <f>IF('Input sheet'!B51="Yes",'Input sheet'!B52,0)</f>
        <v>0</v>
      </c>
      <c r="E22" s="356"/>
    </row>
    <row r="23" spans="1:13">
      <c r="A23" s="30" t="s">
        <v>101</v>
      </c>
      <c r="B23" s="52">
        <f>IF('Input sheet'!B53="B",('Input sheet'!B14+'Input sheet'!B15)*'Input sheet'!B54,'Valuation output'!B21*'Input sheet'!B54)</f>
        <v>4451.8276778426725</v>
      </c>
    </row>
    <row r="24" spans="1:13">
      <c r="A24" s="30" t="s">
        <v>37</v>
      </c>
      <c r="B24" s="43">
        <f>B21*(1-B22)+B23*B22</f>
        <v>8903.6553556853451</v>
      </c>
    </row>
    <row r="25" spans="1:13">
      <c r="A25" s="30" t="s">
        <v>368</v>
      </c>
      <c r="B25" s="43">
        <f>IF('Input sheet'!B17="Yes",'Input sheet'!B15+'Operating lease converter'!C28,'Input sheet'!B15)</f>
        <v>77.89500000000001</v>
      </c>
    </row>
    <row r="26" spans="1:13">
      <c r="A26" s="30" t="s">
        <v>370</v>
      </c>
      <c r="B26" s="43">
        <f>'Input sheet'!B20</f>
        <v>0</v>
      </c>
    </row>
    <row r="27" spans="1:13" ht="15.9" customHeight="1">
      <c r="A27" s="30" t="s">
        <v>367</v>
      </c>
      <c r="B27" s="43">
        <f>IF('Input sheet'!B70="YES",'Input sheet'!B18-'Input sheet'!B71*('Input sheet'!B24-'Input sheet'!B72),'Input sheet'!B18)</f>
        <v>1534.38</v>
      </c>
      <c r="D27" s="557" t="s">
        <v>979</v>
      </c>
      <c r="E27" s="557"/>
      <c r="F27" s="557"/>
    </row>
    <row r="28" spans="1:13">
      <c r="A28" s="30" t="s">
        <v>366</v>
      </c>
      <c r="B28" s="43">
        <f>'Input sheet'!B19</f>
        <v>33.323</v>
      </c>
      <c r="D28" s="557"/>
      <c r="E28" s="557"/>
      <c r="F28" s="557"/>
    </row>
    <row r="29" spans="1:13">
      <c r="A29" s="30" t="s">
        <v>45</v>
      </c>
      <c r="B29" s="50">
        <f>B24-B25-B26+B27+B28</f>
        <v>10393.463355685344</v>
      </c>
      <c r="D29" s="557"/>
      <c r="E29" s="557"/>
      <c r="F29" s="557"/>
    </row>
    <row r="30" spans="1:13">
      <c r="A30" s="30" t="s">
        <v>50</v>
      </c>
      <c r="B30" s="53">
        <f ca="1">IF('Input sheet'!B37="No",0,'Option value'!B29)</f>
        <v>163.82761362615619</v>
      </c>
      <c r="D30" s="557"/>
      <c r="E30" s="557"/>
      <c r="F30" s="557"/>
    </row>
    <row r="31" spans="1:13">
      <c r="A31" s="30" t="s">
        <v>51</v>
      </c>
      <c r="B31" s="50">
        <f ca="1">B29-B30</f>
        <v>10229.635742059188</v>
      </c>
      <c r="D31" s="557"/>
      <c r="E31" s="557"/>
      <c r="F31" s="557"/>
    </row>
    <row r="32" spans="1:13">
      <c r="A32" s="30" t="s">
        <v>7</v>
      </c>
      <c r="B32" s="54">
        <f>'Input sheet'!B21</f>
        <v>154.97800000000001</v>
      </c>
      <c r="D32" s="557"/>
      <c r="E32" s="557"/>
      <c r="F32" s="557"/>
    </row>
    <row r="33" spans="1:13">
      <c r="A33" s="30" t="s">
        <v>85</v>
      </c>
      <c r="B33" s="55">
        <f ca="1">B31/B32</f>
        <v>66.007018686905155</v>
      </c>
    </row>
    <row r="34" spans="1:13">
      <c r="A34" s="30" t="s">
        <v>91</v>
      </c>
      <c r="B34" s="43">
        <f>'Input sheet'!B22</f>
        <v>84.5</v>
      </c>
    </row>
    <row r="35" spans="1:13">
      <c r="A35" s="30" t="s">
        <v>43</v>
      </c>
      <c r="B35" s="46">
        <f ca="1">B34/B33</f>
        <v>1.2801668925665868</v>
      </c>
    </row>
    <row r="37" spans="1:13" ht="16.2">
      <c r="A37" s="32" t="s">
        <v>11</v>
      </c>
      <c r="B37" s="40"/>
      <c r="C37" s="49"/>
      <c r="D37" s="49"/>
      <c r="E37" s="49"/>
      <c r="F37" s="49"/>
      <c r="G37" s="49"/>
      <c r="H37" s="49"/>
      <c r="I37" s="49"/>
      <c r="J37" s="49"/>
      <c r="K37" s="49"/>
      <c r="L37" s="49"/>
      <c r="M37" s="49" t="s">
        <v>36</v>
      </c>
    </row>
    <row r="38" spans="1:13">
      <c r="A38" s="30" t="s">
        <v>31</v>
      </c>
      <c r="B38" s="40"/>
      <c r="C38" s="56">
        <f>'Input sheet'!B31</f>
        <v>1.8</v>
      </c>
      <c r="D38" s="56">
        <f>'Input sheet'!B31</f>
        <v>1.8</v>
      </c>
      <c r="E38" s="56">
        <f t="shared" ref="E38:L38" si="7">D38</f>
        <v>1.8</v>
      </c>
      <c r="F38" s="56">
        <f t="shared" si="7"/>
        <v>1.8</v>
      </c>
      <c r="G38" s="56">
        <f>F38</f>
        <v>1.8</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1600.5723999999998</v>
      </c>
      <c r="C39" s="58">
        <f t="shared" ref="C39:L39" si="8">B39+C8</f>
        <v>1851.331580833333</v>
      </c>
      <c r="D39" s="58">
        <f t="shared" si="8"/>
        <v>2125.4113654841663</v>
      </c>
      <c r="E39" s="58">
        <f t="shared" si="8"/>
        <v>2424.9805701075265</v>
      </c>
      <c r="F39" s="58">
        <f t="shared" si="8"/>
        <v>2752.40971076086</v>
      </c>
      <c r="G39" s="58">
        <f t="shared" si="8"/>
        <v>3074.3940075890646</v>
      </c>
      <c r="H39" s="58">
        <f t="shared" si="8"/>
        <v>3446.4253797719193</v>
      </c>
      <c r="I39" s="58">
        <f t="shared" si="8"/>
        <v>3795.9656755365727</v>
      </c>
      <c r="J39" s="58">
        <f t="shared" si="8"/>
        <v>4114.8217945400029</v>
      </c>
      <c r="K39" s="58">
        <f t="shared" si="8"/>
        <v>4395.0501945897768</v>
      </c>
      <c r="L39" s="58">
        <f t="shared" si="8"/>
        <v>4688.2699832658573</v>
      </c>
      <c r="M39" s="49"/>
    </row>
    <row r="40" spans="1:13">
      <c r="A40" s="30" t="s">
        <v>13</v>
      </c>
      <c r="B40" s="45">
        <f>B7/B39</f>
        <v>0.38097470005105682</v>
      </c>
      <c r="C40" s="41">
        <f>C7/B39</f>
        <v>0.33506830853137293</v>
      </c>
      <c r="D40" s="41">
        <f t="shared" ref="D40:L40" si="9">D7/C39</f>
        <v>0.34585146642917453</v>
      </c>
      <c r="E40" s="41">
        <f t="shared" si="9"/>
        <v>0.34318189292173917</v>
      </c>
      <c r="F40" s="41">
        <f t="shared" si="9"/>
        <v>0.34208833729086408</v>
      </c>
      <c r="G40" s="41">
        <f t="shared" si="9"/>
        <v>0.34225742119397212</v>
      </c>
      <c r="H40" s="41">
        <f t="shared" si="9"/>
        <v>0.32423765445074038</v>
      </c>
      <c r="I40" s="41">
        <f t="shared" si="9"/>
        <v>0.3032524955001028</v>
      </c>
      <c r="J40" s="41">
        <f t="shared" si="9"/>
        <v>0.28598890917211933</v>
      </c>
      <c r="K40" s="41">
        <f t="shared" si="9"/>
        <v>0.27146863259296006</v>
      </c>
      <c r="L40" s="41">
        <f t="shared" si="9"/>
        <v>0.25903503953169948</v>
      </c>
      <c r="M40" s="41">
        <f>IF('Input sheet'!B48="Yes",'Input sheet'!B49,'Valuation output'!L12)</f>
        <v>8.965999999999999E-2</v>
      </c>
    </row>
  </sheetData>
  <mergeCells count="1">
    <mergeCell ref="D27:F32"/>
  </mergeCells>
  <phoneticPr fontId="8"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F3" zoomScale="116" zoomScaleNormal="116" workbookViewId="0">
      <selection activeCell="A3" sqref="A3:G6"/>
    </sheetView>
  </sheetViews>
  <sheetFormatPr defaultColWidth="11.375" defaultRowHeight="15.6"/>
  <cols>
    <col min="1" max="1" width="20.25" style="130" customWidth="1"/>
    <col min="2" max="2" width="19.375" style="130" customWidth="1"/>
    <col min="3" max="3" width="17.75" style="130" customWidth="1"/>
    <col min="4" max="4" width="16.375" style="130" customWidth="1"/>
    <col min="5" max="5" width="19.125" style="130" customWidth="1"/>
    <col min="6" max="6" width="24.75" style="132" customWidth="1"/>
    <col min="7" max="7" width="37.25" style="130" customWidth="1"/>
    <col min="8" max="8" width="17" customWidth="1"/>
    <col min="13" max="13" width="12.375" bestFit="1" customWidth="1"/>
  </cols>
  <sheetData>
    <row r="1" spans="1:11">
      <c r="A1" s="558" t="str">
        <f>'Input sheet'!B4</f>
        <v>Logitech</v>
      </c>
      <c r="B1" s="559"/>
      <c r="C1" s="559"/>
      <c r="D1" s="559"/>
      <c r="E1" s="559"/>
      <c r="F1" s="560"/>
      <c r="G1" s="152">
        <f>'Input sheet'!B3</f>
        <v>43935</v>
      </c>
    </row>
    <row r="2" spans="1:11">
      <c r="A2" s="605" t="s">
        <v>630</v>
      </c>
      <c r="B2" s="605"/>
      <c r="C2" s="605"/>
      <c r="D2" s="605"/>
      <c r="E2" s="605"/>
      <c r="F2" s="605"/>
      <c r="G2" s="605"/>
    </row>
    <row r="3" spans="1:11" ht="15.9" customHeight="1">
      <c r="A3" s="565" t="s">
        <v>631</v>
      </c>
      <c r="B3" s="566"/>
      <c r="C3" s="566"/>
      <c r="D3" s="566"/>
      <c r="E3" s="566"/>
      <c r="F3" s="566"/>
      <c r="G3" s="567"/>
      <c r="H3" s="574" t="s">
        <v>522</v>
      </c>
      <c r="I3" s="575"/>
      <c r="J3" s="575"/>
      <c r="K3" s="576"/>
    </row>
    <row r="4" spans="1:11" ht="15.9" customHeight="1">
      <c r="A4" s="568"/>
      <c r="B4" s="569"/>
      <c r="C4" s="569"/>
      <c r="D4" s="569"/>
      <c r="E4" s="569"/>
      <c r="F4" s="569"/>
      <c r="G4" s="570"/>
      <c r="H4" s="577"/>
      <c r="I4" s="578"/>
      <c r="J4" s="578"/>
      <c r="K4" s="579"/>
    </row>
    <row r="5" spans="1:11" ht="12" customHeight="1">
      <c r="A5" s="568"/>
      <c r="B5" s="569"/>
      <c r="C5" s="569"/>
      <c r="D5" s="569"/>
      <c r="E5" s="569"/>
      <c r="F5" s="569"/>
      <c r="G5" s="570"/>
      <c r="H5" s="577"/>
      <c r="I5" s="578"/>
      <c r="J5" s="578"/>
      <c r="K5" s="579"/>
    </row>
    <row r="6" spans="1:11" ht="17.100000000000001" customHeight="1">
      <c r="A6" s="571"/>
      <c r="B6" s="572"/>
      <c r="C6" s="572"/>
      <c r="D6" s="572"/>
      <c r="E6" s="572"/>
      <c r="F6" s="572"/>
      <c r="G6" s="573"/>
      <c r="H6" s="580"/>
      <c r="I6" s="581"/>
      <c r="J6" s="581"/>
      <c r="K6" s="582"/>
    </row>
    <row r="7" spans="1:11">
      <c r="A7" s="606" t="s">
        <v>502</v>
      </c>
      <c r="B7" s="607"/>
      <c r="C7" s="607"/>
      <c r="D7" s="607"/>
      <c r="E7" s="607"/>
      <c r="F7" s="607"/>
      <c r="G7" s="608"/>
    </row>
    <row r="8" spans="1:11">
      <c r="A8" s="115"/>
      <c r="B8" s="112" t="s">
        <v>503</v>
      </c>
      <c r="C8" s="173" t="s">
        <v>621</v>
      </c>
      <c r="D8" s="113" t="s">
        <v>619</v>
      </c>
      <c r="E8" s="112" t="s">
        <v>504</v>
      </c>
      <c r="F8" s="112" t="s">
        <v>36</v>
      </c>
      <c r="G8" s="114" t="s">
        <v>511</v>
      </c>
    </row>
    <row r="9" spans="1:11">
      <c r="A9" s="116" t="s">
        <v>512</v>
      </c>
      <c r="B9" s="165">
        <f>'Valuation output'!B3</f>
        <v>4412.1849999999995</v>
      </c>
      <c r="C9" s="174">
        <f>'Input sheet'!B26</f>
        <v>0.1</v>
      </c>
      <c r="D9" s="155">
        <f>'Input sheet'!B28</f>
        <v>9.2999999999999999E-2</v>
      </c>
      <c r="E9" s="155" t="s">
        <v>868</v>
      </c>
      <c r="F9" s="117">
        <f>'Valuation output'!M2</f>
        <v>4.6359999999999998E-2</v>
      </c>
      <c r="G9" s="242" t="s">
        <v>632</v>
      </c>
      <c r="H9" s="583" t="s">
        <v>523</v>
      </c>
      <c r="I9" s="584"/>
      <c r="J9" s="584"/>
      <c r="K9" s="585"/>
    </row>
    <row r="10" spans="1:11" ht="46.8">
      <c r="A10" s="116" t="s">
        <v>513</v>
      </c>
      <c r="B10" s="117">
        <f>'Valuation output'!B4</f>
        <v>0.16259186774806592</v>
      </c>
      <c r="C10" s="174">
        <f>'Input sheet'!B27</f>
        <v>0.13</v>
      </c>
      <c r="D10" s="156" t="s">
        <v>869</v>
      </c>
      <c r="E10" s="157">
        <f>'Valuation output'!G4</f>
        <v>0.16</v>
      </c>
      <c r="F10" s="117">
        <f>'Valuation output'!M4</f>
        <v>0.16</v>
      </c>
      <c r="G10" s="243" t="s">
        <v>633</v>
      </c>
      <c r="H10" s="586"/>
      <c r="I10" s="587"/>
      <c r="J10" s="587"/>
      <c r="K10" s="588"/>
    </row>
    <row r="11" spans="1:11">
      <c r="A11" s="116" t="s">
        <v>130</v>
      </c>
      <c r="B11" s="117">
        <f>'Valuation output'!B6</f>
        <v>0.15</v>
      </c>
      <c r="C11" s="175"/>
      <c r="D11" s="155">
        <f>B11</f>
        <v>0.15</v>
      </c>
      <c r="E11" s="155" t="s">
        <v>868</v>
      </c>
      <c r="F11" s="117">
        <f>'Valuation output'!M6</f>
        <v>0.25</v>
      </c>
      <c r="G11" s="244" t="s">
        <v>634</v>
      </c>
      <c r="H11" s="586"/>
      <c r="I11" s="587"/>
      <c r="J11" s="587"/>
      <c r="K11" s="588"/>
    </row>
    <row r="12" spans="1:11">
      <c r="A12" s="116" t="s">
        <v>870</v>
      </c>
      <c r="B12" s="118"/>
      <c r="C12" s="176">
        <f>'Input sheet'!B31</f>
        <v>1.8</v>
      </c>
      <c r="D12" s="154">
        <f>'Input sheet'!B31</f>
        <v>1.8</v>
      </c>
      <c r="E12" s="153">
        <f>'Input sheet'!B32</f>
        <v>1.5</v>
      </c>
      <c r="F12" s="119">
        <f>'Valuation output'!M2/'Valuation output'!M40</f>
        <v>0.51706446575953602</v>
      </c>
      <c r="G12" s="244" t="s">
        <v>835</v>
      </c>
      <c r="H12" s="586"/>
      <c r="I12" s="587"/>
      <c r="J12" s="587"/>
      <c r="K12" s="588"/>
    </row>
    <row r="13" spans="1:11">
      <c r="A13" s="133" t="s">
        <v>525</v>
      </c>
      <c r="B13" s="135">
        <f>'Valuation output'!B40</f>
        <v>0.38097470005105682</v>
      </c>
      <c r="C13" s="117" t="s">
        <v>526</v>
      </c>
      <c r="D13" s="603">
        <f>Diagnostics!C27</f>
        <v>0.17122609861946594</v>
      </c>
      <c r="E13" s="604"/>
      <c r="F13" s="134">
        <f>'Valuation output'!M40</f>
        <v>8.965999999999999E-2</v>
      </c>
      <c r="G13" s="245" t="s">
        <v>836</v>
      </c>
      <c r="H13" s="586"/>
      <c r="I13" s="587"/>
      <c r="J13" s="587"/>
      <c r="K13" s="588"/>
    </row>
    <row r="14" spans="1:11" ht="16.2" thickBot="1">
      <c r="A14" s="120" t="s">
        <v>514</v>
      </c>
      <c r="B14" s="136"/>
      <c r="C14" s="118"/>
      <c r="D14" s="156">
        <f>'Valuation output'!C12</f>
        <v>9.4969838568748674E-2</v>
      </c>
      <c r="E14" s="157"/>
      <c r="F14" s="121">
        <f>'Valuation output'!M12</f>
        <v>8.965999999999999E-2</v>
      </c>
      <c r="G14" s="246" t="s">
        <v>635</v>
      </c>
      <c r="H14" s="589"/>
      <c r="I14" s="590"/>
      <c r="J14" s="590"/>
      <c r="K14" s="591"/>
    </row>
    <row r="15" spans="1:11" ht="16.2" thickBot="1">
      <c r="A15" s="609" t="s">
        <v>506</v>
      </c>
      <c r="B15" s="609"/>
      <c r="C15" s="609"/>
      <c r="D15" s="609"/>
      <c r="E15" s="609"/>
      <c r="F15" s="609"/>
      <c r="G15" s="609"/>
    </row>
    <row r="16" spans="1:11">
      <c r="A16" s="111"/>
      <c r="B16" s="162" t="s">
        <v>5</v>
      </c>
      <c r="C16" s="162" t="s">
        <v>505</v>
      </c>
      <c r="D16" s="163" t="s">
        <v>517</v>
      </c>
      <c r="E16" s="163" t="s">
        <v>507</v>
      </c>
      <c r="F16" s="163" t="s">
        <v>515</v>
      </c>
      <c r="G16" s="164" t="s">
        <v>10</v>
      </c>
      <c r="H16" s="592" t="s">
        <v>524</v>
      </c>
      <c r="I16" s="593"/>
      <c r="J16" s="593"/>
      <c r="K16" s="594"/>
    </row>
    <row r="17" spans="1:11">
      <c r="A17" s="122">
        <v>1</v>
      </c>
      <c r="B17" s="165">
        <f>'Valuation output'!C3</f>
        <v>4853.4034999999994</v>
      </c>
      <c r="C17" s="123">
        <f>'Valuation output'!C4</f>
        <v>0.13</v>
      </c>
      <c r="D17" s="165">
        <f>B17*C17</f>
        <v>630.942455</v>
      </c>
      <c r="E17" s="165">
        <f>'Valuation output'!C7</f>
        <v>536.30108674999997</v>
      </c>
      <c r="F17" s="165">
        <f>'Valuation output'!C8</f>
        <v>250.75918083333312</v>
      </c>
      <c r="G17" s="167">
        <f>E17-F17</f>
        <v>285.54190591666685</v>
      </c>
      <c r="H17" s="595"/>
      <c r="I17" s="596"/>
      <c r="J17" s="596"/>
      <c r="K17" s="597"/>
    </row>
    <row r="18" spans="1:11">
      <c r="A18" s="122">
        <v>2</v>
      </c>
      <c r="B18" s="165">
        <f>'Valuation output'!D3</f>
        <v>5304.7700254999991</v>
      </c>
      <c r="C18" s="123">
        <f>'Valuation output'!D4</f>
        <v>0.14200000000000002</v>
      </c>
      <c r="D18" s="165">
        <f t="shared" ref="D18:D27" si="0">B18*C18</f>
        <v>753.277343621</v>
      </c>
      <c r="E18" s="165">
        <f>'Valuation output'!D7</f>
        <v>640.28574207785005</v>
      </c>
      <c r="F18" s="165">
        <f>'Valuation output'!D8</f>
        <v>274.07978465083335</v>
      </c>
      <c r="G18" s="167">
        <f t="shared" ref="G18:G27" si="1">E18-F18</f>
        <v>366.2059574270167</v>
      </c>
      <c r="H18" s="595"/>
      <c r="I18" s="596"/>
      <c r="J18" s="596"/>
      <c r="K18" s="597"/>
    </row>
    <row r="19" spans="1:11">
      <c r="A19" s="122">
        <v>3</v>
      </c>
      <c r="B19" s="165">
        <f>'Valuation output'!E3</f>
        <v>5798.1136378714991</v>
      </c>
      <c r="C19" s="123">
        <f>'Valuation output'!E4</f>
        <v>0.14799999999999999</v>
      </c>
      <c r="D19" s="165">
        <f t="shared" si="0"/>
        <v>858.12081840498183</v>
      </c>
      <c r="E19" s="165">
        <f>'Valuation output'!E7</f>
        <v>729.40269564423454</v>
      </c>
      <c r="F19" s="165">
        <f>'Valuation output'!E8</f>
        <v>299.56920462336052</v>
      </c>
      <c r="G19" s="167">
        <f t="shared" si="1"/>
        <v>429.83349102087402</v>
      </c>
      <c r="H19" s="595"/>
      <c r="I19" s="596"/>
      <c r="J19" s="596"/>
      <c r="K19" s="597"/>
    </row>
    <row r="20" spans="1:11">
      <c r="A20" s="122">
        <v>4</v>
      </c>
      <c r="B20" s="165">
        <f>'Valuation output'!F3</f>
        <v>6337.3382061935481</v>
      </c>
      <c r="C20" s="123">
        <f>'Valuation output'!F4</f>
        <v>0.154</v>
      </c>
      <c r="D20" s="165">
        <f t="shared" si="0"/>
        <v>975.95008375380644</v>
      </c>
      <c r="E20" s="165">
        <f>'Valuation output'!F7</f>
        <v>829.55757119073542</v>
      </c>
      <c r="F20" s="165">
        <f>'Valuation output'!F8</f>
        <v>327.42914065333326</v>
      </c>
      <c r="G20" s="167">
        <f t="shared" si="1"/>
        <v>502.12843053740215</v>
      </c>
      <c r="H20" s="595"/>
      <c r="I20" s="596"/>
      <c r="J20" s="596"/>
      <c r="K20" s="597"/>
    </row>
    <row r="21" spans="1:11">
      <c r="A21" s="122">
        <v>5</v>
      </c>
      <c r="B21" s="165">
        <f>'Valuation output'!G3</f>
        <v>6926.710659369548</v>
      </c>
      <c r="C21" s="123">
        <f>'Valuation output'!G4</f>
        <v>0.16</v>
      </c>
      <c r="D21" s="165">
        <f t="shared" si="0"/>
        <v>1108.2737054991278</v>
      </c>
      <c r="E21" s="165">
        <f>'Valuation output'!G7</f>
        <v>942.03264967425866</v>
      </c>
      <c r="F21" s="165">
        <f>'Valuation output'!G8</f>
        <v>321.98429682820461</v>
      </c>
      <c r="G21" s="167">
        <f t="shared" si="1"/>
        <v>620.04835284605406</v>
      </c>
      <c r="H21" s="595"/>
      <c r="I21" s="596"/>
      <c r="J21" s="596"/>
      <c r="K21" s="597"/>
    </row>
    <row r="22" spans="1:11">
      <c r="A22" s="122">
        <v>6</v>
      </c>
      <c r="B22" s="165">
        <f>'Valuation output'!H3</f>
        <v>7506.2823936603163</v>
      </c>
      <c r="C22" s="123">
        <f>'Valuation output'!H4</f>
        <v>0.16</v>
      </c>
      <c r="D22" s="165">
        <f t="shared" si="0"/>
        <v>1201.0051829856507</v>
      </c>
      <c r="E22" s="165">
        <f>'Valuation output'!H7</f>
        <v>996.83430187809006</v>
      </c>
      <c r="F22" s="165">
        <f>'Valuation output'!H8</f>
        <v>372.03137218285457</v>
      </c>
      <c r="G22" s="167">
        <f t="shared" si="1"/>
        <v>624.80292969523543</v>
      </c>
      <c r="H22" s="595"/>
      <c r="I22" s="596"/>
      <c r="J22" s="596"/>
      <c r="K22" s="597"/>
    </row>
    <row r="23" spans="1:11">
      <c r="A23" s="122">
        <v>7</v>
      </c>
      <c r="B23" s="165">
        <f>'Valuation output'!I3</f>
        <v>8064.3294519345982</v>
      </c>
      <c r="C23" s="123">
        <f>'Valuation output'!I4</f>
        <v>0.16</v>
      </c>
      <c r="D23" s="165">
        <f t="shared" si="0"/>
        <v>1290.2927123095358</v>
      </c>
      <c r="E23" s="165">
        <f>'Valuation output'!I7</f>
        <v>1045.1370969707241</v>
      </c>
      <c r="F23" s="165">
        <f>'Valuation output'!I8</f>
        <v>349.54029576465354</v>
      </c>
      <c r="G23" s="167">
        <f t="shared" si="1"/>
        <v>695.5968012060705</v>
      </c>
      <c r="H23" s="595"/>
      <c r="I23" s="596"/>
      <c r="J23" s="596"/>
      <c r="K23" s="597"/>
    </row>
    <row r="24" spans="1:11">
      <c r="A24" s="122">
        <v>8</v>
      </c>
      <c r="B24" s="165">
        <f>'Valuation output'!J3</f>
        <v>8588.6398955815785</v>
      </c>
      <c r="C24" s="123">
        <f>'Valuation output'!J4</f>
        <v>0.16</v>
      </c>
      <c r="D24" s="165">
        <f t="shared" si="0"/>
        <v>1374.1823832930527</v>
      </c>
      <c r="E24" s="165">
        <f>'Valuation output'!J7</f>
        <v>1085.6040828015116</v>
      </c>
      <c r="F24" s="165">
        <f>'Valuation output'!J8</f>
        <v>318.85611900343065</v>
      </c>
      <c r="G24" s="167">
        <f t="shared" si="1"/>
        <v>766.74796379808095</v>
      </c>
      <c r="H24" s="595"/>
      <c r="I24" s="596"/>
      <c r="J24" s="596"/>
      <c r="K24" s="597"/>
    </row>
    <row r="25" spans="1:11">
      <c r="A25" s="122">
        <v>9</v>
      </c>
      <c r="B25" s="165">
        <f>'Valuation output'!K3</f>
        <v>9066.9240740867244</v>
      </c>
      <c r="C25" s="123">
        <f>'Valuation output'!K4</f>
        <v>0.16</v>
      </c>
      <c r="D25" s="165">
        <f t="shared" si="0"/>
        <v>1450.707851853876</v>
      </c>
      <c r="E25" s="165">
        <f>'Valuation output'!K7</f>
        <v>1117.0450459274846</v>
      </c>
      <c r="F25" s="165">
        <f>'Valuation output'!K8</f>
        <v>280.2284000497736</v>
      </c>
      <c r="G25" s="167">
        <f t="shared" si="1"/>
        <v>836.81664587771093</v>
      </c>
      <c r="H25" s="595"/>
      <c r="I25" s="596"/>
      <c r="J25" s="596"/>
      <c r="K25" s="597"/>
    </row>
    <row r="26" spans="1:11">
      <c r="A26" s="122">
        <v>10</v>
      </c>
      <c r="B26" s="165">
        <f>'Valuation output'!L3</f>
        <v>9487.2666741613848</v>
      </c>
      <c r="C26" s="123">
        <f>'Valuation output'!L4</f>
        <v>0.16</v>
      </c>
      <c r="D26" s="165">
        <f t="shared" si="0"/>
        <v>1517.9626678658217</v>
      </c>
      <c r="E26" s="165">
        <f>'Valuation output'!L7</f>
        <v>1138.4720008993663</v>
      </c>
      <c r="F26" s="165">
        <f>'Valuation output'!L8</f>
        <v>293.2197886760805</v>
      </c>
      <c r="G26" s="167">
        <f t="shared" si="1"/>
        <v>845.25221222328582</v>
      </c>
      <c r="H26" s="595"/>
      <c r="I26" s="596"/>
      <c r="J26" s="596"/>
      <c r="K26" s="597"/>
    </row>
    <row r="27" spans="1:11" ht="16.2" thickBot="1">
      <c r="A27" s="124" t="s">
        <v>38</v>
      </c>
      <c r="B27" s="166">
        <f>'Valuation output'!M3</f>
        <v>9927.0963571755055</v>
      </c>
      <c r="C27" s="125">
        <f>'Valuation output'!M4</f>
        <v>0.16</v>
      </c>
      <c r="D27" s="165">
        <f t="shared" si="0"/>
        <v>1588.335417148081</v>
      </c>
      <c r="E27" s="166">
        <f>'Valuation output'!M7</f>
        <v>1191.2515628610608</v>
      </c>
      <c r="F27" s="166">
        <f>'Valuation output'!M8</f>
        <v>615.95385293596678</v>
      </c>
      <c r="G27" s="167">
        <f t="shared" si="1"/>
        <v>575.29770992509407</v>
      </c>
      <c r="H27" s="598"/>
      <c r="I27" s="599"/>
      <c r="J27" s="599"/>
      <c r="K27" s="600"/>
    </row>
    <row r="28" spans="1:11" ht="16.2" thickBot="1">
      <c r="A28" s="609" t="s">
        <v>508</v>
      </c>
      <c r="B28" s="609"/>
      <c r="C28" s="609"/>
      <c r="D28" s="609"/>
      <c r="E28" s="609"/>
      <c r="F28" s="609"/>
      <c r="G28" s="609"/>
    </row>
    <row r="29" spans="1:11">
      <c r="A29" s="563" t="s">
        <v>509</v>
      </c>
      <c r="B29" s="564"/>
      <c r="C29" s="564"/>
      <c r="D29" s="448">
        <f>'Valuation output'!B18</f>
        <v>13286.321245383237</v>
      </c>
      <c r="E29" s="126"/>
      <c r="F29" s="127"/>
      <c r="G29" s="128"/>
      <c r="H29" s="601" t="s">
        <v>527</v>
      </c>
      <c r="I29" s="587"/>
      <c r="J29" s="587"/>
      <c r="K29" s="587"/>
    </row>
    <row r="30" spans="1:11">
      <c r="A30" s="561" t="s">
        <v>510</v>
      </c>
      <c r="B30" s="562"/>
      <c r="C30" s="562"/>
      <c r="D30" s="448">
        <f>'Valuation output'!B19</f>
        <v>5441.4234254911971</v>
      </c>
      <c r="E30" s="129"/>
      <c r="F30" s="130"/>
      <c r="G30" s="131"/>
      <c r="H30" s="601"/>
      <c r="I30" s="587"/>
      <c r="J30" s="587"/>
      <c r="K30" s="587"/>
    </row>
    <row r="31" spans="1:11">
      <c r="A31" s="561" t="s">
        <v>39</v>
      </c>
      <c r="B31" s="562"/>
      <c r="C31" s="562"/>
      <c r="D31" s="448">
        <f>'Valuation output'!B20</f>
        <v>3462.2319301941475</v>
      </c>
      <c r="E31" s="129"/>
      <c r="F31" s="130"/>
      <c r="G31" s="131"/>
      <c r="H31" s="601"/>
      <c r="I31" s="587"/>
      <c r="J31" s="587"/>
      <c r="K31" s="587"/>
    </row>
    <row r="32" spans="1:11">
      <c r="A32" s="561" t="s">
        <v>37</v>
      </c>
      <c r="B32" s="562"/>
      <c r="C32" s="562"/>
      <c r="D32" s="448">
        <f>'Valuation output'!B21</f>
        <v>8903.6553556853451</v>
      </c>
      <c r="E32" s="129"/>
      <c r="F32" s="130"/>
      <c r="G32" s="131"/>
      <c r="H32" s="601"/>
      <c r="I32" s="587"/>
      <c r="J32" s="587"/>
      <c r="K32" s="587"/>
    </row>
    <row r="33" spans="1:13">
      <c r="A33" s="561" t="s">
        <v>518</v>
      </c>
      <c r="B33" s="562"/>
      <c r="C33" s="562"/>
      <c r="D33" s="448">
        <f>D32-'Valuation output'!B24</f>
        <v>0</v>
      </c>
      <c r="E33" s="602" t="s">
        <v>100</v>
      </c>
      <c r="F33" s="602"/>
      <c r="G33" s="394">
        <f>'Valuation output'!B22</f>
        <v>0</v>
      </c>
      <c r="H33" s="587"/>
      <c r="I33" s="587"/>
      <c r="J33" s="587"/>
      <c r="K33" s="587"/>
    </row>
    <row r="34" spans="1:13">
      <c r="A34" s="561" t="s">
        <v>606</v>
      </c>
      <c r="B34" s="562"/>
      <c r="C34" s="562"/>
      <c r="D34" s="448">
        <f>'Valuation output'!B25+'Valuation output'!B26</f>
        <v>77.89500000000001</v>
      </c>
      <c r="E34" s="129"/>
      <c r="F34" s="130"/>
      <c r="G34" s="131"/>
      <c r="H34" s="601"/>
      <c r="I34" s="587"/>
      <c r="J34" s="587"/>
      <c r="K34" s="587"/>
    </row>
    <row r="35" spans="1:13">
      <c r="A35" s="561" t="s">
        <v>519</v>
      </c>
      <c r="B35" s="562"/>
      <c r="C35" s="562"/>
      <c r="D35" s="448">
        <f>'Valuation output'!B27+'Valuation output'!B28</f>
        <v>1567.7030000000002</v>
      </c>
      <c r="E35" s="129"/>
      <c r="F35" s="130"/>
      <c r="G35" s="131"/>
      <c r="H35" s="601"/>
      <c r="I35" s="587"/>
      <c r="J35" s="587"/>
      <c r="K35" s="587"/>
    </row>
    <row r="36" spans="1:13">
      <c r="A36" s="561" t="s">
        <v>45</v>
      </c>
      <c r="B36" s="562"/>
      <c r="C36" s="562"/>
      <c r="D36" s="448">
        <f>D32-D33-D34+D35</f>
        <v>10393.463355685344</v>
      </c>
      <c r="E36" s="129"/>
      <c r="F36" s="130"/>
      <c r="G36" s="131"/>
      <c r="H36" s="601"/>
      <c r="I36" s="587"/>
      <c r="J36" s="587"/>
      <c r="K36" s="587"/>
    </row>
    <row r="37" spans="1:13">
      <c r="A37" s="561" t="s">
        <v>520</v>
      </c>
      <c r="B37" s="562"/>
      <c r="C37" s="562"/>
      <c r="D37" s="448">
        <f ca="1">'Valuation output'!B30</f>
        <v>163.82761362615619</v>
      </c>
      <c r="E37" s="129"/>
      <c r="F37" s="130"/>
      <c r="G37" s="131"/>
      <c r="H37" s="601"/>
      <c r="I37" s="587"/>
      <c r="J37" s="587"/>
      <c r="K37" s="587"/>
    </row>
    <row r="38" spans="1:13" ht="16.2" thickBot="1">
      <c r="A38" s="614" t="s">
        <v>516</v>
      </c>
      <c r="B38" s="615"/>
      <c r="C38" s="616"/>
      <c r="D38" s="449">
        <f>'Valuation output'!B32</f>
        <v>154.97800000000001</v>
      </c>
      <c r="G38" s="131"/>
      <c r="H38" s="601"/>
      <c r="I38" s="587"/>
      <c r="J38" s="587"/>
      <c r="K38" s="587"/>
    </row>
    <row r="39" spans="1:13" ht="16.2" thickBot="1">
      <c r="A39" s="610" t="s">
        <v>496</v>
      </c>
      <c r="B39" s="611"/>
      <c r="C39" s="612"/>
      <c r="D39" s="448">
        <f ca="1">(D36-D37)/D38</f>
        <v>66.007018686905155</v>
      </c>
      <c r="E39" s="613" t="s">
        <v>521</v>
      </c>
      <c r="F39" s="613"/>
      <c r="G39" s="137">
        <f>'Input sheet'!B22</f>
        <v>84.5</v>
      </c>
      <c r="H39" s="601"/>
      <c r="I39" s="587"/>
      <c r="J39" s="587"/>
      <c r="K39" s="587"/>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375" defaultRowHeight="13.2"/>
  <cols>
    <col min="1" max="1" width="27.875" style="300" customWidth="1"/>
    <col min="2" max="2" width="13" style="300" customWidth="1"/>
    <col min="3" max="3" width="10.875" style="300"/>
    <col min="4" max="4" width="16.125" style="300" customWidth="1"/>
    <col min="5" max="5" width="12.75" style="300" bestFit="1" customWidth="1"/>
    <col min="6" max="10" width="11.375" style="300" bestFit="1" customWidth="1"/>
    <col min="11" max="13" width="13" style="300" bestFit="1" customWidth="1"/>
    <col min="14" max="14" width="13.75" style="300" bestFit="1" customWidth="1"/>
    <col min="15" max="15" width="16" style="300" customWidth="1"/>
    <col min="16" max="16" width="10.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8" thickBot="1">
      <c r="A2" s="299"/>
      <c r="B2" s="299"/>
      <c r="C2" s="299"/>
      <c r="D2" s="299"/>
      <c r="E2" s="299"/>
      <c r="F2" s="299"/>
      <c r="G2" s="299"/>
      <c r="H2" s="299"/>
      <c r="I2" s="299"/>
      <c r="J2" s="299"/>
      <c r="K2" s="299"/>
      <c r="L2" s="299"/>
      <c r="M2" s="299"/>
      <c r="N2" s="299"/>
      <c r="O2" s="299"/>
      <c r="P2" s="299"/>
    </row>
    <row r="3" spans="1:16" ht="16.2" thickBot="1">
      <c r="A3" s="625" t="str">
        <f>'Input sheet'!B4</f>
        <v>Logitech</v>
      </c>
      <c r="B3" s="626"/>
      <c r="C3" s="626"/>
      <c r="D3" s="626"/>
      <c r="E3" s="626"/>
      <c r="F3" s="626"/>
      <c r="G3" s="626"/>
      <c r="H3" s="626"/>
      <c r="I3" s="626"/>
      <c r="J3" s="626"/>
      <c r="K3" s="626"/>
      <c r="L3" s="626"/>
      <c r="M3" s="626"/>
      <c r="N3" s="627"/>
      <c r="O3" s="617">
        <f>'Input sheet'!B3</f>
        <v>43935</v>
      </c>
      <c r="P3" s="618"/>
    </row>
    <row r="4" spans="1:16" ht="13.8" thickBot="1">
      <c r="A4" s="451"/>
      <c r="P4" s="452"/>
    </row>
    <row r="5" spans="1:16" ht="13.8" thickBot="1">
      <c r="A5" s="635" t="s">
        <v>853</v>
      </c>
      <c r="B5" s="636"/>
      <c r="C5" s="637"/>
      <c r="E5" s="630" t="s">
        <v>849</v>
      </c>
      <c r="F5" s="631"/>
      <c r="H5" s="630" t="s">
        <v>850</v>
      </c>
      <c r="I5" s="631"/>
      <c r="K5" s="630" t="s">
        <v>851</v>
      </c>
      <c r="L5" s="631"/>
      <c r="P5" s="452"/>
    </row>
    <row r="6" spans="1:16" ht="14.1" customHeight="1">
      <c r="A6" s="451"/>
      <c r="B6" s="374" t="s">
        <v>221</v>
      </c>
      <c r="C6" s="374" t="s">
        <v>852</v>
      </c>
      <c r="E6" s="619" t="str">
        <f>'Stories to Numbers'!G9</f>
        <v>Disruption platform in multiple businesses</v>
      </c>
      <c r="F6" s="620"/>
      <c r="H6" s="619" t="str">
        <f>'Stories to Numbers'!G10</f>
        <v>Margins improve, aided by cloud business &amp; continued economies of scale.</v>
      </c>
      <c r="I6" s="620"/>
      <c r="K6" s="619" t="str">
        <f>'Stories to Numbers'!G12</f>
        <v>Maintained at Amazon's current level</v>
      </c>
      <c r="L6" s="620"/>
      <c r="O6" s="628" t="s">
        <v>535</v>
      </c>
      <c r="P6" s="629"/>
    </row>
    <row r="7" spans="1:16">
      <c r="A7" s="453" t="s">
        <v>844</v>
      </c>
      <c r="B7" s="360">
        <f>'Input sheet'!I25</f>
        <v>0.11009582054279243</v>
      </c>
      <c r="C7" s="360">
        <f>'Input sheet'!K25</f>
        <v>5.7764980544747248E-3</v>
      </c>
      <c r="E7" s="621"/>
      <c r="F7" s="622"/>
      <c r="H7" s="621"/>
      <c r="I7" s="622"/>
      <c r="K7" s="621"/>
      <c r="L7" s="622"/>
      <c r="O7" s="358" t="s">
        <v>848</v>
      </c>
      <c r="P7" s="454">
        <f>O16</f>
        <v>4.6359999999999998E-2</v>
      </c>
    </row>
    <row r="8" spans="1:16">
      <c r="A8" s="453" t="s">
        <v>845</v>
      </c>
      <c r="B8" s="368">
        <f>'Valuation output'!B3</f>
        <v>4412.1849999999995</v>
      </c>
      <c r="E8" s="621"/>
      <c r="F8" s="622"/>
      <c r="H8" s="621"/>
      <c r="I8" s="622"/>
      <c r="K8" s="621"/>
      <c r="L8" s="622"/>
      <c r="O8" s="358" t="s">
        <v>135</v>
      </c>
      <c r="P8" s="454">
        <f>'Valuation output'!M12</f>
        <v>8.965999999999999E-2</v>
      </c>
    </row>
    <row r="9" spans="1:16">
      <c r="A9" s="453" t="s">
        <v>505</v>
      </c>
      <c r="B9" s="360">
        <f>'Valuation output'!B4</f>
        <v>0.16259186774806592</v>
      </c>
      <c r="C9" s="360">
        <f>'Input sheet'!K26</f>
        <v>0.11390914392035238</v>
      </c>
      <c r="E9" s="621"/>
      <c r="F9" s="622"/>
      <c r="H9" s="621"/>
      <c r="I9" s="622"/>
      <c r="K9" s="621"/>
      <c r="L9" s="622"/>
      <c r="O9" s="358" t="s">
        <v>525</v>
      </c>
      <c r="P9" s="454">
        <f>'Valuation output'!M40</f>
        <v>8.965999999999999E-2</v>
      </c>
    </row>
    <row r="10" spans="1:16">
      <c r="A10" s="453" t="s">
        <v>846</v>
      </c>
      <c r="B10" s="368">
        <f>'Valuation output'!B5</f>
        <v>717.38540000000012</v>
      </c>
      <c r="E10" s="621"/>
      <c r="F10" s="622"/>
      <c r="H10" s="621"/>
      <c r="I10" s="622"/>
      <c r="K10" s="621"/>
      <c r="L10" s="622"/>
      <c r="O10" s="358" t="s">
        <v>471</v>
      </c>
      <c r="P10" s="454">
        <f>P7/P9</f>
        <v>0.51706446575953602</v>
      </c>
    </row>
    <row r="11" spans="1:16">
      <c r="A11" s="453" t="s">
        <v>507</v>
      </c>
      <c r="B11" s="368">
        <f>'Valuation output'!B7</f>
        <v>609.77759000000003</v>
      </c>
      <c r="E11" s="621"/>
      <c r="F11" s="622"/>
      <c r="H11" s="621"/>
      <c r="I11" s="622"/>
      <c r="K11" s="621"/>
      <c r="L11" s="622"/>
      <c r="P11" s="455"/>
    </row>
    <row r="12" spans="1:16">
      <c r="A12" s="451"/>
      <c r="E12" s="623"/>
      <c r="F12" s="624"/>
      <c r="H12" s="623"/>
      <c r="I12" s="624"/>
      <c r="K12" s="623"/>
      <c r="L12" s="624"/>
      <c r="P12" s="455"/>
    </row>
    <row r="13" spans="1:16">
      <c r="A13" s="451"/>
      <c r="P13" s="455"/>
    </row>
    <row r="14" spans="1:16" ht="13.8" thickBot="1">
      <c r="A14" s="451"/>
      <c r="P14" s="452"/>
    </row>
    <row r="15" spans="1:16">
      <c r="A15" s="456" t="str">
        <f>'Valuation output'!A19</f>
        <v>PV(Terminal value)</v>
      </c>
      <c r="B15" s="369">
        <f>'Valuation output'!B19</f>
        <v>5441.4234254911971</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3462.2319301941475</v>
      </c>
      <c r="D16" s="358" t="s">
        <v>844</v>
      </c>
      <c r="E16" s="360">
        <f>'Valuation output'!C2</f>
        <v>0.1</v>
      </c>
      <c r="F16" s="360">
        <f>'Valuation output'!D2</f>
        <v>9.2999999999999999E-2</v>
      </c>
      <c r="G16" s="360">
        <f>'Valuation output'!E2</f>
        <v>9.2999999999999999E-2</v>
      </c>
      <c r="H16" s="360">
        <f>'Valuation output'!F2</f>
        <v>9.2999999999999999E-2</v>
      </c>
      <c r="I16" s="360">
        <f>'Valuation output'!G2</f>
        <v>9.2999999999999999E-2</v>
      </c>
      <c r="J16" s="360">
        <f>'Valuation output'!H2</f>
        <v>8.3671999999999996E-2</v>
      </c>
      <c r="K16" s="360">
        <f>'Valuation output'!I2</f>
        <v>7.4343999999999993E-2</v>
      </c>
      <c r="L16" s="360">
        <f>'Valuation output'!J2</f>
        <v>6.5016000000000004E-2</v>
      </c>
      <c r="M16" s="360">
        <f>'Valuation output'!K2</f>
        <v>5.5688000000000001E-2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4853.4034999999994</v>
      </c>
      <c r="F17" s="364">
        <f>'Valuation output'!D3</f>
        <v>5304.7700254999991</v>
      </c>
      <c r="G17" s="364">
        <f>'Valuation output'!E3</f>
        <v>5798.1136378714991</v>
      </c>
      <c r="H17" s="364">
        <f>'Valuation output'!F3</f>
        <v>6337.3382061935481</v>
      </c>
      <c r="I17" s="364">
        <f>'Valuation output'!G3</f>
        <v>6926.710659369548</v>
      </c>
      <c r="J17" s="364">
        <f>'Valuation output'!H3</f>
        <v>7506.2823936603163</v>
      </c>
      <c r="K17" s="364">
        <f>'Valuation output'!I3</f>
        <v>8064.3294519345982</v>
      </c>
      <c r="L17" s="364">
        <f>'Valuation output'!J3</f>
        <v>8588.6398955815785</v>
      </c>
      <c r="M17" s="364">
        <f>'Valuation output'!K3</f>
        <v>9066.9240740867244</v>
      </c>
      <c r="N17" s="364">
        <f>'Valuation output'!L3</f>
        <v>9487.2666741613848</v>
      </c>
      <c r="O17" s="365">
        <f>'Valuation output'!M3</f>
        <v>9927.0963571755055</v>
      </c>
      <c r="P17" s="452"/>
    </row>
    <row r="18" spans="1:16">
      <c r="A18" s="458" t="str">
        <f>'Valuation output'!A24</f>
        <v>Value of operating assets =</v>
      </c>
      <c r="B18" s="372">
        <f>'Valuation output'!B24</f>
        <v>8903.6553556853451</v>
      </c>
      <c r="D18" s="358" t="s">
        <v>505</v>
      </c>
      <c r="E18" s="360">
        <f>'Valuation output'!C4</f>
        <v>0.13</v>
      </c>
      <c r="F18" s="360">
        <f>'Valuation output'!D4</f>
        <v>0.14200000000000002</v>
      </c>
      <c r="G18" s="360">
        <f>'Valuation output'!E4</f>
        <v>0.14799999999999999</v>
      </c>
      <c r="H18" s="360">
        <f>'Valuation output'!F4</f>
        <v>0.154</v>
      </c>
      <c r="I18" s="360">
        <f>'Valuation output'!G4</f>
        <v>0.16</v>
      </c>
      <c r="J18" s="360">
        <f>'Valuation output'!H4</f>
        <v>0.16</v>
      </c>
      <c r="K18" s="360">
        <f>'Valuation output'!I4</f>
        <v>0.16</v>
      </c>
      <c r="L18" s="360">
        <f>'Valuation output'!J4</f>
        <v>0.16</v>
      </c>
      <c r="M18" s="360">
        <f>'Valuation output'!K4</f>
        <v>0.16</v>
      </c>
      <c r="N18" s="360">
        <f>'Valuation output'!L4</f>
        <v>0.16</v>
      </c>
      <c r="O18" s="363">
        <f>'Valuation output'!M4</f>
        <v>0.16</v>
      </c>
      <c r="P18" s="452"/>
    </row>
    <row r="19" spans="1:16">
      <c r="A19" s="458" t="str">
        <f>'Valuation output'!A25</f>
        <v xml:space="preserve"> - Debt</v>
      </c>
      <c r="B19" s="372">
        <f>'Valuation output'!B25</f>
        <v>77.89500000000001</v>
      </c>
      <c r="D19" s="358" t="s">
        <v>846</v>
      </c>
      <c r="E19" s="364">
        <f>'Valuation output'!C5</f>
        <v>630.942455</v>
      </c>
      <c r="F19" s="364">
        <f>'Valuation output'!D5</f>
        <v>753.277343621</v>
      </c>
      <c r="G19" s="364">
        <f>'Valuation output'!E5</f>
        <v>858.12081840498183</v>
      </c>
      <c r="H19" s="364">
        <f>'Valuation output'!F5</f>
        <v>975.95008375380644</v>
      </c>
      <c r="I19" s="364">
        <f>'Valuation output'!G5</f>
        <v>1108.2737054991278</v>
      </c>
      <c r="J19" s="364">
        <f>'Valuation output'!H5</f>
        <v>1201.0051829856507</v>
      </c>
      <c r="K19" s="364">
        <f>'Valuation output'!I5</f>
        <v>1290.2927123095358</v>
      </c>
      <c r="L19" s="364">
        <f>'Valuation output'!J5</f>
        <v>1374.1823832930527</v>
      </c>
      <c r="M19" s="364">
        <f>'Valuation output'!K5</f>
        <v>1450.707851853876</v>
      </c>
      <c r="N19" s="364">
        <f>'Valuation output'!L5</f>
        <v>1517.9626678658217</v>
      </c>
      <c r="O19" s="365">
        <f>'Valuation output'!M5</f>
        <v>1588.335417148081</v>
      </c>
      <c r="P19" s="452"/>
    </row>
    <row r="20" spans="1:16">
      <c r="A20" s="458" t="str">
        <f>'Valuation output'!A26</f>
        <v xml:space="preserve"> - Minority interests</v>
      </c>
      <c r="B20" s="372">
        <f>'Valuation output'!B26</f>
        <v>0</v>
      </c>
      <c r="D20" s="358" t="s">
        <v>507</v>
      </c>
      <c r="E20" s="364">
        <f>'Valuation output'!C7</f>
        <v>536.30108674999997</v>
      </c>
      <c r="F20" s="364">
        <f>'Valuation output'!D7</f>
        <v>640.28574207785005</v>
      </c>
      <c r="G20" s="364">
        <f>'Valuation output'!E7</f>
        <v>729.40269564423454</v>
      </c>
      <c r="H20" s="364">
        <f>'Valuation output'!F7</f>
        <v>829.55757119073542</v>
      </c>
      <c r="I20" s="364">
        <f>'Valuation output'!G7</f>
        <v>942.03264967425866</v>
      </c>
      <c r="J20" s="364">
        <f>'Valuation output'!H7</f>
        <v>996.83430187809006</v>
      </c>
      <c r="K20" s="364">
        <f>'Valuation output'!I7</f>
        <v>1045.1370969707241</v>
      </c>
      <c r="L20" s="364">
        <f>'Valuation output'!J7</f>
        <v>1085.6040828015116</v>
      </c>
      <c r="M20" s="364">
        <f>'Valuation output'!K7</f>
        <v>1117.0450459274846</v>
      </c>
      <c r="N20" s="364">
        <f>'Valuation output'!L7</f>
        <v>1138.4720008993663</v>
      </c>
      <c r="O20" s="365">
        <f>'Valuation output'!M7</f>
        <v>1191.2515628610608</v>
      </c>
      <c r="P20" s="452"/>
    </row>
    <row r="21" spans="1:16">
      <c r="A21" s="458" t="str">
        <f>'Valuation output'!A27</f>
        <v xml:space="preserve"> +  Cash</v>
      </c>
      <c r="B21" s="372">
        <f>'Valuation output'!B27</f>
        <v>1534.38</v>
      </c>
      <c r="D21" s="358" t="s">
        <v>533</v>
      </c>
      <c r="E21" s="364">
        <f>'Valuation output'!C8</f>
        <v>250.75918083333312</v>
      </c>
      <c r="F21" s="364">
        <f>'Valuation output'!D8</f>
        <v>274.07978465083335</v>
      </c>
      <c r="G21" s="364">
        <f>'Valuation output'!E8</f>
        <v>299.56920462336052</v>
      </c>
      <c r="H21" s="364">
        <f>'Valuation output'!F8</f>
        <v>327.42914065333326</v>
      </c>
      <c r="I21" s="364">
        <f>'Valuation output'!G8</f>
        <v>321.98429682820461</v>
      </c>
      <c r="J21" s="364">
        <f>'Valuation output'!H8</f>
        <v>372.03137218285457</v>
      </c>
      <c r="K21" s="364">
        <f>'Valuation output'!I8</f>
        <v>349.54029576465354</v>
      </c>
      <c r="L21" s="364">
        <f>'Valuation output'!J8</f>
        <v>318.85611900343065</v>
      </c>
      <c r="M21" s="364">
        <f>'Valuation output'!K8</f>
        <v>280.2284000497736</v>
      </c>
      <c r="N21" s="364">
        <f>'Valuation output'!L8</f>
        <v>293.2197886760805</v>
      </c>
      <c r="O21" s="365">
        <f>'Valuation output'!M8</f>
        <v>615.95385293596678</v>
      </c>
      <c r="P21" s="452"/>
    </row>
    <row r="22" spans="1:16">
      <c r="A22" s="458" t="str">
        <f>'Valuation output'!A28</f>
        <v xml:space="preserve"> + Non-operating assets</v>
      </c>
      <c r="B22" s="372">
        <f>'Valuation output'!B28</f>
        <v>33.323</v>
      </c>
      <c r="D22" s="359" t="s">
        <v>10</v>
      </c>
      <c r="E22" s="365">
        <f>'Valuation output'!C9</f>
        <v>285.54190591666685</v>
      </c>
      <c r="F22" s="365">
        <f>'Valuation output'!D9</f>
        <v>366.2059574270167</v>
      </c>
      <c r="G22" s="365">
        <f>'Valuation output'!E9</f>
        <v>429.83349102087402</v>
      </c>
      <c r="H22" s="365">
        <f>'Valuation output'!F9</f>
        <v>502.12843053740215</v>
      </c>
      <c r="I22" s="365">
        <f>'Valuation output'!G9</f>
        <v>620.04835284605406</v>
      </c>
      <c r="J22" s="365">
        <f>'Valuation output'!H9</f>
        <v>624.80292969523543</v>
      </c>
      <c r="K22" s="365">
        <f>'Valuation output'!I9</f>
        <v>695.5968012060705</v>
      </c>
      <c r="L22" s="365">
        <f>'Valuation output'!J9</f>
        <v>766.74796379808095</v>
      </c>
      <c r="M22" s="365">
        <f>'Valuation output'!K9</f>
        <v>836.81664587771093</v>
      </c>
      <c r="N22" s="365">
        <f>'Valuation output'!L9</f>
        <v>845.25221222328582</v>
      </c>
      <c r="O22" s="365">
        <f>'Valuation output'!M9</f>
        <v>575.29770992509407</v>
      </c>
      <c r="P22" s="452"/>
    </row>
    <row r="23" spans="1:16">
      <c r="A23" s="458" t="str">
        <f>'Valuation output'!A29</f>
        <v>Value of equity</v>
      </c>
      <c r="B23" s="372">
        <f>'Valuation output'!B29</f>
        <v>10393.463355685344</v>
      </c>
      <c r="N23" s="367">
        <f>'Valuation output'!B18</f>
        <v>13286.321245383237</v>
      </c>
      <c r="P23" s="452"/>
    </row>
    <row r="24" spans="1:16">
      <c r="A24" s="458" t="str">
        <f>'Valuation output'!A30</f>
        <v xml:space="preserve"> - Value of options</v>
      </c>
      <c r="B24" s="372">
        <f ca="1">'Valuation output'!B30</f>
        <v>163.82761362615619</v>
      </c>
      <c r="P24" s="452"/>
    </row>
    <row r="25" spans="1:16">
      <c r="A25" s="458" t="str">
        <f>'Valuation output'!A31</f>
        <v>Value of equity in common stock</v>
      </c>
      <c r="B25" s="372">
        <f ca="1">'Valuation output'!B31</f>
        <v>10229.635742059188</v>
      </c>
      <c r="D25" s="359" t="s">
        <v>534</v>
      </c>
      <c r="E25" s="363">
        <f>'Valuation output'!C12</f>
        <v>9.4969838568748674E-2</v>
      </c>
      <c r="F25" s="363">
        <f>'Valuation output'!D12</f>
        <v>9.4969838568748674E-2</v>
      </c>
      <c r="G25" s="363">
        <f>'Valuation output'!E12</f>
        <v>9.4969838568748674E-2</v>
      </c>
      <c r="H25" s="363">
        <f>'Valuation output'!F12</f>
        <v>9.4969838568748674E-2</v>
      </c>
      <c r="I25" s="363">
        <f>'Valuation output'!G12</f>
        <v>9.4969838568748674E-2</v>
      </c>
      <c r="J25" s="363">
        <f>'Valuation output'!H12</f>
        <v>9.3907870854998937E-2</v>
      </c>
      <c r="K25" s="363">
        <f>'Valuation output'!I12</f>
        <v>9.28459031412492E-2</v>
      </c>
      <c r="L25" s="363">
        <f>'Valuation output'!J12</f>
        <v>9.1783935427499463E-2</v>
      </c>
      <c r="M25" s="363">
        <f>'Valuation output'!K12</f>
        <v>9.0721967713749727E-2</v>
      </c>
      <c r="N25" s="363">
        <f>'Valuation output'!L12</f>
        <v>8.965999999999999E-2</v>
      </c>
      <c r="O25" s="450"/>
      <c r="P25" s="452"/>
    </row>
    <row r="26" spans="1:16">
      <c r="A26" s="460" t="str">
        <f>'Valuation output'!A32</f>
        <v>Number of shares</v>
      </c>
      <c r="B26" s="373">
        <f>'Valuation output'!B32</f>
        <v>154.97800000000001</v>
      </c>
      <c r="D26" s="358" t="s">
        <v>847</v>
      </c>
      <c r="E26" s="366">
        <f>'Valuation output'!C13</f>
        <v>0.9132671647897761</v>
      </c>
      <c r="F26" s="366">
        <f>'Valuation output'!D13</f>
        <v>0.83405691428315609</v>
      </c>
      <c r="G26" s="366">
        <f>'Valuation output'!E13</f>
        <v>0.76171679338068732</v>
      </c>
      <c r="H26" s="366">
        <f>'Valuation output'!F13</f>
        <v>0.69565093626354002</v>
      </c>
      <c r="I26" s="366">
        <f>'Valuation output'!G13</f>
        <v>0.63531515824475648</v>
      </c>
      <c r="J26" s="366">
        <f>'Valuation output'!H13</f>
        <v>0.58077574462298531</v>
      </c>
      <c r="K26" s="366">
        <f>'Valuation output'!I13</f>
        <v>0.53143425157528423</v>
      </c>
      <c r="L26" s="366">
        <f>'Valuation output'!J13</f>
        <v>0.48675771307002752</v>
      </c>
      <c r="M26" s="366">
        <f>'Valuation output'!K13</f>
        <v>0.44627111901882294</v>
      </c>
      <c r="N26" s="366">
        <f>'Valuation output'!L13</f>
        <v>0.40955079476058853</v>
      </c>
      <c r="P26" s="452"/>
    </row>
    <row r="27" spans="1:16">
      <c r="A27" s="461" t="str">
        <f>'Valuation output'!A33</f>
        <v>Estimated value /share</v>
      </c>
      <c r="B27" s="376">
        <f ca="1">'Valuation output'!B33</f>
        <v>66.007018686905155</v>
      </c>
      <c r="P27" s="452"/>
    </row>
    <row r="28" spans="1:16">
      <c r="A28" s="462"/>
      <c r="B28" s="379"/>
      <c r="D28" s="359" t="s">
        <v>532</v>
      </c>
      <c r="E28" s="375">
        <f>'Valuation output'!C38</f>
        <v>1.8</v>
      </c>
      <c r="F28" s="375">
        <f>'Valuation output'!D38</f>
        <v>1.8</v>
      </c>
      <c r="G28" s="375">
        <f>'Valuation output'!E38</f>
        <v>1.8</v>
      </c>
      <c r="H28" s="375">
        <f>'Valuation output'!F38</f>
        <v>1.8</v>
      </c>
      <c r="I28" s="375">
        <f>'Valuation output'!G38</f>
        <v>1.8</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84.5</v>
      </c>
      <c r="D29" s="358" t="s">
        <v>854</v>
      </c>
      <c r="E29" s="360">
        <f>'Valuation output'!C40</f>
        <v>0.33506830853137293</v>
      </c>
      <c r="F29" s="360">
        <f>'Valuation output'!D40</f>
        <v>0.34585146642917453</v>
      </c>
      <c r="G29" s="360">
        <f>'Valuation output'!E40</f>
        <v>0.34318189292173917</v>
      </c>
      <c r="H29" s="360">
        <f>'Valuation output'!F40</f>
        <v>0.34208833729086408</v>
      </c>
      <c r="I29" s="360">
        <f>'Valuation output'!G40</f>
        <v>0.34225742119397212</v>
      </c>
      <c r="J29" s="360">
        <f>'Valuation output'!H40</f>
        <v>0.32423765445074038</v>
      </c>
      <c r="K29" s="360">
        <f>'Valuation output'!I40</f>
        <v>0.3032524955001028</v>
      </c>
      <c r="L29" s="360">
        <f>'Valuation output'!J40</f>
        <v>0.28598890917211933</v>
      </c>
      <c r="M29" s="360">
        <f>'Valuation output'!K40</f>
        <v>0.27146863259296006</v>
      </c>
      <c r="N29" s="360">
        <f>'Valuation output'!L40</f>
        <v>0.25903503953169948</v>
      </c>
      <c r="O29" s="360">
        <f>'Valuation output'!M40</f>
        <v>8.965999999999999E-2</v>
      </c>
      <c r="P29" s="452"/>
    </row>
    <row r="30" spans="1:16">
      <c r="A30" s="458" t="s">
        <v>857</v>
      </c>
      <c r="B30" s="378">
        <f ca="1">B29/B27-1</f>
        <v>0.28016689256658678</v>
      </c>
      <c r="P30" s="452"/>
    </row>
    <row r="31" spans="1:16" ht="13.8" thickBot="1">
      <c r="A31" s="451"/>
      <c r="P31" s="452"/>
    </row>
    <row r="32" spans="1:16">
      <c r="A32" s="451"/>
      <c r="D32" s="630" t="s">
        <v>858</v>
      </c>
      <c r="E32" s="631"/>
      <c r="G32" s="630" t="s">
        <v>859</v>
      </c>
      <c r="H32" s="632"/>
      <c r="I32" s="631"/>
      <c r="P32" s="452"/>
    </row>
    <row r="33" spans="1:16" ht="14.1" customHeight="1">
      <c r="A33" s="451"/>
      <c r="D33" s="633" t="str">
        <f>'Stories to Numbers'!G14</f>
        <v>Cost of capital close to median company</v>
      </c>
      <c r="E33" s="633"/>
      <c r="G33" s="633" t="str">
        <f>'Stories to Numbers'!G13</f>
        <v>Strong competitive edges</v>
      </c>
      <c r="H33" s="633"/>
      <c r="I33" s="633"/>
      <c r="P33" s="452"/>
    </row>
    <row r="34" spans="1:16">
      <c r="A34" s="451"/>
      <c r="D34" s="633"/>
      <c r="E34" s="633"/>
      <c r="G34" s="633"/>
      <c r="H34" s="633"/>
      <c r="I34" s="633"/>
      <c r="P34" s="452"/>
    </row>
    <row r="35" spans="1:16">
      <c r="A35" s="451"/>
      <c r="D35" s="633"/>
      <c r="E35" s="633"/>
      <c r="G35" s="633"/>
      <c r="H35" s="633"/>
      <c r="I35" s="633"/>
      <c r="P35" s="452"/>
    </row>
    <row r="36" spans="1:16">
      <c r="A36" s="451"/>
      <c r="D36" s="633"/>
      <c r="E36" s="633"/>
      <c r="G36" s="633"/>
      <c r="H36" s="633"/>
      <c r="I36" s="633"/>
      <c r="P36" s="452"/>
    </row>
    <row r="37" spans="1:16">
      <c r="A37" s="451"/>
      <c r="D37" s="633"/>
      <c r="E37" s="633"/>
      <c r="G37" s="633"/>
      <c r="H37" s="633"/>
      <c r="I37" s="633"/>
      <c r="P37" s="452"/>
    </row>
    <row r="38" spans="1:16" ht="13.8" thickBot="1">
      <c r="A38" s="463"/>
      <c r="B38" s="464"/>
      <c r="C38" s="464"/>
      <c r="D38" s="634"/>
      <c r="E38" s="634"/>
      <c r="F38" s="464"/>
      <c r="G38" s="634"/>
      <c r="H38" s="634"/>
      <c r="I38" s="634"/>
      <c r="J38" s="464"/>
      <c r="K38" s="464"/>
      <c r="L38" s="464"/>
      <c r="M38" s="464"/>
      <c r="N38" s="464"/>
      <c r="O38" s="464"/>
      <c r="P38" s="46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25" zoomScaleNormal="125" workbookViewId="0">
      <selection activeCell="A25" sqref="A25"/>
    </sheetView>
  </sheetViews>
  <sheetFormatPr defaultColWidth="10.875" defaultRowHeight="15"/>
  <cols>
    <col min="1" max="1" width="61.75" style="4" customWidth="1"/>
    <col min="2" max="2" width="17.75" style="247" customWidth="1"/>
    <col min="3" max="3" width="21" style="247" customWidth="1"/>
    <col min="4" max="4" width="20.375" style="247" customWidth="1"/>
    <col min="5" max="5" width="17.75" style="247" customWidth="1"/>
    <col min="6" max="6" width="11.125" style="4" customWidth="1"/>
    <col min="7" max="7" width="72" style="4" customWidth="1"/>
    <col min="8" max="16384" width="10.875" style="4"/>
  </cols>
  <sheetData>
    <row r="1" spans="1:7" ht="15.6">
      <c r="A1" s="251" t="s">
        <v>777</v>
      </c>
      <c r="B1" s="252"/>
      <c r="C1" s="253"/>
      <c r="D1" s="640" t="s">
        <v>775</v>
      </c>
      <c r="E1" s="641"/>
      <c r="G1" s="248" t="s">
        <v>781</v>
      </c>
    </row>
    <row r="2" spans="1:7" ht="30.6">
      <c r="A2" s="254"/>
      <c r="B2" s="255" t="s">
        <v>742</v>
      </c>
      <c r="C2" s="255" t="s">
        <v>773</v>
      </c>
      <c r="D2" s="255" t="s">
        <v>621</v>
      </c>
      <c r="E2" s="256" t="s">
        <v>619</v>
      </c>
      <c r="G2" s="263" t="s">
        <v>779</v>
      </c>
    </row>
    <row r="3" spans="1:7" ht="45">
      <c r="A3" s="466" t="s">
        <v>774</v>
      </c>
      <c r="B3" s="468">
        <f>'Input sheet'!J25</f>
        <v>2.3118148148148145E-2</v>
      </c>
      <c r="C3" s="468">
        <f>'Input sheet'!I25</f>
        <v>0.11009582054279243</v>
      </c>
      <c r="D3" s="468">
        <f>'Valuation output'!C2</f>
        <v>0.1</v>
      </c>
      <c r="E3" s="468">
        <f>'Valuation output'!D2</f>
        <v>9.2999999999999999E-2</v>
      </c>
      <c r="G3" s="263" t="s">
        <v>780</v>
      </c>
    </row>
    <row r="4" spans="1:7" ht="15.6" thickBot="1"/>
    <row r="5" spans="1:7" ht="15.6">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4412.1849999999995</v>
      </c>
      <c r="C7" s="467">
        <f>'Valuation output'!C3</f>
        <v>4853.4034999999994</v>
      </c>
      <c r="D7" s="467">
        <f>'Valuation output'!G3</f>
        <v>6926.710659369548</v>
      </c>
      <c r="E7" s="467">
        <f>'Valuation output'!L3</f>
        <v>9487.2666741613848</v>
      </c>
      <c r="G7" s="249" t="s">
        <v>783</v>
      </c>
    </row>
    <row r="8" spans="1:7">
      <c r="G8" s="249" t="s">
        <v>784</v>
      </c>
    </row>
    <row r="9" spans="1:7">
      <c r="G9" s="249" t="s">
        <v>785</v>
      </c>
    </row>
    <row r="10" spans="1:7" ht="15.6" thickBot="1"/>
    <row r="11" spans="1:7" ht="15.6">
      <c r="A11" s="259" t="s">
        <v>789</v>
      </c>
      <c r="B11" s="260" t="s">
        <v>773</v>
      </c>
      <c r="C11" s="260" t="s">
        <v>621</v>
      </c>
      <c r="D11" s="260" t="s">
        <v>379</v>
      </c>
      <c r="E11" s="261" t="s">
        <v>776</v>
      </c>
      <c r="G11" s="249" t="s">
        <v>786</v>
      </c>
    </row>
    <row r="12" spans="1:7" ht="30">
      <c r="A12" s="466" t="s">
        <v>505</v>
      </c>
      <c r="B12" s="468">
        <f>'Valuation output'!B4</f>
        <v>0.16259186774806592</v>
      </c>
      <c r="C12" s="468">
        <f>'Valuation output'!C4</f>
        <v>0.13</v>
      </c>
      <c r="D12" s="468">
        <f>'Valuation output'!G4</f>
        <v>0.16</v>
      </c>
      <c r="E12" s="468">
        <f>'Valuation output'!M4</f>
        <v>0.16</v>
      </c>
      <c r="G12" s="263" t="s">
        <v>787</v>
      </c>
    </row>
    <row r="13" spans="1:7">
      <c r="G13" s="249" t="s">
        <v>788</v>
      </c>
    </row>
    <row r="14" spans="1:7" ht="15.6" thickBot="1"/>
    <row r="15" spans="1:7" ht="15.6">
      <c r="A15" s="259" t="s">
        <v>806</v>
      </c>
      <c r="B15" s="253"/>
      <c r="C15" s="253"/>
      <c r="D15" s="253"/>
      <c r="E15" s="257"/>
    </row>
    <row r="16" spans="1:7" ht="15.6">
      <c r="A16" s="254"/>
      <c r="B16" s="255" t="s">
        <v>773</v>
      </c>
      <c r="C16" s="255" t="s">
        <v>621</v>
      </c>
      <c r="D16" s="255" t="s">
        <v>379</v>
      </c>
      <c r="E16" s="256" t="s">
        <v>776</v>
      </c>
      <c r="G16" s="249" t="s">
        <v>790</v>
      </c>
    </row>
    <row r="17" spans="1:7">
      <c r="A17" s="466" t="s">
        <v>532</v>
      </c>
      <c r="B17" s="469">
        <f>'Input sheet'!I27</f>
        <v>2.7566294408175476</v>
      </c>
      <c r="C17" s="469">
        <f>'Valuation output'!C38</f>
        <v>1.8</v>
      </c>
      <c r="D17" s="469">
        <f>'Valuation output'!G38</f>
        <v>1.8</v>
      </c>
      <c r="E17" s="469">
        <f>'Valuation output'!L38</f>
        <v>1.5</v>
      </c>
      <c r="G17" s="249" t="s">
        <v>791</v>
      </c>
    </row>
    <row r="18" spans="1:7">
      <c r="A18" s="254"/>
      <c r="E18" s="258"/>
      <c r="G18" s="249" t="s">
        <v>792</v>
      </c>
    </row>
    <row r="19" spans="1:7" ht="15.6">
      <c r="A19" s="262" t="s">
        <v>798</v>
      </c>
      <c r="E19" s="258"/>
    </row>
    <row r="20" spans="1:7" ht="15.6">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5382.5413795856639</v>
      </c>
      <c r="C21" s="471">
        <f>B21/B21</f>
        <v>1</v>
      </c>
      <c r="E21" s="258"/>
      <c r="G21" s="249" t="s">
        <v>799</v>
      </c>
    </row>
    <row r="22" spans="1:7">
      <c r="A22" s="466" t="s">
        <v>796</v>
      </c>
      <c r="B22" s="474">
        <f>B21-B23</f>
        <v>1920.3094493915164</v>
      </c>
      <c r="C22" s="475">
        <f>B22/B21</f>
        <v>0.35676631426832384</v>
      </c>
      <c r="E22" s="258"/>
      <c r="G22" s="249" t="s">
        <v>805</v>
      </c>
    </row>
    <row r="23" spans="1:7">
      <c r="A23" s="254" t="s">
        <v>797</v>
      </c>
      <c r="B23" s="472">
        <f>'Valuation output'!B20</f>
        <v>3462.2319301941475</v>
      </c>
      <c r="C23" s="473">
        <f>C21-C22</f>
        <v>0.64323368573167616</v>
      </c>
      <c r="E23" s="258"/>
    </row>
    <row r="24" spans="1:7">
      <c r="A24" s="254"/>
      <c r="E24" s="258"/>
    </row>
    <row r="25" spans="1:7" ht="15.6">
      <c r="A25" s="262" t="s">
        <v>800</v>
      </c>
      <c r="E25" s="258"/>
    </row>
    <row r="26" spans="1:7" ht="15.6">
      <c r="A26" s="254"/>
      <c r="B26" s="255" t="s">
        <v>801</v>
      </c>
      <c r="C26" s="255" t="s">
        <v>802</v>
      </c>
      <c r="D26" s="255" t="s">
        <v>803</v>
      </c>
      <c r="E26" s="256" t="s">
        <v>804</v>
      </c>
    </row>
    <row r="27" spans="1:7">
      <c r="A27" s="466" t="s">
        <v>525</v>
      </c>
      <c r="B27" s="468">
        <f>'Valuation output'!B40</f>
        <v>0.38097470005105682</v>
      </c>
      <c r="C27" s="475">
        <f>('Valuation output'!L7-'Valuation output'!B7)/('Valuation output'!L39-'Valuation output'!B39)</f>
        <v>0.17122609861946594</v>
      </c>
      <c r="D27" s="468">
        <f>'Valuation output'!L40</f>
        <v>0.25903503953169948</v>
      </c>
      <c r="E27" s="468">
        <f>'Valuation output'!M40</f>
        <v>8.965999999999999E-2</v>
      </c>
    </row>
    <row r="28" spans="1:7" ht="15.6" thickBot="1"/>
    <row r="29" spans="1:7" ht="15.6">
      <c r="A29" s="259" t="s">
        <v>807</v>
      </c>
      <c r="B29" s="253"/>
      <c r="C29" s="253"/>
      <c r="D29" s="253"/>
      <c r="E29" s="257"/>
    </row>
    <row r="30" spans="1:7" ht="15.6">
      <c r="A30" s="254"/>
      <c r="B30" s="255" t="s">
        <v>742</v>
      </c>
      <c r="C30" s="255" t="s">
        <v>810</v>
      </c>
      <c r="D30" s="255" t="s">
        <v>811</v>
      </c>
      <c r="E30" s="256" t="s">
        <v>808</v>
      </c>
      <c r="G30" s="249" t="s">
        <v>817</v>
      </c>
    </row>
    <row r="31" spans="1:7">
      <c r="A31" s="466" t="s">
        <v>135</v>
      </c>
      <c r="B31" s="475">
        <f>'Input sheet'!J31</f>
        <v>8.7884327608428986E-2</v>
      </c>
      <c r="C31" s="475">
        <f>(1/'Valuation output'!L13)^(1/10)-1</f>
        <v>9.3375209367472456E-2</v>
      </c>
      <c r="D31" s="475">
        <f>'Valuation output'!C12</f>
        <v>9.4969838568748674E-2</v>
      </c>
      <c r="E31" s="475">
        <f>'Valuation output'!M12</f>
        <v>8.965999999999999E-2</v>
      </c>
      <c r="G31" s="249" t="s">
        <v>818</v>
      </c>
    </row>
    <row r="32" spans="1:7">
      <c r="A32" s="254"/>
      <c r="E32" s="258"/>
      <c r="G32" s="249" t="s">
        <v>819</v>
      </c>
    </row>
    <row r="33" spans="1:6" ht="15.6" thickBot="1">
      <c r="A33" s="466" t="s">
        <v>809</v>
      </c>
      <c r="B33" s="468">
        <f>'Valuation output'!B22</f>
        <v>0</v>
      </c>
      <c r="C33" s="264"/>
      <c r="D33" s="264"/>
      <c r="E33" s="265"/>
    </row>
    <row r="34" spans="1:6" ht="15.6" thickBot="1"/>
    <row r="35" spans="1:6" ht="15.6">
      <c r="A35" s="259" t="s">
        <v>812</v>
      </c>
      <c r="B35" s="253"/>
      <c r="C35" s="253"/>
      <c r="D35" s="253"/>
      <c r="E35" s="257"/>
    </row>
    <row r="36" spans="1:6" s="76" customFormat="1" ht="13.8" thickBot="1">
      <c r="A36" s="270" t="s">
        <v>22</v>
      </c>
      <c r="B36" s="266">
        <f ca="1">'Valuation output'!B33/'Valuation output'!B34</f>
        <v>0.78114815014088945</v>
      </c>
      <c r="C36" s="271"/>
      <c r="D36" s="271"/>
      <c r="E36" s="272"/>
    </row>
    <row r="37" spans="1:6" s="76" customFormat="1" ht="15.6" thickBot="1">
      <c r="A37" s="78"/>
      <c r="B37" s="638" t="str">
        <f ca="1">IF(B36="NA","Value is negative. See below",IF(B36&gt;2,"Value seems high. See below",IF(B36&lt;0.5,"Value seems low. See below"," ")))</f>
        <v xml:space="preserve"> </v>
      </c>
      <c r="C37" s="639"/>
      <c r="D37" s="271"/>
      <c r="E37" s="272"/>
      <c r="F37" s="6"/>
    </row>
    <row r="38" spans="1:6" s="6" customFormat="1" ht="39.6">
      <c r="A38" s="277" t="s">
        <v>4</v>
      </c>
      <c r="B38" s="476" t="s">
        <v>0</v>
      </c>
      <c r="C38" s="477" t="s">
        <v>1</v>
      </c>
      <c r="D38" s="273"/>
      <c r="E38" s="274"/>
    </row>
    <row r="39" spans="1:6" s="6" customFormat="1" ht="35.1" customHeight="1">
      <c r="A39" s="267" t="s">
        <v>813</v>
      </c>
      <c r="B39" s="478" t="s">
        <v>2</v>
      </c>
      <c r="C39" s="478" t="s">
        <v>3</v>
      </c>
      <c r="D39" s="273"/>
      <c r="E39" s="274"/>
    </row>
    <row r="40" spans="1:6" s="6" customFormat="1" ht="39.6">
      <c r="A40" s="267" t="s">
        <v>814</v>
      </c>
      <c r="B40" s="479" t="s">
        <v>139</v>
      </c>
      <c r="C40" s="478" t="s">
        <v>140</v>
      </c>
      <c r="D40" s="273" t="s">
        <v>143</v>
      </c>
      <c r="E40" s="274"/>
    </row>
    <row r="41" spans="1:6" s="6" customFormat="1" ht="33.9"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7" sqref="B17"/>
    </sheetView>
  </sheetViews>
  <sheetFormatPr defaultColWidth="11.375" defaultRowHeight="15.6"/>
  <cols>
    <col min="1" max="1" width="44.25" style="191" customWidth="1"/>
    <col min="2" max="2" width="28.125" style="191" customWidth="1"/>
    <col min="3" max="3" width="30.75" style="191" customWidth="1"/>
    <col min="4" max="4" width="24.875" style="191" customWidth="1"/>
    <col min="5" max="7" width="44.25" style="130" customWidth="1"/>
  </cols>
  <sheetData>
    <row r="1" spans="1:7" ht="18.899999999999999" customHeight="1">
      <c r="A1" s="642" t="s">
        <v>820</v>
      </c>
      <c r="B1" s="643"/>
      <c r="C1" s="643"/>
      <c r="D1" s="643"/>
    </row>
    <row r="2" spans="1:7" ht="38.1" customHeight="1">
      <c r="A2" s="642"/>
      <c r="B2" s="643"/>
      <c r="C2" s="643"/>
      <c r="D2" s="643"/>
    </row>
    <row r="3" spans="1:7" s="297" customFormat="1" ht="17.399999999999999">
      <c r="A3" s="239" t="s">
        <v>52</v>
      </c>
      <c r="B3" s="239"/>
      <c r="C3" s="239"/>
      <c r="D3" s="239"/>
      <c r="E3" s="239"/>
      <c r="F3" s="239"/>
      <c r="G3" s="239"/>
    </row>
    <row r="4" spans="1:7" s="298" customFormat="1" ht="15">
      <c r="A4" s="191" t="s">
        <v>53</v>
      </c>
      <c r="B4" s="278">
        <f>'Input sheet'!B22</f>
        <v>84.5</v>
      </c>
      <c r="C4" s="191"/>
      <c r="D4" s="191"/>
      <c r="E4" s="191"/>
    </row>
    <row r="5" spans="1:7" s="298" customFormat="1" ht="15">
      <c r="A5" s="191" t="s">
        <v>54</v>
      </c>
      <c r="B5" s="279">
        <f>'Input sheet'!B39</f>
        <v>60.86</v>
      </c>
      <c r="C5" s="191"/>
      <c r="D5" s="191"/>
      <c r="E5" s="191"/>
    </row>
    <row r="6" spans="1:7" s="298" customFormat="1" ht="15">
      <c r="A6" s="191" t="s">
        <v>55</v>
      </c>
      <c r="B6" s="280">
        <f>'Input sheet'!B40</f>
        <v>7</v>
      </c>
      <c r="C6" s="191"/>
      <c r="D6" s="191"/>
      <c r="E6" s="191"/>
    </row>
    <row r="7" spans="1:7" s="298" customFormat="1" ht="15">
      <c r="A7" s="191" t="s">
        <v>56</v>
      </c>
      <c r="B7" s="281">
        <f>'Input sheet'!B41</f>
        <v>0.33</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3.5310000000000001</v>
      </c>
      <c r="C10" s="191"/>
      <c r="D10" s="191"/>
      <c r="E10" s="191"/>
    </row>
    <row r="11" spans="1:7" s="298" customFormat="1" ht="15">
      <c r="A11" s="191" t="s">
        <v>61</v>
      </c>
      <c r="B11" s="283">
        <f>'Input sheet'!B21</f>
        <v>154.97800000000001</v>
      </c>
      <c r="C11" s="191"/>
      <c r="D11" s="191"/>
      <c r="E11" s="191"/>
    </row>
    <row r="12" spans="1:7" s="298" customFormat="1" ht="15">
      <c r="A12" s="191"/>
      <c r="B12" s="191"/>
      <c r="C12" s="191"/>
      <c r="D12" s="191"/>
      <c r="E12" s="191"/>
      <c r="F12" s="191"/>
      <c r="G12" s="191"/>
    </row>
    <row r="13" spans="1:7" s="299" customFormat="1">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84.5</v>
      </c>
      <c r="C15" s="286" t="s">
        <v>64</v>
      </c>
      <c r="D15" s="289">
        <f>B10</f>
        <v>3.5310000000000001</v>
      </c>
      <c r="E15" s="301"/>
    </row>
    <row r="16" spans="1:7" s="300" customFormat="1">
      <c r="A16" s="286" t="s">
        <v>65</v>
      </c>
      <c r="B16" s="296">
        <f>B5</f>
        <v>60.86</v>
      </c>
      <c r="C16" s="286" t="s">
        <v>66</v>
      </c>
      <c r="D16" s="290">
        <f>B11</f>
        <v>154.97800000000001</v>
      </c>
      <c r="E16" s="301"/>
    </row>
    <row r="17" spans="1:7" s="300" customFormat="1">
      <c r="A17" s="286" t="s">
        <v>67</v>
      </c>
      <c r="B17" s="303">
        <f ca="1">(B15*D16+B28*D15)/(D16+D15)</f>
        <v>83.651203487664148</v>
      </c>
      <c r="C17" s="286" t="s">
        <v>68</v>
      </c>
      <c r="D17" s="291">
        <f>B9</f>
        <v>4.6359999999999998E-2</v>
      </c>
      <c r="E17" s="191"/>
    </row>
    <row r="18" spans="1:7" s="300" customFormat="1">
      <c r="A18" s="286" t="s">
        <v>69</v>
      </c>
      <c r="B18" s="296">
        <f>B16</f>
        <v>60.86</v>
      </c>
      <c r="C18" s="286" t="s">
        <v>70</v>
      </c>
      <c r="D18" s="292">
        <f>B7^2</f>
        <v>0.10890000000000001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1.1725484985772459</v>
      </c>
      <c r="C22" s="191"/>
      <c r="D22" s="191"/>
      <c r="E22" s="191"/>
      <c r="F22" s="191"/>
      <c r="G22" s="191"/>
    </row>
    <row r="23" spans="1:7" s="300" customFormat="1" ht="15">
      <c r="A23" s="191" t="s">
        <v>75</v>
      </c>
      <c r="B23" s="295">
        <f ca="1">NORMSDIST(B22)</f>
        <v>0.87951154370410867</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0.29945056592593089</v>
      </c>
      <c r="C25" s="191"/>
      <c r="D25" s="191"/>
      <c r="E25" s="191"/>
      <c r="F25" s="191"/>
      <c r="G25" s="191"/>
    </row>
    <row r="26" spans="1:7" s="300" customFormat="1" ht="15">
      <c r="A26" s="191" t="s">
        <v>77</v>
      </c>
      <c r="B26" s="295">
        <f ca="1">NORMSDIST(B25)</f>
        <v>0.6177018574674219</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46.39694523538833</v>
      </c>
      <c r="C28" s="191"/>
      <c r="D28" s="191"/>
      <c r="E28" s="191"/>
      <c r="F28" s="302"/>
    </row>
    <row r="29" spans="1:7" s="300" customFormat="1" thickBot="1">
      <c r="A29" s="191" t="s">
        <v>79</v>
      </c>
      <c r="B29" s="288">
        <f ca="1">B28*B10</f>
        <v>163.82761362615619</v>
      </c>
      <c r="C29" s="191"/>
      <c r="D29" s="191"/>
      <c r="E29" s="191"/>
    </row>
  </sheetData>
  <mergeCells count="1">
    <mergeCell ref="A1:D2"/>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375" defaultRowHeight="15"/>
  <cols>
    <col min="1" max="4" width="11.125" style="191" bestFit="1" customWidth="1"/>
    <col min="5" max="5" width="10.875" style="191"/>
    <col min="6" max="6" width="12.875" style="191" bestFit="1" customWidth="1"/>
    <col min="7" max="7" width="10.875" style="191"/>
    <col min="8" max="8" width="11.125" style="191" bestFit="1" customWidth="1"/>
    <col min="9" max="10" width="10.875" style="191"/>
    <col min="11" max="20" width="11.125" style="191" bestFit="1" customWidth="1"/>
  </cols>
  <sheetData>
    <row r="1" spans="1:20">
      <c r="A1" s="647" t="s">
        <v>772</v>
      </c>
      <c r="B1" s="648"/>
      <c r="C1" s="648"/>
      <c r="D1" s="648"/>
      <c r="E1" s="648"/>
      <c r="F1" s="648"/>
      <c r="G1" s="648"/>
      <c r="H1" s="648"/>
      <c r="I1" s="648"/>
      <c r="J1" s="648"/>
      <c r="K1" s="648"/>
      <c r="L1" s="649"/>
    </row>
    <row r="2" spans="1:20" ht="21" customHeight="1" thickBot="1">
      <c r="A2" s="650"/>
      <c r="B2" s="651"/>
      <c r="C2" s="651"/>
      <c r="D2" s="651"/>
      <c r="E2" s="651"/>
      <c r="F2" s="651"/>
      <c r="G2" s="651"/>
      <c r="H2" s="651"/>
      <c r="I2" s="651"/>
      <c r="J2" s="651"/>
      <c r="K2" s="651"/>
      <c r="L2" s="652"/>
    </row>
    <row r="4" spans="1:20" ht="15.6">
      <c r="A4" s="239" t="s">
        <v>195</v>
      </c>
    </row>
    <row r="5" spans="1:20" ht="15.6">
      <c r="A5" s="239" t="s">
        <v>196</v>
      </c>
    </row>
    <row r="6" spans="1:20" s="73" customFormat="1" ht="16.2"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6"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6" thickBot="1">
      <c r="A8" s="191" t="s">
        <v>199</v>
      </c>
      <c r="B8" s="191"/>
      <c r="C8" s="191"/>
      <c r="D8" s="191"/>
      <c r="E8" s="191"/>
      <c r="F8" s="309">
        <f>IF('Input sheet'!B17="Yes",'Input sheet'!B12+'Operating lease converter'!F32,'Input sheet'!B12)</f>
        <v>662.43000000000006</v>
      </c>
      <c r="G8" s="191" t="s">
        <v>200</v>
      </c>
      <c r="H8" s="191"/>
      <c r="I8" s="191"/>
      <c r="J8" s="191"/>
      <c r="K8" s="191"/>
      <c r="L8" s="191"/>
      <c r="M8" s="191"/>
      <c r="N8" s="191"/>
      <c r="O8" s="191"/>
      <c r="P8" s="191"/>
      <c r="Q8" s="191"/>
      <c r="R8" s="191"/>
      <c r="S8" s="191"/>
      <c r="T8" s="191"/>
    </row>
    <row r="9" spans="1:20" s="74" customFormat="1" ht="15.6"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6"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2"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2"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2"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2"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2"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2"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6">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6.2"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2" thickBot="1">
      <c r="A19" s="239" t="s">
        <v>209</v>
      </c>
      <c r="B19" s="191"/>
      <c r="C19" s="191"/>
      <c r="D19" s="191"/>
      <c r="E19" s="191"/>
      <c r="F19" s="191"/>
      <c r="G19" s="191"/>
      <c r="H19" s="191"/>
      <c r="I19" s="191"/>
      <c r="J19" s="644" t="s">
        <v>620</v>
      </c>
      <c r="K19" s="645"/>
      <c r="L19" s="645"/>
      <c r="M19" s="645"/>
      <c r="N19" s="645"/>
      <c r="O19" s="645"/>
      <c r="P19" s="645"/>
      <c r="Q19" s="645"/>
      <c r="R19" s="645"/>
      <c r="S19" s="645"/>
      <c r="T19" s="646"/>
    </row>
    <row r="20" spans="1:20" s="74" customFormat="1" ht="15.6">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ht="15.6">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6">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ht="15.6">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ht="15.6">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revenues</vt:lpstr>
      <vt:lpstr>Sheet2</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2024-08-17T12:04:33Z</dcterms:modified>
</cp:coreProperties>
</file>