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gi\"/>
    </mc:Choice>
  </mc:AlternateContent>
  <xr:revisionPtr revIDLastSave="0" documentId="13_ncr:1_{0EE0D14B-B34B-40B7-9561-81EA9F867259}" xr6:coauthVersionLast="47" xr6:coauthVersionMax="47" xr10:uidLastSave="{00000000-0000-0000-0000-000000000000}"/>
  <bookViews>
    <workbookView xWindow="-108" yWindow="-108" windowWidth="23256" windowHeight="12456" firstSheet="1" activeTab="6" xr2:uid="{9D3A19D8-55D8-46DD-A2B2-6A867578918F}"/>
  </bookViews>
  <sheets>
    <sheet name="main" sheetId="1" r:id="rId1"/>
    <sheet name="Sheet2" sheetId="2" r:id="rId2"/>
    <sheet name="income statement " sheetId="3" r:id="rId3"/>
    <sheet name="balance sheet" sheetId="8" r:id="rId4"/>
    <sheet name="cash flow " sheetId="9" r:id="rId5"/>
    <sheet name="ratios quarterly " sheetId="6" r:id="rId6"/>
    <sheet name="ratios yearly 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58" i="8" l="1"/>
  <c r="BI58" i="8"/>
  <c r="BJ58" i="8"/>
  <c r="BK58" i="8"/>
  <c r="BL58" i="8"/>
  <c r="BM58" i="8"/>
  <c r="BN58" i="8"/>
  <c r="BO58" i="8"/>
  <c r="BP58" i="8"/>
  <c r="BQ58" i="8"/>
  <c r="BR58" i="8"/>
  <c r="BS58" i="8"/>
  <c r="BH58" i="2"/>
  <c r="BI58" i="2"/>
  <c r="BJ58" i="2"/>
  <c r="BK58" i="2"/>
  <c r="BL58" i="2"/>
  <c r="BM58" i="2"/>
  <c r="BN58" i="2"/>
  <c r="BO58" i="2"/>
  <c r="BP58" i="2"/>
  <c r="BQ58" i="2"/>
  <c r="BR58" i="2"/>
  <c r="BS58" i="2"/>
  <c r="BG58" i="8"/>
  <c r="BG58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G56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G53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G44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G42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S27" i="2"/>
  <c r="Q23" i="8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B10" i="8"/>
  <c r="U6" i="1"/>
  <c r="U5" i="1"/>
  <c r="U3" i="1"/>
  <c r="AL13" i="2"/>
  <c r="AH13" i="2"/>
  <c r="AD13" i="2"/>
  <c r="Z13" i="2"/>
  <c r="V13" i="2"/>
  <c r="R13" i="2"/>
  <c r="N13" i="2"/>
  <c r="J13" i="2"/>
  <c r="BH13" i="2" s="1"/>
  <c r="E22" i="2"/>
  <c r="H22" i="2"/>
  <c r="I22" i="2"/>
  <c r="K22" i="2"/>
  <c r="L22" i="2"/>
  <c r="M22" i="2"/>
  <c r="N22" i="2"/>
  <c r="P22" i="2"/>
  <c r="Q22" i="2"/>
  <c r="T22" i="2"/>
  <c r="U22" i="2"/>
  <c r="X22" i="2"/>
  <c r="Y22" i="2"/>
  <c r="AB22" i="2"/>
  <c r="AC22" i="2"/>
  <c r="AD22" i="2"/>
  <c r="AF22" i="2"/>
  <c r="AG22" i="2"/>
  <c r="AJ22" i="2"/>
  <c r="AK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D22" i="2"/>
  <c r="E21" i="2"/>
  <c r="F21" i="2"/>
  <c r="H21" i="2"/>
  <c r="I21" i="2"/>
  <c r="L21" i="2"/>
  <c r="M21" i="2"/>
  <c r="P21" i="2"/>
  <c r="Q21" i="2"/>
  <c r="T21" i="2"/>
  <c r="U21" i="2"/>
  <c r="X21" i="2"/>
  <c r="Y21" i="2"/>
  <c r="AB21" i="2"/>
  <c r="AC21" i="2"/>
  <c r="AD21" i="2"/>
  <c r="AF21" i="2"/>
  <c r="AG21" i="2"/>
  <c r="AJ21" i="2"/>
  <c r="AK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D21" i="2"/>
  <c r="D21" i="2"/>
  <c r="H19" i="2"/>
  <c r="I19" i="2"/>
  <c r="K19" i="2"/>
  <c r="L19" i="2"/>
  <c r="M19" i="2"/>
  <c r="O19" i="2"/>
  <c r="P19" i="2"/>
  <c r="Q19" i="2"/>
  <c r="S19" i="2"/>
  <c r="T19" i="2"/>
  <c r="U19" i="2"/>
  <c r="W19" i="2"/>
  <c r="X19" i="2"/>
  <c r="Y19" i="2"/>
  <c r="AA19" i="2"/>
  <c r="AB19" i="2"/>
  <c r="AC19" i="2"/>
  <c r="AE19" i="2"/>
  <c r="AF19" i="2"/>
  <c r="AG19" i="2"/>
  <c r="AI19" i="2"/>
  <c r="AJ19" i="2"/>
  <c r="AK19" i="2"/>
  <c r="AM19" i="2"/>
  <c r="AN19" i="2"/>
  <c r="AO19" i="2"/>
  <c r="AQ19" i="2"/>
  <c r="AR19" i="2"/>
  <c r="AS19" i="2"/>
  <c r="AT19" i="2"/>
  <c r="AU19" i="2"/>
  <c r="AV19" i="2"/>
  <c r="AW19" i="2"/>
  <c r="AX19" i="2"/>
  <c r="AY19" i="2"/>
  <c r="AZ19" i="2"/>
  <c r="G19" i="2"/>
  <c r="H18" i="2"/>
  <c r="I18" i="2"/>
  <c r="K18" i="2"/>
  <c r="L18" i="2"/>
  <c r="M18" i="2"/>
  <c r="O18" i="2"/>
  <c r="P18" i="2"/>
  <c r="Q18" i="2"/>
  <c r="S18" i="2"/>
  <c r="T18" i="2"/>
  <c r="U18" i="2"/>
  <c r="W18" i="2"/>
  <c r="X18" i="2"/>
  <c r="Y18" i="2"/>
  <c r="AA18" i="2"/>
  <c r="AB18" i="2"/>
  <c r="AC18" i="2"/>
  <c r="AE18" i="2"/>
  <c r="AF18" i="2"/>
  <c r="AG18" i="2"/>
  <c r="AH18" i="2"/>
  <c r="AI18" i="2"/>
  <c r="AJ18" i="2"/>
  <c r="AK18" i="2"/>
  <c r="AM18" i="2"/>
  <c r="AN18" i="2"/>
  <c r="AO18" i="2"/>
  <c r="AQ18" i="2"/>
  <c r="AR18" i="2"/>
  <c r="AS18" i="2"/>
  <c r="AT18" i="2"/>
  <c r="AU18" i="2"/>
  <c r="AV18" i="2"/>
  <c r="AW18" i="2"/>
  <c r="AX18" i="2"/>
  <c r="AY18" i="2"/>
  <c r="AZ18" i="2"/>
  <c r="BA18" i="2"/>
  <c r="BC18" i="2"/>
  <c r="BD18" i="2"/>
  <c r="G18" i="2"/>
  <c r="BP4" i="2"/>
  <c r="BQ4" i="2"/>
  <c r="BR4" i="2"/>
  <c r="BS4" i="2"/>
  <c r="BP6" i="2"/>
  <c r="BQ6" i="2"/>
  <c r="BR6" i="2"/>
  <c r="BS6" i="2"/>
  <c r="BH7" i="2"/>
  <c r="BP7" i="2"/>
  <c r="BQ7" i="2"/>
  <c r="BR7" i="2"/>
  <c r="BS7" i="2"/>
  <c r="BP8" i="2"/>
  <c r="BQ8" i="2"/>
  <c r="BR8" i="2"/>
  <c r="BS8" i="2"/>
  <c r="BG9" i="2"/>
  <c r="BH9" i="2"/>
  <c r="BI9" i="2"/>
  <c r="BJ9" i="2"/>
  <c r="BK9" i="2"/>
  <c r="BP9" i="2"/>
  <c r="BQ9" i="2"/>
  <c r="BR9" i="2"/>
  <c r="BS9" i="2"/>
  <c r="BP13" i="2"/>
  <c r="BQ13" i="2"/>
  <c r="BR13" i="2"/>
  <c r="BS13" i="2"/>
  <c r="BD5" i="2"/>
  <c r="BD10" i="2" s="1"/>
  <c r="BD12" i="2" s="1"/>
  <c r="BD24" i="2" s="1"/>
  <c r="BR3" i="2"/>
  <c r="BR18" i="2" s="1"/>
  <c r="BQ3" i="2"/>
  <c r="BQ18" i="2" s="1"/>
  <c r="BP3" i="2"/>
  <c r="BC5" i="2"/>
  <c r="BC10" i="2" s="1"/>
  <c r="BC12" i="2" s="1"/>
  <c r="BC24" i="2" s="1"/>
  <c r="BB3" i="2"/>
  <c r="BC21" i="2" s="1"/>
  <c r="BA5" i="2"/>
  <c r="BA10" i="2" s="1"/>
  <c r="BA12" i="2" s="1"/>
  <c r="BA24" i="2" s="1"/>
  <c r="AL11" i="2"/>
  <c r="BO11" i="2" s="1"/>
  <c r="AL9" i="2"/>
  <c r="BO9" i="2" s="1"/>
  <c r="AL8" i="2"/>
  <c r="BO8" i="2" s="1"/>
  <c r="AL7" i="2"/>
  <c r="BO7" i="2" s="1"/>
  <c r="AL6" i="2"/>
  <c r="BO6" i="2" s="1"/>
  <c r="AL4" i="2"/>
  <c r="AL19" i="2" s="1"/>
  <c r="AL3" i="2"/>
  <c r="BO3" i="2" s="1"/>
  <c r="AJ5" i="2"/>
  <c r="AJ10" i="2" s="1"/>
  <c r="AJ12" i="2" s="1"/>
  <c r="AJ24" i="2" s="1"/>
  <c r="AK5" i="2"/>
  <c r="AK10" i="2" s="1"/>
  <c r="AK12" i="2" s="1"/>
  <c r="AK24" i="2" s="1"/>
  <c r="AI5" i="2"/>
  <c r="AI10" i="2" s="1"/>
  <c r="AH11" i="2"/>
  <c r="BN11" i="2" s="1"/>
  <c r="AH9" i="2"/>
  <c r="BN9" i="2" s="1"/>
  <c r="AH8" i="2"/>
  <c r="BN8" i="2" s="1"/>
  <c r="AH6" i="2"/>
  <c r="BN6" i="2" s="1"/>
  <c r="AH4" i="2"/>
  <c r="AH3" i="2"/>
  <c r="BN3" i="2" s="1"/>
  <c r="AD11" i="2"/>
  <c r="BM11" i="2" s="1"/>
  <c r="AD9" i="2"/>
  <c r="BM9" i="2" s="1"/>
  <c r="AD8" i="2"/>
  <c r="BM8" i="2" s="1"/>
  <c r="AD7" i="2"/>
  <c r="BM7" i="2" s="1"/>
  <c r="AD6" i="2"/>
  <c r="BM6" i="2" s="1"/>
  <c r="AD4" i="2"/>
  <c r="AD3" i="2"/>
  <c r="BM3" i="2" s="1"/>
  <c r="AG5" i="2"/>
  <c r="AG10" i="2" s="1"/>
  <c r="AG12" i="2" s="1"/>
  <c r="AG14" i="2" s="1"/>
  <c r="AF5" i="2"/>
  <c r="AF10" i="2" s="1"/>
  <c r="AF12" i="2" s="1"/>
  <c r="AF14" i="2" s="1"/>
  <c r="AE7" i="2"/>
  <c r="AH7" i="2" s="1"/>
  <c r="AE5" i="2"/>
  <c r="AC5" i="2"/>
  <c r="AC10" i="2" s="1"/>
  <c r="AC12" i="2" s="1"/>
  <c r="AC14" i="2" s="1"/>
  <c r="AB5" i="2"/>
  <c r="AB10" i="2" s="1"/>
  <c r="AB12" i="2" s="1"/>
  <c r="AB14" i="2" s="1"/>
  <c r="AA5" i="2"/>
  <c r="AA10" i="2" s="1"/>
  <c r="Z9" i="2"/>
  <c r="BL9" i="2" s="1"/>
  <c r="Z8" i="2"/>
  <c r="BL8" i="2" s="1"/>
  <c r="Z7" i="2"/>
  <c r="BL7" i="2" s="1"/>
  <c r="Z6" i="2"/>
  <c r="BL6" i="2" s="1"/>
  <c r="Z4" i="2"/>
  <c r="BL4" i="2" s="1"/>
  <c r="Z3" i="2"/>
  <c r="Z21" i="2" s="1"/>
  <c r="V11" i="2"/>
  <c r="BK11" i="2" s="1"/>
  <c r="V8" i="2"/>
  <c r="BK8" i="2" s="1"/>
  <c r="V7" i="2"/>
  <c r="BK7" i="2" s="1"/>
  <c r="V6" i="2"/>
  <c r="BK6" i="2" s="1"/>
  <c r="V4" i="2"/>
  <c r="V19" i="2" s="1"/>
  <c r="V3" i="2"/>
  <c r="W21" i="2" s="1"/>
  <c r="Y11" i="2"/>
  <c r="Y5" i="2"/>
  <c r="Y25" i="2" s="1"/>
  <c r="X5" i="2"/>
  <c r="X10" i="2" s="1"/>
  <c r="W5" i="2"/>
  <c r="W10" i="2" s="1"/>
  <c r="W12" i="2" s="1"/>
  <c r="W24" i="2" s="1"/>
  <c r="U5" i="2"/>
  <c r="U10" i="2" s="1"/>
  <c r="U12" i="2" s="1"/>
  <c r="U24" i="2" s="1"/>
  <c r="T5" i="2"/>
  <c r="T10" i="2" s="1"/>
  <c r="T12" i="2" s="1"/>
  <c r="T24" i="2" s="1"/>
  <c r="S5" i="2"/>
  <c r="R11" i="2"/>
  <c r="BJ11" i="2" s="1"/>
  <c r="R8" i="2"/>
  <c r="BJ8" i="2" s="1"/>
  <c r="R7" i="2"/>
  <c r="BJ7" i="2" s="1"/>
  <c r="R6" i="2"/>
  <c r="BJ6" i="2" s="1"/>
  <c r="R4" i="2"/>
  <c r="R19" i="2" s="1"/>
  <c r="R3" i="2"/>
  <c r="R21" i="2" s="1"/>
  <c r="N8" i="2"/>
  <c r="BI8" i="2" s="1"/>
  <c r="N7" i="2"/>
  <c r="BI7" i="2" s="1"/>
  <c r="N6" i="2"/>
  <c r="BI6" i="2" s="1"/>
  <c r="N4" i="2"/>
  <c r="N3" i="2"/>
  <c r="BI3" i="2" s="1"/>
  <c r="Q5" i="2"/>
  <c r="Q10" i="2" s="1"/>
  <c r="Q12" i="2" s="1"/>
  <c r="Q14" i="2" s="1"/>
  <c r="O5" i="2"/>
  <c r="O10" i="2" s="1"/>
  <c r="P5" i="2"/>
  <c r="P25" i="2" s="1"/>
  <c r="L11" i="2"/>
  <c r="M5" i="2"/>
  <c r="M10" i="2" s="1"/>
  <c r="L5" i="2"/>
  <c r="L10" i="2" s="1"/>
  <c r="I11" i="2"/>
  <c r="K5" i="2"/>
  <c r="K10" i="2" s="1"/>
  <c r="J8" i="2"/>
  <c r="BH8" i="2" s="1"/>
  <c r="J7" i="2"/>
  <c r="J6" i="2"/>
  <c r="BH6" i="2" s="1"/>
  <c r="J4" i="2"/>
  <c r="BH4" i="2" s="1"/>
  <c r="J3" i="2"/>
  <c r="BH3" i="2" s="1"/>
  <c r="BH18" i="2" s="1"/>
  <c r="F8" i="2"/>
  <c r="BG8" i="2" s="1"/>
  <c r="F7" i="2"/>
  <c r="BG7" i="2" s="1"/>
  <c r="F6" i="2"/>
  <c r="F4" i="2"/>
  <c r="F22" i="2" s="1"/>
  <c r="F3" i="2"/>
  <c r="BG3" i="2" s="1"/>
  <c r="BG1" i="2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I5" i="2"/>
  <c r="I10" i="2" s="1"/>
  <c r="E11" i="2"/>
  <c r="C11" i="2"/>
  <c r="F11" i="2" s="1"/>
  <c r="H11" i="2"/>
  <c r="H5" i="2"/>
  <c r="H10" i="2" s="1"/>
  <c r="D11" i="2"/>
  <c r="G11" i="2"/>
  <c r="D5" i="2"/>
  <c r="D10" i="2" s="1"/>
  <c r="E5" i="2"/>
  <c r="E10" i="2" s="1"/>
  <c r="G5" i="2"/>
  <c r="G10" i="2" s="1"/>
  <c r="C10" i="2"/>
  <c r="C12" i="2" s="1"/>
  <c r="C24" i="2" s="1"/>
  <c r="C5" i="2"/>
  <c r="C25" i="2" s="1"/>
  <c r="AZ11" i="2"/>
  <c r="AZ5" i="2"/>
  <c r="AZ25" i="2" s="1"/>
  <c r="AM5" i="2"/>
  <c r="AN5" i="2"/>
  <c r="AN10" i="2" s="1"/>
  <c r="AO11" i="2"/>
  <c r="AO5" i="2"/>
  <c r="AO10" i="2" s="1"/>
  <c r="AP11" i="2"/>
  <c r="AP5" i="2"/>
  <c r="AP25" i="2" s="1"/>
  <c r="AV11" i="2"/>
  <c r="AV5" i="2"/>
  <c r="AV10" i="2" s="1"/>
  <c r="AT11" i="2"/>
  <c r="AS11" i="2"/>
  <c r="AS5" i="2"/>
  <c r="AS10" i="2" s="1"/>
  <c r="AS12" i="2" s="1"/>
  <c r="AS24" i="2" s="1"/>
  <c r="AR11" i="2"/>
  <c r="AR5" i="2"/>
  <c r="AR10" i="2" s="1"/>
  <c r="AX11" i="2"/>
  <c r="AW11" i="2"/>
  <c r="AW5" i="2"/>
  <c r="AW25" i="2" s="1"/>
  <c r="AQ11" i="2"/>
  <c r="AQ5" i="2"/>
  <c r="AQ10" i="2" s="1"/>
  <c r="AT5" i="2"/>
  <c r="AT10" i="2" s="1"/>
  <c r="AX5" i="2"/>
  <c r="AX10" i="2" s="1"/>
  <c r="AU11" i="2"/>
  <c r="BR11" i="2" s="1"/>
  <c r="AY11" i="2"/>
  <c r="BP11" i="2" l="1"/>
  <c r="BQ10" i="2"/>
  <c r="S22" i="2"/>
  <c r="BQ11" i="2"/>
  <c r="BP5" i="2"/>
  <c r="BP25" i="2" s="1"/>
  <c r="R5" i="2"/>
  <c r="R25" i="2" s="1"/>
  <c r="BN18" i="2"/>
  <c r="BJ4" i="2"/>
  <c r="N21" i="2"/>
  <c r="AH19" i="2"/>
  <c r="BO18" i="2"/>
  <c r="J18" i="2"/>
  <c r="AA22" i="2"/>
  <c r="AK14" i="2"/>
  <c r="N11" i="2"/>
  <c r="BI11" i="2" s="1"/>
  <c r="BI18" i="2"/>
  <c r="AD19" i="2"/>
  <c r="BS11" i="2"/>
  <c r="N19" i="2"/>
  <c r="BP18" i="2"/>
  <c r="V21" i="2"/>
  <c r="AI22" i="2"/>
  <c r="Z18" i="2"/>
  <c r="V22" i="2"/>
  <c r="O12" i="2"/>
  <c r="AL21" i="2"/>
  <c r="BK3" i="2"/>
  <c r="BQ5" i="2"/>
  <c r="BQ25" i="2" s="1"/>
  <c r="BN4" i="2"/>
  <c r="AH22" i="2"/>
  <c r="Z22" i="2"/>
  <c r="R22" i="2"/>
  <c r="J22" i="2"/>
  <c r="BC14" i="2"/>
  <c r="BC16" i="2" s="1"/>
  <c r="AJ14" i="2"/>
  <c r="Q24" i="2"/>
  <c r="BC25" i="2"/>
  <c r="AM25" i="2"/>
  <c r="AE25" i="2"/>
  <c r="W25" i="2"/>
  <c r="O25" i="2"/>
  <c r="G25" i="2"/>
  <c r="Z5" i="2"/>
  <c r="Z25" i="2" s="1"/>
  <c r="BL3" i="2"/>
  <c r="BM18" i="2" s="1"/>
  <c r="AI12" i="2"/>
  <c r="BN7" i="2"/>
  <c r="BM4" i="2"/>
  <c r="AP19" i="2"/>
  <c r="Z19" i="2"/>
  <c r="J19" i="2"/>
  <c r="AG24" i="2"/>
  <c r="AT25" i="2"/>
  <c r="BO4" i="2"/>
  <c r="AP18" i="2"/>
  <c r="BJ3" i="2"/>
  <c r="BJ18" i="2" s="1"/>
  <c r="AI21" i="2"/>
  <c r="AA21" i="2"/>
  <c r="S21" i="2"/>
  <c r="K21" i="2"/>
  <c r="BA14" i="2"/>
  <c r="BA16" i="2" s="1"/>
  <c r="AS14" i="2"/>
  <c r="AS16" i="2" s="1"/>
  <c r="W14" i="2"/>
  <c r="AF24" i="2"/>
  <c r="BA25" i="2"/>
  <c r="AS25" i="2"/>
  <c r="AK25" i="2"/>
  <c r="AC25" i="2"/>
  <c r="U25" i="2"/>
  <c r="M25" i="2"/>
  <c r="E25" i="2"/>
  <c r="BG4" i="2"/>
  <c r="R18" i="2"/>
  <c r="BB21" i="2"/>
  <c r="C14" i="2"/>
  <c r="J11" i="2"/>
  <c r="BH11" i="2" s="1"/>
  <c r="F5" i="2"/>
  <c r="F25" i="2" s="1"/>
  <c r="BK4" i="2"/>
  <c r="BB18" i="2"/>
  <c r="AL18" i="2"/>
  <c r="AD18" i="2"/>
  <c r="V18" i="2"/>
  <c r="N18" i="2"/>
  <c r="AH21" i="2"/>
  <c r="J21" i="2"/>
  <c r="AM22" i="2"/>
  <c r="AE22" i="2"/>
  <c r="W22" i="2"/>
  <c r="O22" i="2"/>
  <c r="G22" i="2"/>
  <c r="U14" i="2"/>
  <c r="AR25" i="2"/>
  <c r="AJ25" i="2"/>
  <c r="AB25" i="2"/>
  <c r="T25" i="2"/>
  <c r="L25" i="2"/>
  <c r="D25" i="2"/>
  <c r="BS3" i="2"/>
  <c r="BS18" i="2" s="1"/>
  <c r="BG11" i="2"/>
  <c r="AL22" i="2"/>
  <c r="T14" i="2"/>
  <c r="AC24" i="2"/>
  <c r="AQ25" i="2"/>
  <c r="AI25" i="2"/>
  <c r="AA25" i="2"/>
  <c r="S25" i="2"/>
  <c r="K25" i="2"/>
  <c r="BG6" i="2"/>
  <c r="BI4" i="2"/>
  <c r="AB24" i="2"/>
  <c r="AX25" i="2"/>
  <c r="E12" i="2"/>
  <c r="BB5" i="2"/>
  <c r="AM21" i="2"/>
  <c r="AE21" i="2"/>
  <c r="O21" i="2"/>
  <c r="G21" i="2"/>
  <c r="AO25" i="2"/>
  <c r="AG25" i="2"/>
  <c r="Q25" i="2"/>
  <c r="I25" i="2"/>
  <c r="BD25" i="2"/>
  <c r="AV25" i="2"/>
  <c r="AN25" i="2"/>
  <c r="AF25" i="2"/>
  <c r="X25" i="2"/>
  <c r="H25" i="2"/>
  <c r="BD14" i="2"/>
  <c r="BD16" i="2" s="1"/>
  <c r="BO13" i="2"/>
  <c r="BN13" i="2"/>
  <c r="BM13" i="2"/>
  <c r="BL13" i="2"/>
  <c r="BK13" i="2"/>
  <c r="BJ13" i="2"/>
  <c r="AA12" i="2"/>
  <c r="K12" i="2"/>
  <c r="X12" i="2"/>
  <c r="P10" i="2"/>
  <c r="P12" i="2" s="1"/>
  <c r="AH5" i="2"/>
  <c r="BN5" i="2" s="1"/>
  <c r="BN25" i="2" s="1"/>
  <c r="Y10" i="2"/>
  <c r="AQ12" i="2"/>
  <c r="AN12" i="2"/>
  <c r="AN24" i="2" s="1"/>
  <c r="J5" i="2"/>
  <c r="J25" i="2" s="1"/>
  <c r="S10" i="2"/>
  <c r="Z11" i="2"/>
  <c r="BL11" i="2" s="1"/>
  <c r="AE10" i="2"/>
  <c r="D12" i="2"/>
  <c r="AL5" i="2"/>
  <c r="AD5" i="2"/>
  <c r="AD25" i="2" s="1"/>
  <c r="V5" i="2"/>
  <c r="N5" i="2"/>
  <c r="N25" i="2" s="1"/>
  <c r="M12" i="2"/>
  <c r="L12" i="2"/>
  <c r="F10" i="2"/>
  <c r="BG10" i="2" s="1"/>
  <c r="I12" i="2"/>
  <c r="H12" i="2"/>
  <c r="G12" i="2"/>
  <c r="AR12" i="2"/>
  <c r="AO12" i="2"/>
  <c r="AM10" i="2"/>
  <c r="AP10" i="2"/>
  <c r="AP12" i="2" s="1"/>
  <c r="AX12" i="2"/>
  <c r="AW10" i="2"/>
  <c r="AW12" i="2" s="1"/>
  <c r="AV12" i="2"/>
  <c r="AZ10" i="2"/>
  <c r="AZ12" i="2" s="1"/>
  <c r="AT12" i="2"/>
  <c r="AU5" i="2"/>
  <c r="AY5" i="2"/>
  <c r="U4" i="1"/>
  <c r="U7" i="1" s="1"/>
  <c r="BJ5" i="2" l="1"/>
  <c r="BJ25" i="2" s="1"/>
  <c r="R10" i="2"/>
  <c r="R12" i="2" s="1"/>
  <c r="AT24" i="2"/>
  <c r="AT14" i="2"/>
  <c r="X24" i="2"/>
  <c r="X14" i="2"/>
  <c r="G14" i="2"/>
  <c r="G24" i="2"/>
  <c r="K24" i="2"/>
  <c r="K14" i="2"/>
  <c r="BK18" i="2"/>
  <c r="AZ24" i="2"/>
  <c r="AZ14" i="2"/>
  <c r="AV14" i="2"/>
  <c r="AV16" i="2" s="1"/>
  <c r="AV24" i="2"/>
  <c r="H14" i="2"/>
  <c r="H24" i="2"/>
  <c r="V10" i="2"/>
  <c r="V12" i="2" s="1"/>
  <c r="V25" i="2"/>
  <c r="AA24" i="2"/>
  <c r="AA14" i="2"/>
  <c r="BB10" i="2"/>
  <c r="BB12" i="2" s="1"/>
  <c r="BB25" i="2"/>
  <c r="BM5" i="2"/>
  <c r="BM25" i="2" s="1"/>
  <c r="I14" i="2"/>
  <c r="I24" i="2"/>
  <c r="BK5" i="2"/>
  <c r="BK25" i="2" s="1"/>
  <c r="BH5" i="2"/>
  <c r="BH25" i="2" s="1"/>
  <c r="AX14" i="2"/>
  <c r="AX16" i="2" s="1"/>
  <c r="AX24" i="2"/>
  <c r="AL10" i="2"/>
  <c r="AL25" i="2"/>
  <c r="AP14" i="2"/>
  <c r="AP16" i="2" s="1"/>
  <c r="AP24" i="2"/>
  <c r="D24" i="2"/>
  <c r="D14" i="2"/>
  <c r="AR24" i="2"/>
  <c r="AR14" i="2"/>
  <c r="AR16" i="2" s="1"/>
  <c r="AW14" i="2"/>
  <c r="AW16" i="2" s="1"/>
  <c r="AW24" i="2"/>
  <c r="E24" i="2"/>
  <c r="BG13" i="2"/>
  <c r="E14" i="2"/>
  <c r="AQ24" i="2"/>
  <c r="BQ12" i="2"/>
  <c r="BQ24" i="2" s="1"/>
  <c r="AQ14" i="2"/>
  <c r="BQ14" i="2" s="1"/>
  <c r="N10" i="2"/>
  <c r="BS5" i="2"/>
  <c r="BS25" i="2" s="1"/>
  <c r="AY25" i="2"/>
  <c r="L24" i="2"/>
  <c r="L14" i="2"/>
  <c r="AH10" i="2"/>
  <c r="AH12" i="2" s="1"/>
  <c r="AH25" i="2"/>
  <c r="BG5" i="2"/>
  <c r="BG25" i="2" s="1"/>
  <c r="AI24" i="2"/>
  <c r="AI14" i="2"/>
  <c r="BJ10" i="2"/>
  <c r="AM12" i="2"/>
  <c r="AM24" i="2" s="1"/>
  <c r="BP10" i="2"/>
  <c r="Z10" i="2"/>
  <c r="BL10" i="2" s="1"/>
  <c r="BR5" i="2"/>
  <c r="BR25" i="2" s="1"/>
  <c r="AU25" i="2"/>
  <c r="AO14" i="2"/>
  <c r="AO16" i="2" s="1"/>
  <c r="AO24" i="2"/>
  <c r="M24" i="2"/>
  <c r="M14" i="2"/>
  <c r="AE12" i="2"/>
  <c r="P14" i="2"/>
  <c r="P24" i="2"/>
  <c r="BL5" i="2"/>
  <c r="BL25" i="2" s="1"/>
  <c r="BO5" i="2"/>
  <c r="BO25" i="2" s="1"/>
  <c r="BL18" i="2"/>
  <c r="BI5" i="2"/>
  <c r="BI25" i="2" s="1"/>
  <c r="BJ12" i="2"/>
  <c r="BJ24" i="2" s="1"/>
  <c r="O24" i="2"/>
  <c r="O14" i="2"/>
  <c r="AN14" i="2"/>
  <c r="BP12" i="2"/>
  <c r="BP24" i="2" s="1"/>
  <c r="BI13" i="2"/>
  <c r="J10" i="2"/>
  <c r="BH10" i="2" s="1"/>
  <c r="AD10" i="2"/>
  <c r="BM10" i="2" s="1"/>
  <c r="Y12" i="2"/>
  <c r="S12" i="2"/>
  <c r="F12" i="2"/>
  <c r="AU10" i="2"/>
  <c r="AT16" i="2"/>
  <c r="AY10" i="2"/>
  <c r="AQ16" i="2" l="1"/>
  <c r="BN10" i="2"/>
  <c r="R14" i="2"/>
  <c r="BJ14" i="2" s="1"/>
  <c r="R24" i="2"/>
  <c r="Z12" i="2"/>
  <c r="Z14" i="2" s="1"/>
  <c r="F24" i="2"/>
  <c r="F14" i="2"/>
  <c r="BG14" i="2" s="1"/>
  <c r="AL12" i="2"/>
  <c r="BO10" i="2"/>
  <c r="S24" i="2"/>
  <c r="S14" i="2"/>
  <c r="BK12" i="2"/>
  <c r="BK24" i="2" s="1"/>
  <c r="Z24" i="2"/>
  <c r="V14" i="2"/>
  <c r="V24" i="2"/>
  <c r="AY12" i="2"/>
  <c r="BS10" i="2"/>
  <c r="AE14" i="2"/>
  <c r="AE24" i="2"/>
  <c r="BN12" i="2"/>
  <c r="BN24" i="2" s="1"/>
  <c r="Y24" i="2"/>
  <c r="Y14" i="2"/>
  <c r="N12" i="2"/>
  <c r="BI10" i="2"/>
  <c r="BB24" i="2"/>
  <c r="BB14" i="2"/>
  <c r="BB16" i="2" s="1"/>
  <c r="AU12" i="2"/>
  <c r="BR10" i="2"/>
  <c r="AM14" i="2"/>
  <c r="AM16" i="2" s="1"/>
  <c r="BL12" i="2"/>
  <c r="BL24" i="2" s="1"/>
  <c r="AH14" i="2"/>
  <c r="AH24" i="2"/>
  <c r="BK10" i="2"/>
  <c r="BG12" i="2"/>
  <c r="BG24" i="2" s="1"/>
  <c r="AN16" i="2"/>
  <c r="J12" i="2"/>
  <c r="AD12" i="2"/>
  <c r="AZ16" i="2"/>
  <c r="BK14" i="2" l="1"/>
  <c r="BL14" i="2"/>
  <c r="J24" i="2"/>
  <c r="J14" i="2"/>
  <c r="BH14" i="2" s="1"/>
  <c r="BH12" i="2"/>
  <c r="BH24" i="2" s="1"/>
  <c r="N24" i="2"/>
  <c r="N14" i="2"/>
  <c r="BI14" i="2" s="1"/>
  <c r="BI12" i="2"/>
  <c r="BI24" i="2" s="1"/>
  <c r="AY24" i="2"/>
  <c r="AY14" i="2"/>
  <c r="BS12" i="2"/>
  <c r="BS24" i="2" s="1"/>
  <c r="BP14" i="2"/>
  <c r="AD24" i="2"/>
  <c r="AD14" i="2"/>
  <c r="BM14" i="2" s="1"/>
  <c r="BM12" i="2"/>
  <c r="BM24" i="2" s="1"/>
  <c r="BR12" i="2"/>
  <c r="BR24" i="2" s="1"/>
  <c r="AU24" i="2"/>
  <c r="AU14" i="2"/>
  <c r="AL14" i="2"/>
  <c r="BO14" i="2" s="1"/>
  <c r="AL24" i="2"/>
  <c r="BO12" i="2"/>
  <c r="BO24" i="2" s="1"/>
  <c r="BN14" i="2"/>
  <c r="BS14" i="2" l="1"/>
  <c r="AY16" i="2"/>
  <c r="BR14" i="2"/>
  <c r="AU16" i="2"/>
</calcChain>
</file>

<file path=xl/sharedStrings.xml><?xml version="1.0" encoding="utf-8"?>
<sst xmlns="http://schemas.openxmlformats.org/spreadsheetml/2006/main" count="5540" uniqueCount="857">
  <si>
    <t>Shares</t>
  </si>
  <si>
    <t>Market Cap</t>
  </si>
  <si>
    <t>Cash</t>
  </si>
  <si>
    <t>Debt</t>
  </si>
  <si>
    <t>EV</t>
  </si>
  <si>
    <t>Price</t>
  </si>
  <si>
    <t>Q123</t>
  </si>
  <si>
    <t>main</t>
  </si>
  <si>
    <t>Q120</t>
  </si>
  <si>
    <t>Q121</t>
  </si>
  <si>
    <t>Q220</t>
  </si>
  <si>
    <t>Q320</t>
  </si>
  <si>
    <t>Q420</t>
  </si>
  <si>
    <t>Q221</t>
  </si>
  <si>
    <t>Q321</t>
  </si>
  <si>
    <t>Q421</t>
  </si>
  <si>
    <t>Q122</t>
  </si>
  <si>
    <t>Q222</t>
  </si>
  <si>
    <t>Q322</t>
  </si>
  <si>
    <t>Q422</t>
  </si>
  <si>
    <t>Revenue</t>
  </si>
  <si>
    <t>COGS</t>
  </si>
  <si>
    <t>R&amp;D</t>
  </si>
  <si>
    <t>S&amp;M</t>
  </si>
  <si>
    <t>G&amp;A</t>
  </si>
  <si>
    <t xml:space="preserve">Restructuring </t>
  </si>
  <si>
    <t>Operating Income</t>
  </si>
  <si>
    <t>Interest Income</t>
  </si>
  <si>
    <t>Pretax Income</t>
  </si>
  <si>
    <t>Tax</t>
  </si>
  <si>
    <t>NI</t>
  </si>
  <si>
    <t>EPS</t>
  </si>
  <si>
    <t>cogs q/q</t>
  </si>
  <si>
    <t>revenue q/q</t>
  </si>
  <si>
    <t>revenue y/y</t>
  </si>
  <si>
    <t>cogs y/y</t>
  </si>
  <si>
    <t>Q223</t>
  </si>
  <si>
    <t>TAX RATE</t>
  </si>
  <si>
    <t>GROSS MARGIN</t>
  </si>
  <si>
    <t>Q111</t>
  </si>
  <si>
    <t>Q211</t>
  </si>
  <si>
    <t>Q311</t>
  </si>
  <si>
    <t>Q411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</si>
  <si>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</si>
  <si>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</si>
  <si>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</si>
  <si>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</si>
  <si>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</si>
  <si>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</si>
  <si>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</si>
  <si>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</si>
  <si>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</si>
  <si>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</si>
  <si>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</si>
  <si>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</si>
  <si>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</si>
  <si>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</si>
  <si>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</si>
  <si>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</si>
  <si>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</si>
  <si>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</si>
  <si>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</si>
  <si>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</si>
  <si>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</si>
  <si>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</si>
  <si>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</si>
  <si>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</si>
  <si>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</si>
  <si>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</si>
  <si>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</si>
  <si>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</si>
  <si>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</si>
  <si>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</si>
  <si>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</si>
  <si>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</si>
  <si>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Q323</t>
  </si>
  <si>
    <t>Q423</t>
  </si>
  <si>
    <t>Q124</t>
  </si>
  <si>
    <t>Q224</t>
  </si>
  <si>
    <t>mlns</t>
  </si>
  <si>
    <t>Gross Profit</t>
  </si>
  <si>
    <t>PP&amp;E</t>
  </si>
  <si>
    <t>Deferred Taxes</t>
  </si>
  <si>
    <t>Deferred revenues</t>
  </si>
  <si>
    <t xml:space="preserve">No Data Provided. </t>
  </si>
  <si>
    <t>Dividends and Capital Changes</t>
  </si>
  <si>
    <t>--</t>
  </si>
  <si>
    <t>Assumptions</t>
  </si>
  <si>
    <t>VISA</t>
  </si>
  <si>
    <t>Total Pension Expense</t>
  </si>
  <si>
    <t>VTPE</t>
  </si>
  <si>
    <t>401(K) Savings Plan</t>
  </si>
  <si>
    <t>VDCD</t>
  </si>
  <si>
    <t>Post-Retirement Plan Expense</t>
  </si>
  <si>
    <t>VRPE</t>
  </si>
  <si>
    <t>Foreign Pension Plan Expense</t>
  </si>
  <si>
    <t>VFPP</t>
  </si>
  <si>
    <t>Domestic Pension Plan Expense</t>
  </si>
  <si>
    <t>VDPP</t>
  </si>
  <si>
    <t>Income Tax by Region - Total</t>
  </si>
  <si>
    <t>VTIT</t>
  </si>
  <si>
    <t>Income Tax - Total</t>
  </si>
  <si>
    <t>VITT</t>
  </si>
  <si>
    <t>Deferred Tax - Total</t>
  </si>
  <si>
    <t>VDTC</t>
  </si>
  <si>
    <t>Income Taxes - Foreign - Deferred</t>
  </si>
  <si>
    <t>VDTF</t>
  </si>
  <si>
    <t>Income Taxes - Local - Deferred</t>
  </si>
  <si>
    <t>VDTL</t>
  </si>
  <si>
    <t>Income Taxes - Domestic - Deferred</t>
  </si>
  <si>
    <t>VDTD</t>
  </si>
  <si>
    <t>Current Tax - Total</t>
  </si>
  <si>
    <t>VCTC</t>
  </si>
  <si>
    <t>Income Taxes - Domestic - Current</t>
  </si>
  <si>
    <t>VCTD</t>
  </si>
  <si>
    <t>Current Tax - Foreign</t>
  </si>
  <si>
    <t>VCTF</t>
  </si>
  <si>
    <t>Current Tax - State</t>
  </si>
  <si>
    <t>VCTL</t>
  </si>
  <si>
    <t>Tax &amp; Pension Items ($ Thousands)</t>
  </si>
  <si>
    <t>Stock-Based Compensation, Supplemental</t>
  </si>
  <si>
    <t>VSCP</t>
  </si>
  <si>
    <t>Stock-based Compensation in R&amp;D</t>
  </si>
  <si>
    <t>Stock-based Compensation in G &amp; A</t>
  </si>
  <si>
    <t>Stock-based Compensation in S&amp;M</t>
  </si>
  <si>
    <t>Stock-based Compensation in COR/COGS</t>
  </si>
  <si>
    <t>VLAR</t>
  </si>
  <si>
    <t>Rental Expense, Supplemental</t>
  </si>
  <si>
    <t>VRXP</t>
  </si>
  <si>
    <t>Depreciation, Supplemental</t>
  </si>
  <si>
    <t>VDEP</t>
  </si>
  <si>
    <t>Adjustment to Depreciation/Amortization</t>
  </si>
  <si>
    <t>BC - Depreciation of Fixed Assets</t>
  </si>
  <si>
    <t>Interest Expense, Supplemental</t>
  </si>
  <si>
    <t>VIEX</t>
  </si>
  <si>
    <t>Interest expense</t>
  </si>
  <si>
    <t>Research &amp; Development Exp, Supplemental</t>
  </si>
  <si>
    <t>VRAD</t>
  </si>
  <si>
    <t>Research and development</t>
  </si>
  <si>
    <t>Stock Based comp</t>
  </si>
  <si>
    <t>BC - Amortization of Intangible Assets</t>
  </si>
  <si>
    <t>VAMI</t>
  </si>
  <si>
    <t>Tax law changes</t>
  </si>
  <si>
    <t>VTXC</t>
  </si>
  <si>
    <t>Advertising Expense</t>
  </si>
  <si>
    <t>VADV</t>
  </si>
  <si>
    <t>Other Auditor Fees</t>
  </si>
  <si>
    <t>VTOF</t>
  </si>
  <si>
    <t>Tax Fees</t>
  </si>
  <si>
    <t>VTTF</t>
  </si>
  <si>
    <t>Audit-related Fees</t>
  </si>
  <si>
    <t>VTAR</t>
  </si>
  <si>
    <t>Audit Fees</t>
  </si>
  <si>
    <t>VTAU</t>
  </si>
  <si>
    <t>Diluted Normalized EPS</t>
  </si>
  <si>
    <t>VDES</t>
  </si>
  <si>
    <t>Basic Normalized EPS</t>
  </si>
  <si>
    <t>VBES</t>
  </si>
  <si>
    <t>Normalized Inc. Avail to Com.</t>
  </si>
  <si>
    <t>VIAC</t>
  </si>
  <si>
    <t>Normalized Income After Taxes</t>
  </si>
  <si>
    <t>VIAT</t>
  </si>
  <si>
    <t>Inc Tax Ex Impact of Sp Items</t>
  </si>
  <si>
    <t>VITN</t>
  </si>
  <si>
    <t>Normalized Income Before Taxes</t>
  </si>
  <si>
    <t>VPTI</t>
  </si>
  <si>
    <t>Gross Dividends - Common Stock</t>
  </si>
  <si>
    <t>DCGD</t>
  </si>
  <si>
    <t>DPS-Ordinary Shares</t>
  </si>
  <si>
    <t>DDPS1</t>
  </si>
  <si>
    <t>Supplemental ($ Thousands)</t>
  </si>
  <si>
    <t>Diluted EPS Including ExtraOrd Items</t>
  </si>
  <si>
    <t>GDAI</t>
  </si>
  <si>
    <t>Diluted EPS Excluding ExtraOrd Items</t>
  </si>
  <si>
    <t>GDBF</t>
  </si>
  <si>
    <t>Diluted Weighted Average Shares</t>
  </si>
  <si>
    <t>GDWS</t>
  </si>
  <si>
    <t>Diluted Net Income</t>
  </si>
  <si>
    <t>GDNI</t>
  </si>
  <si>
    <t>Dilution Adjustment</t>
  </si>
  <si>
    <t>GDAJ</t>
  </si>
  <si>
    <t>Basic EPS Including ExtraOrdinary Items</t>
  </si>
  <si>
    <t>GBAI</t>
  </si>
  <si>
    <t>Basic EPS Excluding ExtraOrdinary Items</t>
  </si>
  <si>
    <t>GBBF</t>
  </si>
  <si>
    <t>Basic Weighted Average Shares</t>
  </si>
  <si>
    <t>GBAS</t>
  </si>
  <si>
    <t>Income Available to Com Incl ExtraOrd</t>
  </si>
  <si>
    <t>XNIC</t>
  </si>
  <si>
    <t>Income Available to Com Excl ExtraOrd</t>
  </si>
  <si>
    <t>CIAC</t>
  </si>
  <si>
    <t>Net Income</t>
  </si>
  <si>
    <t>NINC</t>
  </si>
  <si>
    <t>Income Taxes - Non-Recurring Tax Change</t>
  </si>
  <si>
    <t>XTRA</t>
  </si>
  <si>
    <t>Net Income Before Extra. Items</t>
  </si>
  <si>
    <t>NIBX</t>
  </si>
  <si>
    <t>Net Income After Taxes</t>
  </si>
  <si>
    <t>TIAT</t>
  </si>
  <si>
    <t>Provision for Income Taxes</t>
  </si>
  <si>
    <t>TTAX</t>
  </si>
  <si>
    <t>Net Income Before Taxes</t>
  </si>
  <si>
    <t>EIBT</t>
  </si>
  <si>
    <t>Other (expense) income, net</t>
  </si>
  <si>
    <t>NONT</t>
  </si>
  <si>
    <t>Other (expense) income, net - Balancing</t>
  </si>
  <si>
    <t>NIEN</t>
  </si>
  <si>
    <t>Interest income</t>
  </si>
  <si>
    <t>NIIN</t>
  </si>
  <si>
    <t>Change in fair value of derivatives</t>
  </si>
  <si>
    <t>NINV</t>
  </si>
  <si>
    <t>Change in fair value of debt securities</t>
  </si>
  <si>
    <t>Total Operating Expense</t>
  </si>
  <si>
    <t>ETOE</t>
  </si>
  <si>
    <t>General and administrative</t>
  </si>
  <si>
    <t>ESGA</t>
  </si>
  <si>
    <t>Sales and marketing</t>
  </si>
  <si>
    <t>General and administrative - Balancing v</t>
  </si>
  <si>
    <t>Sales and marketing - Balancing value</t>
  </si>
  <si>
    <t>Stock-based compensation</t>
  </si>
  <si>
    <t>ELAR</t>
  </si>
  <si>
    <t>ERAD</t>
  </si>
  <si>
    <t>Cost of revenues</t>
  </si>
  <si>
    <t>ECOR</t>
  </si>
  <si>
    <t>Cost of revenues - Balancing value</t>
  </si>
  <si>
    <t>Amortization of Developed technology</t>
  </si>
  <si>
    <t>Restructuring and asset impairment charg</t>
  </si>
  <si>
    <t>ERES</t>
  </si>
  <si>
    <t>G/L on early Exting of lease relat debt</t>
  </si>
  <si>
    <t>EUIE</t>
  </si>
  <si>
    <t>Acquisition of DIN Engineer Service LLPs</t>
  </si>
  <si>
    <t>Acquisition of Sofdesk Inc.</t>
  </si>
  <si>
    <t>Acquisition of SolarLeadFactory, LLC.</t>
  </si>
  <si>
    <t>Amortization of Trade names</t>
  </si>
  <si>
    <t>EAMI</t>
  </si>
  <si>
    <t>Amortization of Customer relationships</t>
  </si>
  <si>
    <t>EADV</t>
  </si>
  <si>
    <t>Total Revenue</t>
  </si>
  <si>
    <t>RTLR</t>
  </si>
  <si>
    <t>Net revenues</t>
  </si>
  <si>
    <t>RNTS</t>
  </si>
  <si>
    <t>U.S. GAAP </t>
  </si>
  <si>
    <t>Accounting Standard</t>
  </si>
  <si>
    <t>3 Months </t>
  </si>
  <si>
    <t>Period Length</t>
  </si>
  <si>
    <t>30-Jun-2024 </t>
  </si>
  <si>
    <t>31-Mar-2024 </t>
  </si>
  <si>
    <t>31-Dec-2023 </t>
  </si>
  <si>
    <t>30-Sep-2023 </t>
  </si>
  <si>
    <t>30-Jun-2023 </t>
  </si>
  <si>
    <t>31-Mar-2023 </t>
  </si>
  <si>
    <t>31-Dec-2022 </t>
  </si>
  <si>
    <t>30-Sep-2022 </t>
  </si>
  <si>
    <t>30-Jun-2022 </t>
  </si>
  <si>
    <t>31-Mar-2022 </t>
  </si>
  <si>
    <t>31-Dec-2021 </t>
  </si>
  <si>
    <t>30-Sep-2021 </t>
  </si>
  <si>
    <t>30-Jun-2021 </t>
  </si>
  <si>
    <t>31-Mar-2021 </t>
  </si>
  <si>
    <t>31-Dec-2020 </t>
  </si>
  <si>
    <t>30-Sep-2020 </t>
  </si>
  <si>
    <t>30-Jun-2020 </t>
  </si>
  <si>
    <t>31-Mar-2020 </t>
  </si>
  <si>
    <t>31-Dec-2019 </t>
  </si>
  <si>
    <t>30-Sep-2019 </t>
  </si>
  <si>
    <t>30-Jun-2019 </t>
  </si>
  <si>
    <t>31-Mar-2019 </t>
  </si>
  <si>
    <t>31-Dec-2018 </t>
  </si>
  <si>
    <t>30-Sep-2018 </t>
  </si>
  <si>
    <t>30-Jun-2018 </t>
  </si>
  <si>
    <t>31-Mar-2018 </t>
  </si>
  <si>
    <t>31-Dec-2017 </t>
  </si>
  <si>
    <t>30-Sep-2017 </t>
  </si>
  <si>
    <t>30-Jun-2017 </t>
  </si>
  <si>
    <t>31-Mar-2017 </t>
  </si>
  <si>
    <t>31-Dec-2016 </t>
  </si>
  <si>
    <t>30-Sep-2016 </t>
  </si>
  <si>
    <t>30-Jun-2016 </t>
  </si>
  <si>
    <t>31-Mar-2016 </t>
  </si>
  <si>
    <t>31-Dec-2015 </t>
  </si>
  <si>
    <t>30-Sep-2015 </t>
  </si>
  <si>
    <t>30-Jun-2015 </t>
  </si>
  <si>
    <t>31-Mar-2015 </t>
  </si>
  <si>
    <t>31-Dec-2014 </t>
  </si>
  <si>
    <t>30-Sep-2014 </t>
  </si>
  <si>
    <t>30-Jun-2014 </t>
  </si>
  <si>
    <t>31-Mar-2014 </t>
  </si>
  <si>
    <t>31-Dec-2013 </t>
  </si>
  <si>
    <t>30-Sep-2013 </t>
  </si>
  <si>
    <t>30-Jun-2013 </t>
  </si>
  <si>
    <t>31-Mar-2013 </t>
  </si>
  <si>
    <t>31-Dec-2012 </t>
  </si>
  <si>
    <t>30-Sep-2012 </t>
  </si>
  <si>
    <t>30-Jun-2012 </t>
  </si>
  <si>
    <t>31-Mar-2012 </t>
  </si>
  <si>
    <t>31-Dec-2011 </t>
  </si>
  <si>
    <t>30-Sep-2011 </t>
  </si>
  <si>
    <t>30-Jun-2011 </t>
  </si>
  <si>
    <t>31-Mar-2011 </t>
  </si>
  <si>
    <t>31-Dec-2010 </t>
  </si>
  <si>
    <t>30-Sep-2010 </t>
  </si>
  <si>
    <t>30-Jun-2010 </t>
  </si>
  <si>
    <t>31-Mar-2010 </t>
  </si>
  <si>
    <t>31-Dec-2009 </t>
  </si>
  <si>
    <t>30-Sep-2009 </t>
  </si>
  <si>
    <t>30-Jun-2009 </t>
  </si>
  <si>
    <t>31-Mar-2009 </t>
  </si>
  <si>
    <t>Period End Date</t>
  </si>
  <si>
    <t>35 </t>
  </si>
  <si>
    <t>57 </t>
  </si>
  <si>
    <t>81 </t>
  </si>
  <si>
    <t>99 </t>
  </si>
  <si>
    <t>100 </t>
  </si>
  <si>
    <t>92 </t>
  </si>
  <si>
    <t>91 </t>
  </si>
  <si>
    <t>93 </t>
  </si>
  <si>
    <t>94 </t>
  </si>
  <si>
    <t>96 </t>
  </si>
  <si>
    <t>82 </t>
  </si>
  <si>
    <t>68 </t>
  </si>
  <si>
    <t>84 </t>
  </si>
  <si>
    <t>79 </t>
  </si>
  <si>
    <t>95 </t>
  </si>
  <si>
    <t>90 </t>
  </si>
  <si>
    <t>45 </t>
  </si>
  <si>
    <t>32 </t>
  </si>
  <si>
    <t>30 </t>
  </si>
  <si>
    <t>15 </t>
  </si>
  <si>
    <t>14 </t>
  </si>
  <si>
    <t>9 </t>
  </si>
  <si>
    <t>13 </t>
  </si>
  <si>
    <t>1 </t>
  </si>
  <si>
    <t>53 </t>
  </si>
  <si>
    <t>N/A </t>
  </si>
  <si>
    <t>Earnings Quality Score</t>
  </si>
  <si>
    <t xml:space="preserve"> Jun-2024 </t>
  </si>
  <si>
    <t xml:space="preserve"> Mar-2024 </t>
  </si>
  <si>
    <t xml:space="preserve"> Dec-2023 </t>
  </si>
  <si>
    <t xml:space="preserve"> Sep-2023 </t>
  </si>
  <si>
    <t xml:space="preserve"> Jun-2023 </t>
  </si>
  <si>
    <t xml:space="preserve"> Mar-2023 </t>
  </si>
  <si>
    <t xml:space="preserve"> Dec-2022 </t>
  </si>
  <si>
    <t xml:space="preserve"> Sep-2022 </t>
  </si>
  <si>
    <t xml:space="preserve"> Jun-2022 </t>
  </si>
  <si>
    <t xml:space="preserve"> Mar-2022 </t>
  </si>
  <si>
    <t xml:space="preserve"> Dec-2021 </t>
  </si>
  <si>
    <t xml:space="preserve"> Sep-2021 </t>
  </si>
  <si>
    <t xml:space="preserve"> Jun-2021 </t>
  </si>
  <si>
    <t xml:space="preserve"> Mar-2021 </t>
  </si>
  <si>
    <t xml:space="preserve"> Dec-2020 </t>
  </si>
  <si>
    <t xml:space="preserve"> Sep-2020 </t>
  </si>
  <si>
    <t xml:space="preserve"> Jun-2020 </t>
  </si>
  <si>
    <t xml:space="preserve"> Mar-2020 </t>
  </si>
  <si>
    <t xml:space="preserve"> Dec-2019 </t>
  </si>
  <si>
    <t xml:space="preserve"> Sep-2019 </t>
  </si>
  <si>
    <t xml:space="preserve"> Jun-2019 </t>
  </si>
  <si>
    <t xml:space="preserve"> Mar-2019 </t>
  </si>
  <si>
    <t xml:space="preserve"> Dec-2018 </t>
  </si>
  <si>
    <t xml:space="preserve"> Sep-2018 </t>
  </si>
  <si>
    <t xml:space="preserve"> Jun-2018 </t>
  </si>
  <si>
    <t xml:space="preserve"> Mar-2018 </t>
  </si>
  <si>
    <t xml:space="preserve"> Dec-2017 </t>
  </si>
  <si>
    <t xml:space="preserve"> Sep-2017 </t>
  </si>
  <si>
    <t xml:space="preserve"> Jun-2017 </t>
  </si>
  <si>
    <t xml:space="preserve"> Mar-2017 </t>
  </si>
  <si>
    <t xml:space="preserve"> Dec-2016 </t>
  </si>
  <si>
    <t xml:space="preserve"> Sep-2016 </t>
  </si>
  <si>
    <t xml:space="preserve"> Jun-2016 </t>
  </si>
  <si>
    <t xml:space="preserve"> Mar-2016 </t>
  </si>
  <si>
    <t xml:space="preserve"> Dec-2015 </t>
  </si>
  <si>
    <t xml:space="preserve"> Sep-2015 </t>
  </si>
  <si>
    <t xml:space="preserve"> Jun-2015 </t>
  </si>
  <si>
    <t xml:space="preserve"> Mar-2015 </t>
  </si>
  <si>
    <t xml:space="preserve"> Dec-2014 </t>
  </si>
  <si>
    <t xml:space="preserve"> Sep-2014 </t>
  </si>
  <si>
    <t xml:space="preserve"> Jun-2014 </t>
  </si>
  <si>
    <t xml:space="preserve"> Mar-2014 </t>
  </si>
  <si>
    <t xml:space="preserve"> Dec-2013 </t>
  </si>
  <si>
    <t xml:space="preserve"> Sep-2013 </t>
  </si>
  <si>
    <t xml:space="preserve"> Jun-2013 </t>
  </si>
  <si>
    <t xml:space="preserve"> Mar-2013 </t>
  </si>
  <si>
    <t xml:space="preserve"> Dec-2012 </t>
  </si>
  <si>
    <t xml:space="preserve"> Sep-2012 </t>
  </si>
  <si>
    <t xml:space="preserve"> Jun-2012 </t>
  </si>
  <si>
    <t xml:space="preserve"> Mar-2012 </t>
  </si>
  <si>
    <t xml:space="preserve"> Dec-2011 </t>
  </si>
  <si>
    <t xml:space="preserve"> Sep-2011 </t>
  </si>
  <si>
    <t xml:space="preserve"> Jun-2011 </t>
  </si>
  <si>
    <t xml:space="preserve"> Mar-2011 </t>
  </si>
  <si>
    <t xml:space="preserve"> Dec-2010 </t>
  </si>
  <si>
    <t xml:space="preserve"> Sep-2010 </t>
  </si>
  <si>
    <t xml:space="preserve"> Jun-2010 </t>
  </si>
  <si>
    <t xml:space="preserve"> Mar-2010 </t>
  </si>
  <si>
    <t xml:space="preserve"> Dec-2009 </t>
  </si>
  <si>
    <t xml:space="preserve"> Sep-2009 </t>
  </si>
  <si>
    <t xml:space="preserve"> Jun-2009 </t>
  </si>
  <si>
    <t xml:space="preserve"> Mar-2009 </t>
  </si>
  <si>
    <t>COA</t>
  </si>
  <si>
    <t>Quarterly As Reported in Thousands of U.S. Dollars</t>
  </si>
  <si>
    <t>Income Statement</t>
  </si>
  <si>
    <t>Enphase Energy Inc | Income Statement                                14-Aug-2024 19:44</t>
  </si>
  <si>
    <t>Asset Allocation</t>
  </si>
  <si>
    <t>Net Assets Recognized on Balance Sheet</t>
  </si>
  <si>
    <t>Period End Assumptions</t>
  </si>
  <si>
    <t>Total Funded Status</t>
  </si>
  <si>
    <t>Total Operating Leases, Supplemental</t>
  </si>
  <si>
    <t>Operating Lease Payments Due in Year 5</t>
  </si>
  <si>
    <t>Total Capital Leases, Supplemental</t>
  </si>
  <si>
    <t>Total Long Term Debt, Supplemental</t>
  </si>
  <si>
    <t>Long Term Debt Maturing in Year 4</t>
  </si>
  <si>
    <t>Debt &amp; Lease, Pension Items ($ Millions)</t>
  </si>
  <si>
    <t>Number of Common Shareholders</t>
  </si>
  <si>
    <t>Minority Interest - Non Redeemable</t>
  </si>
  <si>
    <t>Minority Interest - Redeemable</t>
  </si>
  <si>
    <t>Wgt Avg Rem Lease Term (Yrs)-Oper Lease</t>
  </si>
  <si>
    <t>Wgt Avg Disc Rate - Operating Lease</t>
  </si>
  <si>
    <t>Total Preferred Shares Outstanding</t>
  </si>
  <si>
    <t>Total Common Shares Outstanding</t>
  </si>
  <si>
    <t>Total Equity &amp; Minority Interest</t>
  </si>
  <si>
    <t>Supplemental ($ Millions)</t>
  </si>
  <si>
    <t>Total Liabilities &amp; Shareholders' Equity</t>
  </si>
  <si>
    <t>Total Equity</t>
  </si>
  <si>
    <t>Shareholders Equity ($ Millions)</t>
  </si>
  <si>
    <t>Total Liabilities</t>
  </si>
  <si>
    <t>Total Long Term Debt</t>
  </si>
  <si>
    <t>Total Current Liabilities</t>
  </si>
  <si>
    <t>Liabilities ($ Millions)</t>
  </si>
  <si>
    <t>Total Assets</t>
  </si>
  <si>
    <t>Goodwill - Gross</t>
  </si>
  <si>
    <t>Total Current Assets</t>
  </si>
  <si>
    <t>Assets ($ Millions)</t>
  </si>
  <si>
    <t>Balance Sheet</t>
  </si>
  <si>
    <t>Free Cash Flow</t>
  </si>
  <si>
    <t>Cash Taxes Paid</t>
  </si>
  <si>
    <t>Cash Interest Paid</t>
  </si>
  <si>
    <t>Net Cash - Ending Balance</t>
  </si>
  <si>
    <t>Net Cash - Beginning Balance</t>
  </si>
  <si>
    <t>Net Change in Cash</t>
  </si>
  <si>
    <t>Foreign Exchange Effects</t>
  </si>
  <si>
    <t>Cash from Financing Activities</t>
  </si>
  <si>
    <t>Cash Flow-Financing Activities ($ Millions)</t>
  </si>
  <si>
    <t>Cash from Investing Activities</t>
  </si>
  <si>
    <t>Cash Flow-Investing Activities ($ Millions)</t>
  </si>
  <si>
    <t>Cash from Operating Activities</t>
  </si>
  <si>
    <t>Accounts receivable</t>
  </si>
  <si>
    <t>Depreciation</t>
  </si>
  <si>
    <t>Cash Flow-Operating Activities ($ Millions)</t>
  </si>
  <si>
    <t>12 Months </t>
  </si>
  <si>
    <t>Cash Flow</t>
  </si>
  <si>
    <t>-</t>
  </si>
  <si>
    <t>- </t>
  </si>
  <si>
    <t>Revenue per Employee ($)</t>
  </si>
  <si>
    <t>ROIC</t>
  </si>
  <si>
    <t>0.8% </t>
  </si>
  <si>
    <t>Bad Debt Allowance (% of A/R)</t>
  </si>
  <si>
    <t>(5.6%) </t>
  </si>
  <si>
    <t>WC / Sales Growth</t>
  </si>
  <si>
    <t>1.04 </t>
  </si>
  <si>
    <t>Fixed Asset Turnover</t>
  </si>
  <si>
    <t>53.4 </t>
  </si>
  <si>
    <t>Avg. A/P Days</t>
  </si>
  <si>
    <t>176.7 </t>
  </si>
  <si>
    <t>Avg. Inventory Days</t>
  </si>
  <si>
    <t>0.5 </t>
  </si>
  <si>
    <t>Inv Turnover</t>
  </si>
  <si>
    <t>63.0 </t>
  </si>
  <si>
    <t>Avg. A/R Days</t>
  </si>
  <si>
    <t>1.4 </t>
  </si>
  <si>
    <t>A/R Turnover</t>
  </si>
  <si>
    <t>Operating</t>
  </si>
  <si>
    <t>(1.09) </t>
  </si>
  <si>
    <t>(Total Debt - Cash) / EBITDA</t>
  </si>
  <si>
    <t>12.3% </t>
  </si>
  <si>
    <t>% LT Debt to Total Capital</t>
  </si>
  <si>
    <t>0.17 </t>
  </si>
  <si>
    <t>Debt/Equity</t>
  </si>
  <si>
    <t>1.54 </t>
  </si>
  <si>
    <t>Assets/Equity</t>
  </si>
  <si>
    <t>Leverage</t>
  </si>
  <si>
    <t>179.5 </t>
  </si>
  <si>
    <t>Cash Cycle (Days)</t>
  </si>
  <si>
    <t>5.4 </t>
  </si>
  <si>
    <t>Times Interest Earned</t>
  </si>
  <si>
    <t>3.48 </t>
  </si>
  <si>
    <t>Current Ratio</t>
  </si>
  <si>
    <t>2.19 </t>
  </si>
  <si>
    <t>Quick Ratio</t>
  </si>
  <si>
    <t>Liquidity</t>
  </si>
  <si>
    <t>0.5% </t>
  </si>
  <si>
    <t>Reinvestment Rate</t>
  </si>
  <si>
    <t>1.00 </t>
  </si>
  <si>
    <t>x Earnings Retention</t>
  </si>
  <si>
    <t>2.0% </t>
  </si>
  <si>
    <t>ROE</t>
  </si>
  <si>
    <t>0.88 </t>
  </si>
  <si>
    <t>x Tax Complement</t>
  </si>
  <si>
    <t>2.4% </t>
  </si>
  <si>
    <t>Pretax ROE</t>
  </si>
  <si>
    <t>x Leverage (Assets/Equity)</t>
  </si>
  <si>
    <t>1.2% </t>
  </si>
  <si>
    <t>Pretax ROA</t>
  </si>
  <si>
    <t>10.0% </t>
  </si>
  <si>
    <t>x Pretax Margin</t>
  </si>
  <si>
    <t>0.12 </t>
  </si>
  <si>
    <t>Asset Turnover</t>
  </si>
  <si>
    <t>DuPont/Earning Power</t>
  </si>
  <si>
    <t>8.5% </t>
  </si>
  <si>
    <t>Net Margin</t>
  </si>
  <si>
    <t>11.5% </t>
  </si>
  <si>
    <t>Effective Tax Rate</t>
  </si>
  <si>
    <t>Pretax Margin</t>
  </si>
  <si>
    <t>10.4% </t>
  </si>
  <si>
    <t>Operating Margin</t>
  </si>
  <si>
    <t>19.0% </t>
  </si>
  <si>
    <t>EBITDA Margin</t>
  </si>
  <si>
    <t>53.8% </t>
  </si>
  <si>
    <t>Gross Margin</t>
  </si>
  <si>
    <t>Profitability</t>
  </si>
  <si>
    <t>N/A</t>
  </si>
  <si>
    <t>Mar-2024 </t>
  </si>
  <si>
    <t>Dec-2023 </t>
  </si>
  <si>
    <t>Sep-2023 </t>
  </si>
  <si>
    <t>Jun-2023 </t>
  </si>
  <si>
    <t>Mar-2023 </t>
  </si>
  <si>
    <t>Dec-2022 </t>
  </si>
  <si>
    <t>Sep-2022 </t>
  </si>
  <si>
    <t>Jun-2022 </t>
  </si>
  <si>
    <t>Mar-2022 </t>
  </si>
  <si>
    <t>Dec-2021 </t>
  </si>
  <si>
    <t>Sep-2021 </t>
  </si>
  <si>
    <t>Jun-2021 </t>
  </si>
  <si>
    <t>Mar-2021 </t>
  </si>
  <si>
    <t>Dec-2020 </t>
  </si>
  <si>
    <t>Sep-2020 </t>
  </si>
  <si>
    <t>Jun-2020 </t>
  </si>
  <si>
    <t>Mar-2020 </t>
  </si>
  <si>
    <t>Dec-2019 </t>
  </si>
  <si>
    <t>Sep-2019 </t>
  </si>
  <si>
    <t>Jun-2019 </t>
  </si>
  <si>
    <t>Mar-2019 </t>
  </si>
  <si>
    <t>Dec-2018 </t>
  </si>
  <si>
    <t>Sep-2018 </t>
  </si>
  <si>
    <t>Jun-2018 </t>
  </si>
  <si>
    <t>Mar-2018 </t>
  </si>
  <si>
    <t>Dec-2017 </t>
  </si>
  <si>
    <t>Sep-2017 </t>
  </si>
  <si>
    <t>Jun-2017 </t>
  </si>
  <si>
    <t>Mar-2017 </t>
  </si>
  <si>
    <t>Dec-2016 </t>
  </si>
  <si>
    <t>Sep-2016 </t>
  </si>
  <si>
    <t>Jun-2016 </t>
  </si>
  <si>
    <t>Mar-2016 </t>
  </si>
  <si>
    <t>Dec-2015 </t>
  </si>
  <si>
    <t>Sep-2015 </t>
  </si>
  <si>
    <t>Jun-2015 </t>
  </si>
  <si>
    <t>Mar-2015 </t>
  </si>
  <si>
    <t>Dec-2014 </t>
  </si>
  <si>
    <t>Sep-2014 </t>
  </si>
  <si>
    <t>Jun-2014 </t>
  </si>
  <si>
    <t>Mar-2014 </t>
  </si>
  <si>
    <t>Dec-2013 </t>
  </si>
  <si>
    <t>Sep-2013 </t>
  </si>
  <si>
    <t>Jun-2013 </t>
  </si>
  <si>
    <t>Mar-2013 </t>
  </si>
  <si>
    <t>Dec-2012 </t>
  </si>
  <si>
    <t>Sep-2012 </t>
  </si>
  <si>
    <t>Jun-2012 </t>
  </si>
  <si>
    <t>Mar-2012 </t>
  </si>
  <si>
    <t>Dec-2011 </t>
  </si>
  <si>
    <t>Sep-2011 </t>
  </si>
  <si>
    <t>Jun-2011 </t>
  </si>
  <si>
    <t>Mar-2011 </t>
  </si>
  <si>
    <t>Dec-2010 </t>
  </si>
  <si>
    <t>Sep-2010 </t>
  </si>
  <si>
    <t>Jun-2010 </t>
  </si>
  <si>
    <t>Mar-2010 </t>
  </si>
  <si>
    <t>Dec-2009 </t>
  </si>
  <si>
    <t>Sep-2009 </t>
  </si>
  <si>
    <t>Jun-2009 </t>
  </si>
  <si>
    <t>Mar-2009 </t>
  </si>
  <si>
    <t>Industry Median</t>
  </si>
  <si>
    <t>2024 </t>
  </si>
  <si>
    <t>2023 </t>
  </si>
  <si>
    <t>2022 </t>
  </si>
  <si>
    <t>2021 </t>
  </si>
  <si>
    <t>2020 </t>
  </si>
  <si>
    <t>2019 </t>
  </si>
  <si>
    <t>2018 </t>
  </si>
  <si>
    <t>2017 </t>
  </si>
  <si>
    <t>2016 </t>
  </si>
  <si>
    <t>2015 </t>
  </si>
  <si>
    <t>2014 </t>
  </si>
  <si>
    <t>2013 </t>
  </si>
  <si>
    <t>2012 </t>
  </si>
  <si>
    <t>2011 </t>
  </si>
  <si>
    <t>2010 </t>
  </si>
  <si>
    <t>2009 </t>
  </si>
  <si>
    <t>Interim Standardised in Millions of U.S. Dollars</t>
  </si>
  <si>
    <t>Ratios - Key Metrics</t>
  </si>
  <si>
    <t>Enphase Energy Inc | Ratios - Key Metrics                                14-Aug-2024 19:46</t>
  </si>
  <si>
    <t>8.4% </t>
  </si>
  <si>
    <t>4.39 </t>
  </si>
  <si>
    <t>60.0 </t>
  </si>
  <si>
    <t>172.9 </t>
  </si>
  <si>
    <t>2.1 </t>
  </si>
  <si>
    <t>70.6 </t>
  </si>
  <si>
    <t>5.2 </t>
  </si>
  <si>
    <t>(0.28) </t>
  </si>
  <si>
    <t>12.1% </t>
  </si>
  <si>
    <t>0.19 </t>
  </si>
  <si>
    <t>1.56 </t>
  </si>
  <si>
    <t>161.1 </t>
  </si>
  <si>
    <t>12.7 </t>
  </si>
  <si>
    <t>3.38 </t>
  </si>
  <si>
    <t>2.36 </t>
  </si>
  <si>
    <t>7.3% </t>
  </si>
  <si>
    <t>9.6% </t>
  </si>
  <si>
    <t>12.2% </t>
  </si>
  <si>
    <t>6.5% </t>
  </si>
  <si>
    <t>13.5% </t>
  </si>
  <si>
    <t>0.54 </t>
  </si>
  <si>
    <t>12.5% </t>
  </si>
  <si>
    <t>11.6% </t>
  </si>
  <si>
    <t>14.1% </t>
  </si>
  <si>
    <t>22.0% </t>
  </si>
  <si>
    <t>53.1% </t>
  </si>
  <si>
    <t>Annual Standardised in Millions of U.S. Dollars</t>
  </si>
  <si>
    <t>Total Plan Assets</t>
  </si>
  <si>
    <t>Total Plan Obligations</t>
  </si>
  <si>
    <t>Operating Leases - Interest Cost</t>
  </si>
  <si>
    <t>Oper. Lse. Pymts. Due in Year 6 &amp; Beyond</t>
  </si>
  <si>
    <t>Operating Lease Pymts. Due in 4-5 Years</t>
  </si>
  <si>
    <t>Operating Lease Pymts. Due in 2-3 Years</t>
  </si>
  <si>
    <t>Operating Lease Payments Due in Year 4</t>
  </si>
  <si>
    <t>Operating Lease Payments Due in Year 3</t>
  </si>
  <si>
    <t>Operating Lease Payments Due in Year 2</t>
  </si>
  <si>
    <t>Operating Lease Payments Due in Year 1</t>
  </si>
  <si>
    <t>Cap. Lease Pymts. Due in Year 6 &amp; Beyond</t>
  </si>
  <si>
    <t>Capital Lease Payments Due in 2-3 Years</t>
  </si>
  <si>
    <t>Capital Lease Payments Due in Year 3</t>
  </si>
  <si>
    <t>Capital Lease Payments Due in Year 2</t>
  </si>
  <si>
    <t>Capital Lease Payments Due in Year 1</t>
  </si>
  <si>
    <t>Long Term Debt Matur. in Year 6 &amp; Beyond</t>
  </si>
  <si>
    <t>Long Term Debt Maturing in 4-5 Years</t>
  </si>
  <si>
    <t>Long Term Debt Maturing in 2-3 Years</t>
  </si>
  <si>
    <t>Long Term Debt Maturing in Year 5</t>
  </si>
  <si>
    <t>Long Term Debt Maturing in Year 3</t>
  </si>
  <si>
    <t>Long Term Debt Maturing in Year 2</t>
  </si>
  <si>
    <t>Long Term Debt Maturing within 1 Year</t>
  </si>
  <si>
    <t>Islamic Section, Supplemental</t>
  </si>
  <si>
    <t>Islamic Debt</t>
  </si>
  <si>
    <t>Islamic Receivables</t>
  </si>
  <si>
    <t>Islamic Investments &amp; Deposits</t>
  </si>
  <si>
    <t>Reported Return on Equity</t>
  </si>
  <si>
    <t>Reported Return on Assets</t>
  </si>
  <si>
    <t>Reported Net Assets to Total Assets</t>
  </si>
  <si>
    <t>Reported Net Assets</t>
  </si>
  <si>
    <t>Reported Shareholder's Equity</t>
  </si>
  <si>
    <t>Shareholders' Equity Excl. Stock Subscr.</t>
  </si>
  <si>
    <t>Reported Total Liabilities</t>
  </si>
  <si>
    <t>Reported Total Assets</t>
  </si>
  <si>
    <t>Tangible Book Value, Common Equity</t>
  </si>
  <si>
    <t>Net Debt Incl. Pref.Stock &amp; Min.Interest</t>
  </si>
  <si>
    <t>Non-Performing Assets-Loans &amp; Oth-As Rep</t>
  </si>
  <si>
    <t>Non-Perform Asst-Oth than Loans- As Rep</t>
  </si>
  <si>
    <t>Loans - Gross Non-Performing - As Rep -%</t>
  </si>
  <si>
    <t>Loans - Gross Non-Performing-As Reported</t>
  </si>
  <si>
    <t>Rvlvng Line of Credit - Unused Amount</t>
  </si>
  <si>
    <t>Rvlvng Line of Credit - Principal Amount</t>
  </si>
  <si>
    <t>Revolving Line of Credit - Outstanding</t>
  </si>
  <si>
    <t>Total Current Assets less Inventory</t>
  </si>
  <si>
    <t>Loans - Stage 3 - Gross, Total</t>
  </si>
  <si>
    <t>Loans - Stage 2 - Gross, Total</t>
  </si>
  <si>
    <t>Loans - Stage 1 - Gross, Total</t>
  </si>
  <si>
    <t>Assets under Management</t>
  </si>
  <si>
    <t>Non-Performing Loans</t>
  </si>
  <si>
    <t>Credit Exposure</t>
  </si>
  <si>
    <t>Trading Account</t>
  </si>
  <si>
    <t>Capital Adequacy - Total Capital %</t>
  </si>
  <si>
    <t>Capital Adequacy - Tier 3 Capital %</t>
  </si>
  <si>
    <t>Capital Adequacy - Tier 2 Capital %</t>
  </si>
  <si>
    <t>Capital Adequacy - Tier 1 Capital %</t>
  </si>
  <si>
    <t>Capital Adequacy - Core Tier 1 Capital %</t>
  </si>
  <si>
    <t>Total Risk-Weighted Capital</t>
  </si>
  <si>
    <t>Capital Adequacy - Total Capital (Value)</t>
  </si>
  <si>
    <t>Capital Adequacy -Tier 3 Capital (Value)</t>
  </si>
  <si>
    <t>Capital Adequacy -Tier 2 Capital (Value)</t>
  </si>
  <si>
    <t>Capital Adequacy -Tier 1 Capital (Value)</t>
  </si>
  <si>
    <t>Capital Adequacy - Hybrid Tier 1 (Value)</t>
  </si>
  <si>
    <t>Capital Adequacy - Core Tier 1 (Value)</t>
  </si>
  <si>
    <t>Liquidity Coverage Ratio (Basel 3)</t>
  </si>
  <si>
    <t>Net Stable Funding Ratio (Basel 3)</t>
  </si>
  <si>
    <t>Leverage Ratio (Basel 3)</t>
  </si>
  <si>
    <t>Non-Curr Derivative Liab Spec/Trdg Suppl</t>
  </si>
  <si>
    <t>Non-Curr Derivative Liab. Hedging, Suppl</t>
  </si>
  <si>
    <t>Curr Derivative Liab. Spec./Trdg, Suppl.</t>
  </si>
  <si>
    <t>Curr Derivative Liab. Hedging, Suppl.</t>
  </si>
  <si>
    <t>Long-Term Operating Lease Liabs., Suppl.</t>
  </si>
  <si>
    <t>Curr Port of LT Operating Leases, Suppl.</t>
  </si>
  <si>
    <t>Curr. Port. of LT Capital Leases, Suppl.</t>
  </si>
  <si>
    <t>Capital Lease Oblig. - Fin Sector, Suppl</t>
  </si>
  <si>
    <t>Long Term Debt Financial Sector, Suppl.</t>
  </si>
  <si>
    <t>Curr Port - LTD/Cap Lse Fin Sec., Suppl.</t>
  </si>
  <si>
    <t>Short Term Debt Financial Sector, Suppl.</t>
  </si>
  <si>
    <t>Deferred Revenue - Long Term</t>
  </si>
  <si>
    <t>Deferred Revenue - Current</t>
  </si>
  <si>
    <t>Contract Liability - Short Term</t>
  </si>
  <si>
    <t>Contract Liability - Long Term</t>
  </si>
  <si>
    <t>Contract Assets - Long Term</t>
  </si>
  <si>
    <t>Contract Assets - Short Term</t>
  </si>
  <si>
    <t>Non-Current Marketable Securities,Suppl.</t>
  </si>
  <si>
    <t>Right-of-Use Assets-Op.Lease, Depr.-Sup.</t>
  </si>
  <si>
    <t>Right-of-Use Assets-Op.Lease, Gross-Sup.</t>
  </si>
  <si>
    <t>Right-of-Use Assets-Op.Lease, Net-Suppl.</t>
  </si>
  <si>
    <t>Right-of-Use Assets-Cap.Lease,Depr.-Sup.</t>
  </si>
  <si>
    <t>Right-of-Use Assets-Cap.Lease,Gross-Sup.</t>
  </si>
  <si>
    <t>Right-of-Use Assets-Cap.Lease,Net-Suppl.</t>
  </si>
  <si>
    <t>Indefinite-lived intangibles-Net-Supple</t>
  </si>
  <si>
    <t>Wgt Avg Disc Rate - Finance Lease</t>
  </si>
  <si>
    <t>Wgt Avg Rem Lease Term (Yrs)-Fin Lease</t>
  </si>
  <si>
    <t>Accumulated Intangible Amort, Suppl.</t>
  </si>
  <si>
    <t>Accumulated Goodwill Amortization Suppl.</t>
  </si>
  <si>
    <t>Goodwill - Net</t>
  </si>
  <si>
    <t>Intangibles - Net</t>
  </si>
  <si>
    <t>Other Property/Plant/Equipment - Net</t>
  </si>
  <si>
    <t>Part-Time Employees</t>
  </si>
  <si>
    <t>Full-Time Employees</t>
  </si>
  <si>
    <t>Treasury Shares - Preferred Issue 6</t>
  </si>
  <si>
    <t>Treasury Shares - Preferred Issue 5</t>
  </si>
  <si>
    <t>Treasury Shares - Preferred Issue 4</t>
  </si>
  <si>
    <t>Treasury Shares - Preferred Issue 3</t>
  </si>
  <si>
    <t>Treasury Shares - Preferred Issue 2</t>
  </si>
  <si>
    <t>Treasury Shares - Preferred Issue 1</t>
  </si>
  <si>
    <t>Shares Outstanding - Preferred Issue 1</t>
  </si>
  <si>
    <t>Treasury Shares - Common Issue 4</t>
  </si>
  <si>
    <t>Treasury Shares - Common Issue 3</t>
  </si>
  <si>
    <t>Treasury Shares - Common Issue 2</t>
  </si>
  <si>
    <t>Treas Shares - Common Stock Prmry Issue</t>
  </si>
  <si>
    <t>Shares Outs - Common Stock Primary Issue</t>
  </si>
  <si>
    <t>Shares Outstanding - Common Issue 4</t>
  </si>
  <si>
    <t>Shares Outstanding - Common Issue 3</t>
  </si>
  <si>
    <t>Shares Outstanding - Common Issue 2</t>
  </si>
  <si>
    <t>Other Comprehensive Income</t>
  </si>
  <si>
    <t>Other Equity, Total</t>
  </si>
  <si>
    <t>Unrealized Gain (Loss)</t>
  </si>
  <si>
    <t>ESOP Debt Guarantee</t>
  </si>
  <si>
    <t>Treasury Stock - Common</t>
  </si>
  <si>
    <t>Retained Earnings (Accumulated Deficit)</t>
  </si>
  <si>
    <t>Additional Paid-In Capital</t>
  </si>
  <si>
    <t>Common Stock</t>
  </si>
  <si>
    <t>Common Stock, Total</t>
  </si>
  <si>
    <t>Convertible Preferred Stock - Non Rdmbl</t>
  </si>
  <si>
    <t>Preferred Stock - Non Redeemable, Net</t>
  </si>
  <si>
    <t>Redeemable Preferred Stock, Total</t>
  </si>
  <si>
    <t>Other Long Term Liabilities</t>
  </si>
  <si>
    <t>Other Liabilities, Total</t>
  </si>
  <si>
    <t>Minority Interest</t>
  </si>
  <si>
    <t>Deferred Income Tax</t>
  </si>
  <si>
    <t>Total Debt</t>
  </si>
  <si>
    <t>Long Term Debt</t>
  </si>
  <si>
    <t>Other Current Liabilities</t>
  </si>
  <si>
    <t>Income Taxes Payable</t>
  </si>
  <si>
    <t>Customer Advances</t>
  </si>
  <si>
    <t>Other Current liabilities, Total</t>
  </si>
  <si>
    <t>Current Port. of LT Debt/Capital Leases</t>
  </si>
  <si>
    <t>Notes Payable/Short Term Debt</t>
  </si>
  <si>
    <t>Accrued Expenses</t>
  </si>
  <si>
    <t>Payable/Accrued</t>
  </si>
  <si>
    <t>Accounts Payable</t>
  </si>
  <si>
    <t>Other Long Term Assets</t>
  </si>
  <si>
    <t>Defered Income Tax - Long Term Asset</t>
  </si>
  <si>
    <t>Other Long Term Assets, Total</t>
  </si>
  <si>
    <t>Note Receivable - Long Term</t>
  </si>
  <si>
    <t>Long Term Investments</t>
  </si>
  <si>
    <t>Accumulated Intangible Amortization</t>
  </si>
  <si>
    <t>Intangibles - Gross</t>
  </si>
  <si>
    <t>Intangibles, Net</t>
  </si>
  <si>
    <t>Accumulated Goodwill Amortization</t>
  </si>
  <si>
    <t>Goodwill, Net</t>
  </si>
  <si>
    <t>Accumulated Depreciation, Total</t>
  </si>
  <si>
    <t>Property/Plant/Equipment, Total - Net</t>
  </si>
  <si>
    <t>Other Property/Plant/Equipment - Gross</t>
  </si>
  <si>
    <t>Construction in Progress - Gross</t>
  </si>
  <si>
    <t>Machinery/Equipment - Gross</t>
  </si>
  <si>
    <t>Land/Improvements - Gross</t>
  </si>
  <si>
    <t>Buildings - Gross</t>
  </si>
  <si>
    <t>Property/Plant/Equipment, Total - Gross</t>
  </si>
  <si>
    <t>Restricted Cash - Current</t>
  </si>
  <si>
    <t>Other Current Assets, Total</t>
  </si>
  <si>
    <t>Prepaid Expenses</t>
  </si>
  <si>
    <t>Inventories - Raw Materials</t>
  </si>
  <si>
    <t>Inventories - Finished Goods</t>
  </si>
  <si>
    <t>Total Inventory</t>
  </si>
  <si>
    <t>Total Receivables, Net</t>
  </si>
  <si>
    <t>Provision for Doubtful Accounts</t>
  </si>
  <si>
    <t>Accounts Receivable - Trade, Gross</t>
  </si>
  <si>
    <t>Accounts Receivable - Trade, Net</t>
  </si>
  <si>
    <t>Short Term Investments</t>
  </si>
  <si>
    <t>Cash &amp; Equivalents</t>
  </si>
  <si>
    <t>Cash and Short Term Investments</t>
  </si>
  <si>
    <t>46 </t>
  </si>
  <si>
    <t>47 </t>
  </si>
  <si>
    <t>Enphase Energy Inc | Balance Sheet                                14-Aug-2024 21:12</t>
  </si>
  <si>
    <t>Reported Cash from Financing Activities</t>
  </si>
  <si>
    <t>Reported Cash from Investing Activities</t>
  </si>
  <si>
    <t>Reported Cash from Operating Activities</t>
  </si>
  <si>
    <t>Net Changes in Working Capital</t>
  </si>
  <si>
    <t>Tax Payments - Employee Options&amp;Buy Back</t>
  </si>
  <si>
    <t>Share Based Payments, Supplemental</t>
  </si>
  <si>
    <t>Lease liability Net, Supplemental</t>
  </si>
  <si>
    <t>Lease liability Reduced, Supplemental</t>
  </si>
  <si>
    <t>Lease liability Issued, Supplemental</t>
  </si>
  <si>
    <t>Long Term Debt, Net</t>
  </si>
  <si>
    <t>Long Term Debt Reduction</t>
  </si>
  <si>
    <t>Long Term Debt Issued</t>
  </si>
  <si>
    <t>Issuance (Retirement) of Debt, Net</t>
  </si>
  <si>
    <t>Options Exercised</t>
  </si>
  <si>
    <t>Preferred Stock, Net</t>
  </si>
  <si>
    <t>Sale/Issuance of Preferred</t>
  </si>
  <si>
    <t>Common Stock, Net</t>
  </si>
  <si>
    <t>Repurchase/Retirement of Common</t>
  </si>
  <si>
    <t>Sale/Issuance of Common</t>
  </si>
  <si>
    <t>Issuance (Retirement) of Stock, Net</t>
  </si>
  <si>
    <t>Total Cash Dividends Paid</t>
  </si>
  <si>
    <t>Other Financing Cash Flow</t>
  </si>
  <si>
    <t>Financing Cash Flow Items</t>
  </si>
  <si>
    <t>Other Investing Cash Flow</t>
  </si>
  <si>
    <t>Intangible, Net</t>
  </si>
  <si>
    <t>Purchase of Investments</t>
  </si>
  <si>
    <t>Sale/Maturity of Investment</t>
  </si>
  <si>
    <t>Sale of Business</t>
  </si>
  <si>
    <t>Acquisition of Business</t>
  </si>
  <si>
    <t>Other Investing Cash Flow Items, Total</t>
  </si>
  <si>
    <t>Purchase/Acquisition of Intangibles</t>
  </si>
  <si>
    <t>Purchase of Fixed Assets</t>
  </si>
  <si>
    <t>Capital Expenditures</t>
  </si>
  <si>
    <t>Other Liabilities</t>
  </si>
  <si>
    <t>Other Assets</t>
  </si>
  <si>
    <t>Inventories</t>
  </si>
  <si>
    <t>Accounts Receivable</t>
  </si>
  <si>
    <t>Changes in Working Capital</t>
  </si>
  <si>
    <t>Other Non-Cash Items</t>
  </si>
  <si>
    <t>Unusual Items</t>
  </si>
  <si>
    <t>Non-Cash Items</t>
  </si>
  <si>
    <t>Amortization</t>
  </si>
  <si>
    <t>Depreciation/Depletion</t>
  </si>
  <si>
    <t>Net Income/Starting Line</t>
  </si>
  <si>
    <t>31-Dec-2008 </t>
  </si>
  <si>
    <t>Enphase Energy Inc | Cash Flow                                14-Aug-2024 21:13</t>
  </si>
  <si>
    <t>Current Liabilities:</t>
  </si>
  <si>
    <t>Total Assets:</t>
  </si>
  <si>
    <t>Current Assets:</t>
  </si>
  <si>
    <t>Long-Term Liabilities:</t>
  </si>
  <si>
    <t>Total Liabilities:</t>
  </si>
  <si>
    <t>Shareholders equity</t>
  </si>
  <si>
    <t>Convertible Preferred Stock</t>
  </si>
  <si>
    <t>Other comprehensive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</si>
</sst>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_);[Red]\(#,##0.\)"/>
    <numFmt numFmtId="166" formatCode="0.0%;[Red]\(0.0%\)"/>
    <numFmt numFmtId="167" formatCode="_(* #,##0.0_);_(* \(#,##0.0\);_(* &quot;-&quot;?_);_(@_)"/>
    <numFmt numFmtId="170" formatCode="0.0%"/>
    <numFmt numFmtId="171" formatCode="0.00%;[Red]\(0.00%\)"/>
    <numFmt numFmtId="172" formatCode="#,##0.000_);[Red]\(#,##0.000\)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0"/>
      <color theme="1"/>
      <name val="Calibri"/>
      <family val="2"/>
      <scheme val="minor"/>
    </font>
    <font>
      <b/>
      <sz val="8"/>
      <color rgb="FF333333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8"/>
      <color rgb="FF88888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10"/>
      <color rgb="FFDC0A0A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D7DE"/>
        <bgColor indexed="64"/>
      </patternFill>
    </fill>
    <fill>
      <patternFill patternType="solid">
        <fgColor rgb="FFE9EFF6"/>
        <bgColor indexed="64"/>
      </patternFill>
    </fill>
    <fill>
      <patternFill patternType="solid">
        <fgColor rgb="FFF3F6FB"/>
        <bgColor indexed="64"/>
      </patternFill>
    </fill>
    <fill>
      <patternFill patternType="solid">
        <fgColor rgb="FFF5F6FA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A2D09C"/>
        <bgColor indexed="64"/>
      </patternFill>
    </fill>
    <fill>
      <patternFill patternType="solid">
        <fgColor rgb="FF309724"/>
        <bgColor indexed="64"/>
      </patternFill>
    </fill>
    <fill>
      <patternFill patternType="solid">
        <fgColor rgb="FFE8A1A0"/>
        <bgColor indexed="64"/>
      </patternFill>
    </fill>
    <fill>
      <patternFill patternType="solid">
        <fgColor rgb="FFC513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BC4EA"/>
        <bgColor indexed="64"/>
      </patternFill>
    </fill>
    <fill>
      <patternFill patternType="solid">
        <fgColor rgb="FFF2F4F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rgb="FFE5EBF4"/>
      </top>
      <bottom/>
      <diagonal/>
    </border>
    <border>
      <left/>
      <right style="medium">
        <color rgb="FFCCCCCC"/>
      </right>
      <top style="medium">
        <color rgb="FFE5EBF4"/>
      </top>
      <bottom/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/>
      <right style="medium">
        <color rgb="FFCCCCCC"/>
      </right>
      <top style="medium">
        <color rgb="FFC1C1C1"/>
      </top>
      <bottom style="medium">
        <color rgb="FFC1C1C1"/>
      </bottom>
      <diagonal/>
    </border>
    <border>
      <left/>
      <right style="medium">
        <color rgb="FFCCCCCC"/>
      </right>
      <top style="medium">
        <color rgb="FFE5EBF4"/>
      </top>
      <bottom style="medium">
        <color rgb="FFC1C1C1"/>
      </bottom>
      <diagonal/>
    </border>
    <border>
      <left/>
      <right/>
      <top style="medium">
        <color rgb="FFE5EBF4"/>
      </top>
      <bottom style="medium">
        <color rgb="FFC1C1C1"/>
      </bottom>
      <diagonal/>
    </border>
    <border>
      <left/>
      <right style="medium">
        <color rgb="FFFFFFFF"/>
      </right>
      <top style="medium">
        <color rgb="FFFFFFFF"/>
      </top>
      <bottom style="medium">
        <color rgb="FFE5EBF4"/>
      </bottom>
      <diagonal/>
    </border>
    <border>
      <left style="medium">
        <color rgb="FFFFFFFF"/>
      </left>
      <right/>
      <top style="medium">
        <color rgb="FFFFFFFF"/>
      </top>
      <bottom style="medium">
        <color rgb="FFE5EBF4"/>
      </bottom>
      <diagonal/>
    </border>
    <border>
      <left/>
      <right/>
      <top style="medium">
        <color rgb="FFFFFFFF"/>
      </top>
      <bottom style="medium">
        <color rgb="FFE5EBF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CCCCCC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82">
    <xf numFmtId="0" fontId="0" fillId="0" borderId="0" xfId="0"/>
    <xf numFmtId="1" fontId="0" fillId="0" borderId="0" xfId="0" applyNumberFormat="1"/>
    <xf numFmtId="0" fontId="1" fillId="0" borderId="0" xfId="1"/>
    <xf numFmtId="0" fontId="0" fillId="0" borderId="1" xfId="0" applyBorder="1"/>
    <xf numFmtId="43" fontId="0" fillId="0" borderId="0" xfId="0" applyNumberFormat="1"/>
    <xf numFmtId="44" fontId="0" fillId="0" borderId="0" xfId="0" applyNumberFormat="1"/>
    <xf numFmtId="10" fontId="0" fillId="0" borderId="0" xfId="0" applyNumberFormat="1"/>
    <xf numFmtId="2" fontId="0" fillId="0" borderId="0" xfId="0" applyNumberFormat="1"/>
    <xf numFmtId="8" fontId="0" fillId="0" borderId="0" xfId="0" applyNumberFormat="1"/>
    <xf numFmtId="0" fontId="3" fillId="0" borderId="0" xfId="0" applyFont="1" applyAlignment="1">
      <alignment horizontal="left" wrapText="1"/>
    </xf>
    <xf numFmtId="0" fontId="0" fillId="3" borderId="0" xfId="0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38" fontId="4" fillId="4" borderId="2" xfId="0" applyNumberFormat="1" applyFont="1" applyFill="1" applyBorder="1" applyAlignment="1">
      <alignment horizontal="right" wrapText="1"/>
    </xf>
    <xf numFmtId="38" fontId="4" fillId="0" borderId="2" xfId="0" applyNumberFormat="1" applyFont="1" applyBorder="1" applyAlignment="1">
      <alignment horizontal="right" wrapText="1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3" borderId="0" xfId="0" applyFont="1" applyFill="1" applyAlignment="1">
      <alignment horizontal="left"/>
    </xf>
    <xf numFmtId="40" fontId="4" fillId="4" borderId="2" xfId="0" applyNumberFormat="1" applyFont="1" applyFill="1" applyBorder="1" applyAlignment="1">
      <alignment horizontal="right" wrapText="1"/>
    </xf>
    <xf numFmtId="40" fontId="4" fillId="0" borderId="2" xfId="0" applyNumberFormat="1" applyFont="1" applyBorder="1" applyAlignment="1">
      <alignment horizontal="right" wrapText="1"/>
    </xf>
    <xf numFmtId="0" fontId="4" fillId="0" borderId="2" xfId="0" applyFont="1" applyBorder="1" applyAlignment="1">
      <alignment horizontal="left" wrapText="1"/>
    </xf>
    <xf numFmtId="38" fontId="4" fillId="5" borderId="2" xfId="0" applyNumberFormat="1" applyFont="1" applyFill="1" applyBorder="1" applyAlignment="1">
      <alignment horizontal="right"/>
    </xf>
    <xf numFmtId="38" fontId="4" fillId="6" borderId="2" xfId="0" applyNumberFormat="1" applyFont="1" applyFill="1" applyBorder="1" applyAlignment="1">
      <alignment horizontal="right"/>
    </xf>
    <xf numFmtId="0" fontId="4" fillId="6" borderId="3" xfId="0" applyFont="1" applyFill="1" applyBorder="1" applyAlignment="1">
      <alignment horizontal="right"/>
    </xf>
    <xf numFmtId="0" fontId="5" fillId="7" borderId="4" xfId="0" applyFont="1" applyFill="1" applyBorder="1" applyAlignment="1">
      <alignment horizontal="center" vertical="top"/>
    </xf>
    <xf numFmtId="0" fontId="6" fillId="8" borderId="4" xfId="0" applyFont="1" applyFill="1" applyBorder="1" applyAlignment="1">
      <alignment horizontal="center" vertical="top"/>
    </xf>
    <xf numFmtId="0" fontId="7" fillId="9" borderId="4" xfId="0" applyFont="1" applyFill="1" applyBorder="1" applyAlignment="1">
      <alignment horizontal="center" vertical="top"/>
    </xf>
    <xf numFmtId="0" fontId="6" fillId="10" borderId="4" xfId="0" applyFont="1" applyFill="1" applyBorder="1" applyAlignment="1">
      <alignment horizontal="center" vertical="top"/>
    </xf>
    <xf numFmtId="0" fontId="7" fillId="11" borderId="4" xfId="0" applyFont="1" applyFill="1" applyBorder="1" applyAlignment="1">
      <alignment horizontal="center" vertical="top"/>
    </xf>
    <xf numFmtId="0" fontId="8" fillId="12" borderId="4" xfId="0" applyFont="1" applyFill="1" applyBorder="1" applyAlignment="1">
      <alignment horizontal="center" vertical="top"/>
    </xf>
    <xf numFmtId="0" fontId="9" fillId="6" borderId="5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4" fillId="6" borderId="6" xfId="0" applyFont="1" applyFill="1" applyBorder="1" applyAlignment="1">
      <alignment horizontal="right" wrapText="1"/>
    </xf>
    <xf numFmtId="0" fontId="4" fillId="6" borderId="7" xfId="0" applyFont="1" applyFill="1" applyBorder="1" applyAlignment="1">
      <alignment horizontal="right" wrapText="1"/>
    </xf>
    <xf numFmtId="0" fontId="10" fillId="13" borderId="8" xfId="0" applyFont="1" applyFill="1" applyBorder="1" applyAlignment="1">
      <alignment horizontal="center"/>
    </xf>
    <xf numFmtId="0" fontId="10" fillId="13" borderId="9" xfId="0" applyFont="1" applyFill="1" applyBorder="1" applyAlignment="1">
      <alignment horizontal="center"/>
    </xf>
    <xf numFmtId="0" fontId="10" fillId="13" borderId="10" xfId="0" applyFont="1" applyFill="1" applyBorder="1" applyAlignment="1">
      <alignment horizontal="center"/>
    </xf>
    <xf numFmtId="0" fontId="10" fillId="13" borderId="8" xfId="0" applyFont="1" applyFill="1" applyBorder="1" applyAlignment="1">
      <alignment horizontal="left"/>
    </xf>
    <xf numFmtId="0" fontId="10" fillId="13" borderId="9" xfId="0" applyFont="1" applyFill="1" applyBorder="1" applyAlignment="1">
      <alignment horizontal="left"/>
    </xf>
    <xf numFmtId="0" fontId="4" fillId="0" borderId="0" xfId="0" applyFont="1"/>
    <xf numFmtId="0" fontId="11" fillId="0" borderId="0" xfId="0" applyFont="1"/>
    <xf numFmtId="164" fontId="4" fillId="0" borderId="2" xfId="0" applyNumberFormat="1" applyFont="1" applyBorder="1" applyAlignment="1">
      <alignment horizontal="right" wrapText="1"/>
    </xf>
    <xf numFmtId="164" fontId="4" fillId="4" borderId="2" xfId="0" applyNumberFormat="1" applyFont="1" applyFill="1" applyBorder="1" applyAlignment="1">
      <alignment horizontal="right" wrapText="1"/>
    </xf>
    <xf numFmtId="0" fontId="10" fillId="13" borderId="11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165" fontId="4" fillId="5" borderId="2" xfId="0" applyNumberFormat="1" applyFont="1" applyFill="1" applyBorder="1" applyAlignment="1">
      <alignment horizontal="right"/>
    </xf>
    <xf numFmtId="165" fontId="4" fillId="0" borderId="2" xfId="0" applyNumberFormat="1" applyFont="1" applyBorder="1" applyAlignment="1">
      <alignment horizontal="right"/>
    </xf>
    <xf numFmtId="38" fontId="4" fillId="5" borderId="2" xfId="0" applyNumberFormat="1" applyFont="1" applyFill="1" applyBorder="1" applyAlignment="1">
      <alignment horizontal="right" wrapText="1"/>
    </xf>
    <xf numFmtId="0" fontId="4" fillId="12" borderId="3" xfId="0" applyFont="1" applyFill="1" applyBorder="1" applyAlignment="1">
      <alignment horizontal="left"/>
    </xf>
    <xf numFmtId="166" fontId="4" fillId="5" borderId="2" xfId="0" applyNumberFormat="1" applyFont="1" applyFill="1" applyBorder="1" applyAlignment="1">
      <alignment horizontal="right"/>
    </xf>
    <xf numFmtId="166" fontId="4" fillId="0" borderId="2" xfId="0" applyNumberFormat="1" applyFont="1" applyBorder="1" applyAlignment="1">
      <alignment horizontal="right"/>
    </xf>
    <xf numFmtId="38" fontId="12" fillId="5" borderId="2" xfId="0" applyNumberFormat="1" applyFont="1" applyFill="1" applyBorder="1" applyAlignment="1">
      <alignment horizontal="right" wrapText="1"/>
    </xf>
    <xf numFmtId="40" fontId="4" fillId="5" borderId="2" xfId="0" applyNumberFormat="1" applyFont="1" applyFill="1" applyBorder="1" applyAlignment="1">
      <alignment horizontal="right"/>
    </xf>
    <xf numFmtId="40" fontId="4" fillId="0" borderId="2" xfId="0" applyNumberFormat="1" applyFont="1" applyBorder="1" applyAlignment="1">
      <alignment horizontal="right"/>
    </xf>
    <xf numFmtId="164" fontId="4" fillId="5" borderId="2" xfId="0" applyNumberFormat="1" applyFont="1" applyFill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4" fillId="14" borderId="2" xfId="0" applyFont="1" applyFill="1" applyBorder="1" applyAlignment="1">
      <alignment horizontal="right" wrapText="1"/>
    </xf>
    <xf numFmtId="0" fontId="4" fillId="14" borderId="3" xfId="0" applyFont="1" applyFill="1" applyBorder="1"/>
    <xf numFmtId="0" fontId="4" fillId="5" borderId="3" xfId="0" applyFont="1" applyFill="1" applyBorder="1" applyAlignment="1">
      <alignment horizontal="right"/>
    </xf>
    <xf numFmtId="8" fontId="4" fillId="0" borderId="0" xfId="0" applyNumberFormat="1" applyFont="1"/>
    <xf numFmtId="0" fontId="10" fillId="13" borderId="11" xfId="0" applyFont="1" applyFill="1" applyBorder="1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wrapText="1"/>
    </xf>
    <xf numFmtId="167" fontId="0" fillId="2" borderId="0" xfId="0" applyNumberFormat="1" applyFill="1"/>
    <xf numFmtId="167" fontId="0" fillId="0" borderId="0" xfId="2" applyNumberFormat="1" applyFont="1"/>
    <xf numFmtId="170" fontId="0" fillId="0" borderId="0" xfId="0" applyNumberFormat="1"/>
    <xf numFmtId="164" fontId="4" fillId="6" borderId="2" xfId="0" applyNumberFormat="1" applyFont="1" applyFill="1" applyBorder="1" applyAlignment="1">
      <alignment horizontal="right" wrapText="1"/>
    </xf>
    <xf numFmtId="0" fontId="4" fillId="14" borderId="3" xfId="0" applyFont="1" applyFill="1" applyBorder="1" applyAlignment="1">
      <alignment horizontal="left" indent="2"/>
    </xf>
    <xf numFmtId="0" fontId="4" fillId="4" borderId="3" xfId="0" applyFont="1" applyFill="1" applyBorder="1" applyAlignment="1">
      <alignment horizontal="left"/>
    </xf>
    <xf numFmtId="171" fontId="4" fillId="0" borderId="2" xfId="0" applyNumberFormat="1" applyFont="1" applyBorder="1" applyAlignment="1">
      <alignment horizontal="right" wrapText="1"/>
    </xf>
    <xf numFmtId="0" fontId="10" fillId="13" borderId="1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 indent="2"/>
    </xf>
    <xf numFmtId="164" fontId="0" fillId="0" borderId="0" xfId="0" applyNumberFormat="1"/>
    <xf numFmtId="172" fontId="0" fillId="0" borderId="0" xfId="0" applyNumberFormat="1"/>
    <xf numFmtId="0" fontId="13" fillId="0" borderId="0" xfId="0" applyFont="1"/>
    <xf numFmtId="0" fontId="15" fillId="2" borderId="3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left"/>
    </xf>
    <xf numFmtId="167" fontId="13" fillId="0" borderId="0" xfId="0" applyNumberFormat="1" applyFont="1"/>
    <xf numFmtId="167" fontId="4" fillId="2" borderId="2" xfId="0" applyNumberFormat="1" applyFont="1" applyFill="1" applyBorder="1" applyAlignment="1">
      <alignment horizontal="right" wrapText="1"/>
    </xf>
    <xf numFmtId="167" fontId="4" fillId="0" borderId="2" xfId="0" applyNumberFormat="1" applyFont="1" applyBorder="1" applyAlignment="1">
      <alignment horizontal="right" wrapText="1"/>
    </xf>
    <xf numFmtId="167" fontId="4" fillId="2" borderId="0" xfId="0" applyNumberFormat="1" applyFont="1" applyFill="1" applyBorder="1" applyAlignment="1">
      <alignment horizontal="right" wrapText="1"/>
    </xf>
    <xf numFmtId="167" fontId="4" fillId="4" borderId="2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92BC0-095C-4BC8-B1B5-A4B81FD8BCF8}">
  <dimension ref="T2:V8"/>
  <sheetViews>
    <sheetView workbookViewId="0">
      <selection activeCell="V7" sqref="V7"/>
    </sheetView>
  </sheetViews>
  <sheetFormatPr defaultRowHeight="14.4" x14ac:dyDescent="0.3"/>
  <cols>
    <col min="20" max="20" width="10.44140625" bestFit="1" customWidth="1"/>
  </cols>
  <sheetData>
    <row r="2" spans="20:22" x14ac:dyDescent="0.3">
      <c r="T2" t="s">
        <v>5</v>
      </c>
      <c r="U2">
        <v>108</v>
      </c>
    </row>
    <row r="3" spans="20:22" x14ac:dyDescent="0.3">
      <c r="T3" t="s">
        <v>0</v>
      </c>
      <c r="U3" s="7">
        <f>Sheet2!BD15</f>
        <v>135.89099999999999</v>
      </c>
      <c r="V3" t="s">
        <v>78</v>
      </c>
    </row>
    <row r="4" spans="20:22" x14ac:dyDescent="0.3">
      <c r="T4" t="s">
        <v>1</v>
      </c>
      <c r="U4" s="1">
        <f>U3*U2</f>
        <v>14676.227999999999</v>
      </c>
    </row>
    <row r="5" spans="20:22" x14ac:dyDescent="0.3">
      <c r="T5" t="s">
        <v>2</v>
      </c>
      <c r="U5" s="1">
        <f>252.102+1394.302</f>
        <v>1646.404</v>
      </c>
    </row>
    <row r="6" spans="20:22" x14ac:dyDescent="0.3">
      <c r="T6" t="s">
        <v>3</v>
      </c>
      <c r="U6" s="1">
        <f>98.592+1200.432</f>
        <v>1299.0240000000001</v>
      </c>
    </row>
    <row r="7" spans="20:22" x14ac:dyDescent="0.3">
      <c r="T7" t="s">
        <v>4</v>
      </c>
      <c r="U7" s="1">
        <f>U4+U6-U5</f>
        <v>14328.847999999998</v>
      </c>
    </row>
    <row r="8" spans="20:22" x14ac:dyDescent="0.3">
      <c r="U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BA9C-280B-48F5-96D3-D249F6D12B9C}">
  <dimension ref="A1:HG1048576"/>
  <sheetViews>
    <sheetView zoomScaleNormal="100" workbookViewId="0">
      <pane xSplit="1" ySplit="1" topLeftCell="BB47" activePane="bottomRight" state="frozen"/>
      <selection activeCell="A105" sqref="A105"/>
      <selection pane="topRight" activeCell="A105" sqref="A105"/>
      <selection pane="bottomLeft" activeCell="A105" sqref="A105"/>
      <selection pane="bottomRight" activeCell="BL38" sqref="BL38"/>
    </sheetView>
  </sheetViews>
  <sheetFormatPr defaultRowHeight="14.4" x14ac:dyDescent="0.3"/>
  <cols>
    <col min="1" max="1" width="32.33203125" bestFit="1" customWidth="1"/>
    <col min="3" max="42" width="9.109375" bestFit="1" customWidth="1"/>
    <col min="43" max="43" width="9.6640625" bestFit="1" customWidth="1"/>
    <col min="44" max="50" width="9.109375" bestFit="1" customWidth="1"/>
    <col min="51" max="51" width="9.109375" style="3" bestFit="1" customWidth="1"/>
    <col min="52" max="56" width="9.109375" bestFit="1" customWidth="1"/>
    <col min="59" max="67" width="8.109375" bestFit="1" customWidth="1"/>
    <col min="68" max="71" width="9.5546875" bestFit="1" customWidth="1"/>
    <col min="74" max="74" width="10.5546875" bestFit="1" customWidth="1"/>
    <col min="86" max="86" width="9.109375" bestFit="1" customWidth="1"/>
  </cols>
  <sheetData>
    <row r="1" spans="1:215" x14ac:dyDescent="0.3">
      <c r="A1" s="2" t="s">
        <v>7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8</v>
      </c>
      <c r="AN1" t="s">
        <v>10</v>
      </c>
      <c r="AO1" t="s">
        <v>11</v>
      </c>
      <c r="AP1" t="s">
        <v>12</v>
      </c>
      <c r="AQ1" t="s">
        <v>9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6</v>
      </c>
      <c r="AZ1" t="s">
        <v>36</v>
      </c>
      <c r="BA1" t="s">
        <v>75</v>
      </c>
      <c r="BB1" t="s">
        <v>76</v>
      </c>
      <c r="BC1" t="s">
        <v>77</v>
      </c>
      <c r="BD1" t="s">
        <v>78</v>
      </c>
      <c r="BG1">
        <f>2011</f>
        <v>2011</v>
      </c>
      <c r="BH1">
        <f>BG1+1</f>
        <v>2012</v>
      </c>
      <c r="BI1">
        <f t="shared" ref="BI1:CB1" si="0">BH1+1</f>
        <v>2013</v>
      </c>
      <c r="BJ1">
        <f t="shared" si="0"/>
        <v>2014</v>
      </c>
      <c r="BK1">
        <f t="shared" si="0"/>
        <v>2015</v>
      </c>
      <c r="BL1">
        <f t="shared" si="0"/>
        <v>2016</v>
      </c>
      <c r="BM1">
        <f t="shared" si="0"/>
        <v>2017</v>
      </c>
      <c r="BN1">
        <f t="shared" si="0"/>
        <v>2018</v>
      </c>
      <c r="BO1">
        <f t="shared" si="0"/>
        <v>2019</v>
      </c>
      <c r="BP1">
        <f t="shared" si="0"/>
        <v>2020</v>
      </c>
      <c r="BQ1">
        <f t="shared" si="0"/>
        <v>2021</v>
      </c>
      <c r="BR1">
        <f t="shared" si="0"/>
        <v>2022</v>
      </c>
      <c r="BS1">
        <f t="shared" si="0"/>
        <v>2023</v>
      </c>
      <c r="BT1">
        <f t="shared" si="0"/>
        <v>2024</v>
      </c>
      <c r="BU1">
        <f t="shared" si="0"/>
        <v>2025</v>
      </c>
      <c r="BV1">
        <f t="shared" si="0"/>
        <v>2026</v>
      </c>
      <c r="BW1">
        <f t="shared" si="0"/>
        <v>2027</v>
      </c>
      <c r="BX1">
        <f t="shared" si="0"/>
        <v>2028</v>
      </c>
      <c r="BY1">
        <f t="shared" si="0"/>
        <v>2029</v>
      </c>
      <c r="BZ1">
        <f t="shared" si="0"/>
        <v>2030</v>
      </c>
      <c r="CA1">
        <f t="shared" si="0"/>
        <v>2031</v>
      </c>
      <c r="CB1">
        <f t="shared" si="0"/>
        <v>2032</v>
      </c>
    </row>
    <row r="2" spans="1:215" x14ac:dyDescent="0.3">
      <c r="B2" t="s">
        <v>79</v>
      </c>
      <c r="AY2"/>
    </row>
    <row r="3" spans="1:215" x14ac:dyDescent="0.3">
      <c r="A3" t="s">
        <v>20</v>
      </c>
      <c r="B3" s="4"/>
      <c r="C3" s="60">
        <v>18.068999999999999</v>
      </c>
      <c r="D3" s="60">
        <v>29.591999999999999</v>
      </c>
      <c r="E3" s="60">
        <v>44.728000000000002</v>
      </c>
      <c r="F3" s="60">
        <f>149.523-SUM(C3:E3)</f>
        <v>57.133999999999986</v>
      </c>
      <c r="G3" s="60">
        <v>42.6</v>
      </c>
      <c r="H3" s="60">
        <v>55.697000000000003</v>
      </c>
      <c r="I3" s="60">
        <v>60.813000000000002</v>
      </c>
      <c r="J3" s="60">
        <f>216.678-SUM(G3:I3)</f>
        <v>57.567999999999984</v>
      </c>
      <c r="K3" s="60">
        <v>45.576999999999998</v>
      </c>
      <c r="L3" s="60">
        <v>58.167000000000002</v>
      </c>
      <c r="M3" s="60">
        <v>62.045999999999999</v>
      </c>
      <c r="N3" s="60">
        <f>232.846-SUM(K3:M3)</f>
        <v>67.056000000000012</v>
      </c>
      <c r="O3" s="60">
        <v>57.58</v>
      </c>
      <c r="P3" s="60">
        <v>82.004000000000005</v>
      </c>
      <c r="Q3" s="60">
        <v>99.113</v>
      </c>
      <c r="R3" s="60">
        <f>343.904-SUM(O3:Q3)</f>
        <v>105.20699999999999</v>
      </c>
      <c r="S3" s="60">
        <v>86.653000000000006</v>
      </c>
      <c r="T3" s="60">
        <v>102.093</v>
      </c>
      <c r="U3" s="60">
        <v>102.874</v>
      </c>
      <c r="V3" s="60">
        <f>357.249-SUM(S3:U3)</f>
        <v>65.629000000000019</v>
      </c>
      <c r="W3" s="60">
        <v>64.120999999999995</v>
      </c>
      <c r="X3" s="60">
        <v>79.185000000000002</v>
      </c>
      <c r="Y3" s="60">
        <v>88.683999999999997</v>
      </c>
      <c r="Z3" s="60">
        <f>322.591-SUM(W3:Y3)</f>
        <v>90.601000000000028</v>
      </c>
      <c r="AA3" s="60">
        <v>54.750999999999998</v>
      </c>
      <c r="AB3" s="60">
        <v>74.706999999999994</v>
      </c>
      <c r="AC3" s="60">
        <v>77.037999999999997</v>
      </c>
      <c r="AD3" s="60">
        <f>286.166-SUM(AA3:AC3)</f>
        <v>79.670000000000016</v>
      </c>
      <c r="AE3" s="60">
        <v>69.971999999999994</v>
      </c>
      <c r="AF3" s="60">
        <v>75.896000000000001</v>
      </c>
      <c r="AG3" s="60">
        <v>78.001999999999995</v>
      </c>
      <c r="AH3" s="60">
        <f>316.159-SUM(AE3:AG3)</f>
        <v>92.288999999999987</v>
      </c>
      <c r="AI3" s="60">
        <v>100.15</v>
      </c>
      <c r="AJ3" s="60">
        <v>134.09399999999999</v>
      </c>
      <c r="AK3" s="60">
        <v>180.05699999999999</v>
      </c>
      <c r="AL3" s="60">
        <f>624.333-SUM(AI3:AK3)</f>
        <v>210.03199999999998</v>
      </c>
      <c r="AM3" s="60">
        <v>205.54499999999999</v>
      </c>
      <c r="AN3" s="60">
        <v>125.538</v>
      </c>
      <c r="AO3" s="60">
        <v>178.50299999999999</v>
      </c>
      <c r="AP3" s="60">
        <v>264.839</v>
      </c>
      <c r="AQ3" s="60">
        <v>301.75400000000002</v>
      </c>
      <c r="AR3" s="60">
        <v>316.05700000000002</v>
      </c>
      <c r="AS3" s="60">
        <v>351.51900000000001</v>
      </c>
      <c r="AT3" s="60">
        <v>412.71899999999999</v>
      </c>
      <c r="AU3" s="60">
        <v>441.29199999999997</v>
      </c>
      <c r="AV3" s="60">
        <v>530.19600000000003</v>
      </c>
      <c r="AW3" s="60">
        <v>634.71299999999997</v>
      </c>
      <c r="AX3" s="60">
        <v>724.65200000000004</v>
      </c>
      <c r="AY3" s="60">
        <v>726.01599999999996</v>
      </c>
      <c r="AZ3" s="60">
        <v>711.11800000000005</v>
      </c>
      <c r="BA3" s="60">
        <v>551.08199999999999</v>
      </c>
      <c r="BB3" s="60">
        <f>302.57</f>
        <v>302.57</v>
      </c>
      <c r="BC3" s="60">
        <v>263.339</v>
      </c>
      <c r="BD3" s="60">
        <v>303.45800000000003</v>
      </c>
      <c r="BE3" s="4"/>
      <c r="BF3" s="4"/>
      <c r="BG3" s="60">
        <f>SUM(C3:F3)</f>
        <v>149.523</v>
      </c>
      <c r="BH3" s="60">
        <f>SUM(G3:J3)</f>
        <v>216.678</v>
      </c>
      <c r="BI3" s="60">
        <f>SUM(K3:N3)</f>
        <v>232.846</v>
      </c>
      <c r="BJ3" s="60">
        <f>SUM(O3:R3)</f>
        <v>343.904</v>
      </c>
      <c r="BK3" s="60">
        <f>SUM(S3:V3)</f>
        <v>357.24900000000002</v>
      </c>
      <c r="BL3" s="60">
        <f>SUM(W3:Z3)</f>
        <v>322.59100000000001</v>
      </c>
      <c r="BM3" s="60">
        <f>SUM(AA3:AD3)</f>
        <v>286.166</v>
      </c>
      <c r="BN3" s="60">
        <f>SUM(AE3:AH3)</f>
        <v>316.15899999999999</v>
      </c>
      <c r="BO3" s="60">
        <f>SUM(AI3:AL3)</f>
        <v>624.33299999999997</v>
      </c>
      <c r="BP3" s="60">
        <f>SUM(AM3:AP3)</f>
        <v>774.42499999999995</v>
      </c>
      <c r="BQ3" s="60">
        <f>SUM(AQ3:AT3)</f>
        <v>1382.049</v>
      </c>
      <c r="BR3" s="60">
        <f>SUM(AU3:AX3)</f>
        <v>2330.8530000000001</v>
      </c>
      <c r="BS3" s="60">
        <f>SUM(AY3:BB3)</f>
        <v>2290.7860000000001</v>
      </c>
    </row>
    <row r="4" spans="1:215" x14ac:dyDescent="0.3">
      <c r="A4" t="s">
        <v>21</v>
      </c>
      <c r="B4" s="4"/>
      <c r="C4" s="60">
        <v>15.420999999999999</v>
      </c>
      <c r="D4" s="60">
        <v>24.785</v>
      </c>
      <c r="E4" s="60">
        <v>36.185000000000002</v>
      </c>
      <c r="F4" s="60">
        <f>120.454-SUM(C4:E4)</f>
        <v>44.062999999999988</v>
      </c>
      <c r="G4" s="60">
        <v>33.292999999999999</v>
      </c>
      <c r="H4" s="60">
        <v>42.095999999999997</v>
      </c>
      <c r="I4" s="60">
        <v>44.488999999999997</v>
      </c>
      <c r="J4" s="60">
        <f>161.39-SUM(G4:I4)</f>
        <v>41.512</v>
      </c>
      <c r="K4" s="60">
        <v>33.375999999999998</v>
      </c>
      <c r="L4" s="60">
        <v>41.883000000000003</v>
      </c>
      <c r="M4" s="60">
        <v>44.610999999999997</v>
      </c>
      <c r="N4" s="60">
        <f>165.43-SUM(K4:M4)</f>
        <v>45.56</v>
      </c>
      <c r="O4" s="60">
        <v>38.924999999999997</v>
      </c>
      <c r="P4" s="60">
        <v>55.171999999999997</v>
      </c>
      <c r="Q4" s="60">
        <v>66.591999999999999</v>
      </c>
      <c r="R4" s="60">
        <f>230.861-SUM(O4:Q4)</f>
        <v>70.171999999999997</v>
      </c>
      <c r="S4" s="60">
        <v>58.628999999999998</v>
      </c>
      <c r="T4" s="60">
        <v>69.066000000000003</v>
      </c>
      <c r="U4" s="60">
        <v>71.408000000000001</v>
      </c>
      <c r="V4" s="60">
        <f>249.032-SUM(S4:U4)</f>
        <v>49.929000000000002</v>
      </c>
      <c r="W4" s="60">
        <v>52.360999999999997</v>
      </c>
      <c r="X4" s="60">
        <v>65.049000000000007</v>
      </c>
      <c r="Y4" s="60">
        <v>72.805000000000007</v>
      </c>
      <c r="Z4" s="60">
        <f>264.583-SUM(W4:Y4)</f>
        <v>74.368000000000023</v>
      </c>
      <c r="AA4" s="60">
        <v>47.703000000000003</v>
      </c>
      <c r="AB4" s="60">
        <v>61.156999999999996</v>
      </c>
      <c r="AC4" s="60">
        <v>60.576999999999998</v>
      </c>
      <c r="AD4" s="60">
        <f>230.123-SUM(AA4:AC4)</f>
        <v>60.685999999999979</v>
      </c>
      <c r="AE4" s="60">
        <v>51.656999999999996</v>
      </c>
      <c r="AF4" s="60">
        <v>53.195</v>
      </c>
      <c r="AG4" s="60">
        <v>52.738</v>
      </c>
      <c r="AH4" s="60">
        <f>221.714-SUM(AE4:AG4)</f>
        <v>64.123999999999995</v>
      </c>
      <c r="AI4" s="60">
        <v>66.811000000000007</v>
      </c>
      <c r="AJ4" s="60">
        <v>88.775000000000006</v>
      </c>
      <c r="AK4" s="60">
        <v>115.351</v>
      </c>
      <c r="AL4" s="60">
        <f>403.088-SUM(AI4:AK4)</f>
        <v>132.15100000000001</v>
      </c>
      <c r="AM4" s="60">
        <v>124.87</v>
      </c>
      <c r="AN4" s="60">
        <v>77.150999999999996</v>
      </c>
      <c r="AO4" s="60">
        <v>83.522000000000006</v>
      </c>
      <c r="AP4" s="60">
        <v>142.90100000000001</v>
      </c>
      <c r="AQ4" s="60">
        <v>178.80500000000001</v>
      </c>
      <c r="AR4" s="60">
        <v>188.256</v>
      </c>
      <c r="AS4" s="60">
        <v>211.161</v>
      </c>
      <c r="AT4" s="60">
        <v>249.405</v>
      </c>
      <c r="AU4" s="60">
        <v>264.31900000000002</v>
      </c>
      <c r="AV4" s="60">
        <v>311.19099999999997</v>
      </c>
      <c r="AW4" s="60">
        <v>366.79700000000003</v>
      </c>
      <c r="AX4" s="60">
        <v>413.95100000000002</v>
      </c>
      <c r="AY4" s="60">
        <v>399.64499999999998</v>
      </c>
      <c r="AZ4" s="60">
        <v>387.77600000000001</v>
      </c>
      <c r="BA4" s="60">
        <v>289.06900000000002</v>
      </c>
      <c r="BB4" s="60">
        <v>155.90799999999999</v>
      </c>
      <c r="BC4" s="60">
        <v>147.83099999999999</v>
      </c>
      <c r="BD4" s="60">
        <v>166.292</v>
      </c>
      <c r="BE4" s="4"/>
      <c r="BF4" s="4"/>
      <c r="BG4" s="60">
        <f t="shared" ref="BG4:BG14" si="1">SUM(C4:F4)</f>
        <v>120.45399999999999</v>
      </c>
      <c r="BH4" s="60">
        <f t="shared" ref="BH4:BH14" si="2">SUM(G4:J4)</f>
        <v>161.38999999999999</v>
      </c>
      <c r="BI4" s="60">
        <f t="shared" ref="BI4:BI14" si="3">SUM(K4:N4)</f>
        <v>165.43</v>
      </c>
      <c r="BJ4" s="60">
        <f t="shared" ref="BJ4:BJ14" si="4">SUM(O4:R4)</f>
        <v>230.86099999999999</v>
      </c>
      <c r="BK4" s="60">
        <f t="shared" ref="BK4:BK14" si="5">SUM(S4:V4)</f>
        <v>249.03200000000001</v>
      </c>
      <c r="BL4" s="60">
        <f t="shared" ref="BL4:BL14" si="6">SUM(W4:Z4)</f>
        <v>264.58300000000003</v>
      </c>
      <c r="BM4" s="60">
        <f t="shared" ref="BM4:BM14" si="7">SUM(AA4:AD4)</f>
        <v>230.12299999999999</v>
      </c>
      <c r="BN4" s="60">
        <f t="shared" ref="BN4:BN14" si="8">SUM(AE4:AH4)</f>
        <v>221.714</v>
      </c>
      <c r="BO4" s="60">
        <f t="shared" ref="BO4:BO14" si="9">SUM(AI4:AL4)</f>
        <v>403.08800000000002</v>
      </c>
      <c r="BP4" s="60">
        <f t="shared" ref="BP4:BP14" si="10">SUM(AM4:AP4)</f>
        <v>428.44400000000002</v>
      </c>
      <c r="BQ4" s="60">
        <f t="shared" ref="BQ4:BQ14" si="11">SUM(AQ4:AT4)</f>
        <v>827.62699999999995</v>
      </c>
      <c r="BR4" s="60">
        <f t="shared" ref="BR4:BR14" si="12">SUM(AU4:AX4)</f>
        <v>1356.258</v>
      </c>
      <c r="BS4" s="60">
        <f t="shared" ref="BS4:BS14" si="13">SUM(AY4:BB4)</f>
        <v>1232.3979999999999</v>
      </c>
    </row>
    <row r="5" spans="1:215" x14ac:dyDescent="0.3">
      <c r="A5" t="s">
        <v>80</v>
      </c>
      <c r="B5" s="4"/>
      <c r="C5" s="60">
        <f>C3-C4</f>
        <v>2.6479999999999997</v>
      </c>
      <c r="D5" s="60">
        <f t="shared" ref="D5:K5" si="14">D3-D4</f>
        <v>4.8069999999999986</v>
      </c>
      <c r="E5" s="60">
        <f t="shared" si="14"/>
        <v>8.5429999999999993</v>
      </c>
      <c r="F5" s="60">
        <f t="shared" si="14"/>
        <v>13.070999999999998</v>
      </c>
      <c r="G5" s="60">
        <f t="shared" si="14"/>
        <v>9.3070000000000022</v>
      </c>
      <c r="H5" s="60">
        <f t="shared" si="14"/>
        <v>13.601000000000006</v>
      </c>
      <c r="I5" s="60">
        <f t="shared" si="14"/>
        <v>16.324000000000005</v>
      </c>
      <c r="J5" s="60">
        <f t="shared" si="14"/>
        <v>16.055999999999983</v>
      </c>
      <c r="K5" s="60">
        <f t="shared" si="14"/>
        <v>12.201000000000001</v>
      </c>
      <c r="L5" s="60">
        <f t="shared" ref="L5:AL5" si="15">L3-L4</f>
        <v>16.283999999999999</v>
      </c>
      <c r="M5" s="60">
        <f t="shared" si="15"/>
        <v>17.435000000000002</v>
      </c>
      <c r="N5" s="60">
        <f t="shared" si="15"/>
        <v>21.496000000000009</v>
      </c>
      <c r="O5" s="60">
        <f t="shared" si="15"/>
        <v>18.655000000000001</v>
      </c>
      <c r="P5" s="60">
        <f t="shared" si="15"/>
        <v>26.832000000000008</v>
      </c>
      <c r="Q5" s="60">
        <f t="shared" si="15"/>
        <v>32.521000000000001</v>
      </c>
      <c r="R5" s="60">
        <f t="shared" si="15"/>
        <v>35.034999999999997</v>
      </c>
      <c r="S5" s="60">
        <f t="shared" si="15"/>
        <v>28.024000000000008</v>
      </c>
      <c r="T5" s="60">
        <f t="shared" si="15"/>
        <v>33.027000000000001</v>
      </c>
      <c r="U5" s="60">
        <f t="shared" si="15"/>
        <v>31.465999999999994</v>
      </c>
      <c r="V5" s="60">
        <f t="shared" si="15"/>
        <v>15.700000000000017</v>
      </c>
      <c r="W5" s="60">
        <f t="shared" si="15"/>
        <v>11.759999999999998</v>
      </c>
      <c r="X5" s="60">
        <f t="shared" si="15"/>
        <v>14.135999999999996</v>
      </c>
      <c r="Y5" s="60">
        <f t="shared" si="15"/>
        <v>15.878999999999991</v>
      </c>
      <c r="Z5" s="60">
        <f t="shared" si="15"/>
        <v>16.233000000000004</v>
      </c>
      <c r="AA5" s="60">
        <f t="shared" si="15"/>
        <v>7.0479999999999947</v>
      </c>
      <c r="AB5" s="60">
        <f t="shared" si="15"/>
        <v>13.549999999999997</v>
      </c>
      <c r="AC5" s="60">
        <f t="shared" si="15"/>
        <v>16.460999999999999</v>
      </c>
      <c r="AD5" s="60">
        <f t="shared" si="15"/>
        <v>18.984000000000037</v>
      </c>
      <c r="AE5" s="60">
        <f t="shared" si="15"/>
        <v>18.314999999999998</v>
      </c>
      <c r="AF5" s="60">
        <f t="shared" si="15"/>
        <v>22.701000000000001</v>
      </c>
      <c r="AG5" s="60">
        <f t="shared" si="15"/>
        <v>25.263999999999996</v>
      </c>
      <c r="AH5" s="60">
        <f t="shared" si="15"/>
        <v>28.164999999999992</v>
      </c>
      <c r="AI5" s="60">
        <f t="shared" si="15"/>
        <v>33.338999999999999</v>
      </c>
      <c r="AJ5" s="60">
        <f t="shared" si="15"/>
        <v>45.318999999999988</v>
      </c>
      <c r="AK5" s="60">
        <f t="shared" si="15"/>
        <v>64.705999999999989</v>
      </c>
      <c r="AL5" s="60">
        <f t="shared" si="15"/>
        <v>77.880999999999972</v>
      </c>
      <c r="AM5" s="60">
        <f t="shared" ref="AM5:AZ5" si="16">AM3-AM4</f>
        <v>80.674999999999983</v>
      </c>
      <c r="AN5" s="60">
        <f t="shared" si="16"/>
        <v>48.387</v>
      </c>
      <c r="AO5" s="60">
        <f t="shared" si="16"/>
        <v>94.98099999999998</v>
      </c>
      <c r="AP5" s="60">
        <f t="shared" si="16"/>
        <v>121.93799999999999</v>
      </c>
      <c r="AQ5" s="60">
        <f t="shared" si="16"/>
        <v>122.94900000000001</v>
      </c>
      <c r="AR5" s="60">
        <f t="shared" si="16"/>
        <v>127.80100000000002</v>
      </c>
      <c r="AS5" s="60">
        <f t="shared" si="16"/>
        <v>140.358</v>
      </c>
      <c r="AT5" s="60">
        <f t="shared" si="16"/>
        <v>163.31399999999999</v>
      </c>
      <c r="AU5" s="60">
        <f t="shared" si="16"/>
        <v>176.97299999999996</v>
      </c>
      <c r="AV5" s="60">
        <f t="shared" si="16"/>
        <v>219.00500000000005</v>
      </c>
      <c r="AW5" s="60">
        <f t="shared" si="16"/>
        <v>267.91599999999994</v>
      </c>
      <c r="AX5" s="60">
        <f t="shared" si="16"/>
        <v>310.70100000000002</v>
      </c>
      <c r="AY5" s="60">
        <f t="shared" si="16"/>
        <v>326.37099999999998</v>
      </c>
      <c r="AZ5" s="60">
        <f t="shared" si="16"/>
        <v>323.34200000000004</v>
      </c>
      <c r="BA5" s="60">
        <f>BA3-BA4</f>
        <v>262.01299999999998</v>
      </c>
      <c r="BB5" s="60">
        <f>BB3-BB4</f>
        <v>146.66200000000001</v>
      </c>
      <c r="BC5" s="60">
        <f>BC3-BC4</f>
        <v>115.50800000000001</v>
      </c>
      <c r="BD5" s="60">
        <f>BD3-BD4</f>
        <v>137.16600000000003</v>
      </c>
      <c r="BE5" s="4"/>
      <c r="BF5" s="4"/>
      <c r="BG5" s="60">
        <f t="shared" si="1"/>
        <v>29.068999999999996</v>
      </c>
      <c r="BH5" s="60">
        <f t="shared" si="2"/>
        <v>55.287999999999997</v>
      </c>
      <c r="BI5" s="60">
        <f t="shared" si="3"/>
        <v>67.416000000000011</v>
      </c>
      <c r="BJ5" s="60">
        <f t="shared" si="4"/>
        <v>113.04300000000001</v>
      </c>
      <c r="BK5" s="60">
        <f t="shared" si="5"/>
        <v>108.21700000000001</v>
      </c>
      <c r="BL5" s="60">
        <f t="shared" si="6"/>
        <v>58.007999999999988</v>
      </c>
      <c r="BM5" s="60">
        <f t="shared" si="7"/>
        <v>56.043000000000028</v>
      </c>
      <c r="BN5" s="60">
        <f t="shared" si="8"/>
        <v>94.444999999999993</v>
      </c>
      <c r="BO5" s="60">
        <f t="shared" si="9"/>
        <v>221.24499999999995</v>
      </c>
      <c r="BP5" s="60">
        <f t="shared" si="10"/>
        <v>345.98099999999994</v>
      </c>
      <c r="BQ5" s="60">
        <f t="shared" si="11"/>
        <v>554.42200000000003</v>
      </c>
      <c r="BR5" s="60">
        <f t="shared" si="12"/>
        <v>974.59500000000003</v>
      </c>
      <c r="BS5" s="60">
        <f t="shared" si="13"/>
        <v>1058.3879999999999</v>
      </c>
    </row>
    <row r="6" spans="1:215" x14ac:dyDescent="0.3">
      <c r="A6" t="s">
        <v>22</v>
      </c>
      <c r="B6" s="4"/>
      <c r="C6" s="60">
        <v>5.3449999999999998</v>
      </c>
      <c r="D6" s="60">
        <v>6.1429999999999998</v>
      </c>
      <c r="E6" s="60">
        <v>6.431</v>
      </c>
      <c r="F6" s="60">
        <f>25.099-SUM(C6:E6)</f>
        <v>7.18</v>
      </c>
      <c r="G6" s="60">
        <v>7.8419999999999996</v>
      </c>
      <c r="H6" s="60">
        <v>8.6549999999999994</v>
      </c>
      <c r="I6" s="60">
        <v>10.571</v>
      </c>
      <c r="J6" s="60">
        <f>35.601-SUM(G6:I6)</f>
        <v>8.5330000000000013</v>
      </c>
      <c r="K6" s="60">
        <v>9.0259999999999998</v>
      </c>
      <c r="L6" s="60">
        <v>8.484</v>
      </c>
      <c r="M6" s="60">
        <v>8.2929999999999993</v>
      </c>
      <c r="N6" s="60">
        <f>34.524-SUM(K6:M6)</f>
        <v>8.7210000000000036</v>
      </c>
      <c r="O6" s="60">
        <v>9.0860000000000003</v>
      </c>
      <c r="P6" s="60">
        <v>11.148</v>
      </c>
      <c r="Q6" s="60">
        <v>12.112</v>
      </c>
      <c r="R6" s="60">
        <f>45.386-SUM(O6:Q6)</f>
        <v>13.04</v>
      </c>
      <c r="S6" s="60">
        <v>13.43</v>
      </c>
      <c r="T6" s="60">
        <v>12.786</v>
      </c>
      <c r="U6" s="60">
        <v>12.058999999999999</v>
      </c>
      <c r="V6" s="60">
        <f>50.819-SUM(S6:U6)</f>
        <v>12.544000000000004</v>
      </c>
      <c r="W6" s="60">
        <v>13.066000000000001</v>
      </c>
      <c r="X6" s="60">
        <v>13.090999999999999</v>
      </c>
      <c r="Y6" s="60">
        <v>13.169</v>
      </c>
      <c r="Z6" s="60">
        <f>50.703-SUM(W6:Y6)</f>
        <v>11.377000000000002</v>
      </c>
      <c r="AA6" s="60">
        <v>9.6050000000000004</v>
      </c>
      <c r="AB6" s="60">
        <v>7.9470000000000001</v>
      </c>
      <c r="AC6" s="60">
        <v>7.3970000000000002</v>
      </c>
      <c r="AD6" s="60">
        <f>33.157-SUM(AA6:AC6)</f>
        <v>8.2079999999999984</v>
      </c>
      <c r="AE6" s="60">
        <v>7.62</v>
      </c>
      <c r="AF6" s="60">
        <v>9.4619999999999997</v>
      </c>
      <c r="AG6" s="60">
        <v>8.1649999999999991</v>
      </c>
      <c r="AH6" s="60">
        <f>32.587-SUM(AE6:AG6)</f>
        <v>7.3400000000000034</v>
      </c>
      <c r="AI6" s="60">
        <v>8.5239999999999991</v>
      </c>
      <c r="AJ6" s="60">
        <v>9.6039999999999992</v>
      </c>
      <c r="AK6" s="60">
        <v>11.085000000000001</v>
      </c>
      <c r="AL6" s="60">
        <f>40.381-SUM(AI6:AK6)</f>
        <v>11.167999999999999</v>
      </c>
      <c r="AM6" s="60">
        <v>11.875999999999999</v>
      </c>
      <c r="AN6" s="60">
        <v>13.192</v>
      </c>
      <c r="AO6" s="60">
        <v>15.052</v>
      </c>
      <c r="AP6" s="60">
        <v>15.801</v>
      </c>
      <c r="AQ6" s="60">
        <v>21.818000000000001</v>
      </c>
      <c r="AR6" s="60">
        <v>22.707999999999998</v>
      </c>
      <c r="AS6" s="60">
        <v>29.411000000000001</v>
      </c>
      <c r="AT6" s="60">
        <v>31.588999999999999</v>
      </c>
      <c r="AU6" s="60">
        <v>35.719000000000001</v>
      </c>
      <c r="AV6" s="60">
        <v>39.256</v>
      </c>
      <c r="AW6" s="60">
        <v>44.188000000000002</v>
      </c>
      <c r="AX6" s="60">
        <v>49.683</v>
      </c>
      <c r="AY6" s="60">
        <v>57.128999999999998</v>
      </c>
      <c r="AZ6" s="60">
        <v>60.042999999999999</v>
      </c>
      <c r="BA6" s="60">
        <v>54.872999999999998</v>
      </c>
      <c r="BB6" s="60">
        <v>55.290999999999997</v>
      </c>
      <c r="BC6" s="60">
        <v>54.210999999999999</v>
      </c>
      <c r="BD6" s="60">
        <v>48.871000000000002</v>
      </c>
      <c r="BE6" s="4"/>
      <c r="BF6" s="4"/>
      <c r="BG6" s="60">
        <f t="shared" si="1"/>
        <v>25.099</v>
      </c>
      <c r="BH6" s="60">
        <f t="shared" si="2"/>
        <v>35.600999999999999</v>
      </c>
      <c r="BI6" s="60">
        <f t="shared" si="3"/>
        <v>34.524000000000001</v>
      </c>
      <c r="BJ6" s="60">
        <f t="shared" si="4"/>
        <v>45.386000000000003</v>
      </c>
      <c r="BK6" s="60">
        <f t="shared" si="5"/>
        <v>50.819000000000003</v>
      </c>
      <c r="BL6" s="60">
        <f t="shared" si="6"/>
        <v>50.703000000000003</v>
      </c>
      <c r="BM6" s="60">
        <f t="shared" si="7"/>
        <v>33.156999999999996</v>
      </c>
      <c r="BN6" s="60">
        <f t="shared" si="8"/>
        <v>32.587000000000003</v>
      </c>
      <c r="BO6" s="60">
        <f t="shared" si="9"/>
        <v>40.381</v>
      </c>
      <c r="BP6" s="60">
        <f t="shared" si="10"/>
        <v>55.920999999999999</v>
      </c>
      <c r="BQ6" s="60">
        <f t="shared" si="11"/>
        <v>105.526</v>
      </c>
      <c r="BR6" s="60">
        <f t="shared" si="12"/>
        <v>168.846</v>
      </c>
      <c r="BS6" s="60">
        <f t="shared" si="13"/>
        <v>227.33599999999998</v>
      </c>
    </row>
    <row r="7" spans="1:215" x14ac:dyDescent="0.3">
      <c r="A7" t="s">
        <v>23</v>
      </c>
      <c r="B7" s="4"/>
      <c r="C7" s="60">
        <v>3.01</v>
      </c>
      <c r="D7" s="60">
        <v>4.2649999999999997</v>
      </c>
      <c r="E7" s="60">
        <v>4.5670000000000002</v>
      </c>
      <c r="F7" s="60">
        <f>17.454-SUM(C7:E7)</f>
        <v>5.6120000000000019</v>
      </c>
      <c r="G7" s="60">
        <v>5.0490000000000004</v>
      </c>
      <c r="H7" s="60">
        <v>6.36</v>
      </c>
      <c r="I7" s="60">
        <v>7.0389999999999997</v>
      </c>
      <c r="J7" s="60">
        <f>25.973-SUM(G7:I7)</f>
        <v>7.5249999999999986</v>
      </c>
      <c r="K7" s="60">
        <v>6.85</v>
      </c>
      <c r="L7" s="60">
        <v>7.3650000000000002</v>
      </c>
      <c r="M7" s="60">
        <v>8.5500000000000007</v>
      </c>
      <c r="N7" s="60">
        <f>31.08-SUM(K7:M7)</f>
        <v>8.3149999999999977</v>
      </c>
      <c r="O7" s="60">
        <v>8.8279999999999994</v>
      </c>
      <c r="P7" s="60">
        <v>10.493</v>
      </c>
      <c r="Q7" s="60">
        <v>9.8840000000000003</v>
      </c>
      <c r="R7" s="60">
        <f>41.003-SUM(O7:Q7)</f>
        <v>11.798000000000002</v>
      </c>
      <c r="S7" s="60">
        <v>11.936999999999999</v>
      </c>
      <c r="T7" s="60">
        <v>12.507999999999999</v>
      </c>
      <c r="U7" s="60">
        <v>10.51</v>
      </c>
      <c r="V7" s="60">
        <f>45.877-SUM(S7:U7)</f>
        <v>10.922000000000004</v>
      </c>
      <c r="W7" s="60">
        <v>10.215</v>
      </c>
      <c r="X7" s="60">
        <v>9.9870000000000001</v>
      </c>
      <c r="Y7" s="60">
        <v>11.016</v>
      </c>
      <c r="Z7" s="60">
        <f>38.81-SUM(W7:Y7)</f>
        <v>7.5920000000000059</v>
      </c>
      <c r="AA7" s="60">
        <v>6.4580000000000002</v>
      </c>
      <c r="AB7" s="60">
        <v>6.274</v>
      </c>
      <c r="AC7" s="60">
        <v>5.4530000000000003</v>
      </c>
      <c r="AD7" s="60">
        <f>23.126-SUM(AA7:AC7)</f>
        <v>4.9410000000000025</v>
      </c>
      <c r="AE7" s="61">
        <f>6.227</f>
        <v>6.2270000000000003</v>
      </c>
      <c r="AF7" s="61">
        <v>6.8280000000000003</v>
      </c>
      <c r="AG7" s="61">
        <v>7.375</v>
      </c>
      <c r="AH7" s="60">
        <f>27.047-SUM(AE7:AG7)</f>
        <v>6.6170000000000009</v>
      </c>
      <c r="AI7" s="61">
        <v>7.4329999999999998</v>
      </c>
      <c r="AJ7" s="61">
        <v>9.0540000000000003</v>
      </c>
      <c r="AK7" s="61">
        <v>9.5510000000000002</v>
      </c>
      <c r="AL7" s="60">
        <f>36.728-SUM(AI7:AK7)</f>
        <v>10.689999999999998</v>
      </c>
      <c r="AM7" s="60">
        <v>11.772</v>
      </c>
      <c r="AN7" s="60">
        <v>12.371</v>
      </c>
      <c r="AO7" s="60">
        <v>14.645</v>
      </c>
      <c r="AP7" s="60">
        <v>14.138999999999999</v>
      </c>
      <c r="AQ7" s="60">
        <v>19.622</v>
      </c>
      <c r="AR7" s="60">
        <v>25.585999999999999</v>
      </c>
      <c r="AS7" s="60">
        <v>39.295999999999999</v>
      </c>
      <c r="AT7" s="60">
        <v>44.47</v>
      </c>
      <c r="AU7" s="60">
        <v>41.344000000000001</v>
      </c>
      <c r="AV7" s="60">
        <v>53.588000000000001</v>
      </c>
      <c r="AW7" s="60">
        <v>55.256999999999998</v>
      </c>
      <c r="AX7" s="60">
        <v>64.912999999999997</v>
      </c>
      <c r="AY7" s="60">
        <v>64.620999999999995</v>
      </c>
      <c r="AZ7" s="60">
        <v>58.405000000000001</v>
      </c>
      <c r="BA7" s="60">
        <v>55.356999999999999</v>
      </c>
      <c r="BB7" s="60">
        <v>53.408999999999999</v>
      </c>
      <c r="BC7" s="60">
        <v>53.307000000000002</v>
      </c>
      <c r="BD7" s="60">
        <v>51.774999999999999</v>
      </c>
      <c r="BE7" s="4"/>
      <c r="BF7" s="4"/>
      <c r="BG7" s="60">
        <f t="shared" si="1"/>
        <v>17.454000000000001</v>
      </c>
      <c r="BH7" s="60">
        <f t="shared" si="2"/>
        <v>25.972999999999999</v>
      </c>
      <c r="BI7" s="60">
        <f t="shared" si="3"/>
        <v>31.08</v>
      </c>
      <c r="BJ7" s="60">
        <f t="shared" si="4"/>
        <v>41.003</v>
      </c>
      <c r="BK7" s="60">
        <f t="shared" si="5"/>
        <v>45.877000000000002</v>
      </c>
      <c r="BL7" s="60">
        <f t="shared" si="6"/>
        <v>38.81</v>
      </c>
      <c r="BM7" s="60">
        <f t="shared" si="7"/>
        <v>23.126000000000001</v>
      </c>
      <c r="BN7" s="60">
        <f t="shared" si="8"/>
        <v>27.047000000000001</v>
      </c>
      <c r="BO7" s="60">
        <f t="shared" si="9"/>
        <v>36.728000000000002</v>
      </c>
      <c r="BP7" s="60">
        <f t="shared" si="10"/>
        <v>52.926999999999992</v>
      </c>
      <c r="BQ7" s="60">
        <f t="shared" si="11"/>
        <v>128.97399999999999</v>
      </c>
      <c r="BR7" s="60">
        <f t="shared" si="12"/>
        <v>215.10199999999998</v>
      </c>
      <c r="BS7" s="60">
        <f t="shared" si="13"/>
        <v>231.79199999999997</v>
      </c>
    </row>
    <row r="8" spans="1:215" x14ac:dyDescent="0.3">
      <c r="A8" t="s">
        <v>24</v>
      </c>
      <c r="B8" s="4"/>
      <c r="C8" s="60">
        <v>3.25</v>
      </c>
      <c r="D8" s="60">
        <v>3.8889999999999998</v>
      </c>
      <c r="E8" s="60">
        <v>3.98</v>
      </c>
      <c r="F8" s="60">
        <f>15.228-SUM(C8:E8)</f>
        <v>4.109</v>
      </c>
      <c r="G8" s="60">
        <v>5.6959999999999997</v>
      </c>
      <c r="H8" s="60">
        <v>6.0910000000000002</v>
      </c>
      <c r="I8" s="60">
        <v>6.9109999999999996</v>
      </c>
      <c r="J8" s="60">
        <f>24.875-SUM(G8:I8)</f>
        <v>6.1769999999999996</v>
      </c>
      <c r="K8" s="60">
        <v>6.0359999999999996</v>
      </c>
      <c r="L8" s="60">
        <v>5.9260000000000002</v>
      </c>
      <c r="M8" s="60">
        <v>5.9370000000000003</v>
      </c>
      <c r="N8" s="60">
        <f>23.97-SUM(K8:M8)</f>
        <v>6.070999999999998</v>
      </c>
      <c r="O8" s="60">
        <v>6.5259999999999998</v>
      </c>
      <c r="P8" s="60">
        <v>7.6790000000000003</v>
      </c>
      <c r="Q8" s="60">
        <v>8.6319999999999997</v>
      </c>
      <c r="R8" s="60">
        <f>31.083-SUM(O8:Q8)</f>
        <v>8.2459999999999987</v>
      </c>
      <c r="S8" s="60">
        <v>8.2050000000000001</v>
      </c>
      <c r="T8" s="60">
        <v>8.1020000000000003</v>
      </c>
      <c r="U8" s="60">
        <v>7.1180000000000003</v>
      </c>
      <c r="V8" s="60">
        <f>30.83-SUM(S8:U8)</f>
        <v>7.404999999999994</v>
      </c>
      <c r="W8" s="60">
        <v>7.5670000000000002</v>
      </c>
      <c r="X8" s="60">
        <v>6.8460000000000001</v>
      </c>
      <c r="Y8" s="60">
        <v>6.7080000000000002</v>
      </c>
      <c r="Z8" s="60">
        <f>27.418-SUM(W8:Y8)</f>
        <v>6.296999999999997</v>
      </c>
      <c r="AA8" s="60">
        <v>5.8330000000000002</v>
      </c>
      <c r="AB8" s="60">
        <v>4.9640000000000004</v>
      </c>
      <c r="AC8" s="60">
        <v>5.4409999999999998</v>
      </c>
      <c r="AD8" s="60">
        <f>22.221-SUM(AA8:AC8)</f>
        <v>5.9830000000000005</v>
      </c>
      <c r="AE8" s="60">
        <v>6.9429999999999996</v>
      </c>
      <c r="AF8" s="60">
        <v>6.9690000000000003</v>
      </c>
      <c r="AG8" s="60">
        <v>7.51</v>
      </c>
      <c r="AH8" s="60">
        <f>29.086-SUM(AE8:AG8)</f>
        <v>7.6640000000000015</v>
      </c>
      <c r="AI8" s="60">
        <v>9.8800000000000008</v>
      </c>
      <c r="AJ8" s="60">
        <v>8.5830000000000002</v>
      </c>
      <c r="AK8" s="60">
        <v>9.8949999999999996</v>
      </c>
      <c r="AL8" s="60">
        <f>38.808-SUM(AI8:AK8)</f>
        <v>10.45</v>
      </c>
      <c r="AM8" s="60">
        <v>12.315</v>
      </c>
      <c r="AN8" s="60">
        <v>11.97</v>
      </c>
      <c r="AO8" s="60">
        <v>13.525</v>
      </c>
      <c r="AP8" s="60">
        <v>12.884</v>
      </c>
      <c r="AQ8" s="60">
        <v>20.123000000000001</v>
      </c>
      <c r="AR8" s="60">
        <v>20.106999999999999</v>
      </c>
      <c r="AS8" s="60">
        <v>34.299999999999997</v>
      </c>
      <c r="AT8" s="60">
        <v>29.56</v>
      </c>
      <c r="AU8" s="60">
        <v>38.085999999999999</v>
      </c>
      <c r="AV8" s="60">
        <v>32.125</v>
      </c>
      <c r="AW8" s="60">
        <v>32.436</v>
      </c>
      <c r="AX8" s="60">
        <v>37.354999999999997</v>
      </c>
      <c r="AY8" s="60">
        <v>36.265000000000001</v>
      </c>
      <c r="AZ8" s="60">
        <v>34.396999999999998</v>
      </c>
      <c r="BA8" s="60">
        <v>33.893999999999998</v>
      </c>
      <c r="BB8" s="60">
        <v>33.378999999999998</v>
      </c>
      <c r="BC8" s="60">
        <v>35.182000000000002</v>
      </c>
      <c r="BD8" s="60">
        <v>33.549999999999997</v>
      </c>
      <c r="BE8" s="4"/>
      <c r="BF8" s="4"/>
      <c r="BG8" s="60">
        <f t="shared" si="1"/>
        <v>15.228</v>
      </c>
      <c r="BH8" s="60">
        <f t="shared" si="2"/>
        <v>24.875</v>
      </c>
      <c r="BI8" s="60">
        <f t="shared" si="3"/>
        <v>23.97</v>
      </c>
      <c r="BJ8" s="60">
        <f t="shared" si="4"/>
        <v>31.082999999999998</v>
      </c>
      <c r="BK8" s="60">
        <f t="shared" si="5"/>
        <v>30.83</v>
      </c>
      <c r="BL8" s="60">
        <f t="shared" si="6"/>
        <v>27.417999999999999</v>
      </c>
      <c r="BM8" s="60">
        <f t="shared" si="7"/>
        <v>22.221</v>
      </c>
      <c r="BN8" s="60">
        <f t="shared" si="8"/>
        <v>29.085999999999999</v>
      </c>
      <c r="BO8" s="60">
        <f t="shared" si="9"/>
        <v>38.808</v>
      </c>
      <c r="BP8" s="60">
        <f t="shared" si="10"/>
        <v>50.694000000000003</v>
      </c>
      <c r="BQ8" s="60">
        <f t="shared" si="11"/>
        <v>104.09</v>
      </c>
      <c r="BR8" s="60">
        <f t="shared" si="12"/>
        <v>140.00199999999998</v>
      </c>
      <c r="BS8" s="60">
        <f t="shared" si="13"/>
        <v>137.935</v>
      </c>
    </row>
    <row r="9" spans="1:215" x14ac:dyDescent="0.3">
      <c r="A9" t="s">
        <v>25</v>
      </c>
      <c r="B9" s="4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  <c r="P9" s="60">
        <v>0</v>
      </c>
      <c r="Q9" s="60">
        <v>0</v>
      </c>
      <c r="R9" s="60">
        <v>0</v>
      </c>
      <c r="S9" s="60">
        <v>0</v>
      </c>
      <c r="T9" s="60">
        <v>0</v>
      </c>
      <c r="U9" s="60">
        <v>0</v>
      </c>
      <c r="V9" s="60">
        <v>0</v>
      </c>
      <c r="W9" s="60">
        <v>0</v>
      </c>
      <c r="X9" s="60">
        <v>0</v>
      </c>
      <c r="Y9" s="60">
        <v>2.7170000000000001</v>
      </c>
      <c r="Z9" s="60">
        <f>3.777-SUM(W9:Y9)</f>
        <v>1.06</v>
      </c>
      <c r="AA9" s="60">
        <v>7.2469999999999999</v>
      </c>
      <c r="AB9" s="60">
        <v>3.609</v>
      </c>
      <c r="AC9" s="60">
        <v>4.0709999999999997</v>
      </c>
      <c r="AD9" s="60">
        <f>16.917-SUM(AA9:AC9)</f>
        <v>1.990000000000002</v>
      </c>
      <c r="AE9" s="60">
        <v>0</v>
      </c>
      <c r="AF9" s="60">
        <v>0</v>
      </c>
      <c r="AG9" s="60">
        <v>2.5880000000000001</v>
      </c>
      <c r="AH9" s="60">
        <f>4.129-SUM(AE9:AG9)</f>
        <v>1.5409999999999995</v>
      </c>
      <c r="AI9" s="60">
        <v>0.36799999999999999</v>
      </c>
      <c r="AJ9" s="60">
        <v>0.63100000000000001</v>
      </c>
      <c r="AK9" s="60">
        <v>0.46899999999999997</v>
      </c>
      <c r="AL9" s="60">
        <f>2.599-SUM(AI9:AK9)</f>
        <v>1.1310000000000002</v>
      </c>
      <c r="AM9" s="60">
        <v>0</v>
      </c>
      <c r="AN9" s="60">
        <v>0</v>
      </c>
      <c r="AO9" s="60">
        <v>0</v>
      </c>
      <c r="AP9" s="60">
        <v>0</v>
      </c>
      <c r="AQ9" s="60">
        <v>0</v>
      </c>
      <c r="AR9" s="60">
        <v>0</v>
      </c>
      <c r="AS9" s="60">
        <v>0</v>
      </c>
      <c r="AT9" s="60">
        <v>0</v>
      </c>
      <c r="AU9" s="60">
        <v>0</v>
      </c>
      <c r="AV9" s="60">
        <v>0</v>
      </c>
      <c r="AW9" s="60">
        <v>0.59399999999999997</v>
      </c>
      <c r="AX9" s="60">
        <v>1.79</v>
      </c>
      <c r="AY9" s="60">
        <v>0.69299999999999995</v>
      </c>
      <c r="AZ9" s="60">
        <v>0.17699999999999999</v>
      </c>
      <c r="BA9" s="60">
        <v>0</v>
      </c>
      <c r="BB9" s="60">
        <v>14.814</v>
      </c>
      <c r="BC9" s="60">
        <v>1.907</v>
      </c>
      <c r="BD9" s="60">
        <v>1.171</v>
      </c>
      <c r="BE9" s="4"/>
      <c r="BF9" s="4"/>
      <c r="BG9" s="60">
        <f t="shared" si="1"/>
        <v>0</v>
      </c>
      <c r="BH9" s="60">
        <f t="shared" si="2"/>
        <v>0</v>
      </c>
      <c r="BI9" s="60">
        <f t="shared" si="3"/>
        <v>0</v>
      </c>
      <c r="BJ9" s="60">
        <f t="shared" si="4"/>
        <v>0</v>
      </c>
      <c r="BK9" s="60">
        <f t="shared" si="5"/>
        <v>0</v>
      </c>
      <c r="BL9" s="60">
        <f t="shared" si="6"/>
        <v>3.7770000000000001</v>
      </c>
      <c r="BM9" s="60">
        <f t="shared" si="7"/>
        <v>16.917000000000002</v>
      </c>
      <c r="BN9" s="60">
        <f t="shared" si="8"/>
        <v>4.1289999999999996</v>
      </c>
      <c r="BO9" s="60">
        <f t="shared" si="9"/>
        <v>2.5990000000000002</v>
      </c>
      <c r="BP9" s="60">
        <f t="shared" si="10"/>
        <v>0</v>
      </c>
      <c r="BQ9" s="60">
        <f t="shared" si="11"/>
        <v>0</v>
      </c>
      <c r="BR9" s="60">
        <f t="shared" si="12"/>
        <v>2.3839999999999999</v>
      </c>
      <c r="BS9" s="60">
        <f t="shared" si="13"/>
        <v>15.683999999999999</v>
      </c>
    </row>
    <row r="10" spans="1:215" x14ac:dyDescent="0.3">
      <c r="A10" t="s">
        <v>26</v>
      </c>
      <c r="B10" s="4"/>
      <c r="C10" s="60">
        <f>C5-C6-C7-C8-C9</f>
        <v>-8.9570000000000007</v>
      </c>
      <c r="D10" s="60">
        <f t="shared" ref="D10:K10" si="17">D5-D6-D7-D8-D9</f>
        <v>-9.49</v>
      </c>
      <c r="E10" s="60">
        <f t="shared" si="17"/>
        <v>-6.4350000000000005</v>
      </c>
      <c r="F10" s="60">
        <f t="shared" si="17"/>
        <v>-3.8300000000000036</v>
      </c>
      <c r="G10" s="60">
        <f t="shared" si="17"/>
        <v>-9.2799999999999976</v>
      </c>
      <c r="H10" s="60">
        <f t="shared" si="17"/>
        <v>-7.5049999999999937</v>
      </c>
      <c r="I10" s="60">
        <f t="shared" si="17"/>
        <v>-8.1969999999999938</v>
      </c>
      <c r="J10" s="60">
        <f t="shared" si="17"/>
        <v>-6.1790000000000163</v>
      </c>
      <c r="K10" s="60">
        <f t="shared" si="17"/>
        <v>-9.7109999999999985</v>
      </c>
      <c r="L10" s="60">
        <f>L5-L6-L7-L8-L9</f>
        <v>-5.4910000000000014</v>
      </c>
      <c r="M10" s="60">
        <f>M5-M6-M7-M8-M9</f>
        <v>-5.344999999999998</v>
      </c>
      <c r="N10" s="60">
        <f t="shared" ref="N10:S10" si="18">N5-N6-N7-N8-N9</f>
        <v>-1.61099999999999</v>
      </c>
      <c r="O10" s="60">
        <f t="shared" si="18"/>
        <v>-5.7849999999999984</v>
      </c>
      <c r="P10" s="60">
        <f t="shared" si="18"/>
        <v>-2.4879999999999924</v>
      </c>
      <c r="Q10" s="60">
        <f t="shared" si="18"/>
        <v>1.8929999999999989</v>
      </c>
      <c r="R10" s="60">
        <f t="shared" si="18"/>
        <v>1.950999999999997</v>
      </c>
      <c r="S10" s="60">
        <f t="shared" si="18"/>
        <v>-5.5479999999999912</v>
      </c>
      <c r="T10" s="60">
        <f>T5-T6-T7-T8-T9</f>
        <v>-0.36899999999999977</v>
      </c>
      <c r="U10" s="60">
        <f>U5-U6-U7-U8-U9</f>
        <v>1.7789999999999964</v>
      </c>
      <c r="V10" s="60">
        <f t="shared" ref="V10:AA10" si="19">V5-V6-V7-V8-V9</f>
        <v>-15.170999999999985</v>
      </c>
      <c r="W10" s="60">
        <f t="shared" si="19"/>
        <v>-19.088000000000001</v>
      </c>
      <c r="X10" s="60">
        <f t="shared" si="19"/>
        <v>-15.788000000000004</v>
      </c>
      <c r="Y10" s="60">
        <f t="shared" si="19"/>
        <v>-17.731000000000009</v>
      </c>
      <c r="Z10" s="60">
        <f t="shared" si="19"/>
        <v>-10.093000000000002</v>
      </c>
      <c r="AA10" s="60">
        <f t="shared" si="19"/>
        <v>-22.095000000000006</v>
      </c>
      <c r="AB10" s="60">
        <f t="shared" ref="AB10:AL10" si="20">AB5-AB6-AB7-AB8-AB9</f>
        <v>-9.2440000000000033</v>
      </c>
      <c r="AC10" s="60">
        <f t="shared" si="20"/>
        <v>-5.9010000000000016</v>
      </c>
      <c r="AD10" s="60">
        <f t="shared" si="20"/>
        <v>-2.1379999999999661</v>
      </c>
      <c r="AE10" s="60">
        <f t="shared" si="20"/>
        <v>-2.4750000000000032</v>
      </c>
      <c r="AF10" s="60">
        <f t="shared" si="20"/>
        <v>-0.55799999999999983</v>
      </c>
      <c r="AG10" s="60">
        <f t="shared" si="20"/>
        <v>-0.37400000000000322</v>
      </c>
      <c r="AH10" s="60">
        <f t="shared" si="20"/>
        <v>5.0029999999999868</v>
      </c>
      <c r="AI10" s="60">
        <f t="shared" si="20"/>
        <v>7.1339999999999968</v>
      </c>
      <c r="AJ10" s="60">
        <f t="shared" si="20"/>
        <v>17.446999999999989</v>
      </c>
      <c r="AK10" s="60">
        <f t="shared" si="20"/>
        <v>33.705999999999982</v>
      </c>
      <c r="AL10" s="60">
        <f t="shared" si="20"/>
        <v>44.441999999999965</v>
      </c>
      <c r="AM10" s="60">
        <f t="shared" ref="AM10:AZ10" si="21">AM5-SUM(AM6:AM9)</f>
        <v>44.711999999999982</v>
      </c>
      <c r="AN10" s="60">
        <f t="shared" si="21"/>
        <v>10.853999999999999</v>
      </c>
      <c r="AO10" s="60">
        <f t="shared" si="21"/>
        <v>51.758999999999979</v>
      </c>
      <c r="AP10" s="60">
        <f t="shared" si="21"/>
        <v>79.11399999999999</v>
      </c>
      <c r="AQ10" s="60">
        <f t="shared" si="21"/>
        <v>61.38600000000001</v>
      </c>
      <c r="AR10" s="60">
        <f t="shared" si="21"/>
        <v>59.40000000000002</v>
      </c>
      <c r="AS10" s="60">
        <f t="shared" si="21"/>
        <v>37.351000000000013</v>
      </c>
      <c r="AT10" s="60">
        <f t="shared" si="21"/>
        <v>57.694999999999993</v>
      </c>
      <c r="AU10" s="60">
        <f t="shared" si="21"/>
        <v>61.823999999999955</v>
      </c>
      <c r="AV10" s="60">
        <f t="shared" si="21"/>
        <v>94.036000000000058</v>
      </c>
      <c r="AW10" s="60">
        <f t="shared" si="21"/>
        <v>135.44099999999995</v>
      </c>
      <c r="AX10" s="60">
        <f t="shared" si="21"/>
        <v>156.96000000000004</v>
      </c>
      <c r="AY10" s="60">
        <f t="shared" si="21"/>
        <v>167.66299999999998</v>
      </c>
      <c r="AZ10" s="60">
        <f t="shared" si="21"/>
        <v>170.32000000000005</v>
      </c>
      <c r="BA10" s="60">
        <f>BA5-SUM(BA6:BA9)</f>
        <v>117.88899999999998</v>
      </c>
      <c r="BB10" s="60">
        <f>BB5-SUM(BB6:BB9)</f>
        <v>-10.230999999999966</v>
      </c>
      <c r="BC10" s="60">
        <f>BC5-SUM(BC6:BC9)</f>
        <v>-29.09899999999999</v>
      </c>
      <c r="BD10" s="60">
        <f>BD5-SUM(BD6:BD9)</f>
        <v>1.799000000000035</v>
      </c>
      <c r="BE10" s="4"/>
      <c r="BF10" s="4"/>
      <c r="BG10" s="60">
        <f t="shared" si="1"/>
        <v>-28.71200000000001</v>
      </c>
      <c r="BH10" s="60">
        <f t="shared" si="2"/>
        <v>-31.161000000000001</v>
      </c>
      <c r="BI10" s="60">
        <f t="shared" si="3"/>
        <v>-22.157999999999987</v>
      </c>
      <c r="BJ10" s="60">
        <f t="shared" si="4"/>
        <v>-4.4289999999999949</v>
      </c>
      <c r="BK10" s="60">
        <f t="shared" si="5"/>
        <v>-19.30899999999998</v>
      </c>
      <c r="BL10" s="60">
        <f t="shared" si="6"/>
        <v>-62.700000000000017</v>
      </c>
      <c r="BM10" s="60">
        <f t="shared" si="7"/>
        <v>-39.377999999999972</v>
      </c>
      <c r="BN10" s="60">
        <f t="shared" si="8"/>
        <v>1.5959999999999805</v>
      </c>
      <c r="BO10" s="60">
        <f t="shared" si="9"/>
        <v>102.72899999999993</v>
      </c>
      <c r="BP10" s="60">
        <f t="shared" si="10"/>
        <v>186.43899999999996</v>
      </c>
      <c r="BQ10" s="60">
        <f t="shared" si="11"/>
        <v>215.83200000000005</v>
      </c>
      <c r="BR10" s="60">
        <f t="shared" si="12"/>
        <v>448.26099999999997</v>
      </c>
      <c r="BS10" s="60">
        <f t="shared" si="13"/>
        <v>445.64100000000008</v>
      </c>
    </row>
    <row r="11" spans="1:215" x14ac:dyDescent="0.3">
      <c r="A11" t="s">
        <v>27</v>
      </c>
      <c r="B11" s="4"/>
      <c r="C11" s="60">
        <f>0.004-0.28-0.056</f>
        <v>-0.33200000000000002</v>
      </c>
      <c r="D11" s="60">
        <f>-0.46-0.338</f>
        <v>-0.79800000000000004</v>
      </c>
      <c r="E11" s="60">
        <f>-0.886+0.145</f>
        <v>-0.74099999999999999</v>
      </c>
      <c r="F11" s="60">
        <f>-3.578-(C11+D11+E11)</f>
        <v>-1.7069999999999999</v>
      </c>
      <c r="G11" s="60">
        <f>-1.479+0.64</f>
        <v>-0.83900000000000008</v>
      </c>
      <c r="H11" s="60">
        <f>0.014-3.405-0.338</f>
        <v>-3.7290000000000001</v>
      </c>
      <c r="I11" s="60">
        <f>0.003-0.527-0.056</f>
        <v>-0.58000000000000007</v>
      </c>
      <c r="J11" s="60">
        <f>-6.406-(G11+H11+I11)</f>
        <v>-1.2579999999999991</v>
      </c>
      <c r="K11" s="60">
        <v>-0.51300000000000001</v>
      </c>
      <c r="L11" s="60">
        <f>-0.781</f>
        <v>-0.78100000000000003</v>
      </c>
      <c r="M11" s="60">
        <v>-0.81499999999999995</v>
      </c>
      <c r="N11" s="60">
        <f>-2.892-(K11+L11+M11)</f>
        <v>-0.78299999999999992</v>
      </c>
      <c r="O11" s="60">
        <v>-0.34200000000000003</v>
      </c>
      <c r="P11" s="60">
        <v>-0.42799999999999999</v>
      </c>
      <c r="Q11" s="60">
        <v>-0.95299999999999996</v>
      </c>
      <c r="R11" s="60">
        <f>-2.857-(O11+P11+Q11)</f>
        <v>-1.1340000000000003</v>
      </c>
      <c r="S11" s="60">
        <v>-0.60499999999999998</v>
      </c>
      <c r="T11" s="60">
        <v>-8.0000000000000002E-3</v>
      </c>
      <c r="U11" s="60">
        <v>-0.84399999999999997</v>
      </c>
      <c r="V11" s="60">
        <f>-1.394-(S11+T11+U11)</f>
        <v>6.2999999999999945E-2</v>
      </c>
      <c r="W11" s="60">
        <v>0.52900000000000003</v>
      </c>
      <c r="X11" s="60">
        <v>-0.59099999999999997</v>
      </c>
      <c r="Y11" s="60">
        <f>-0.881</f>
        <v>-0.88100000000000001</v>
      </c>
      <c r="Z11" s="60">
        <f>-3.287-(W11+X11+Y11)</f>
        <v>-2.3439999999999999</v>
      </c>
      <c r="AA11" s="60">
        <v>-1.079</v>
      </c>
      <c r="AB11" s="60">
        <v>-1.992</v>
      </c>
      <c r="AC11" s="60">
        <v>-1.137</v>
      </c>
      <c r="AD11" s="60">
        <f>-5.963-(AA11+AB11+AC11)</f>
        <v>-1.7549999999999999</v>
      </c>
      <c r="AE11" s="60">
        <v>-2.4180000000000001</v>
      </c>
      <c r="AF11" s="60">
        <v>-2.8410000000000002</v>
      </c>
      <c r="AG11" s="60">
        <v>-2.8479999999999999</v>
      </c>
      <c r="AH11" s="60">
        <f>-11.825-(AE11+AF11+AG11)</f>
        <v>-3.718</v>
      </c>
      <c r="AI11" s="60">
        <v>-4.0209999999999999</v>
      </c>
      <c r="AJ11" s="60">
        <v>-6.2380000000000004</v>
      </c>
      <c r="AK11" s="60">
        <v>-2.335</v>
      </c>
      <c r="AL11" s="60">
        <f>-12.615-(AI11+AJ11+AK11)</f>
        <v>-2.0999999999999019E-2</v>
      </c>
      <c r="AM11" s="60">
        <v>12.356</v>
      </c>
      <c r="AN11" s="60">
        <v>-64.709000000000003</v>
      </c>
      <c r="AO11" s="60">
        <f>0.11-5.993-1.031</f>
        <v>-6.9139999999999997</v>
      </c>
      <c r="AP11" s="60">
        <f>0.673-5.901-2.534</f>
        <v>-7.7619999999999996</v>
      </c>
      <c r="AQ11" s="60">
        <f>0.073-7.329+0.573-56.369</f>
        <v>-63.052</v>
      </c>
      <c r="AR11" s="60">
        <f>0.098-12.506-0.633-0.013</f>
        <v>-13.054</v>
      </c>
      <c r="AS11" s="60">
        <f>0.11-12.628+0.874</f>
        <v>-11.644</v>
      </c>
      <c r="AT11" s="60">
        <f>0.414-12.689+5.236-0.115</f>
        <v>-7.1540000000000008</v>
      </c>
      <c r="AU11" s="60">
        <f>0.46-2.736-2.141</f>
        <v>-4.4169999999999998</v>
      </c>
      <c r="AV11" s="60">
        <f>0.796-2.168-0.456</f>
        <v>-1.8280000000000001</v>
      </c>
      <c r="AW11" s="60">
        <f>3.68-2.255-2.611</f>
        <v>-1.1859999999999999</v>
      </c>
      <c r="AX11" s="60">
        <f>8.72-2.279+4.777</f>
        <v>11.218</v>
      </c>
      <c r="AY11" s="60">
        <f>13.04-2.156+0.426</f>
        <v>11.309999999999999</v>
      </c>
      <c r="AZ11" s="60">
        <f>16.526-2.219-0.033</f>
        <v>14.274000000000001</v>
      </c>
      <c r="BA11" s="60">
        <v>19.356000000000002</v>
      </c>
      <c r="BB11" s="60">
        <v>22.457999999999998</v>
      </c>
      <c r="BC11" s="60">
        <v>17.600000000000001</v>
      </c>
      <c r="BD11" s="60">
        <v>9.4169999999999998</v>
      </c>
      <c r="BE11" s="4"/>
      <c r="BF11" s="4"/>
      <c r="BG11" s="60">
        <f t="shared" si="1"/>
        <v>-3.5779999999999998</v>
      </c>
      <c r="BH11" s="60">
        <f t="shared" si="2"/>
        <v>-6.4059999999999997</v>
      </c>
      <c r="BI11" s="60">
        <f t="shared" si="3"/>
        <v>-2.8919999999999999</v>
      </c>
      <c r="BJ11" s="60">
        <f t="shared" si="4"/>
        <v>-2.8570000000000002</v>
      </c>
      <c r="BK11" s="60">
        <f t="shared" si="5"/>
        <v>-1.3939999999999999</v>
      </c>
      <c r="BL11" s="60">
        <f t="shared" si="6"/>
        <v>-3.2869999999999999</v>
      </c>
      <c r="BM11" s="60">
        <f t="shared" si="7"/>
        <v>-5.9630000000000001</v>
      </c>
      <c r="BN11" s="60">
        <f t="shared" si="8"/>
        <v>-11.824999999999999</v>
      </c>
      <c r="BO11" s="60">
        <f t="shared" si="9"/>
        <v>-12.615</v>
      </c>
      <c r="BP11" s="60">
        <f t="shared" si="10"/>
        <v>-67.028999999999996</v>
      </c>
      <c r="BQ11" s="60">
        <f t="shared" si="11"/>
        <v>-94.903999999999996</v>
      </c>
      <c r="BR11" s="60">
        <f t="shared" si="12"/>
        <v>3.7869999999999999</v>
      </c>
      <c r="BS11" s="60">
        <f t="shared" si="13"/>
        <v>67.397999999999996</v>
      </c>
    </row>
    <row r="12" spans="1:215" x14ac:dyDescent="0.3">
      <c r="A12" t="s">
        <v>28</v>
      </c>
      <c r="B12" s="4"/>
      <c r="C12" s="60">
        <f>C10+C11</f>
        <v>-9.2890000000000015</v>
      </c>
      <c r="D12" s="60">
        <f t="shared" ref="D12:K12" si="22">D10+D11</f>
        <v>-10.288</v>
      </c>
      <c r="E12" s="60">
        <f t="shared" si="22"/>
        <v>-7.1760000000000002</v>
      </c>
      <c r="F12" s="60">
        <f t="shared" si="22"/>
        <v>-5.5370000000000035</v>
      </c>
      <c r="G12" s="60">
        <f t="shared" si="22"/>
        <v>-10.118999999999998</v>
      </c>
      <c r="H12" s="60">
        <f t="shared" si="22"/>
        <v>-11.233999999999995</v>
      </c>
      <c r="I12" s="60">
        <f t="shared" si="22"/>
        <v>-8.7769999999999939</v>
      </c>
      <c r="J12" s="60">
        <f t="shared" si="22"/>
        <v>-7.4370000000000154</v>
      </c>
      <c r="K12" s="60">
        <f t="shared" si="22"/>
        <v>-10.223999999999998</v>
      </c>
      <c r="L12" s="60">
        <f>L10+L11</f>
        <v>-6.2720000000000011</v>
      </c>
      <c r="M12" s="60">
        <f>M10+M11</f>
        <v>-6.1599999999999984</v>
      </c>
      <c r="N12" s="60">
        <f t="shared" ref="N12:S12" si="23">N10+N11</f>
        <v>-2.3939999999999899</v>
      </c>
      <c r="O12" s="60">
        <f t="shared" si="23"/>
        <v>-6.126999999999998</v>
      </c>
      <c r="P12" s="60">
        <f t="shared" si="23"/>
        <v>-2.9159999999999924</v>
      </c>
      <c r="Q12" s="60">
        <f t="shared" si="23"/>
        <v>0.93999999999999895</v>
      </c>
      <c r="R12" s="60">
        <f t="shared" si="23"/>
        <v>0.81699999999999662</v>
      </c>
      <c r="S12" s="60">
        <f t="shared" si="23"/>
        <v>-6.1529999999999916</v>
      </c>
      <c r="T12" s="60">
        <f t="shared" ref="T12:AL12" si="24">T10+T11</f>
        <v>-0.37699999999999978</v>
      </c>
      <c r="U12" s="60">
        <f t="shared" si="24"/>
        <v>0.93499999999999639</v>
      </c>
      <c r="V12" s="60">
        <f t="shared" si="24"/>
        <v>-15.107999999999985</v>
      </c>
      <c r="W12" s="60">
        <f t="shared" si="24"/>
        <v>-18.559000000000001</v>
      </c>
      <c r="X12" s="60">
        <f t="shared" si="24"/>
        <v>-16.379000000000005</v>
      </c>
      <c r="Y12" s="60">
        <f t="shared" si="24"/>
        <v>-18.612000000000009</v>
      </c>
      <c r="Z12" s="60">
        <f t="shared" si="24"/>
        <v>-12.437000000000001</v>
      </c>
      <c r="AA12" s="60">
        <f t="shared" si="24"/>
        <v>-23.174000000000007</v>
      </c>
      <c r="AB12" s="60">
        <f t="shared" si="24"/>
        <v>-11.236000000000004</v>
      </c>
      <c r="AC12" s="60">
        <f t="shared" si="24"/>
        <v>-7.038000000000002</v>
      </c>
      <c r="AD12" s="60">
        <f t="shared" si="24"/>
        <v>-3.892999999999966</v>
      </c>
      <c r="AE12" s="60">
        <f t="shared" si="24"/>
        <v>-4.8930000000000033</v>
      </c>
      <c r="AF12" s="60">
        <f t="shared" si="24"/>
        <v>-3.399</v>
      </c>
      <c r="AG12" s="60">
        <f t="shared" si="24"/>
        <v>-3.2220000000000031</v>
      </c>
      <c r="AH12" s="60">
        <f t="shared" si="24"/>
        <v>1.2849999999999868</v>
      </c>
      <c r="AI12" s="60">
        <f t="shared" si="24"/>
        <v>3.1129999999999969</v>
      </c>
      <c r="AJ12" s="60">
        <f t="shared" si="24"/>
        <v>11.208999999999989</v>
      </c>
      <c r="AK12" s="60">
        <f t="shared" si="24"/>
        <v>31.370999999999981</v>
      </c>
      <c r="AL12" s="60">
        <f t="shared" si="24"/>
        <v>44.420999999999964</v>
      </c>
      <c r="AM12" s="60">
        <f t="shared" ref="AM12:AZ12" si="25">AM10+AM11</f>
        <v>57.067999999999984</v>
      </c>
      <c r="AN12" s="60">
        <f t="shared" si="25"/>
        <v>-53.855000000000004</v>
      </c>
      <c r="AO12" s="60">
        <f t="shared" si="25"/>
        <v>44.844999999999978</v>
      </c>
      <c r="AP12" s="60">
        <f t="shared" si="25"/>
        <v>71.35199999999999</v>
      </c>
      <c r="AQ12" s="60">
        <f t="shared" si="25"/>
        <v>-1.6659999999999897</v>
      </c>
      <c r="AR12" s="60">
        <f t="shared" si="25"/>
        <v>46.346000000000018</v>
      </c>
      <c r="AS12" s="60">
        <f t="shared" si="25"/>
        <v>25.707000000000015</v>
      </c>
      <c r="AT12" s="60">
        <f t="shared" si="25"/>
        <v>50.54099999999999</v>
      </c>
      <c r="AU12" s="60">
        <f t="shared" si="25"/>
        <v>57.406999999999954</v>
      </c>
      <c r="AV12" s="60">
        <f t="shared" si="25"/>
        <v>92.208000000000055</v>
      </c>
      <c r="AW12" s="60">
        <f t="shared" si="25"/>
        <v>134.25499999999994</v>
      </c>
      <c r="AX12" s="60">
        <f t="shared" si="25"/>
        <v>168.17800000000003</v>
      </c>
      <c r="AY12" s="60">
        <f t="shared" si="25"/>
        <v>178.97299999999998</v>
      </c>
      <c r="AZ12" s="60">
        <f t="shared" si="25"/>
        <v>184.59400000000005</v>
      </c>
      <c r="BA12" s="60">
        <f>BA10+BA11</f>
        <v>137.24499999999998</v>
      </c>
      <c r="BB12" s="60">
        <f>BB10+BB11</f>
        <v>12.227000000000032</v>
      </c>
      <c r="BC12" s="60">
        <f>BC10+BC11</f>
        <v>-11.498999999999988</v>
      </c>
      <c r="BD12" s="60">
        <f>BD10+BD11</f>
        <v>11.216000000000035</v>
      </c>
      <c r="BE12" s="4"/>
      <c r="BF12" s="4"/>
      <c r="BG12" s="60">
        <f t="shared" si="1"/>
        <v>-32.290000000000006</v>
      </c>
      <c r="BH12" s="60">
        <f t="shared" si="2"/>
        <v>-37.567000000000007</v>
      </c>
      <c r="BI12" s="60">
        <f t="shared" si="3"/>
        <v>-25.04999999999999</v>
      </c>
      <c r="BJ12" s="60">
        <f t="shared" si="4"/>
        <v>-7.2859999999999943</v>
      </c>
      <c r="BK12" s="60">
        <f t="shared" si="5"/>
        <v>-20.702999999999982</v>
      </c>
      <c r="BL12" s="60">
        <f t="shared" si="6"/>
        <v>-65.987000000000009</v>
      </c>
      <c r="BM12" s="60">
        <f t="shared" si="7"/>
        <v>-45.34099999999998</v>
      </c>
      <c r="BN12" s="60">
        <f t="shared" si="8"/>
        <v>-10.229000000000021</v>
      </c>
      <c r="BO12" s="60">
        <f t="shared" si="9"/>
        <v>90.113999999999933</v>
      </c>
      <c r="BP12" s="60">
        <f t="shared" si="10"/>
        <v>119.40999999999994</v>
      </c>
      <c r="BQ12" s="60">
        <f t="shared" si="11"/>
        <v>120.92800000000003</v>
      </c>
      <c r="BR12" s="60">
        <f t="shared" si="12"/>
        <v>452.048</v>
      </c>
      <c r="BS12" s="60">
        <f t="shared" si="13"/>
        <v>513.03899999999999</v>
      </c>
    </row>
    <row r="13" spans="1:215" x14ac:dyDescent="0.3">
      <c r="A13" t="s">
        <v>29</v>
      </c>
      <c r="B13" s="4"/>
      <c r="C13" s="60">
        <v>0</v>
      </c>
      <c r="D13" s="60">
        <v>0</v>
      </c>
      <c r="E13" s="60">
        <v>0</v>
      </c>
      <c r="F13" s="60">
        <v>0</v>
      </c>
      <c r="G13" s="60">
        <v>-6.5000000000000002E-2</v>
      </c>
      <c r="H13" s="60">
        <v>-0.151</v>
      </c>
      <c r="I13" s="60">
        <v>-0.13</v>
      </c>
      <c r="J13" s="60">
        <f>-0.651-SUM(G13:I13)</f>
        <v>-0.30500000000000005</v>
      </c>
      <c r="K13" s="60">
        <v>-0.182</v>
      </c>
      <c r="L13" s="60">
        <v>-0.124</v>
      </c>
      <c r="M13" s="60">
        <v>-0.14099999999999999</v>
      </c>
      <c r="N13" s="60">
        <f>-0.863-SUM(K13:M13)</f>
        <v>-0.41600000000000004</v>
      </c>
      <c r="O13" s="60">
        <v>-0.109</v>
      </c>
      <c r="P13" s="60">
        <v>-0.115</v>
      </c>
      <c r="Q13" s="60">
        <v>-0.127</v>
      </c>
      <c r="R13" s="60">
        <f>-0.766-SUM(O13:Q13)</f>
        <v>-0.41500000000000004</v>
      </c>
      <c r="S13" s="60">
        <v>-0.16700000000000001</v>
      </c>
      <c r="T13" s="60">
        <v>-0.22600000000000001</v>
      </c>
      <c r="U13" s="60">
        <v>-0.311</v>
      </c>
      <c r="V13" s="60">
        <f>-1.379-SUM(S13:U13)</f>
        <v>-0.67500000000000004</v>
      </c>
      <c r="W13" s="60">
        <v>-0.23599999999999999</v>
      </c>
      <c r="X13" s="60">
        <v>-0.34399999999999997</v>
      </c>
      <c r="Y13" s="60">
        <v>-0.14399999999999999</v>
      </c>
      <c r="Z13" s="60">
        <f>-1.475-SUM(W13:Y13)</f>
        <v>-0.75100000000000011</v>
      </c>
      <c r="AA13" s="60">
        <v>-0.13100000000000001</v>
      </c>
      <c r="AB13" s="60">
        <v>-0.85399999999999998</v>
      </c>
      <c r="AC13" s="62">
        <v>0.184</v>
      </c>
      <c r="AD13" s="60">
        <f>0.149-SUM(AA13:AC13)</f>
        <v>0.95</v>
      </c>
      <c r="AE13" s="60">
        <v>-0.23499999999999999</v>
      </c>
      <c r="AF13" s="60">
        <v>-0.33900000000000002</v>
      </c>
      <c r="AG13" s="60">
        <v>-0.248</v>
      </c>
      <c r="AH13" s="60">
        <f>-1.398-SUM(AE13:AG13)</f>
        <v>-0.57599999999999985</v>
      </c>
      <c r="AI13" s="60">
        <v>-0.34799999999999998</v>
      </c>
      <c r="AJ13" s="60">
        <v>-0.59099999999999997</v>
      </c>
      <c r="AK13" s="60">
        <v>-0.27200000000000002</v>
      </c>
      <c r="AL13" s="60">
        <f>71.034-SUM(AI13:AK13)</f>
        <v>72.245000000000005</v>
      </c>
      <c r="AM13" s="60">
        <v>11.868</v>
      </c>
      <c r="AN13" s="60">
        <v>6.5609999999999999</v>
      </c>
      <c r="AO13" s="60">
        <v>-5.4829999999999997</v>
      </c>
      <c r="AP13" s="60">
        <v>1.639</v>
      </c>
      <c r="AQ13" s="60">
        <v>33.363999999999997</v>
      </c>
      <c r="AR13" s="60">
        <v>-6.9950000000000001</v>
      </c>
      <c r="AS13" s="60">
        <v>-3.8980000000000001</v>
      </c>
      <c r="AT13" s="60">
        <v>2.0499999999999998</v>
      </c>
      <c r="AU13" s="60">
        <v>-5.5860000000000003</v>
      </c>
      <c r="AV13" s="60">
        <v>-15.231999999999999</v>
      </c>
      <c r="AW13" s="60">
        <v>-19.443000000000001</v>
      </c>
      <c r="AX13" s="60">
        <v>-14.425000000000001</v>
      </c>
      <c r="AY13" s="60">
        <v>-32.1</v>
      </c>
      <c r="AZ13" s="60">
        <v>-27.402999999999999</v>
      </c>
      <c r="BA13" s="60">
        <v>-23.391999999999999</v>
      </c>
      <c r="BB13" s="60">
        <v>8.6920000000000002</v>
      </c>
      <c r="BC13" s="60">
        <v>-4.5979999999999999</v>
      </c>
      <c r="BD13" s="60">
        <v>-0.38300000000000001</v>
      </c>
      <c r="BE13" s="4"/>
      <c r="BF13" s="4"/>
      <c r="BG13" s="60">
        <f t="shared" si="1"/>
        <v>0</v>
      </c>
      <c r="BH13" s="60">
        <f t="shared" si="2"/>
        <v>-0.65100000000000002</v>
      </c>
      <c r="BI13" s="60">
        <f t="shared" si="3"/>
        <v>-0.86299999999999999</v>
      </c>
      <c r="BJ13" s="60">
        <f t="shared" si="4"/>
        <v>-0.76600000000000001</v>
      </c>
      <c r="BK13" s="60">
        <f t="shared" si="5"/>
        <v>-1.379</v>
      </c>
      <c r="BL13" s="60">
        <f t="shared" si="6"/>
        <v>-1.4750000000000001</v>
      </c>
      <c r="BM13" s="60">
        <f t="shared" si="7"/>
        <v>0.14900000000000002</v>
      </c>
      <c r="BN13" s="60">
        <f t="shared" si="8"/>
        <v>-1.3979999999999999</v>
      </c>
      <c r="BO13" s="60">
        <f t="shared" si="9"/>
        <v>71.034000000000006</v>
      </c>
      <c r="BP13" s="60">
        <f t="shared" si="10"/>
        <v>14.585000000000001</v>
      </c>
      <c r="BQ13" s="60">
        <f t="shared" si="11"/>
        <v>24.520999999999997</v>
      </c>
      <c r="BR13" s="60">
        <f t="shared" si="12"/>
        <v>-54.685999999999993</v>
      </c>
      <c r="BS13" s="60">
        <f t="shared" si="13"/>
        <v>-74.203000000000003</v>
      </c>
    </row>
    <row r="14" spans="1:215" x14ac:dyDescent="0.3">
      <c r="A14" t="s">
        <v>30</v>
      </c>
      <c r="B14" s="4"/>
      <c r="C14" s="60">
        <f>C12+C13</f>
        <v>-9.2890000000000015</v>
      </c>
      <c r="D14" s="60">
        <f t="shared" ref="D14:BD14" si="26">D12+D13</f>
        <v>-10.288</v>
      </c>
      <c r="E14" s="60">
        <f t="shared" si="26"/>
        <v>-7.1760000000000002</v>
      </c>
      <c r="F14" s="60">
        <f t="shared" si="26"/>
        <v>-5.5370000000000035</v>
      </c>
      <c r="G14" s="60">
        <f t="shared" si="26"/>
        <v>-10.183999999999997</v>
      </c>
      <c r="H14" s="60">
        <f t="shared" si="26"/>
        <v>-11.384999999999994</v>
      </c>
      <c r="I14" s="60">
        <f t="shared" si="26"/>
        <v>-8.9069999999999947</v>
      </c>
      <c r="J14" s="60">
        <f t="shared" si="26"/>
        <v>-7.7420000000000151</v>
      </c>
      <c r="K14" s="60">
        <f t="shared" si="26"/>
        <v>-10.405999999999999</v>
      </c>
      <c r="L14" s="60">
        <f t="shared" si="26"/>
        <v>-6.3960000000000008</v>
      </c>
      <c r="M14" s="60">
        <f t="shared" si="26"/>
        <v>-6.3009999999999984</v>
      </c>
      <c r="N14" s="60">
        <f t="shared" si="26"/>
        <v>-2.8099999999999898</v>
      </c>
      <c r="O14" s="60">
        <f t="shared" si="26"/>
        <v>-6.235999999999998</v>
      </c>
      <c r="P14" s="60">
        <f t="shared" si="26"/>
        <v>-3.0309999999999926</v>
      </c>
      <c r="Q14" s="60">
        <f t="shared" si="26"/>
        <v>0.81299999999999895</v>
      </c>
      <c r="R14" s="60">
        <f t="shared" si="26"/>
        <v>0.40199999999999658</v>
      </c>
      <c r="S14" s="60">
        <f t="shared" si="26"/>
        <v>-6.3199999999999914</v>
      </c>
      <c r="T14" s="60">
        <f t="shared" si="26"/>
        <v>-0.60299999999999976</v>
      </c>
      <c r="U14" s="60">
        <f t="shared" si="26"/>
        <v>0.62399999999999634</v>
      </c>
      <c r="V14" s="60">
        <f t="shared" si="26"/>
        <v>-15.782999999999985</v>
      </c>
      <c r="W14" s="60">
        <f t="shared" si="26"/>
        <v>-18.795000000000002</v>
      </c>
      <c r="X14" s="60">
        <f t="shared" si="26"/>
        <v>-16.723000000000006</v>
      </c>
      <c r="Y14" s="60">
        <f t="shared" si="26"/>
        <v>-18.756000000000007</v>
      </c>
      <c r="Z14" s="60">
        <f t="shared" si="26"/>
        <v>-13.188000000000001</v>
      </c>
      <c r="AA14" s="60">
        <f t="shared" si="26"/>
        <v>-23.305000000000007</v>
      </c>
      <c r="AB14" s="60">
        <f t="shared" si="26"/>
        <v>-12.090000000000003</v>
      </c>
      <c r="AC14" s="60">
        <f t="shared" si="26"/>
        <v>-6.8540000000000019</v>
      </c>
      <c r="AD14" s="60">
        <f t="shared" si="26"/>
        <v>-2.9429999999999659</v>
      </c>
      <c r="AE14" s="60">
        <f t="shared" si="26"/>
        <v>-5.1280000000000037</v>
      </c>
      <c r="AF14" s="60">
        <f t="shared" si="26"/>
        <v>-3.738</v>
      </c>
      <c r="AG14" s="60">
        <f t="shared" si="26"/>
        <v>-3.4700000000000033</v>
      </c>
      <c r="AH14" s="60">
        <f t="shared" si="26"/>
        <v>0.70899999999998697</v>
      </c>
      <c r="AI14" s="60">
        <f t="shared" si="26"/>
        <v>2.764999999999997</v>
      </c>
      <c r="AJ14" s="60">
        <f t="shared" si="26"/>
        <v>10.61799999999999</v>
      </c>
      <c r="AK14" s="60">
        <f t="shared" si="26"/>
        <v>31.098999999999982</v>
      </c>
      <c r="AL14" s="60">
        <f t="shared" si="26"/>
        <v>116.66599999999997</v>
      </c>
      <c r="AM14" s="60">
        <f t="shared" si="26"/>
        <v>68.935999999999979</v>
      </c>
      <c r="AN14" s="60">
        <f t="shared" si="26"/>
        <v>-47.294000000000004</v>
      </c>
      <c r="AO14" s="60">
        <f t="shared" si="26"/>
        <v>39.361999999999981</v>
      </c>
      <c r="AP14" s="60">
        <f t="shared" si="26"/>
        <v>72.990999999999985</v>
      </c>
      <c r="AQ14" s="60">
        <f t="shared" si="26"/>
        <v>31.698000000000008</v>
      </c>
      <c r="AR14" s="60">
        <f t="shared" si="26"/>
        <v>39.35100000000002</v>
      </c>
      <c r="AS14" s="60">
        <f t="shared" si="26"/>
        <v>21.809000000000015</v>
      </c>
      <c r="AT14" s="60">
        <f t="shared" si="26"/>
        <v>52.590999999999987</v>
      </c>
      <c r="AU14" s="60">
        <f t="shared" si="26"/>
        <v>51.820999999999955</v>
      </c>
      <c r="AV14" s="60">
        <f t="shared" si="26"/>
        <v>76.976000000000056</v>
      </c>
      <c r="AW14" s="60">
        <f t="shared" si="26"/>
        <v>114.81199999999994</v>
      </c>
      <c r="AX14" s="60">
        <f t="shared" si="26"/>
        <v>153.75300000000001</v>
      </c>
      <c r="AY14" s="60">
        <f t="shared" si="26"/>
        <v>146.87299999999999</v>
      </c>
      <c r="AZ14" s="60">
        <f t="shared" si="26"/>
        <v>157.19100000000006</v>
      </c>
      <c r="BA14" s="60">
        <f t="shared" si="26"/>
        <v>113.85299999999998</v>
      </c>
      <c r="BB14" s="60">
        <f t="shared" si="26"/>
        <v>20.919000000000032</v>
      </c>
      <c r="BC14" s="60">
        <f t="shared" si="26"/>
        <v>-16.096999999999987</v>
      </c>
      <c r="BD14" s="60">
        <f t="shared" si="26"/>
        <v>10.833000000000034</v>
      </c>
      <c r="BE14" s="4"/>
      <c r="BF14" s="4"/>
      <c r="BG14" s="60">
        <f t="shared" si="1"/>
        <v>-32.290000000000006</v>
      </c>
      <c r="BH14" s="60">
        <f t="shared" si="2"/>
        <v>-38.218000000000004</v>
      </c>
      <c r="BI14" s="60">
        <f t="shared" si="3"/>
        <v>-25.91299999999999</v>
      </c>
      <c r="BJ14" s="60">
        <f t="shared" si="4"/>
        <v>-8.051999999999996</v>
      </c>
      <c r="BK14" s="60">
        <f t="shared" si="5"/>
        <v>-22.081999999999979</v>
      </c>
      <c r="BL14" s="60">
        <f t="shared" si="6"/>
        <v>-67.462000000000018</v>
      </c>
      <c r="BM14" s="60">
        <f t="shared" si="7"/>
        <v>-45.191999999999979</v>
      </c>
      <c r="BN14" s="60">
        <f t="shared" si="8"/>
        <v>-11.627000000000018</v>
      </c>
      <c r="BO14" s="60">
        <f t="shared" si="9"/>
        <v>161.14799999999994</v>
      </c>
      <c r="BP14" s="60">
        <f t="shared" si="10"/>
        <v>133.99499999999995</v>
      </c>
      <c r="BQ14" s="60">
        <f t="shared" si="11"/>
        <v>145.44900000000004</v>
      </c>
      <c r="BR14" s="60">
        <f t="shared" si="12"/>
        <v>397.36199999999997</v>
      </c>
      <c r="BS14" s="60">
        <f t="shared" si="13"/>
        <v>438.83600000000007</v>
      </c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</row>
    <row r="15" spans="1:215" x14ac:dyDescent="0.3">
      <c r="A15" t="s">
        <v>0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3"/>
      <c r="AD15" s="60"/>
      <c r="AE15" s="60"/>
      <c r="AF15" s="60"/>
      <c r="AG15" s="60"/>
      <c r="AH15" s="60"/>
      <c r="AI15" s="60"/>
      <c r="AJ15" s="60"/>
      <c r="AK15" s="60"/>
      <c r="AL15" s="60"/>
      <c r="AM15" s="60">
        <v>138.10400000000001</v>
      </c>
      <c r="AN15" s="60">
        <v>125.60299999999999</v>
      </c>
      <c r="AO15" s="60">
        <v>141.82</v>
      </c>
      <c r="AP15" s="60">
        <v>145.99</v>
      </c>
      <c r="AQ15" s="60">
        <v>146.44200000000001</v>
      </c>
      <c r="AR15" s="60">
        <v>141.53299999999999</v>
      </c>
      <c r="AS15" s="60">
        <v>141.22</v>
      </c>
      <c r="AT15" s="60">
        <v>141.47999999999999</v>
      </c>
      <c r="AU15" s="60">
        <v>144.61699999999999</v>
      </c>
      <c r="AV15" s="60">
        <v>143.72499999999999</v>
      </c>
      <c r="AW15" s="60">
        <v>145.96199999999999</v>
      </c>
      <c r="AX15" s="60">
        <v>146.31100000000001</v>
      </c>
      <c r="AY15" s="60">
        <v>145.98599999999999</v>
      </c>
      <c r="AZ15" s="60">
        <v>145.09800000000001</v>
      </c>
      <c r="BA15" s="60">
        <v>143.863</v>
      </c>
      <c r="BB15" s="60">
        <v>139.20500000000001</v>
      </c>
      <c r="BC15" s="60">
        <v>135.89099999999999</v>
      </c>
      <c r="BD15" s="60">
        <v>135.89099999999999</v>
      </c>
      <c r="BR15" s="4"/>
    </row>
    <row r="16" spans="1:215" x14ac:dyDescent="0.3">
      <c r="A16" t="s">
        <v>31</v>
      </c>
      <c r="AM16" s="5">
        <f t="shared" ref="AM16:AZ16" si="27">AM14/AM15</f>
        <v>0.49916005329317015</v>
      </c>
      <c r="AN16" s="5">
        <f t="shared" si="27"/>
        <v>-0.37653559230273165</v>
      </c>
      <c r="AO16" s="5">
        <f t="shared" si="27"/>
        <v>0.27754900578197705</v>
      </c>
      <c r="AP16" s="5">
        <f t="shared" si="27"/>
        <v>0.49997260086307266</v>
      </c>
      <c r="AQ16" s="5">
        <f t="shared" si="27"/>
        <v>0.21645429589871762</v>
      </c>
      <c r="AR16" s="5">
        <f t="shared" si="27"/>
        <v>0.27803409805487078</v>
      </c>
      <c r="AS16" s="5">
        <f t="shared" si="27"/>
        <v>0.15443279988670172</v>
      </c>
      <c r="AT16" s="5">
        <f t="shared" si="27"/>
        <v>0.37172038450664396</v>
      </c>
      <c r="AU16" s="5">
        <f t="shared" si="27"/>
        <v>0.35833269947516516</v>
      </c>
      <c r="AV16" s="5">
        <f t="shared" si="27"/>
        <v>0.53557836145416637</v>
      </c>
      <c r="AW16" s="5">
        <f t="shared" si="27"/>
        <v>0.7865882901029031</v>
      </c>
      <c r="AX16" s="5">
        <f t="shared" si="27"/>
        <v>1.0508642549090637</v>
      </c>
      <c r="AY16" s="5">
        <f t="shared" si="27"/>
        <v>1.0060759250887072</v>
      </c>
      <c r="AZ16" s="5">
        <f t="shared" si="27"/>
        <v>1.0833436711739655</v>
      </c>
      <c r="BA16" s="5">
        <f>BA14/BA15</f>
        <v>0.79139876132153497</v>
      </c>
      <c r="BB16" s="5">
        <f>BB14/BB15</f>
        <v>0.15027477461298108</v>
      </c>
      <c r="BC16" s="5">
        <f>BC14/BC15</f>
        <v>-0.11845523250252031</v>
      </c>
      <c r="BD16" s="5">
        <f>BD14/BD15</f>
        <v>7.9718303640417945E-2</v>
      </c>
    </row>
    <row r="17" spans="1:74" x14ac:dyDescent="0.3">
      <c r="AY17"/>
    </row>
    <row r="18" spans="1:74" x14ac:dyDescent="0.3">
      <c r="A18" t="s">
        <v>34</v>
      </c>
      <c r="G18" s="64">
        <f>G3/C3-1</f>
        <v>1.357629088494106</v>
      </c>
      <c r="H18" s="64">
        <f t="shared" ref="H18:BD18" si="28">H3/D3-1</f>
        <v>0.88216409840497456</v>
      </c>
      <c r="I18" s="64">
        <f>I3/E3-1</f>
        <v>0.35961813629046691</v>
      </c>
      <c r="J18" s="64">
        <f t="shared" si="28"/>
        <v>7.5961774074981836E-3</v>
      </c>
      <c r="K18" s="64">
        <f t="shared" si="28"/>
        <v>6.9882629107981042E-2</v>
      </c>
      <c r="L18" s="64">
        <f t="shared" si="28"/>
        <v>4.4347092302996494E-2</v>
      </c>
      <c r="M18" s="64">
        <f t="shared" si="28"/>
        <v>2.0275270090276631E-2</v>
      </c>
      <c r="N18" s="64">
        <f t="shared" si="28"/>
        <v>0.16481378543635405</v>
      </c>
      <c r="O18" s="64">
        <f t="shared" si="28"/>
        <v>0.2633565175417425</v>
      </c>
      <c r="P18" s="64">
        <f t="shared" si="28"/>
        <v>0.40980280915295619</v>
      </c>
      <c r="Q18" s="64">
        <f t="shared" si="28"/>
        <v>0.5974115978467589</v>
      </c>
      <c r="R18" s="64">
        <f t="shared" si="28"/>
        <v>0.56894237652111634</v>
      </c>
      <c r="S18" s="64">
        <f t="shared" si="28"/>
        <v>0.50491490100729441</v>
      </c>
      <c r="T18" s="64">
        <f t="shared" si="28"/>
        <v>0.24497585483634943</v>
      </c>
      <c r="U18" s="64">
        <f t="shared" si="28"/>
        <v>3.7946586219769207E-2</v>
      </c>
      <c r="V18" s="64">
        <f t="shared" si="28"/>
        <v>-0.37619169827102739</v>
      </c>
      <c r="W18" s="64">
        <f t="shared" si="28"/>
        <v>-0.26002561942460167</v>
      </c>
      <c r="X18" s="64">
        <f t="shared" si="28"/>
        <v>-0.22438365020128703</v>
      </c>
      <c r="Y18" s="64">
        <f t="shared" si="28"/>
        <v>-0.13793572720026437</v>
      </c>
      <c r="Z18" s="64">
        <f t="shared" si="28"/>
        <v>0.38050252175105514</v>
      </c>
      <c r="AA18" s="64">
        <f t="shared" si="28"/>
        <v>-0.1461299730197595</v>
      </c>
      <c r="AB18" s="64">
        <f t="shared" si="28"/>
        <v>-5.6551114478752385E-2</v>
      </c>
      <c r="AC18" s="64">
        <f t="shared" si="28"/>
        <v>-0.13132019304496867</v>
      </c>
      <c r="AD18" s="64">
        <f t="shared" si="28"/>
        <v>-0.12064988245162866</v>
      </c>
      <c r="AE18" s="64">
        <f t="shared" si="28"/>
        <v>0.27800405472046164</v>
      </c>
      <c r="AF18" s="64">
        <f t="shared" si="28"/>
        <v>1.5915509925442217E-2</v>
      </c>
      <c r="AG18" s="64">
        <f t="shared" si="28"/>
        <v>1.2513305122147544E-2</v>
      </c>
      <c r="AH18" s="64">
        <f t="shared" si="28"/>
        <v>0.15839086230701604</v>
      </c>
      <c r="AI18" s="64">
        <f t="shared" si="28"/>
        <v>0.43128680043445966</v>
      </c>
      <c r="AJ18" s="64">
        <f t="shared" si="28"/>
        <v>0.76681248023611248</v>
      </c>
      <c r="AK18" s="64">
        <f t="shared" si="28"/>
        <v>1.3083638881054331</v>
      </c>
      <c r="AL18" s="64">
        <f t="shared" si="28"/>
        <v>1.2758075176889987</v>
      </c>
      <c r="AM18" s="64">
        <f t="shared" si="28"/>
        <v>1.0523714428357462</v>
      </c>
      <c r="AN18" s="64">
        <f t="shared" si="28"/>
        <v>-6.3805986845049012E-2</v>
      </c>
      <c r="AO18" s="64">
        <f t="shared" si="28"/>
        <v>-8.6306003099019257E-3</v>
      </c>
      <c r="AP18" s="64">
        <f t="shared" si="28"/>
        <v>0.26094595109316687</v>
      </c>
      <c r="AQ18" s="64">
        <f t="shared" si="28"/>
        <v>0.46806781969884947</v>
      </c>
      <c r="AR18" s="64">
        <f t="shared" si="28"/>
        <v>1.5176201628192261</v>
      </c>
      <c r="AS18" s="64">
        <f t="shared" si="28"/>
        <v>0.96926102082317955</v>
      </c>
      <c r="AT18" s="64">
        <f t="shared" si="28"/>
        <v>0.55837697620063498</v>
      </c>
      <c r="AU18" s="64">
        <f t="shared" si="28"/>
        <v>0.46242303333178669</v>
      </c>
      <c r="AV18" s="64">
        <f t="shared" si="28"/>
        <v>0.67753285008716779</v>
      </c>
      <c r="AW18" s="64">
        <f t="shared" si="28"/>
        <v>0.80562928319664073</v>
      </c>
      <c r="AX18" s="64">
        <f t="shared" si="28"/>
        <v>0.75579995105628783</v>
      </c>
      <c r="AY18" s="64">
        <f t="shared" si="28"/>
        <v>0.64520544220153542</v>
      </c>
      <c r="AZ18" s="64">
        <f t="shared" si="28"/>
        <v>0.34123607118876786</v>
      </c>
      <c r="BA18" s="64">
        <f t="shared" si="28"/>
        <v>-0.13176191444006968</v>
      </c>
      <c r="BB18" s="64">
        <f t="shared" si="28"/>
        <v>-0.58246165055778509</v>
      </c>
      <c r="BC18" s="64">
        <f t="shared" si="28"/>
        <v>-0.63728209846614947</v>
      </c>
      <c r="BD18" s="64">
        <f t="shared" si="28"/>
        <v>-0.57326632148251067</v>
      </c>
      <c r="BE18" s="64"/>
      <c r="BF18" s="64"/>
      <c r="BG18" s="64"/>
      <c r="BH18" s="64">
        <f>BH3/BG3-1</f>
        <v>0.44912822776429051</v>
      </c>
      <c r="BI18" s="64">
        <f t="shared" ref="BI18:BS18" si="29">BI3/BH3-1</f>
        <v>7.4617635385226144E-2</v>
      </c>
      <c r="BJ18" s="64">
        <f t="shared" si="29"/>
        <v>0.47695902012488944</v>
      </c>
      <c r="BK18" s="64">
        <f t="shared" si="29"/>
        <v>3.8804433795477822E-2</v>
      </c>
      <c r="BL18" s="64">
        <f t="shared" si="29"/>
        <v>-9.701356756771895E-2</v>
      </c>
      <c r="BM18" s="64">
        <f t="shared" si="29"/>
        <v>-0.11291387546459764</v>
      </c>
      <c r="BN18" s="64">
        <f t="shared" si="29"/>
        <v>0.10480979571297766</v>
      </c>
      <c r="BO18" s="64">
        <f t="shared" si="29"/>
        <v>0.97474372072280091</v>
      </c>
      <c r="BP18" s="64">
        <f t="shared" si="29"/>
        <v>0.24040375889148891</v>
      </c>
      <c r="BQ18" s="64">
        <f t="shared" si="29"/>
        <v>0.78461310004196672</v>
      </c>
      <c r="BR18" s="64">
        <f t="shared" si="29"/>
        <v>0.68651979777851579</v>
      </c>
      <c r="BS18" s="64">
        <f t="shared" si="29"/>
        <v>-1.7189844232991081E-2</v>
      </c>
      <c r="BV18" s="8"/>
    </row>
    <row r="19" spans="1:74" x14ac:dyDescent="0.3">
      <c r="A19" t="s">
        <v>35</v>
      </c>
      <c r="G19" s="64">
        <f>G4/C4-1</f>
        <v>1.1589391090071981</v>
      </c>
      <c r="H19" s="64">
        <f t="shared" ref="H19:AZ19" si="30">H4/D4-1</f>
        <v>0.69844664111357657</v>
      </c>
      <c r="I19" s="64">
        <f>I4/E4-1</f>
        <v>0.22948735663949127</v>
      </c>
      <c r="J19" s="64">
        <f t="shared" si="30"/>
        <v>-5.7894378503506094E-2</v>
      </c>
      <c r="K19" s="64">
        <f t="shared" si="30"/>
        <v>2.4930165500254287E-3</v>
      </c>
      <c r="L19" s="64">
        <f t="shared" si="30"/>
        <v>-5.0598631698972607E-3</v>
      </c>
      <c r="M19" s="64">
        <f t="shared" si="30"/>
        <v>2.7422508934793477E-3</v>
      </c>
      <c r="N19" s="64">
        <f t="shared" si="30"/>
        <v>9.7513971863557591E-2</v>
      </c>
      <c r="O19" s="64">
        <f t="shared" si="30"/>
        <v>0.1662571907957815</v>
      </c>
      <c r="P19" s="64">
        <f t="shared" si="30"/>
        <v>0.31728863739464686</v>
      </c>
      <c r="Q19" s="64">
        <f t="shared" si="30"/>
        <v>0.49272600928022237</v>
      </c>
      <c r="R19" s="64">
        <f t="shared" si="30"/>
        <v>0.54021071115013153</v>
      </c>
      <c r="S19" s="64">
        <f t="shared" si="30"/>
        <v>0.50620423892100197</v>
      </c>
      <c r="T19" s="64">
        <f t="shared" si="30"/>
        <v>0.25183063872979061</v>
      </c>
      <c r="U19" s="64">
        <f t="shared" si="30"/>
        <v>7.2320999519461804E-2</v>
      </c>
      <c r="V19" s="64">
        <f t="shared" si="30"/>
        <v>-0.28847688536738292</v>
      </c>
      <c r="W19" s="64">
        <f t="shared" si="30"/>
        <v>-0.10690954988145795</v>
      </c>
      <c r="X19" s="64">
        <f t="shared" si="30"/>
        <v>-5.8161758318130419E-2</v>
      </c>
      <c r="Y19" s="64">
        <f t="shared" si="30"/>
        <v>1.9563634326686064E-2</v>
      </c>
      <c r="Z19" s="64">
        <f t="shared" si="30"/>
        <v>0.4894750545775004</v>
      </c>
      <c r="AA19" s="64">
        <f t="shared" si="30"/>
        <v>-8.895933996676908E-2</v>
      </c>
      <c r="AB19" s="64">
        <f t="shared" si="30"/>
        <v>-5.9831819090224392E-2</v>
      </c>
      <c r="AC19" s="64">
        <f t="shared" si="30"/>
        <v>-0.16795549756198069</v>
      </c>
      <c r="AD19" s="64">
        <f t="shared" si="30"/>
        <v>-0.1839769793459558</v>
      </c>
      <c r="AE19" s="64">
        <f t="shared" si="30"/>
        <v>8.2887868687503863E-2</v>
      </c>
      <c r="AF19" s="64">
        <f t="shared" si="30"/>
        <v>-0.13018951223899144</v>
      </c>
      <c r="AG19" s="64">
        <f t="shared" si="30"/>
        <v>-0.12940554996120635</v>
      </c>
      <c r="AH19" s="64">
        <f t="shared" si="30"/>
        <v>5.6652275648420014E-2</v>
      </c>
      <c r="AI19" s="64">
        <f t="shared" si="30"/>
        <v>0.29335811216292096</v>
      </c>
      <c r="AJ19" s="64">
        <f t="shared" si="30"/>
        <v>0.66885985524955371</v>
      </c>
      <c r="AK19" s="64">
        <f t="shared" si="30"/>
        <v>1.1872463878038606</v>
      </c>
      <c r="AL19" s="64">
        <f t="shared" si="30"/>
        <v>1.0608664462603707</v>
      </c>
      <c r="AM19" s="64">
        <f t="shared" si="30"/>
        <v>0.86900360719043257</v>
      </c>
      <c r="AN19" s="64">
        <f t="shared" si="30"/>
        <v>-0.13093776401013812</v>
      </c>
      <c r="AO19" s="64">
        <f t="shared" si="30"/>
        <v>-0.27593172144151323</v>
      </c>
      <c r="AP19" s="64">
        <f t="shared" si="30"/>
        <v>8.1346338658050188E-2</v>
      </c>
      <c r="AQ19" s="64">
        <f t="shared" si="30"/>
        <v>0.43192920637462962</v>
      </c>
      <c r="AR19" s="64">
        <f t="shared" si="30"/>
        <v>1.4400979896566475</v>
      </c>
      <c r="AS19" s="64">
        <f t="shared" si="30"/>
        <v>1.5282081367783338</v>
      </c>
      <c r="AT19" s="64">
        <f t="shared" si="30"/>
        <v>0.74529919314770354</v>
      </c>
      <c r="AU19" s="64">
        <f t="shared" si="30"/>
        <v>0.47825284527837586</v>
      </c>
      <c r="AV19" s="64">
        <f t="shared" si="30"/>
        <v>0.65302035526092106</v>
      </c>
      <c r="AW19" s="64">
        <f t="shared" si="30"/>
        <v>0.73704898158277343</v>
      </c>
      <c r="AX19" s="64">
        <f t="shared" si="30"/>
        <v>0.65975421503177567</v>
      </c>
      <c r="AY19" s="64">
        <f t="shared" si="30"/>
        <v>0.51197984253875028</v>
      </c>
      <c r="AZ19" s="64">
        <f t="shared" si="30"/>
        <v>0.24610287572584055</v>
      </c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V19" s="8"/>
    </row>
    <row r="20" spans="1:74" x14ac:dyDescent="0.3"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</row>
    <row r="21" spans="1:74" x14ac:dyDescent="0.3">
      <c r="A21" t="s">
        <v>33</v>
      </c>
      <c r="D21" s="6">
        <f>D3/C3-1</f>
        <v>0.6377220654159057</v>
      </c>
      <c r="E21" s="6">
        <f>E3/D3-1</f>
        <v>0.51148959178156272</v>
      </c>
      <c r="F21" s="6">
        <f>F3/E3-1</f>
        <v>0.27736540869254123</v>
      </c>
      <c r="G21" s="64">
        <f t="shared" ref="G21:BD21" si="31">G3/F3-1</f>
        <v>-0.25438442958658569</v>
      </c>
      <c r="H21" s="64">
        <f t="shared" si="31"/>
        <v>0.30744131455399071</v>
      </c>
      <c r="I21" s="64">
        <f t="shared" si="31"/>
        <v>9.1854139361186471E-2</v>
      </c>
      <c r="J21" s="64">
        <f t="shared" si="31"/>
        <v>-5.3360301251377473E-2</v>
      </c>
      <c r="K21" s="64">
        <f t="shared" si="31"/>
        <v>-0.20829280155642005</v>
      </c>
      <c r="L21" s="64">
        <f t="shared" si="31"/>
        <v>0.27623582069903696</v>
      </c>
      <c r="M21" s="64">
        <f t="shared" si="31"/>
        <v>6.6687296920934447E-2</v>
      </c>
      <c r="N21" s="64">
        <f t="shared" si="31"/>
        <v>8.0746542887535355E-2</v>
      </c>
      <c r="O21" s="64">
        <f t="shared" si="31"/>
        <v>-0.14131472202338358</v>
      </c>
      <c r="P21" s="64">
        <f t="shared" si="31"/>
        <v>0.42417506078499501</v>
      </c>
      <c r="Q21" s="64">
        <f t="shared" si="31"/>
        <v>0.20863616408955643</v>
      </c>
      <c r="R21" s="64">
        <f t="shared" si="31"/>
        <v>6.148537527872211E-2</v>
      </c>
      <c r="S21" s="64">
        <f t="shared" si="31"/>
        <v>-0.17635708650565063</v>
      </c>
      <c r="T21" s="64">
        <f t="shared" si="31"/>
        <v>0.17818194407579657</v>
      </c>
      <c r="U21" s="64">
        <f t="shared" si="31"/>
        <v>7.6498878473547638E-3</v>
      </c>
      <c r="V21" s="64">
        <f t="shared" si="31"/>
        <v>-0.36204483154149714</v>
      </c>
      <c r="W21" s="64">
        <f t="shared" si="31"/>
        <v>-2.2977647076749985E-2</v>
      </c>
      <c r="X21" s="64">
        <f t="shared" si="31"/>
        <v>0.23493083389217273</v>
      </c>
      <c r="Y21" s="64">
        <f t="shared" si="31"/>
        <v>0.11995958830586595</v>
      </c>
      <c r="Z21" s="64">
        <f t="shared" si="31"/>
        <v>2.1616075052997452E-2</v>
      </c>
      <c r="AA21" s="64">
        <f t="shared" si="31"/>
        <v>-0.39569099678811515</v>
      </c>
      <c r="AB21" s="64">
        <f t="shared" si="31"/>
        <v>0.36448649339738082</v>
      </c>
      <c r="AC21" s="64">
        <f t="shared" si="31"/>
        <v>3.1201895404714408E-2</v>
      </c>
      <c r="AD21" s="64">
        <f t="shared" si="31"/>
        <v>3.4164957553415531E-2</v>
      </c>
      <c r="AE21" s="64">
        <f t="shared" si="31"/>
        <v>-0.12172712438810118</v>
      </c>
      <c r="AF21" s="64">
        <f t="shared" si="31"/>
        <v>8.4662436403132757E-2</v>
      </c>
      <c r="AG21" s="64">
        <f t="shared" si="31"/>
        <v>2.7748497944555695E-2</v>
      </c>
      <c r="AH21" s="64">
        <f t="shared" si="31"/>
        <v>0.18316197020589198</v>
      </c>
      <c r="AI21" s="64">
        <f t="shared" si="31"/>
        <v>8.5178081894917268E-2</v>
      </c>
      <c r="AJ21" s="64">
        <f t="shared" si="31"/>
        <v>0.33893160259610577</v>
      </c>
      <c r="AK21" s="64">
        <f t="shared" si="31"/>
        <v>0.34276701418407973</v>
      </c>
      <c r="AL21" s="64">
        <f t="shared" si="31"/>
        <v>0.16647506067523055</v>
      </c>
      <c r="AM21" s="64">
        <f t="shared" si="31"/>
        <v>-2.1363411289708201E-2</v>
      </c>
      <c r="AN21" s="64">
        <f t="shared" si="31"/>
        <v>-0.38924323140918049</v>
      </c>
      <c r="AO21" s="64">
        <f t="shared" si="31"/>
        <v>0.42190412464751703</v>
      </c>
      <c r="AP21" s="64">
        <f t="shared" si="31"/>
        <v>0.48366694117185727</v>
      </c>
      <c r="AQ21" s="64">
        <f t="shared" si="31"/>
        <v>0.13938657070899696</v>
      </c>
      <c r="AR21" s="64">
        <f t="shared" si="31"/>
        <v>4.7399537371501266E-2</v>
      </c>
      <c r="AS21" s="64">
        <f t="shared" si="31"/>
        <v>0.1122012801488339</v>
      </c>
      <c r="AT21" s="64">
        <f t="shared" si="31"/>
        <v>0.1741015421641503</v>
      </c>
      <c r="AU21" s="64">
        <f t="shared" si="31"/>
        <v>6.923112335511572E-2</v>
      </c>
      <c r="AV21" s="64">
        <f t="shared" si="31"/>
        <v>0.20146297689511727</v>
      </c>
      <c r="AW21" s="64">
        <f t="shared" si="31"/>
        <v>0.19712898626168429</v>
      </c>
      <c r="AX21" s="64">
        <f t="shared" si="31"/>
        <v>0.14170026452900775</v>
      </c>
      <c r="AY21" s="64">
        <f t="shared" si="31"/>
        <v>1.8822828060915953E-3</v>
      </c>
      <c r="AZ21" s="64">
        <f t="shared" si="31"/>
        <v>-2.0520208921015359E-2</v>
      </c>
      <c r="BA21" s="64">
        <f t="shared" si="31"/>
        <v>-0.22504844484319064</v>
      </c>
      <c r="BB21" s="64">
        <f t="shared" si="31"/>
        <v>-0.4509528527514961</v>
      </c>
      <c r="BC21" s="64">
        <f t="shared" si="31"/>
        <v>-0.12965925240440224</v>
      </c>
      <c r="BD21" s="64">
        <f t="shared" si="31"/>
        <v>0.15234735455059845</v>
      </c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</row>
    <row r="22" spans="1:74" x14ac:dyDescent="0.3">
      <c r="A22" t="s">
        <v>32</v>
      </c>
      <c r="D22" s="6">
        <f>D4/C4-1</f>
        <v>0.60722391543998455</v>
      </c>
      <c r="E22" s="6">
        <f>E4/D4-1</f>
        <v>0.45995561831753085</v>
      </c>
      <c r="F22" s="6">
        <f>F4/E4-1</f>
        <v>0.21771452259223389</v>
      </c>
      <c r="G22" s="64">
        <f t="shared" ref="G22:BD22" si="32">G4/F4-1</f>
        <v>-0.24442275832330962</v>
      </c>
      <c r="H22" s="64">
        <f t="shared" si="32"/>
        <v>0.26440993602258733</v>
      </c>
      <c r="I22" s="64">
        <f t="shared" si="32"/>
        <v>5.6846256176358745E-2</v>
      </c>
      <c r="J22" s="64">
        <f t="shared" si="32"/>
        <v>-6.6915417294162505E-2</v>
      </c>
      <c r="K22" s="64">
        <f t="shared" si="32"/>
        <v>-0.19599152052418589</v>
      </c>
      <c r="L22" s="64">
        <f t="shared" si="32"/>
        <v>0.2548837488015343</v>
      </c>
      <c r="M22" s="64">
        <f t="shared" si="32"/>
        <v>6.5133825179666927E-2</v>
      </c>
      <c r="N22" s="64">
        <f t="shared" si="32"/>
        <v>2.1272780255990886E-2</v>
      </c>
      <c r="O22" s="64">
        <f t="shared" si="32"/>
        <v>-0.14563213345039516</v>
      </c>
      <c r="P22" s="64">
        <f t="shared" si="32"/>
        <v>0.41739242132305709</v>
      </c>
      <c r="Q22" s="64">
        <f t="shared" si="32"/>
        <v>0.20698905241789323</v>
      </c>
      <c r="R22" s="64">
        <f t="shared" si="32"/>
        <v>5.3760211436809202E-2</v>
      </c>
      <c r="S22" s="64">
        <f t="shared" si="32"/>
        <v>-0.16449581029470439</v>
      </c>
      <c r="T22" s="64">
        <f t="shared" si="32"/>
        <v>0.1780177045489435</v>
      </c>
      <c r="U22" s="64">
        <f t="shared" si="32"/>
        <v>3.3909593721947129E-2</v>
      </c>
      <c r="V22" s="64">
        <f t="shared" si="32"/>
        <v>-0.30079262827694375</v>
      </c>
      <c r="W22" s="64">
        <f t="shared" si="32"/>
        <v>4.8709167017164212E-2</v>
      </c>
      <c r="X22" s="64">
        <f t="shared" si="32"/>
        <v>0.24231775558144442</v>
      </c>
      <c r="Y22" s="64">
        <f t="shared" si="32"/>
        <v>0.11923319343879224</v>
      </c>
      <c r="Z22" s="64">
        <f t="shared" si="32"/>
        <v>2.1468305748231886E-2</v>
      </c>
      <c r="AA22" s="64">
        <f t="shared" si="32"/>
        <v>-0.35855475473321874</v>
      </c>
      <c r="AB22" s="64">
        <f t="shared" si="32"/>
        <v>0.28203676917594267</v>
      </c>
      <c r="AC22" s="64">
        <f t="shared" si="32"/>
        <v>-9.4837876285625011E-3</v>
      </c>
      <c r="AD22" s="64">
        <f t="shared" si="32"/>
        <v>1.7993627944596913E-3</v>
      </c>
      <c r="AE22" s="64">
        <f t="shared" si="32"/>
        <v>-0.1487822562040666</v>
      </c>
      <c r="AF22" s="64">
        <f t="shared" si="32"/>
        <v>2.9773312426195853E-2</v>
      </c>
      <c r="AG22" s="64">
        <f t="shared" si="32"/>
        <v>-8.5910329918225115E-3</v>
      </c>
      <c r="AH22" s="64">
        <f t="shared" si="32"/>
        <v>0.2158974553452917</v>
      </c>
      <c r="AI22" s="64">
        <f t="shared" si="32"/>
        <v>4.1903187574075407E-2</v>
      </c>
      <c r="AJ22" s="64">
        <f t="shared" si="32"/>
        <v>0.32874826001706303</v>
      </c>
      <c r="AK22" s="64">
        <f t="shared" si="32"/>
        <v>0.29936355956068694</v>
      </c>
      <c r="AL22" s="64">
        <f t="shared" si="32"/>
        <v>0.14564243049475101</v>
      </c>
      <c r="AM22" s="64">
        <f t="shared" si="32"/>
        <v>-5.5096064350629192E-2</v>
      </c>
      <c r="AN22" s="64">
        <f t="shared" si="32"/>
        <v>-0.38214943541282942</v>
      </c>
      <c r="AO22" s="64">
        <f t="shared" si="32"/>
        <v>8.2578320436546671E-2</v>
      </c>
      <c r="AP22" s="64">
        <f t="shared" si="32"/>
        <v>0.71093843538229451</v>
      </c>
      <c r="AQ22" s="64">
        <f t="shared" si="32"/>
        <v>0.25125086598414281</v>
      </c>
      <c r="AR22" s="64">
        <f t="shared" si="32"/>
        <v>5.2856463745420967E-2</v>
      </c>
      <c r="AS22" s="64">
        <f t="shared" si="32"/>
        <v>0.12166942886282506</v>
      </c>
      <c r="AT22" s="64">
        <f t="shared" si="32"/>
        <v>0.18111298961455957</v>
      </c>
      <c r="AU22" s="64">
        <f t="shared" si="32"/>
        <v>5.97983200016039E-2</v>
      </c>
      <c r="AV22" s="64">
        <f t="shared" si="32"/>
        <v>0.17733117937038179</v>
      </c>
      <c r="AW22" s="64">
        <f t="shared" si="32"/>
        <v>0.17868768698323545</v>
      </c>
      <c r="AX22" s="64">
        <f t="shared" si="32"/>
        <v>0.1285561223237921</v>
      </c>
      <c r="AY22" s="64">
        <f t="shared" si="32"/>
        <v>-3.4559645948433637E-2</v>
      </c>
      <c r="AZ22" s="64">
        <f t="shared" si="32"/>
        <v>-2.9698857736240813E-2</v>
      </c>
      <c r="BA22" s="64">
        <f t="shared" si="32"/>
        <v>-0.25454643918138309</v>
      </c>
      <c r="BB22" s="64">
        <f t="shared" si="32"/>
        <v>-0.46065472257488704</v>
      </c>
      <c r="BC22" s="64">
        <f t="shared" si="32"/>
        <v>-5.1806193396105371E-2</v>
      </c>
      <c r="BD22" s="64">
        <f t="shared" si="32"/>
        <v>0.12487908490100197</v>
      </c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</row>
    <row r="23" spans="1:74" x14ac:dyDescent="0.3"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</row>
    <row r="24" spans="1:74" x14ac:dyDescent="0.3">
      <c r="A24" t="s">
        <v>37</v>
      </c>
      <c r="C24" s="6">
        <f>C13/C12</f>
        <v>0</v>
      </c>
      <c r="D24" s="6">
        <f t="shared" ref="D24:BD24" si="33">D13/D12</f>
        <v>0</v>
      </c>
      <c r="E24" s="6">
        <f t="shared" si="33"/>
        <v>0</v>
      </c>
      <c r="F24" s="6">
        <f t="shared" si="33"/>
        <v>0</v>
      </c>
      <c r="G24" s="64">
        <f t="shared" si="33"/>
        <v>6.4235596402806615E-3</v>
      </c>
      <c r="H24" s="64">
        <f t="shared" si="33"/>
        <v>1.3441338792949979E-2</v>
      </c>
      <c r="I24" s="64">
        <f t="shared" si="33"/>
        <v>1.4811438988264794E-2</v>
      </c>
      <c r="J24" s="64">
        <f t="shared" si="33"/>
        <v>4.101116041414541E-2</v>
      </c>
      <c r="K24" s="64">
        <f t="shared" si="33"/>
        <v>1.7801251956181537E-2</v>
      </c>
      <c r="L24" s="64">
        <f t="shared" si="33"/>
        <v>1.9770408163265304E-2</v>
      </c>
      <c r="M24" s="64">
        <f t="shared" si="33"/>
        <v>2.2889610389610394E-2</v>
      </c>
      <c r="N24" s="64">
        <f t="shared" si="33"/>
        <v>0.17376775271512188</v>
      </c>
      <c r="O24" s="64">
        <f t="shared" si="33"/>
        <v>1.7790109352048316E-2</v>
      </c>
      <c r="P24" s="64">
        <f t="shared" si="33"/>
        <v>3.9437585733882133E-2</v>
      </c>
      <c r="Q24" s="64">
        <f t="shared" si="33"/>
        <v>-0.13510638297872354</v>
      </c>
      <c r="R24" s="64">
        <f t="shared" si="33"/>
        <v>-0.50795593635251135</v>
      </c>
      <c r="S24" s="64">
        <f t="shared" si="33"/>
        <v>2.7141231919388956E-2</v>
      </c>
      <c r="T24" s="64">
        <f t="shared" si="33"/>
        <v>0.59946949602122057</v>
      </c>
      <c r="U24" s="64">
        <f t="shared" si="33"/>
        <v>-0.33262032085561627</v>
      </c>
      <c r="V24" s="64">
        <f t="shared" si="33"/>
        <v>4.4678316123907914E-2</v>
      </c>
      <c r="W24" s="64">
        <f t="shared" si="33"/>
        <v>1.2716202381593834E-2</v>
      </c>
      <c r="X24" s="64">
        <f t="shared" si="33"/>
        <v>2.1002503205323882E-2</v>
      </c>
      <c r="Y24" s="64">
        <f t="shared" si="33"/>
        <v>7.7369439071566688E-3</v>
      </c>
      <c r="Z24" s="64">
        <f t="shared" si="33"/>
        <v>6.0384337058776237E-2</v>
      </c>
      <c r="AA24" s="64">
        <f t="shared" si="33"/>
        <v>5.6528868559592637E-3</v>
      </c>
      <c r="AB24" s="64">
        <f t="shared" si="33"/>
        <v>7.6005695977216056E-2</v>
      </c>
      <c r="AC24" s="64">
        <f t="shared" si="33"/>
        <v>-2.6143790849673193E-2</v>
      </c>
      <c r="AD24" s="64">
        <f t="shared" si="33"/>
        <v>-0.24402774210120942</v>
      </c>
      <c r="AE24" s="64">
        <f t="shared" si="33"/>
        <v>4.8027794808910652E-2</v>
      </c>
      <c r="AF24" s="64">
        <f t="shared" si="33"/>
        <v>9.9735216240070618E-2</v>
      </c>
      <c r="AG24" s="64">
        <f t="shared" si="33"/>
        <v>7.6970825574177462E-2</v>
      </c>
      <c r="AH24" s="64">
        <f t="shared" si="33"/>
        <v>-0.44824902723735854</v>
      </c>
      <c r="AI24" s="64">
        <f t="shared" si="33"/>
        <v>-0.11178927079987161</v>
      </c>
      <c r="AJ24" s="64">
        <f t="shared" si="33"/>
        <v>-5.2725488446783882E-2</v>
      </c>
      <c r="AK24" s="64">
        <f t="shared" si="33"/>
        <v>-8.6704281023875611E-3</v>
      </c>
      <c r="AL24" s="64">
        <f t="shared" si="33"/>
        <v>1.6263704103914829</v>
      </c>
      <c r="AM24" s="64">
        <f t="shared" si="33"/>
        <v>0.20796243078432752</v>
      </c>
      <c r="AN24" s="64">
        <f t="shared" si="33"/>
        <v>-0.12182712840033422</v>
      </c>
      <c r="AO24" s="64">
        <f t="shared" si="33"/>
        <v>-0.1222655814472071</v>
      </c>
      <c r="AP24" s="64">
        <f t="shared" si="33"/>
        <v>2.2970624509474159E-2</v>
      </c>
      <c r="AQ24" s="64">
        <f t="shared" si="33"/>
        <v>-20.026410564225813</v>
      </c>
      <c r="AR24" s="64">
        <f t="shared" si="33"/>
        <v>-0.15092996159323344</v>
      </c>
      <c r="AS24" s="64">
        <f t="shared" si="33"/>
        <v>-0.15163185124674206</v>
      </c>
      <c r="AT24" s="64">
        <f t="shared" si="33"/>
        <v>4.0561128588670586E-2</v>
      </c>
      <c r="AU24" s="64">
        <f t="shared" si="33"/>
        <v>-9.7305206682112025E-2</v>
      </c>
      <c r="AV24" s="64">
        <f t="shared" si="33"/>
        <v>-0.16519174041297924</v>
      </c>
      <c r="AW24" s="64">
        <f t="shared" si="33"/>
        <v>-0.14482142192097136</v>
      </c>
      <c r="AX24" s="64">
        <f t="shared" si="33"/>
        <v>-8.5772217531425027E-2</v>
      </c>
      <c r="AY24" s="64">
        <f t="shared" si="33"/>
        <v>-0.17935666273683742</v>
      </c>
      <c r="AZ24" s="64">
        <f t="shared" si="33"/>
        <v>-0.14845011213798928</v>
      </c>
      <c r="BA24" s="64">
        <f t="shared" si="33"/>
        <v>-0.17043972458013046</v>
      </c>
      <c r="BB24" s="64">
        <f t="shared" si="33"/>
        <v>0.71088574466344789</v>
      </c>
      <c r="BC24" s="64">
        <f t="shared" si="33"/>
        <v>0.39986085746586703</v>
      </c>
      <c r="BD24" s="64">
        <f t="shared" si="33"/>
        <v>-3.4147646219686058E-2</v>
      </c>
      <c r="BE24" s="64"/>
      <c r="BF24" s="64"/>
      <c r="BG24" s="64">
        <f>BG13/BG12</f>
        <v>0</v>
      </c>
      <c r="BH24" s="64">
        <f t="shared" ref="BH24:BS24" si="34">BH13/BH12</f>
        <v>1.7329038784039182E-2</v>
      </c>
      <c r="BI24" s="64">
        <f t="shared" si="34"/>
        <v>3.4451097804391234E-2</v>
      </c>
      <c r="BJ24" s="64">
        <f t="shared" si="34"/>
        <v>0.10513313203403797</v>
      </c>
      <c r="BK24" s="64">
        <f t="shared" si="34"/>
        <v>6.6608704052552828E-2</v>
      </c>
      <c r="BL24" s="64">
        <f t="shared" si="34"/>
        <v>2.2352887689999542E-2</v>
      </c>
      <c r="BM24" s="64">
        <f t="shared" si="34"/>
        <v>-3.2862089499569947E-3</v>
      </c>
      <c r="BN24" s="64">
        <f t="shared" si="34"/>
        <v>0.13667025124645588</v>
      </c>
      <c r="BO24" s="64">
        <f t="shared" si="34"/>
        <v>0.78826819362141354</v>
      </c>
      <c r="BP24" s="64">
        <f t="shared" si="34"/>
        <v>0.12214219914580025</v>
      </c>
      <c r="BQ24" s="64">
        <f t="shared" si="34"/>
        <v>0.20277355120402216</v>
      </c>
      <c r="BR24" s="64">
        <f t="shared" si="34"/>
        <v>-0.12097387888011892</v>
      </c>
      <c r="BS24" s="64">
        <f t="shared" si="34"/>
        <v>-0.14463422858691055</v>
      </c>
    </row>
    <row r="25" spans="1:74" x14ac:dyDescent="0.3">
      <c r="A25" t="s">
        <v>38</v>
      </c>
      <c r="C25" s="6">
        <f>C5/C3</f>
        <v>0.14654933864630029</v>
      </c>
      <c r="D25" s="6">
        <f t="shared" ref="D25:BD25" si="35">D5/D3</f>
        <v>0.16244255204109215</v>
      </c>
      <c r="E25" s="6">
        <f t="shared" si="35"/>
        <v>0.1909989268467179</v>
      </c>
      <c r="F25" s="6">
        <f t="shared" si="35"/>
        <v>0.22877796058389052</v>
      </c>
      <c r="G25" s="64">
        <f t="shared" si="35"/>
        <v>0.21847417840375591</v>
      </c>
      <c r="H25" s="64">
        <f t="shared" si="35"/>
        <v>0.24419627628058971</v>
      </c>
      <c r="I25" s="64">
        <f t="shared" si="35"/>
        <v>0.26842944765099575</v>
      </c>
      <c r="J25" s="64">
        <f t="shared" si="35"/>
        <v>0.27890494719288472</v>
      </c>
      <c r="K25" s="64">
        <f t="shared" si="35"/>
        <v>0.26770081400706497</v>
      </c>
      <c r="L25" s="64">
        <f t="shared" si="35"/>
        <v>0.27995255041518385</v>
      </c>
      <c r="M25" s="64">
        <f t="shared" si="35"/>
        <v>0.28100119266350776</v>
      </c>
      <c r="N25" s="64">
        <f t="shared" si="35"/>
        <v>0.32056788356000965</v>
      </c>
      <c r="O25" s="64">
        <f t="shared" si="35"/>
        <v>0.32398402222994099</v>
      </c>
      <c r="P25" s="64">
        <f t="shared" si="35"/>
        <v>0.32720355104629051</v>
      </c>
      <c r="Q25" s="64">
        <f t="shared" si="35"/>
        <v>0.32812042819811732</v>
      </c>
      <c r="R25" s="64">
        <f t="shared" si="35"/>
        <v>0.33301016092085128</v>
      </c>
      <c r="S25" s="64">
        <f t="shared" si="35"/>
        <v>0.32340484461011165</v>
      </c>
      <c r="T25" s="64">
        <f t="shared" si="35"/>
        <v>0.32349916252828304</v>
      </c>
      <c r="U25" s="64">
        <f t="shared" si="35"/>
        <v>0.30586931586212257</v>
      </c>
      <c r="V25" s="64">
        <f t="shared" si="35"/>
        <v>0.23922351399533762</v>
      </c>
      <c r="W25" s="64">
        <f t="shared" si="35"/>
        <v>0.18340325322437265</v>
      </c>
      <c r="X25" s="64">
        <f t="shared" si="35"/>
        <v>0.17851865883690088</v>
      </c>
      <c r="Y25" s="64">
        <f t="shared" si="35"/>
        <v>0.17905146362365243</v>
      </c>
      <c r="Z25" s="64">
        <f t="shared" si="35"/>
        <v>0.17917020783435061</v>
      </c>
      <c r="AA25" s="64">
        <f t="shared" si="35"/>
        <v>0.1287282424065313</v>
      </c>
      <c r="AB25" s="64">
        <f t="shared" si="35"/>
        <v>0.18137523926807392</v>
      </c>
      <c r="AC25" s="64">
        <f t="shared" si="35"/>
        <v>0.21367377138554997</v>
      </c>
      <c r="AD25" s="64">
        <f t="shared" si="35"/>
        <v>0.23828291703276056</v>
      </c>
      <c r="AE25" s="64">
        <f t="shared" si="35"/>
        <v>0.26174755616532325</v>
      </c>
      <c r="AF25" s="64">
        <f t="shared" si="35"/>
        <v>0.29910667228839466</v>
      </c>
      <c r="AG25" s="64">
        <f t="shared" si="35"/>
        <v>0.32388913104792183</v>
      </c>
      <c r="AH25" s="64">
        <f t="shared" si="35"/>
        <v>0.30518263281647862</v>
      </c>
      <c r="AI25" s="64">
        <f t="shared" si="35"/>
        <v>0.33289066400399397</v>
      </c>
      <c r="AJ25" s="64">
        <f t="shared" si="35"/>
        <v>0.33796441302369973</v>
      </c>
      <c r="AK25" s="64">
        <f t="shared" si="35"/>
        <v>0.35936397918436935</v>
      </c>
      <c r="AL25" s="64">
        <f t="shared" si="35"/>
        <v>0.37080540108173982</v>
      </c>
      <c r="AM25" s="64">
        <f t="shared" si="35"/>
        <v>0.39249312802549313</v>
      </c>
      <c r="AN25" s="64">
        <f t="shared" si="35"/>
        <v>0.38543707881278977</v>
      </c>
      <c r="AO25" s="64">
        <f t="shared" si="35"/>
        <v>0.53209749976190868</v>
      </c>
      <c r="AP25" s="64">
        <f t="shared" si="35"/>
        <v>0.46042312499292021</v>
      </c>
      <c r="AQ25" s="64">
        <f t="shared" si="35"/>
        <v>0.40744778859600866</v>
      </c>
      <c r="AR25" s="64">
        <f t="shared" si="35"/>
        <v>0.40436060584008582</v>
      </c>
      <c r="AS25" s="64">
        <f t="shared" si="35"/>
        <v>0.39928993880842856</v>
      </c>
      <c r="AT25" s="64">
        <f t="shared" si="35"/>
        <v>0.39570264514112508</v>
      </c>
      <c r="AU25" s="64">
        <f t="shared" si="35"/>
        <v>0.40103378262012446</v>
      </c>
      <c r="AV25" s="64">
        <f t="shared" si="35"/>
        <v>0.41306422530535886</v>
      </c>
      <c r="AW25" s="64">
        <f t="shared" si="35"/>
        <v>0.42210573912933869</v>
      </c>
      <c r="AX25" s="64">
        <f t="shared" si="35"/>
        <v>0.4287589077239834</v>
      </c>
      <c r="AY25" s="64">
        <f t="shared" si="35"/>
        <v>0.44953692480606489</v>
      </c>
      <c r="AZ25" s="64">
        <f t="shared" si="35"/>
        <v>0.45469528263944947</v>
      </c>
      <c r="BA25" s="64">
        <f t="shared" si="35"/>
        <v>0.47545192911399753</v>
      </c>
      <c r="BB25" s="64">
        <f t="shared" si="35"/>
        <v>0.48472089103347987</v>
      </c>
      <c r="BC25" s="64">
        <f t="shared" si="35"/>
        <v>0.4386285358416338</v>
      </c>
      <c r="BD25" s="64">
        <f t="shared" si="35"/>
        <v>0.45200983332125044</v>
      </c>
      <c r="BE25" s="64"/>
      <c r="BF25" s="64"/>
      <c r="BG25" s="64">
        <f>BG5/BG3</f>
        <v>0.19441156210081389</v>
      </c>
      <c r="BH25" s="64">
        <f t="shared" ref="BH25:BS25" si="36">BH5/BH3</f>
        <v>0.25516203767802914</v>
      </c>
      <c r="BI25" s="64">
        <f t="shared" si="36"/>
        <v>0.28953041924705603</v>
      </c>
      <c r="BJ25" s="64">
        <f t="shared" si="36"/>
        <v>0.32870510374988371</v>
      </c>
      <c r="BK25" s="64">
        <f t="shared" si="36"/>
        <v>0.30291757289733495</v>
      </c>
      <c r="BL25" s="64">
        <f t="shared" si="36"/>
        <v>0.17981902780920728</v>
      </c>
      <c r="BM25" s="64">
        <f t="shared" si="36"/>
        <v>0.19584087557571489</v>
      </c>
      <c r="BN25" s="64">
        <f t="shared" si="36"/>
        <v>0.29872627380526884</v>
      </c>
      <c r="BO25" s="64">
        <f t="shared" si="36"/>
        <v>0.35437018386021557</v>
      </c>
      <c r="BP25" s="64">
        <f t="shared" si="36"/>
        <v>0.44675856280466147</v>
      </c>
      <c r="BQ25" s="64">
        <f t="shared" si="36"/>
        <v>0.40115943790704961</v>
      </c>
      <c r="BR25" s="64">
        <f t="shared" si="36"/>
        <v>0.41812804153672495</v>
      </c>
      <c r="BS25" s="64">
        <f t="shared" si="36"/>
        <v>0.46201958629046969</v>
      </c>
    </row>
    <row r="26" spans="1:74" x14ac:dyDescent="0.3">
      <c r="AY26"/>
    </row>
    <row r="27" spans="1:74" ht="15" thickBot="1" x14ac:dyDescent="0.35">
      <c r="A27" s="74" t="s">
        <v>851</v>
      </c>
      <c r="AY27"/>
      <c r="BG27" s="77">
        <f t="shared" ref="BG27:BR27" si="37">BG28+BG31+BG32+BG35</f>
        <v>81.8</v>
      </c>
      <c r="BH27" s="77">
        <f t="shared" si="37"/>
        <v>94.899999999999991</v>
      </c>
      <c r="BI27" s="77">
        <f t="shared" si="37"/>
        <v>90.600000000000009</v>
      </c>
      <c r="BJ27" s="77">
        <f t="shared" si="37"/>
        <v>114.89999999999999</v>
      </c>
      <c r="BK27" s="77">
        <f t="shared" si="37"/>
        <v>121.8</v>
      </c>
      <c r="BL27" s="77">
        <f t="shared" si="37"/>
        <v>117.89999999999999</v>
      </c>
      <c r="BM27" s="77">
        <f t="shared" si="37"/>
        <v>130.4</v>
      </c>
      <c r="BN27" s="77">
        <f t="shared" si="37"/>
        <v>222.30000000000004</v>
      </c>
      <c r="BO27" s="77">
        <f t="shared" si="37"/>
        <v>455.00000000000006</v>
      </c>
      <c r="BP27" s="77">
        <f t="shared" si="37"/>
        <v>933.19999999999982</v>
      </c>
      <c r="BQ27" s="77">
        <f t="shared" si="37"/>
        <v>1462.3999999999999</v>
      </c>
      <c r="BR27" s="77">
        <f t="shared" si="37"/>
        <v>2264.1999999999998</v>
      </c>
      <c r="BS27" s="77">
        <f>BS28+BS31+BS32+BS35</f>
        <v>2443.4999999999995</v>
      </c>
    </row>
    <row r="28" spans="1:74" ht="15" thickBot="1" x14ac:dyDescent="0.35">
      <c r="A28" s="70" t="s">
        <v>799</v>
      </c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G28" s="78">
        <f t="shared" ref="BG28:BS28" si="38">BG29+BG30</f>
        <v>51.5</v>
      </c>
      <c r="BH28" s="78">
        <f t="shared" si="38"/>
        <v>45.3</v>
      </c>
      <c r="BI28" s="78">
        <f t="shared" si="38"/>
        <v>38.200000000000003</v>
      </c>
      <c r="BJ28" s="78">
        <f t="shared" si="38"/>
        <v>42</v>
      </c>
      <c r="BK28" s="78">
        <f t="shared" si="38"/>
        <v>28.5</v>
      </c>
      <c r="BL28" s="78">
        <f t="shared" si="38"/>
        <v>17.8</v>
      </c>
      <c r="BM28" s="78">
        <f t="shared" si="38"/>
        <v>29.1</v>
      </c>
      <c r="BN28" s="78">
        <f t="shared" si="38"/>
        <v>106.2</v>
      </c>
      <c r="BO28" s="78">
        <f t="shared" si="38"/>
        <v>251.4</v>
      </c>
      <c r="BP28" s="78">
        <f t="shared" si="38"/>
        <v>679.4</v>
      </c>
      <c r="BQ28" s="78">
        <f t="shared" si="38"/>
        <v>1016.5999999999999</v>
      </c>
      <c r="BR28" s="78">
        <f t="shared" si="38"/>
        <v>1612.8</v>
      </c>
      <c r="BS28" s="78">
        <f t="shared" si="38"/>
        <v>1695</v>
      </c>
    </row>
    <row r="29" spans="1:74" ht="15" thickBot="1" x14ac:dyDescent="0.35">
      <c r="A29" s="71" t="s">
        <v>798</v>
      </c>
      <c r="AY29"/>
      <c r="BG29" s="78">
        <v>51.5</v>
      </c>
      <c r="BH29" s="78">
        <v>45.3</v>
      </c>
      <c r="BI29" s="78">
        <v>38.200000000000003</v>
      </c>
      <c r="BJ29" s="78">
        <v>42</v>
      </c>
      <c r="BK29" s="78">
        <v>28.5</v>
      </c>
      <c r="BL29" s="78">
        <v>17.8</v>
      </c>
      <c r="BM29" s="78">
        <v>29.1</v>
      </c>
      <c r="BN29" s="78">
        <v>106.2</v>
      </c>
      <c r="BO29" s="78">
        <v>251.4</v>
      </c>
      <c r="BP29" s="78">
        <v>679.4</v>
      </c>
      <c r="BQ29" s="78">
        <v>119.3</v>
      </c>
      <c r="BR29" s="78">
        <v>473.2</v>
      </c>
      <c r="BS29" s="78">
        <v>288.7</v>
      </c>
    </row>
    <row r="30" spans="1:74" ht="15" thickBot="1" x14ac:dyDescent="0.35">
      <c r="A30" s="71" t="s">
        <v>797</v>
      </c>
      <c r="AY30"/>
      <c r="BG30" s="78">
        <v>0</v>
      </c>
      <c r="BH30" s="78">
        <v>0</v>
      </c>
      <c r="BI30" s="78">
        <v>0</v>
      </c>
      <c r="BJ30" s="78">
        <v>0</v>
      </c>
      <c r="BK30" s="78">
        <v>0</v>
      </c>
      <c r="BL30" s="78">
        <v>0</v>
      </c>
      <c r="BM30" s="78">
        <v>0</v>
      </c>
      <c r="BN30" s="78">
        <v>0</v>
      </c>
      <c r="BO30" s="78">
        <v>0</v>
      </c>
      <c r="BP30" s="78">
        <v>0</v>
      </c>
      <c r="BQ30" s="78">
        <v>897.3</v>
      </c>
      <c r="BR30" s="78">
        <v>1139.5999999999999</v>
      </c>
      <c r="BS30" s="78">
        <v>1406.3</v>
      </c>
    </row>
    <row r="31" spans="1:74" ht="15" thickBot="1" x14ac:dyDescent="0.35">
      <c r="A31" t="s">
        <v>444</v>
      </c>
      <c r="AY31"/>
      <c r="BG31" s="78">
        <v>17.8</v>
      </c>
      <c r="BH31" s="78">
        <v>27.7</v>
      </c>
      <c r="BI31" s="78">
        <v>32.1</v>
      </c>
      <c r="BJ31" s="78">
        <v>45.1</v>
      </c>
      <c r="BK31" s="78">
        <v>46.1</v>
      </c>
      <c r="BL31" s="78">
        <v>61</v>
      </c>
      <c r="BM31" s="78">
        <v>65.3</v>
      </c>
      <c r="BN31" s="78">
        <v>78.900000000000006</v>
      </c>
      <c r="BO31" s="78">
        <v>145.4</v>
      </c>
      <c r="BP31" s="78">
        <v>182.2</v>
      </c>
      <c r="BQ31" s="78">
        <v>333.6</v>
      </c>
      <c r="BR31" s="78">
        <v>473</v>
      </c>
      <c r="BS31" s="78">
        <v>486.2</v>
      </c>
    </row>
    <row r="32" spans="1:74" ht="15" thickBot="1" x14ac:dyDescent="0.35">
      <c r="A32" s="70" t="s">
        <v>792</v>
      </c>
      <c r="AY32"/>
      <c r="BG32" s="78">
        <v>11.2</v>
      </c>
      <c r="BH32" s="78">
        <v>19.8</v>
      </c>
      <c r="BI32" s="78">
        <v>16.600000000000001</v>
      </c>
      <c r="BJ32" s="78">
        <v>21.6</v>
      </c>
      <c r="BK32" s="78">
        <v>40.799999999999997</v>
      </c>
      <c r="BL32" s="78">
        <v>32</v>
      </c>
      <c r="BM32" s="78">
        <v>26</v>
      </c>
      <c r="BN32" s="78">
        <v>16.3</v>
      </c>
      <c r="BO32" s="78">
        <v>32.1</v>
      </c>
      <c r="BP32" s="78">
        <v>41.8</v>
      </c>
      <c r="BQ32" s="78">
        <v>74.400000000000006</v>
      </c>
      <c r="BR32" s="78">
        <v>149.69999999999999</v>
      </c>
      <c r="BS32" s="78">
        <v>213.6</v>
      </c>
    </row>
    <row r="33" spans="1:71" ht="15" thickBot="1" x14ac:dyDescent="0.35">
      <c r="A33" s="71" t="s">
        <v>791</v>
      </c>
      <c r="AY33"/>
      <c r="BG33" s="78">
        <v>9.4</v>
      </c>
      <c r="BH33" s="78">
        <v>17.600000000000001</v>
      </c>
      <c r="BI33" s="78">
        <v>15.2</v>
      </c>
      <c r="BJ33" s="78">
        <v>18.2</v>
      </c>
      <c r="BK33" s="78">
        <v>38.6</v>
      </c>
      <c r="BL33" s="78">
        <v>26.9</v>
      </c>
      <c r="BM33" s="78">
        <v>23.7</v>
      </c>
      <c r="BN33" s="78">
        <v>15.3</v>
      </c>
      <c r="BO33" s="78">
        <v>27.9</v>
      </c>
      <c r="BP33" s="78">
        <v>31.6</v>
      </c>
      <c r="BQ33" s="78">
        <v>49</v>
      </c>
      <c r="BR33" s="78">
        <v>114.7</v>
      </c>
      <c r="BS33" s="78">
        <v>182.7</v>
      </c>
    </row>
    <row r="34" spans="1:71" ht="15" thickBot="1" x14ac:dyDescent="0.35">
      <c r="A34" s="71" t="s">
        <v>790</v>
      </c>
      <c r="AY34"/>
      <c r="BG34" s="78">
        <v>1.8</v>
      </c>
      <c r="BH34" s="78">
        <v>2.2000000000000002</v>
      </c>
      <c r="BI34" s="78">
        <v>1.4</v>
      </c>
      <c r="BJ34" s="78">
        <v>3.4</v>
      </c>
      <c r="BK34" s="78">
        <v>2.2000000000000002</v>
      </c>
      <c r="BL34" s="78">
        <v>5.0999999999999996</v>
      </c>
      <c r="BM34" s="78">
        <v>2.2999999999999998</v>
      </c>
      <c r="BN34" s="78">
        <v>1</v>
      </c>
      <c r="BO34" s="78">
        <v>4.2</v>
      </c>
      <c r="BP34" s="78">
        <v>10.1</v>
      </c>
      <c r="BQ34" s="78">
        <v>25.4</v>
      </c>
      <c r="BR34" s="78">
        <v>35</v>
      </c>
      <c r="BS34" s="78">
        <v>30.8</v>
      </c>
    </row>
    <row r="35" spans="1:71" x14ac:dyDescent="0.3">
      <c r="A35" s="14" t="s">
        <v>789</v>
      </c>
      <c r="AY35"/>
      <c r="BG35" s="79">
        <v>1.3</v>
      </c>
      <c r="BH35" s="79">
        <v>2.1</v>
      </c>
      <c r="BI35" s="79">
        <v>3.7</v>
      </c>
      <c r="BJ35" s="79">
        <v>6.2</v>
      </c>
      <c r="BK35" s="79">
        <v>6.4</v>
      </c>
      <c r="BL35" s="79">
        <v>7.1</v>
      </c>
      <c r="BM35" s="79">
        <v>10</v>
      </c>
      <c r="BN35" s="79">
        <v>20.9</v>
      </c>
      <c r="BO35" s="79">
        <v>26.1</v>
      </c>
      <c r="BP35" s="79">
        <v>29.8</v>
      </c>
      <c r="BQ35" s="79">
        <v>37.799999999999997</v>
      </c>
      <c r="BR35" s="79">
        <v>28.7</v>
      </c>
      <c r="BS35" s="79">
        <v>48.7</v>
      </c>
    </row>
    <row r="36" spans="1:71" ht="15" thickBot="1" x14ac:dyDescent="0.35">
      <c r="A36" t="s">
        <v>81</v>
      </c>
      <c r="AY36"/>
      <c r="BG36" s="80">
        <v>18.411000000000001</v>
      </c>
      <c r="BH36" s="80">
        <v>25.541</v>
      </c>
      <c r="BI36" s="80">
        <v>24.853000000000002</v>
      </c>
      <c r="BJ36" s="80">
        <v>30.82</v>
      </c>
      <c r="BK36" s="80">
        <v>32.119999999999997</v>
      </c>
      <c r="BL36" s="80">
        <v>31.44</v>
      </c>
      <c r="BM36" s="80">
        <v>26.48</v>
      </c>
      <c r="BN36" s="80">
        <v>21</v>
      </c>
      <c r="BO36" s="80">
        <v>39.049999999999997</v>
      </c>
      <c r="BP36" s="80">
        <v>60.67</v>
      </c>
      <c r="BQ36" s="80">
        <v>96.59</v>
      </c>
      <c r="BR36" s="80">
        <v>132.75</v>
      </c>
      <c r="BS36" s="80">
        <v>188.13</v>
      </c>
    </row>
    <row r="37" spans="1:71" ht="15" thickBot="1" x14ac:dyDescent="0.35">
      <c r="A37" s="70" t="s">
        <v>778</v>
      </c>
      <c r="AY37"/>
      <c r="BG37" s="78">
        <v>0</v>
      </c>
      <c r="BH37" s="78">
        <v>0</v>
      </c>
      <c r="BI37" s="78">
        <v>0</v>
      </c>
      <c r="BJ37" s="78">
        <v>3.7</v>
      </c>
      <c r="BK37" s="78">
        <v>3.7</v>
      </c>
      <c r="BL37" s="78">
        <v>3.7</v>
      </c>
      <c r="BM37" s="78">
        <v>3.7</v>
      </c>
      <c r="BN37" s="78">
        <v>24.8</v>
      </c>
      <c r="BO37" s="78">
        <v>24.8</v>
      </c>
      <c r="BP37" s="78">
        <v>24.8</v>
      </c>
      <c r="BQ37" s="78">
        <v>181.3</v>
      </c>
      <c r="BR37" s="78">
        <v>213.6</v>
      </c>
      <c r="BS37" s="78">
        <v>214.6</v>
      </c>
    </row>
    <row r="38" spans="1:71" ht="15" thickBot="1" x14ac:dyDescent="0.35">
      <c r="A38" s="70" t="s">
        <v>776</v>
      </c>
      <c r="AY38"/>
      <c r="BG38" s="78">
        <v>0</v>
      </c>
      <c r="BH38" s="78">
        <v>0</v>
      </c>
      <c r="BI38" s="78">
        <v>0.3</v>
      </c>
      <c r="BJ38" s="78">
        <v>1.8</v>
      </c>
      <c r="BK38" s="78">
        <v>2.2000000000000002</v>
      </c>
      <c r="BL38" s="78">
        <v>0.9</v>
      </c>
      <c r="BM38" s="78">
        <v>0.5</v>
      </c>
      <c r="BN38" s="78">
        <v>35.299999999999997</v>
      </c>
      <c r="BO38" s="78">
        <v>30.6</v>
      </c>
      <c r="BP38" s="78">
        <v>28.8</v>
      </c>
      <c r="BQ38" s="78">
        <v>97.8</v>
      </c>
      <c r="BR38" s="78">
        <v>99.5</v>
      </c>
      <c r="BS38" s="78">
        <v>68.5</v>
      </c>
    </row>
    <row r="39" spans="1:71" ht="15" thickBot="1" x14ac:dyDescent="0.35">
      <c r="A39" s="14" t="s">
        <v>772</v>
      </c>
      <c r="AY39"/>
      <c r="BG39" s="79">
        <v>0</v>
      </c>
      <c r="BH39" s="79">
        <v>0</v>
      </c>
      <c r="BI39" s="79">
        <v>0</v>
      </c>
      <c r="BJ39" s="79">
        <v>0</v>
      </c>
      <c r="BK39" s="79">
        <v>0</v>
      </c>
      <c r="BL39" s="79">
        <v>0</v>
      </c>
      <c r="BM39" s="79">
        <v>0</v>
      </c>
      <c r="BN39" s="79">
        <v>0</v>
      </c>
      <c r="BO39" s="79">
        <v>0</v>
      </c>
      <c r="BP39" s="79">
        <v>0</v>
      </c>
      <c r="BQ39" s="79">
        <v>0</v>
      </c>
      <c r="BR39" s="79">
        <v>101</v>
      </c>
      <c r="BS39" s="79">
        <v>124.2</v>
      </c>
    </row>
    <row r="40" spans="1:71" ht="15" thickBot="1" x14ac:dyDescent="0.35">
      <c r="A40" s="70" t="s">
        <v>770</v>
      </c>
      <c r="AY40"/>
      <c r="BG40" s="78">
        <v>0</v>
      </c>
      <c r="BH40" s="78">
        <v>0</v>
      </c>
      <c r="BI40" s="78">
        <v>0</v>
      </c>
      <c r="BJ40" s="78">
        <v>0</v>
      </c>
      <c r="BK40" s="78">
        <v>0</v>
      </c>
      <c r="BL40" s="78">
        <v>0</v>
      </c>
      <c r="BM40" s="78">
        <v>0</v>
      </c>
      <c r="BN40" s="78">
        <v>0</v>
      </c>
      <c r="BO40" s="78">
        <v>74.5</v>
      </c>
      <c r="BP40" s="78">
        <v>92.9</v>
      </c>
      <c r="BQ40" s="78">
        <v>122.5</v>
      </c>
      <c r="BR40" s="78">
        <v>204.9</v>
      </c>
      <c r="BS40" s="78">
        <v>252.4</v>
      </c>
    </row>
    <row r="41" spans="1:71" x14ac:dyDescent="0.3">
      <c r="A41" s="70" t="s">
        <v>769</v>
      </c>
      <c r="AY41"/>
      <c r="BG41" s="78">
        <v>6</v>
      </c>
      <c r="BH41" s="78">
        <v>1.8</v>
      </c>
      <c r="BI41" s="78">
        <v>1</v>
      </c>
      <c r="BJ41" s="78">
        <v>0.9</v>
      </c>
      <c r="BK41" s="78">
        <v>5.7</v>
      </c>
      <c r="BL41" s="78">
        <v>9.6999999999999993</v>
      </c>
      <c r="BM41" s="78">
        <v>8</v>
      </c>
      <c r="BN41" s="78">
        <v>36.5</v>
      </c>
      <c r="BO41" s="78">
        <v>44.6</v>
      </c>
      <c r="BP41" s="78">
        <v>59.9</v>
      </c>
      <c r="BQ41" s="78">
        <v>118.7</v>
      </c>
      <c r="BR41" s="78">
        <v>68.3</v>
      </c>
      <c r="BS41" s="78">
        <v>91.7</v>
      </c>
    </row>
    <row r="42" spans="1:71" x14ac:dyDescent="0.3">
      <c r="A42" s="74" t="s">
        <v>850</v>
      </c>
      <c r="AY42"/>
      <c r="BG42" s="77">
        <f>BG27+SUM(BG36:BG41)</f>
        <v>106.211</v>
      </c>
      <c r="BH42" s="77">
        <f t="shared" ref="BH42:BS42" si="39">BH27+SUM(BH36:BH41)</f>
        <v>122.24099999999999</v>
      </c>
      <c r="BI42" s="77">
        <f t="shared" si="39"/>
        <v>116.75300000000001</v>
      </c>
      <c r="BJ42" s="77">
        <f t="shared" si="39"/>
        <v>152.12</v>
      </c>
      <c r="BK42" s="77">
        <f t="shared" si="39"/>
        <v>165.52</v>
      </c>
      <c r="BL42" s="77">
        <f t="shared" si="39"/>
        <v>163.63999999999999</v>
      </c>
      <c r="BM42" s="77">
        <f t="shared" si="39"/>
        <v>169.08</v>
      </c>
      <c r="BN42" s="77">
        <f t="shared" si="39"/>
        <v>339.90000000000003</v>
      </c>
      <c r="BO42" s="77">
        <f t="shared" si="39"/>
        <v>668.55000000000007</v>
      </c>
      <c r="BP42" s="77">
        <f t="shared" si="39"/>
        <v>1200.2699999999998</v>
      </c>
      <c r="BQ42" s="77">
        <f t="shared" si="39"/>
        <v>2079.29</v>
      </c>
      <c r="BR42" s="77">
        <f t="shared" si="39"/>
        <v>3084.25</v>
      </c>
      <c r="BS42" s="77">
        <f t="shared" si="39"/>
        <v>3383.0299999999997</v>
      </c>
    </row>
    <row r="43" spans="1:71" x14ac:dyDescent="0.3">
      <c r="AY43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</row>
    <row r="44" spans="1:71" ht="15" thickBot="1" x14ac:dyDescent="0.35">
      <c r="A44" s="74" t="s">
        <v>849</v>
      </c>
      <c r="AY44"/>
      <c r="BG44" s="77">
        <f>SUM(BG45:BG49)</f>
        <v>52.3</v>
      </c>
      <c r="BH44" s="77">
        <f t="shared" ref="BH44:BS44" si="40">SUM(BH45:BH49)</f>
        <v>33.9</v>
      </c>
      <c r="BI44" s="77">
        <f t="shared" si="40"/>
        <v>33.400000000000006</v>
      </c>
      <c r="BJ44" s="77">
        <f t="shared" si="40"/>
        <v>58.699999999999996</v>
      </c>
      <c r="BK44" s="77">
        <f t="shared" si="40"/>
        <v>72.900000000000006</v>
      </c>
      <c r="BL44" s="77">
        <f t="shared" si="40"/>
        <v>82.699999999999989</v>
      </c>
      <c r="BM44" s="77">
        <f t="shared" si="40"/>
        <v>91.6</v>
      </c>
      <c r="BN44" s="77">
        <f t="shared" si="40"/>
        <v>147.19999999999999</v>
      </c>
      <c r="BO44" s="77">
        <f t="shared" si="40"/>
        <v>199.4</v>
      </c>
      <c r="BP44" s="77">
        <f t="shared" si="40"/>
        <v>534</v>
      </c>
      <c r="BQ44" s="77">
        <f t="shared" si="40"/>
        <v>439.9</v>
      </c>
      <c r="BR44" s="77">
        <f t="shared" si="40"/>
        <v>638.19999999999993</v>
      </c>
      <c r="BS44" s="77">
        <f t="shared" si="40"/>
        <v>532.5</v>
      </c>
    </row>
    <row r="45" spans="1:71" ht="15" thickBot="1" x14ac:dyDescent="0.35">
      <c r="A45" t="s">
        <v>768</v>
      </c>
      <c r="AY45"/>
      <c r="BG45" s="79">
        <v>12.9</v>
      </c>
      <c r="BH45" s="79">
        <v>11.3</v>
      </c>
      <c r="BI45" s="79">
        <v>7.4</v>
      </c>
      <c r="BJ45" s="79">
        <v>22.3</v>
      </c>
      <c r="BK45" s="79">
        <v>25.6</v>
      </c>
      <c r="BL45" s="79">
        <v>31.7</v>
      </c>
      <c r="BM45" s="79">
        <v>28.7</v>
      </c>
      <c r="BN45" s="79">
        <v>48.8</v>
      </c>
      <c r="BO45" s="79">
        <v>57.5</v>
      </c>
      <c r="BP45" s="79">
        <v>72.599999999999994</v>
      </c>
      <c r="BQ45" s="79">
        <v>113.8</v>
      </c>
      <c r="BR45" s="79">
        <v>125.1</v>
      </c>
      <c r="BS45" s="79">
        <v>116.2</v>
      </c>
    </row>
    <row r="46" spans="1:71" ht="15" thickBot="1" x14ac:dyDescent="0.35">
      <c r="A46" t="s">
        <v>766</v>
      </c>
      <c r="AY46"/>
      <c r="BG46" s="78">
        <v>10.1</v>
      </c>
      <c r="BH46" s="78">
        <v>19.3</v>
      </c>
      <c r="BI46" s="78">
        <v>14.8</v>
      </c>
      <c r="BJ46" s="78">
        <v>26</v>
      </c>
      <c r="BK46" s="78">
        <v>19.3</v>
      </c>
      <c r="BL46" s="78">
        <v>22.9</v>
      </c>
      <c r="BM46" s="78">
        <v>22.4</v>
      </c>
      <c r="BN46" s="78">
        <v>29</v>
      </c>
      <c r="BO46" s="78">
        <v>47.1</v>
      </c>
      <c r="BP46" s="78">
        <v>76.5</v>
      </c>
      <c r="BQ46" s="78">
        <v>157.9</v>
      </c>
      <c r="BR46" s="78">
        <v>279.8</v>
      </c>
      <c r="BS46" s="78">
        <v>253.4</v>
      </c>
    </row>
    <row r="47" spans="1:71" ht="15" thickBot="1" x14ac:dyDescent="0.35">
      <c r="A47" s="14" t="s">
        <v>765</v>
      </c>
      <c r="AY47"/>
      <c r="BG47" s="78">
        <v>4.5</v>
      </c>
      <c r="BH47" s="78">
        <v>2.4</v>
      </c>
      <c r="BI47" s="78">
        <v>0</v>
      </c>
      <c r="BJ47" s="78">
        <v>0</v>
      </c>
      <c r="BK47" s="78">
        <v>17</v>
      </c>
      <c r="BL47" s="78">
        <v>10.1</v>
      </c>
      <c r="BM47" s="78">
        <v>0</v>
      </c>
      <c r="BN47" s="78">
        <v>0</v>
      </c>
      <c r="BO47" s="78">
        <v>0</v>
      </c>
      <c r="BP47" s="78">
        <v>0</v>
      </c>
      <c r="BQ47" s="78">
        <v>0</v>
      </c>
      <c r="BR47" s="78">
        <v>0</v>
      </c>
      <c r="BS47" s="78">
        <v>0</v>
      </c>
    </row>
    <row r="48" spans="1:71" ht="15" thickBot="1" x14ac:dyDescent="0.35">
      <c r="A48" s="14" t="s">
        <v>764</v>
      </c>
      <c r="AY48"/>
      <c r="BG48" s="78">
        <v>0</v>
      </c>
      <c r="BH48" s="78">
        <v>0</v>
      </c>
      <c r="BI48" s="78">
        <v>3.5</v>
      </c>
      <c r="BJ48" s="78">
        <v>0</v>
      </c>
      <c r="BK48" s="78">
        <v>0</v>
      </c>
      <c r="BL48" s="78">
        <v>3</v>
      </c>
      <c r="BM48" s="78">
        <v>17.399999999999999</v>
      </c>
      <c r="BN48" s="78">
        <v>28.2</v>
      </c>
      <c r="BO48" s="78">
        <v>2.9</v>
      </c>
      <c r="BP48" s="78">
        <v>326</v>
      </c>
      <c r="BQ48" s="78">
        <v>86.1</v>
      </c>
      <c r="BR48" s="78">
        <v>90.9</v>
      </c>
      <c r="BS48" s="78">
        <v>0</v>
      </c>
    </row>
    <row r="49" spans="1:71" ht="15" thickBot="1" x14ac:dyDescent="0.35">
      <c r="A49" s="70" t="s">
        <v>763</v>
      </c>
      <c r="AY49"/>
      <c r="BG49" s="78">
        <v>24.8</v>
      </c>
      <c r="BH49" s="78">
        <v>0.9</v>
      </c>
      <c r="BI49" s="78">
        <v>7.7</v>
      </c>
      <c r="BJ49" s="78">
        <v>10.4</v>
      </c>
      <c r="BK49" s="78">
        <v>11</v>
      </c>
      <c r="BL49" s="78">
        <v>15</v>
      </c>
      <c r="BM49" s="78">
        <v>23.1</v>
      </c>
      <c r="BN49" s="78">
        <v>41.2</v>
      </c>
      <c r="BO49" s="78">
        <v>91.9</v>
      </c>
      <c r="BP49" s="78">
        <v>58.9</v>
      </c>
      <c r="BQ49" s="78">
        <v>82.1</v>
      </c>
      <c r="BR49" s="78">
        <v>142.4</v>
      </c>
      <c r="BS49" s="78">
        <v>162.9</v>
      </c>
    </row>
    <row r="50" spans="1:71" ht="15" thickBot="1" x14ac:dyDescent="0.35">
      <c r="A50" s="71" t="s">
        <v>83</v>
      </c>
      <c r="AY50"/>
      <c r="BG50" s="78">
        <v>23.4</v>
      </c>
      <c r="BH50" s="78">
        <v>0.9</v>
      </c>
      <c r="BI50" s="78">
        <v>2.8</v>
      </c>
      <c r="BJ50" s="78">
        <v>2.7</v>
      </c>
      <c r="BK50" s="78">
        <v>3.9</v>
      </c>
      <c r="BL50" s="78">
        <v>6.4</v>
      </c>
      <c r="BM50" s="78">
        <v>15.7</v>
      </c>
      <c r="BN50" s="78">
        <v>33.1</v>
      </c>
      <c r="BO50" s="78">
        <v>81.8</v>
      </c>
      <c r="BP50" s="78">
        <v>47.7</v>
      </c>
      <c r="BQ50" s="78">
        <v>62.7</v>
      </c>
      <c r="BR50" s="78">
        <v>90.7</v>
      </c>
      <c r="BS50" s="78">
        <v>118.3</v>
      </c>
    </row>
    <row r="51" spans="1:71" ht="15" thickBot="1" x14ac:dyDescent="0.35">
      <c r="A51" s="71" t="s">
        <v>761</v>
      </c>
      <c r="AY51"/>
      <c r="BG51" s="78">
        <v>0</v>
      </c>
      <c r="BH51" s="78">
        <v>0</v>
      </c>
      <c r="BI51" s="78">
        <v>0</v>
      </c>
      <c r="BJ51" s="78">
        <v>0</v>
      </c>
      <c r="BK51" s="78">
        <v>0</v>
      </c>
      <c r="BL51" s="78">
        <v>0</v>
      </c>
      <c r="BM51" s="78">
        <v>0</v>
      </c>
      <c r="BN51" s="78">
        <v>0</v>
      </c>
      <c r="BO51" s="78">
        <v>0</v>
      </c>
      <c r="BP51" s="78">
        <v>0</v>
      </c>
      <c r="BQ51" s="78">
        <v>0</v>
      </c>
      <c r="BR51" s="78">
        <v>16.100000000000001</v>
      </c>
      <c r="BS51" s="78">
        <v>8.5</v>
      </c>
    </row>
    <row r="52" spans="1:71" x14ac:dyDescent="0.3">
      <c r="A52" s="71" t="s">
        <v>760</v>
      </c>
      <c r="AY52"/>
      <c r="BG52" s="78">
        <v>1.4</v>
      </c>
      <c r="BH52" s="78">
        <v>0</v>
      </c>
      <c r="BI52" s="78">
        <v>4.9000000000000004</v>
      </c>
      <c r="BJ52" s="78">
        <v>7.6</v>
      </c>
      <c r="BK52" s="78">
        <v>7.1</v>
      </c>
      <c r="BL52" s="78">
        <v>8.6</v>
      </c>
      <c r="BM52" s="78">
        <v>7.4</v>
      </c>
      <c r="BN52" s="78">
        <v>8.1</v>
      </c>
      <c r="BO52" s="78">
        <v>10.1</v>
      </c>
      <c r="BP52" s="78">
        <v>11.3</v>
      </c>
      <c r="BQ52" s="78">
        <v>19.399999999999999</v>
      </c>
      <c r="BR52" s="78">
        <v>35.6</v>
      </c>
      <c r="BS52" s="78">
        <v>36.1</v>
      </c>
    </row>
    <row r="53" spans="1:71" ht="15" thickBot="1" x14ac:dyDescent="0.35">
      <c r="A53" s="76" t="s">
        <v>852</v>
      </c>
      <c r="AY53"/>
      <c r="BG53" s="77">
        <f>SUM(BG54:BG55)</f>
        <v>39.9</v>
      </c>
      <c r="BH53" s="77">
        <f t="shared" ref="BH53:BS53" si="41">SUM(BH54:BH55)</f>
        <v>31.8</v>
      </c>
      <c r="BI53" s="77">
        <f t="shared" si="41"/>
        <v>43.1</v>
      </c>
      <c r="BJ53" s="77">
        <f t="shared" si="41"/>
        <v>46.5</v>
      </c>
      <c r="BK53" s="77">
        <f t="shared" si="41"/>
        <v>51.2</v>
      </c>
      <c r="BL53" s="77">
        <f t="shared" si="41"/>
        <v>79.5</v>
      </c>
      <c r="BM53" s="77">
        <f t="shared" si="41"/>
        <v>86.5</v>
      </c>
      <c r="BN53" s="77">
        <f t="shared" si="41"/>
        <v>185</v>
      </c>
      <c r="BO53" s="77">
        <f t="shared" si="41"/>
        <v>241.7</v>
      </c>
      <c r="BP53" s="77">
        <f t="shared" si="41"/>
        <v>182.1</v>
      </c>
      <c r="BQ53" s="77">
        <f t="shared" si="41"/>
        <v>1209.3</v>
      </c>
      <c r="BR53" s="77">
        <f t="shared" si="41"/>
        <v>1620.5</v>
      </c>
      <c r="BS53" s="77">
        <f t="shared" si="41"/>
        <v>1866.9</v>
      </c>
    </row>
    <row r="54" spans="1:71" ht="15" thickBot="1" x14ac:dyDescent="0.35">
      <c r="A54" s="75" t="s">
        <v>759</v>
      </c>
      <c r="AY54"/>
      <c r="BG54" s="78">
        <v>29.4</v>
      </c>
      <c r="BH54" s="78">
        <v>8.6999999999999993</v>
      </c>
      <c r="BI54" s="78">
        <v>5.2</v>
      </c>
      <c r="BJ54" s="78">
        <v>0</v>
      </c>
      <c r="BK54" s="78">
        <v>0</v>
      </c>
      <c r="BL54" s="78">
        <v>20.8</v>
      </c>
      <c r="BM54" s="78">
        <v>32.299999999999997</v>
      </c>
      <c r="BN54" s="78">
        <v>81.599999999999994</v>
      </c>
      <c r="BO54" s="78">
        <v>102.7</v>
      </c>
      <c r="BP54" s="78">
        <v>4.9000000000000004</v>
      </c>
      <c r="BQ54" s="78">
        <v>951.6</v>
      </c>
      <c r="BR54" s="78">
        <v>1199.5</v>
      </c>
      <c r="BS54" s="78">
        <v>1293.7</v>
      </c>
    </row>
    <row r="55" spans="1:71" x14ac:dyDescent="0.3">
      <c r="A55" s="70" t="s">
        <v>754</v>
      </c>
      <c r="AY55"/>
      <c r="BG55" s="78">
        <v>10.5</v>
      </c>
      <c r="BH55" s="78">
        <v>23.1</v>
      </c>
      <c r="BI55" s="78">
        <v>37.9</v>
      </c>
      <c r="BJ55" s="78">
        <v>46.5</v>
      </c>
      <c r="BK55" s="78">
        <v>51.2</v>
      </c>
      <c r="BL55" s="78">
        <v>58.7</v>
      </c>
      <c r="BM55" s="78">
        <v>54.2</v>
      </c>
      <c r="BN55" s="78">
        <v>103.4</v>
      </c>
      <c r="BO55" s="78">
        <v>139</v>
      </c>
      <c r="BP55" s="78">
        <v>177.2</v>
      </c>
      <c r="BQ55" s="78">
        <v>257.7</v>
      </c>
      <c r="BR55" s="78">
        <v>421</v>
      </c>
      <c r="BS55" s="78">
        <v>573.20000000000005</v>
      </c>
    </row>
    <row r="56" spans="1:71" x14ac:dyDescent="0.3">
      <c r="A56" s="74" t="s">
        <v>853</v>
      </c>
      <c r="AY56"/>
      <c r="BG56" s="77">
        <f>BG53+BG44</f>
        <v>92.199999999999989</v>
      </c>
      <c r="BH56" s="77">
        <f t="shared" ref="BH56:BS56" si="42">BH53+BH44</f>
        <v>65.7</v>
      </c>
      <c r="BI56" s="77">
        <f t="shared" si="42"/>
        <v>76.5</v>
      </c>
      <c r="BJ56" s="77">
        <f t="shared" si="42"/>
        <v>105.19999999999999</v>
      </c>
      <c r="BK56" s="77">
        <f t="shared" si="42"/>
        <v>124.10000000000001</v>
      </c>
      <c r="BL56" s="77">
        <f t="shared" si="42"/>
        <v>162.19999999999999</v>
      </c>
      <c r="BM56" s="77">
        <f t="shared" si="42"/>
        <v>178.1</v>
      </c>
      <c r="BN56" s="77">
        <f t="shared" si="42"/>
        <v>332.2</v>
      </c>
      <c r="BO56" s="77">
        <f t="shared" si="42"/>
        <v>441.1</v>
      </c>
      <c r="BP56" s="77">
        <f t="shared" si="42"/>
        <v>716.1</v>
      </c>
      <c r="BQ56" s="77">
        <f t="shared" si="42"/>
        <v>1649.1999999999998</v>
      </c>
      <c r="BR56" s="77">
        <f t="shared" si="42"/>
        <v>2258.6999999999998</v>
      </c>
      <c r="BS56" s="77">
        <f t="shared" si="42"/>
        <v>2399.4</v>
      </c>
    </row>
    <row r="57" spans="1:71" x14ac:dyDescent="0.3">
      <c r="AY57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</row>
    <row r="58" spans="1:71" ht="15" thickBot="1" x14ac:dyDescent="0.35">
      <c r="A58" s="74" t="s">
        <v>854</v>
      </c>
      <c r="AY58"/>
      <c r="BG58" s="77">
        <f>SUM(BG59:BG62)</f>
        <v>13.999999999999991</v>
      </c>
      <c r="BH58" s="77">
        <f t="shared" ref="BH58:BS58" si="43">SUM(BH59:BH62)</f>
        <v>56.699999999999996</v>
      </c>
      <c r="BI58" s="77">
        <f t="shared" si="43"/>
        <v>40.200000000000003</v>
      </c>
      <c r="BJ58" s="77">
        <f t="shared" si="43"/>
        <v>46.9</v>
      </c>
      <c r="BK58" s="77">
        <f t="shared" si="43"/>
        <v>41.399999999999991</v>
      </c>
      <c r="BL58" s="77">
        <f t="shared" si="43"/>
        <v>1.2999999999999943</v>
      </c>
      <c r="BM58" s="77">
        <f t="shared" si="43"/>
        <v>-9.0999999999999766</v>
      </c>
      <c r="BN58" s="77">
        <f t="shared" si="43"/>
        <v>7.7</v>
      </c>
      <c r="BO58" s="77">
        <f t="shared" si="43"/>
        <v>272.20000000000005</v>
      </c>
      <c r="BP58" s="77">
        <f t="shared" si="43"/>
        <v>483.90000000000003</v>
      </c>
      <c r="BQ58" s="77">
        <f t="shared" si="43"/>
        <v>430.2</v>
      </c>
      <c r="BR58" s="77">
        <f t="shared" si="43"/>
        <v>825.5</v>
      </c>
      <c r="BS58" s="77">
        <f t="shared" si="43"/>
        <v>983.59999999999991</v>
      </c>
    </row>
    <row r="59" spans="1:71" ht="15" thickBot="1" x14ac:dyDescent="0.35">
      <c r="A59" s="70" t="s">
        <v>855</v>
      </c>
      <c r="AY59"/>
      <c r="BG59" s="78">
        <v>93.6</v>
      </c>
      <c r="BH59" s="78">
        <v>0</v>
      </c>
      <c r="BI59" s="78">
        <v>0</v>
      </c>
      <c r="BJ59" s="78">
        <v>0</v>
      </c>
      <c r="BK59" s="78">
        <v>0</v>
      </c>
      <c r="BL59" s="78">
        <v>0</v>
      </c>
      <c r="BM59" s="78">
        <v>0</v>
      </c>
      <c r="BN59" s="78">
        <v>0</v>
      </c>
      <c r="BO59" s="78">
        <v>0</v>
      </c>
      <c r="BP59" s="78">
        <v>0</v>
      </c>
      <c r="BQ59" s="78">
        <v>0</v>
      </c>
      <c r="BR59" s="78">
        <v>0</v>
      </c>
      <c r="BS59" s="78">
        <v>0</v>
      </c>
    </row>
    <row r="60" spans="1:71" ht="15" thickBot="1" x14ac:dyDescent="0.35">
      <c r="A60" s="14" t="s">
        <v>748</v>
      </c>
      <c r="AY60"/>
      <c r="BG60" s="79">
        <v>9.1</v>
      </c>
      <c r="BH60" s="79">
        <v>183.6</v>
      </c>
      <c r="BI60" s="79">
        <v>192.9</v>
      </c>
      <c r="BJ60" s="79">
        <v>208</v>
      </c>
      <c r="BK60" s="79">
        <v>224.7</v>
      </c>
      <c r="BL60" s="79">
        <v>252.1</v>
      </c>
      <c r="BM60" s="79">
        <v>287.3</v>
      </c>
      <c r="BN60" s="79">
        <v>353.3</v>
      </c>
      <c r="BO60" s="79">
        <v>458.3</v>
      </c>
      <c r="BP60" s="79">
        <v>534.70000000000005</v>
      </c>
      <c r="BQ60" s="79">
        <v>837.9</v>
      </c>
      <c r="BR60" s="79">
        <v>819.1</v>
      </c>
      <c r="BS60" s="79">
        <v>939.3</v>
      </c>
    </row>
    <row r="61" spans="1:71" ht="15" thickBot="1" x14ac:dyDescent="0.35">
      <c r="A61" s="14" t="s">
        <v>747</v>
      </c>
      <c r="AY61"/>
      <c r="BG61" s="79">
        <v>-88.8</v>
      </c>
      <c r="BH61" s="79">
        <v>-127</v>
      </c>
      <c r="BI61" s="79">
        <v>-152.9</v>
      </c>
      <c r="BJ61" s="79">
        <v>-161</v>
      </c>
      <c r="BK61" s="79">
        <v>-183.1</v>
      </c>
      <c r="BL61" s="79">
        <v>-250.5</v>
      </c>
      <c r="BM61" s="79">
        <v>-295.7</v>
      </c>
      <c r="BN61" s="79">
        <v>-346.3</v>
      </c>
      <c r="BO61" s="79">
        <v>-185.2</v>
      </c>
      <c r="BP61" s="79">
        <v>-51.2</v>
      </c>
      <c r="BQ61" s="79">
        <v>-405.7</v>
      </c>
      <c r="BR61" s="79">
        <v>17.3</v>
      </c>
      <c r="BS61" s="79">
        <v>46.3</v>
      </c>
    </row>
    <row r="62" spans="1:71" ht="15" thickBot="1" x14ac:dyDescent="0.35">
      <c r="A62" t="s">
        <v>856</v>
      </c>
      <c r="AY62"/>
      <c r="BG62" s="78">
        <v>0.1</v>
      </c>
      <c r="BH62" s="78">
        <v>0.1</v>
      </c>
      <c r="BI62" s="78">
        <v>0.2</v>
      </c>
      <c r="BJ62" s="78">
        <v>-0.1</v>
      </c>
      <c r="BK62" s="78">
        <v>-0.2</v>
      </c>
      <c r="BL62" s="78">
        <v>-0.3</v>
      </c>
      <c r="BM62" s="78">
        <v>-0.7</v>
      </c>
      <c r="BN62" s="78">
        <v>0.7</v>
      </c>
      <c r="BO62" s="78">
        <v>-0.9</v>
      </c>
      <c r="BP62" s="78">
        <v>0.4</v>
      </c>
      <c r="BQ62" s="78">
        <v>-2</v>
      </c>
      <c r="BR62" s="78">
        <v>-10.9</v>
      </c>
      <c r="BS62" s="78">
        <v>-2</v>
      </c>
    </row>
    <row r="63" spans="1:71" ht="15" thickBot="1" x14ac:dyDescent="0.35">
      <c r="A63" s="67" t="s">
        <v>417</v>
      </c>
      <c r="AY63"/>
      <c r="BG63" s="81">
        <v>39.299999999999997</v>
      </c>
      <c r="BH63" s="81">
        <v>40.9</v>
      </c>
      <c r="BI63" s="81">
        <v>42.1</v>
      </c>
      <c r="BJ63" s="81">
        <v>43.8</v>
      </c>
      <c r="BK63" s="81">
        <v>45.8</v>
      </c>
      <c r="BL63" s="81">
        <v>62.3</v>
      </c>
      <c r="BM63" s="81">
        <v>85.9</v>
      </c>
      <c r="BN63" s="81">
        <v>107</v>
      </c>
      <c r="BO63" s="81">
        <v>123.1</v>
      </c>
      <c r="BP63" s="81">
        <v>129</v>
      </c>
      <c r="BQ63" s="81">
        <v>133.9</v>
      </c>
      <c r="BR63" s="81">
        <v>136.4</v>
      </c>
      <c r="BS63" s="81">
        <v>135.69999999999999</v>
      </c>
    </row>
    <row r="64" spans="1:71" x14ac:dyDescent="0.3">
      <c r="A64" s="67" t="s">
        <v>726</v>
      </c>
      <c r="AY64"/>
      <c r="BG64" s="12">
        <v>298</v>
      </c>
      <c r="BH64" s="12">
        <v>384</v>
      </c>
      <c r="BI64" s="12">
        <v>398</v>
      </c>
      <c r="BJ64" s="12">
        <v>539</v>
      </c>
      <c r="BK64" s="12">
        <v>543</v>
      </c>
      <c r="BL64" s="12">
        <v>430</v>
      </c>
      <c r="BM64" s="12">
        <v>336</v>
      </c>
      <c r="BN64" s="12">
        <v>427</v>
      </c>
      <c r="BO64" s="12">
        <v>577</v>
      </c>
      <c r="BP64" s="12">
        <v>850</v>
      </c>
      <c r="BQ64" s="12">
        <v>2260</v>
      </c>
      <c r="BR64" s="12">
        <v>2821</v>
      </c>
      <c r="BS64" s="12">
        <v>3157</v>
      </c>
    </row>
    <row r="65" spans="51:51" x14ac:dyDescent="0.3">
      <c r="AY65"/>
    </row>
    <row r="66" spans="51:51" x14ac:dyDescent="0.3">
      <c r="AY66"/>
    </row>
    <row r="67" spans="51:51" x14ac:dyDescent="0.3">
      <c r="AY67"/>
    </row>
    <row r="68" spans="51:51" x14ac:dyDescent="0.3">
      <c r="AY68"/>
    </row>
    <row r="69" spans="51:51" x14ac:dyDescent="0.3">
      <c r="AY69"/>
    </row>
    <row r="70" spans="51:51" x14ac:dyDescent="0.3">
      <c r="AY70"/>
    </row>
    <row r="71" spans="51:51" x14ac:dyDescent="0.3">
      <c r="AY71"/>
    </row>
    <row r="72" spans="51:51" x14ac:dyDescent="0.3">
      <c r="AY72"/>
    </row>
    <row r="73" spans="51:51" x14ac:dyDescent="0.3">
      <c r="AY73"/>
    </row>
    <row r="74" spans="51:51" x14ac:dyDescent="0.3">
      <c r="AY74"/>
    </row>
    <row r="75" spans="51:51" x14ac:dyDescent="0.3">
      <c r="AY75"/>
    </row>
    <row r="76" spans="51:51" x14ac:dyDescent="0.3">
      <c r="AY76"/>
    </row>
    <row r="77" spans="51:51" x14ac:dyDescent="0.3">
      <c r="AY77"/>
    </row>
    <row r="78" spans="51:51" x14ac:dyDescent="0.3">
      <c r="AY78"/>
    </row>
    <row r="79" spans="51:51" x14ac:dyDescent="0.3">
      <c r="AY79"/>
    </row>
    <row r="80" spans="51:51" x14ac:dyDescent="0.3">
      <c r="AY80"/>
    </row>
    <row r="81" spans="51:51" x14ac:dyDescent="0.3">
      <c r="AY81"/>
    </row>
    <row r="82" spans="51:51" x14ac:dyDescent="0.3">
      <c r="AY82"/>
    </row>
    <row r="83" spans="51:51" x14ac:dyDescent="0.3">
      <c r="AY83"/>
    </row>
    <row r="84" spans="51:51" x14ac:dyDescent="0.3">
      <c r="AY84"/>
    </row>
    <row r="85" spans="51:51" x14ac:dyDescent="0.3">
      <c r="AY85"/>
    </row>
    <row r="86" spans="51:51" x14ac:dyDescent="0.3">
      <c r="AY86"/>
    </row>
    <row r="87" spans="51:51" x14ac:dyDescent="0.3">
      <c r="AY87"/>
    </row>
    <row r="88" spans="51:51" x14ac:dyDescent="0.3">
      <c r="AY88"/>
    </row>
    <row r="89" spans="51:51" x14ac:dyDescent="0.3">
      <c r="AY89"/>
    </row>
    <row r="90" spans="51:51" x14ac:dyDescent="0.3">
      <c r="AY90"/>
    </row>
    <row r="91" spans="51:51" x14ac:dyDescent="0.3">
      <c r="AY91"/>
    </row>
    <row r="92" spans="51:51" x14ac:dyDescent="0.3">
      <c r="AY92"/>
    </row>
    <row r="93" spans="51:51" x14ac:dyDescent="0.3">
      <c r="AY93"/>
    </row>
    <row r="94" spans="51:51" x14ac:dyDescent="0.3">
      <c r="AY94"/>
    </row>
    <row r="95" spans="51:51" x14ac:dyDescent="0.3">
      <c r="AY95"/>
    </row>
    <row r="96" spans="51:51" x14ac:dyDescent="0.3">
      <c r="AY96"/>
    </row>
    <row r="97" spans="1:51" x14ac:dyDescent="0.3">
      <c r="AY97"/>
    </row>
    <row r="98" spans="1:51" x14ac:dyDescent="0.3">
      <c r="AY98"/>
    </row>
    <row r="99" spans="1:51" x14ac:dyDescent="0.3">
      <c r="AY99"/>
    </row>
    <row r="100" spans="1:51" x14ac:dyDescent="0.3">
      <c r="AY100"/>
    </row>
    <row r="101" spans="1:51" x14ac:dyDescent="0.3">
      <c r="AY101"/>
    </row>
    <row r="102" spans="1:51" x14ac:dyDescent="0.3">
      <c r="AY102"/>
    </row>
    <row r="103" spans="1:51" x14ac:dyDescent="0.3">
      <c r="AY103"/>
    </row>
    <row r="104" spans="1:51" ht="15" thickBot="1" x14ac:dyDescent="0.35">
      <c r="AY104"/>
    </row>
    <row r="105" spans="1:51" x14ac:dyDescent="0.3">
      <c r="A105" s="14" t="s">
        <v>726</v>
      </c>
      <c r="AY105"/>
    </row>
    <row r="106" spans="1:51" x14ac:dyDescent="0.3">
      <c r="AY106"/>
    </row>
    <row r="107" spans="1:51" x14ac:dyDescent="0.3">
      <c r="AY107"/>
    </row>
    <row r="108" spans="1:51" x14ac:dyDescent="0.3">
      <c r="AY108"/>
    </row>
    <row r="109" spans="1:51" x14ac:dyDescent="0.3">
      <c r="AY109"/>
    </row>
    <row r="110" spans="1:51" x14ac:dyDescent="0.3">
      <c r="AY110"/>
    </row>
    <row r="111" spans="1:51" x14ac:dyDescent="0.3">
      <c r="AY111"/>
    </row>
    <row r="112" spans="1:51" x14ac:dyDescent="0.3">
      <c r="AY112"/>
    </row>
    <row r="113" spans="51:51" x14ac:dyDescent="0.3">
      <c r="AY113"/>
    </row>
    <row r="114" spans="51:51" x14ac:dyDescent="0.3">
      <c r="AY114"/>
    </row>
    <row r="115" spans="51:51" x14ac:dyDescent="0.3">
      <c r="AY115"/>
    </row>
    <row r="116" spans="51:51" x14ac:dyDescent="0.3">
      <c r="AY116"/>
    </row>
    <row r="117" spans="51:51" x14ac:dyDescent="0.3">
      <c r="AY117"/>
    </row>
    <row r="118" spans="51:51" x14ac:dyDescent="0.3">
      <c r="AY118"/>
    </row>
    <row r="119" spans="51:51" x14ac:dyDescent="0.3">
      <c r="AY119"/>
    </row>
    <row r="120" spans="51:51" x14ac:dyDescent="0.3">
      <c r="AY120"/>
    </row>
    <row r="121" spans="51:51" x14ac:dyDescent="0.3">
      <c r="AY121"/>
    </row>
    <row r="122" spans="51:51" x14ac:dyDescent="0.3">
      <c r="AY122"/>
    </row>
    <row r="123" spans="51:51" x14ac:dyDescent="0.3">
      <c r="AY123"/>
    </row>
    <row r="124" spans="51:51" x14ac:dyDescent="0.3">
      <c r="AY124"/>
    </row>
    <row r="125" spans="51:51" x14ac:dyDescent="0.3">
      <c r="AY125"/>
    </row>
    <row r="126" spans="51:51" x14ac:dyDescent="0.3">
      <c r="AY126"/>
    </row>
    <row r="127" spans="51:51" x14ac:dyDescent="0.3">
      <c r="AY127"/>
    </row>
    <row r="128" spans="51:51" x14ac:dyDescent="0.3">
      <c r="AY128"/>
    </row>
    <row r="129" spans="51:51" x14ac:dyDescent="0.3">
      <c r="AY129"/>
    </row>
    <row r="130" spans="51:51" x14ac:dyDescent="0.3">
      <c r="AY130"/>
    </row>
    <row r="131" spans="51:51" x14ac:dyDescent="0.3">
      <c r="AY131"/>
    </row>
    <row r="132" spans="51:51" x14ac:dyDescent="0.3">
      <c r="AY132"/>
    </row>
    <row r="133" spans="51:51" x14ac:dyDescent="0.3">
      <c r="AY133"/>
    </row>
    <row r="134" spans="51:51" x14ac:dyDescent="0.3">
      <c r="AY134"/>
    </row>
    <row r="135" spans="51:51" x14ac:dyDescent="0.3">
      <c r="AY135"/>
    </row>
    <row r="136" spans="51:51" x14ac:dyDescent="0.3">
      <c r="AY136"/>
    </row>
    <row r="137" spans="51:51" x14ac:dyDescent="0.3">
      <c r="AY137"/>
    </row>
    <row r="138" spans="51:51" x14ac:dyDescent="0.3">
      <c r="AY138"/>
    </row>
    <row r="139" spans="51:51" x14ac:dyDescent="0.3">
      <c r="AY139"/>
    </row>
    <row r="140" spans="51:51" x14ac:dyDescent="0.3">
      <c r="AY140"/>
    </row>
    <row r="141" spans="51:51" x14ac:dyDescent="0.3">
      <c r="AY141"/>
    </row>
    <row r="142" spans="51:51" x14ac:dyDescent="0.3">
      <c r="AY142"/>
    </row>
    <row r="143" spans="51:51" x14ac:dyDescent="0.3">
      <c r="AY143"/>
    </row>
    <row r="144" spans="51:51" x14ac:dyDescent="0.3">
      <c r="AY144"/>
    </row>
    <row r="145" spans="51:51" x14ac:dyDescent="0.3">
      <c r="AY145"/>
    </row>
    <row r="146" spans="51:51" x14ac:dyDescent="0.3">
      <c r="AY146"/>
    </row>
    <row r="147" spans="51:51" x14ac:dyDescent="0.3">
      <c r="AY147"/>
    </row>
    <row r="148" spans="51:51" x14ac:dyDescent="0.3">
      <c r="AY148"/>
    </row>
    <row r="149" spans="51:51" x14ac:dyDescent="0.3">
      <c r="AY149"/>
    </row>
    <row r="150" spans="51:51" x14ac:dyDescent="0.3">
      <c r="AY150"/>
    </row>
    <row r="151" spans="51:51" x14ac:dyDescent="0.3">
      <c r="AY151"/>
    </row>
    <row r="152" spans="51:51" x14ac:dyDescent="0.3">
      <c r="AY152"/>
    </row>
    <row r="153" spans="51:51" x14ac:dyDescent="0.3">
      <c r="AY153"/>
    </row>
    <row r="154" spans="51:51" x14ac:dyDescent="0.3">
      <c r="AY154"/>
    </row>
    <row r="155" spans="51:51" x14ac:dyDescent="0.3">
      <c r="AY155"/>
    </row>
    <row r="156" spans="51:51" x14ac:dyDescent="0.3">
      <c r="AY156"/>
    </row>
    <row r="157" spans="51:51" x14ac:dyDescent="0.3">
      <c r="AY157"/>
    </row>
    <row r="158" spans="51:51" x14ac:dyDescent="0.3">
      <c r="AY158"/>
    </row>
    <row r="159" spans="51:51" x14ac:dyDescent="0.3">
      <c r="AY159"/>
    </row>
    <row r="160" spans="51:51" x14ac:dyDescent="0.3">
      <c r="AY160"/>
    </row>
    <row r="161" spans="51:51" x14ac:dyDescent="0.3">
      <c r="AY161"/>
    </row>
    <row r="162" spans="51:51" x14ac:dyDescent="0.3">
      <c r="AY162"/>
    </row>
    <row r="163" spans="51:51" x14ac:dyDescent="0.3">
      <c r="AY163"/>
    </row>
    <row r="164" spans="51:51" x14ac:dyDescent="0.3">
      <c r="AY164"/>
    </row>
    <row r="165" spans="51:51" x14ac:dyDescent="0.3">
      <c r="AY165"/>
    </row>
    <row r="166" spans="51:51" x14ac:dyDescent="0.3">
      <c r="AY166"/>
    </row>
    <row r="167" spans="51:51" x14ac:dyDescent="0.3">
      <c r="AY167"/>
    </row>
    <row r="168" spans="51:51" x14ac:dyDescent="0.3">
      <c r="AY168"/>
    </row>
    <row r="169" spans="51:51" x14ac:dyDescent="0.3">
      <c r="AY169"/>
    </row>
    <row r="170" spans="51:51" x14ac:dyDescent="0.3">
      <c r="AY170"/>
    </row>
    <row r="171" spans="51:51" x14ac:dyDescent="0.3">
      <c r="AY171"/>
    </row>
    <row r="172" spans="51:51" x14ac:dyDescent="0.3">
      <c r="AY172"/>
    </row>
    <row r="173" spans="51:51" x14ac:dyDescent="0.3">
      <c r="AY173"/>
    </row>
    <row r="174" spans="51:51" x14ac:dyDescent="0.3">
      <c r="AY174"/>
    </row>
    <row r="175" spans="51:51" x14ac:dyDescent="0.3">
      <c r="AY175"/>
    </row>
    <row r="176" spans="51:51" x14ac:dyDescent="0.3">
      <c r="AY176"/>
    </row>
    <row r="177" spans="51:51" x14ac:dyDescent="0.3">
      <c r="AY177"/>
    </row>
    <row r="178" spans="51:51" x14ac:dyDescent="0.3">
      <c r="AY178"/>
    </row>
    <row r="179" spans="51:51" x14ac:dyDescent="0.3">
      <c r="AY179"/>
    </row>
    <row r="180" spans="51:51" x14ac:dyDescent="0.3">
      <c r="AY180"/>
    </row>
    <row r="181" spans="51:51" x14ac:dyDescent="0.3">
      <c r="AY181"/>
    </row>
    <row r="182" spans="51:51" x14ac:dyDescent="0.3">
      <c r="AY182"/>
    </row>
    <row r="183" spans="51:51" x14ac:dyDescent="0.3">
      <c r="AY183"/>
    </row>
    <row r="184" spans="51:51" x14ac:dyDescent="0.3">
      <c r="AY184"/>
    </row>
    <row r="185" spans="51:51" x14ac:dyDescent="0.3">
      <c r="AY185"/>
    </row>
    <row r="186" spans="51:51" x14ac:dyDescent="0.3">
      <c r="AY186"/>
    </row>
    <row r="187" spans="51:51" x14ac:dyDescent="0.3">
      <c r="AY187"/>
    </row>
    <row r="188" spans="51:51" x14ac:dyDescent="0.3">
      <c r="AY188"/>
    </row>
    <row r="189" spans="51:51" x14ac:dyDescent="0.3">
      <c r="AY189"/>
    </row>
    <row r="190" spans="51:51" x14ac:dyDescent="0.3">
      <c r="AY190"/>
    </row>
    <row r="191" spans="51:51" x14ac:dyDescent="0.3">
      <c r="AY191"/>
    </row>
    <row r="192" spans="51:51" x14ac:dyDescent="0.3">
      <c r="AY192"/>
    </row>
    <row r="193" spans="51:51" x14ac:dyDescent="0.3">
      <c r="AY193"/>
    </row>
    <row r="194" spans="51:51" x14ac:dyDescent="0.3">
      <c r="AY194"/>
    </row>
    <row r="195" spans="51:51" x14ac:dyDescent="0.3">
      <c r="AY195"/>
    </row>
    <row r="196" spans="51:51" x14ac:dyDescent="0.3">
      <c r="AY196"/>
    </row>
    <row r="197" spans="51:51" x14ac:dyDescent="0.3">
      <c r="AY197"/>
    </row>
    <row r="198" spans="51:51" x14ac:dyDescent="0.3">
      <c r="AY198"/>
    </row>
    <row r="199" spans="51:51" x14ac:dyDescent="0.3">
      <c r="AY199"/>
    </row>
    <row r="200" spans="51:51" x14ac:dyDescent="0.3">
      <c r="AY200"/>
    </row>
    <row r="201" spans="51:51" x14ac:dyDescent="0.3">
      <c r="AY201"/>
    </row>
    <row r="202" spans="51:51" x14ac:dyDescent="0.3">
      <c r="AY202"/>
    </row>
    <row r="203" spans="51:51" x14ac:dyDescent="0.3">
      <c r="AY203"/>
    </row>
    <row r="204" spans="51:51" x14ac:dyDescent="0.3">
      <c r="AY204"/>
    </row>
    <row r="205" spans="51:51" x14ac:dyDescent="0.3">
      <c r="AY205"/>
    </row>
    <row r="206" spans="51:51" x14ac:dyDescent="0.3">
      <c r="AY206"/>
    </row>
    <row r="207" spans="51:51" x14ac:dyDescent="0.3">
      <c r="AY207"/>
    </row>
    <row r="208" spans="51:51" x14ac:dyDescent="0.3">
      <c r="AY208"/>
    </row>
    <row r="209" spans="51:51" x14ac:dyDescent="0.3">
      <c r="AY209"/>
    </row>
    <row r="210" spans="51:51" x14ac:dyDescent="0.3">
      <c r="AY210"/>
    </row>
    <row r="211" spans="51:51" x14ac:dyDescent="0.3">
      <c r="AY211"/>
    </row>
    <row r="212" spans="51:51" x14ac:dyDescent="0.3">
      <c r="AY212"/>
    </row>
    <row r="213" spans="51:51" x14ac:dyDescent="0.3">
      <c r="AY213"/>
    </row>
    <row r="214" spans="51:51" x14ac:dyDescent="0.3">
      <c r="AY214"/>
    </row>
    <row r="215" spans="51:51" x14ac:dyDescent="0.3">
      <c r="AY215"/>
    </row>
    <row r="216" spans="51:51" x14ac:dyDescent="0.3">
      <c r="AY216"/>
    </row>
    <row r="217" spans="51:51" x14ac:dyDescent="0.3">
      <c r="AY217"/>
    </row>
    <row r="218" spans="51:51" x14ac:dyDescent="0.3">
      <c r="AY218"/>
    </row>
    <row r="219" spans="51:51" x14ac:dyDescent="0.3">
      <c r="AY219"/>
    </row>
    <row r="220" spans="51:51" x14ac:dyDescent="0.3">
      <c r="AY220"/>
    </row>
    <row r="221" spans="51:51" x14ac:dyDescent="0.3">
      <c r="AY221"/>
    </row>
    <row r="222" spans="51:51" x14ac:dyDescent="0.3">
      <c r="AY222"/>
    </row>
    <row r="223" spans="51:51" x14ac:dyDescent="0.3">
      <c r="AY223"/>
    </row>
    <row r="224" spans="51:51" x14ac:dyDescent="0.3">
      <c r="AY224"/>
    </row>
    <row r="225" spans="51:51" x14ac:dyDescent="0.3">
      <c r="AY225"/>
    </row>
    <row r="226" spans="51:51" x14ac:dyDescent="0.3">
      <c r="AY226"/>
    </row>
    <row r="227" spans="51:51" x14ac:dyDescent="0.3">
      <c r="AY227"/>
    </row>
    <row r="228" spans="51:51" x14ac:dyDescent="0.3">
      <c r="AY228"/>
    </row>
    <row r="229" spans="51:51" x14ac:dyDescent="0.3">
      <c r="AY229"/>
    </row>
    <row r="230" spans="51:51" x14ac:dyDescent="0.3">
      <c r="AY230"/>
    </row>
    <row r="231" spans="51:51" x14ac:dyDescent="0.3">
      <c r="AY231"/>
    </row>
    <row r="232" spans="51:51" x14ac:dyDescent="0.3">
      <c r="AY232"/>
    </row>
    <row r="233" spans="51:51" x14ac:dyDescent="0.3">
      <c r="AY233"/>
    </row>
    <row r="234" spans="51:51" x14ac:dyDescent="0.3">
      <c r="AY234"/>
    </row>
    <row r="235" spans="51:51" x14ac:dyDescent="0.3">
      <c r="AY235"/>
    </row>
    <row r="236" spans="51:51" x14ac:dyDescent="0.3">
      <c r="AY236"/>
    </row>
    <row r="237" spans="51:51" x14ac:dyDescent="0.3">
      <c r="AY237"/>
    </row>
    <row r="238" spans="51:51" x14ac:dyDescent="0.3">
      <c r="AY238"/>
    </row>
    <row r="239" spans="51:51" x14ac:dyDescent="0.3">
      <c r="AY239"/>
    </row>
    <row r="240" spans="51:51" x14ac:dyDescent="0.3">
      <c r="AY240"/>
    </row>
    <row r="241" spans="51:51" x14ac:dyDescent="0.3">
      <c r="AY241"/>
    </row>
    <row r="242" spans="51:51" x14ac:dyDescent="0.3">
      <c r="AY242"/>
    </row>
    <row r="243" spans="51:51" x14ac:dyDescent="0.3">
      <c r="AY243"/>
    </row>
    <row r="244" spans="51:51" x14ac:dyDescent="0.3">
      <c r="AY244"/>
    </row>
    <row r="245" spans="51:51" x14ac:dyDescent="0.3">
      <c r="AY245"/>
    </row>
    <row r="246" spans="51:51" x14ac:dyDescent="0.3">
      <c r="AY246"/>
    </row>
    <row r="247" spans="51:51" x14ac:dyDescent="0.3">
      <c r="AY247"/>
    </row>
    <row r="248" spans="51:51" x14ac:dyDescent="0.3">
      <c r="AY248"/>
    </row>
    <row r="249" spans="51:51" x14ac:dyDescent="0.3">
      <c r="AY249"/>
    </row>
    <row r="250" spans="51:51" x14ac:dyDescent="0.3">
      <c r="AY250"/>
    </row>
    <row r="251" spans="51:51" x14ac:dyDescent="0.3">
      <c r="AY251"/>
    </row>
    <row r="252" spans="51:51" x14ac:dyDescent="0.3">
      <c r="AY252"/>
    </row>
    <row r="253" spans="51:51" x14ac:dyDescent="0.3">
      <c r="AY253"/>
    </row>
    <row r="254" spans="51:51" x14ac:dyDescent="0.3">
      <c r="AY254"/>
    </row>
    <row r="255" spans="51:51" x14ac:dyDescent="0.3">
      <c r="AY255"/>
    </row>
    <row r="256" spans="51:51" x14ac:dyDescent="0.3">
      <c r="AY256"/>
    </row>
    <row r="257" spans="51:51" x14ac:dyDescent="0.3">
      <c r="AY257"/>
    </row>
    <row r="258" spans="51:51" x14ac:dyDescent="0.3">
      <c r="AY258"/>
    </row>
    <row r="259" spans="51:51" x14ac:dyDescent="0.3">
      <c r="AY259"/>
    </row>
    <row r="260" spans="51:51" x14ac:dyDescent="0.3">
      <c r="AY260"/>
    </row>
    <row r="261" spans="51:51" x14ac:dyDescent="0.3">
      <c r="AY261"/>
    </row>
    <row r="262" spans="51:51" x14ac:dyDescent="0.3">
      <c r="AY262"/>
    </row>
    <row r="263" spans="51:51" x14ac:dyDescent="0.3">
      <c r="AY263"/>
    </row>
    <row r="264" spans="51:51" x14ac:dyDescent="0.3">
      <c r="AY264"/>
    </row>
    <row r="265" spans="51:51" x14ac:dyDescent="0.3">
      <c r="AY265"/>
    </row>
    <row r="266" spans="51:51" x14ac:dyDescent="0.3">
      <c r="AY266"/>
    </row>
    <row r="267" spans="51:51" x14ac:dyDescent="0.3">
      <c r="AY267"/>
    </row>
    <row r="268" spans="51:51" x14ac:dyDescent="0.3">
      <c r="AY268"/>
    </row>
    <row r="269" spans="51:51" x14ac:dyDescent="0.3">
      <c r="AY269"/>
    </row>
    <row r="270" spans="51:51" x14ac:dyDescent="0.3">
      <c r="AY270"/>
    </row>
    <row r="271" spans="51:51" x14ac:dyDescent="0.3">
      <c r="AY271"/>
    </row>
    <row r="272" spans="51:51" x14ac:dyDescent="0.3">
      <c r="AY272"/>
    </row>
    <row r="273" spans="51:51" x14ac:dyDescent="0.3">
      <c r="AY273"/>
    </row>
    <row r="274" spans="51:51" x14ac:dyDescent="0.3">
      <c r="AY274"/>
    </row>
    <row r="275" spans="51:51" x14ac:dyDescent="0.3">
      <c r="AY275"/>
    </row>
    <row r="276" spans="51:51" x14ac:dyDescent="0.3">
      <c r="AY276"/>
    </row>
    <row r="277" spans="51:51" x14ac:dyDescent="0.3">
      <c r="AY277"/>
    </row>
    <row r="278" spans="51:51" x14ac:dyDescent="0.3">
      <c r="AY278"/>
    </row>
    <row r="279" spans="51:51" x14ac:dyDescent="0.3">
      <c r="AY279"/>
    </row>
    <row r="280" spans="51:51" x14ac:dyDescent="0.3">
      <c r="AY280"/>
    </row>
    <row r="281" spans="51:51" x14ac:dyDescent="0.3">
      <c r="AY281"/>
    </row>
    <row r="282" spans="51:51" x14ac:dyDescent="0.3">
      <c r="AY282"/>
    </row>
    <row r="283" spans="51:51" x14ac:dyDescent="0.3">
      <c r="AY283"/>
    </row>
    <row r="284" spans="51:51" x14ac:dyDescent="0.3">
      <c r="AY284"/>
    </row>
    <row r="285" spans="51:51" x14ac:dyDescent="0.3">
      <c r="AY285"/>
    </row>
    <row r="286" spans="51:51" x14ac:dyDescent="0.3">
      <c r="AY286"/>
    </row>
    <row r="287" spans="51:51" x14ac:dyDescent="0.3">
      <c r="AY287"/>
    </row>
    <row r="288" spans="51:51" x14ac:dyDescent="0.3">
      <c r="AY288"/>
    </row>
    <row r="289" spans="51:51" x14ac:dyDescent="0.3">
      <c r="AY289"/>
    </row>
    <row r="290" spans="51:51" x14ac:dyDescent="0.3">
      <c r="AY290"/>
    </row>
    <row r="291" spans="51:51" x14ac:dyDescent="0.3">
      <c r="AY291"/>
    </row>
    <row r="292" spans="51:51" x14ac:dyDescent="0.3">
      <c r="AY292"/>
    </row>
    <row r="293" spans="51:51" x14ac:dyDescent="0.3">
      <c r="AY293"/>
    </row>
    <row r="294" spans="51:51" x14ac:dyDescent="0.3">
      <c r="AY294"/>
    </row>
    <row r="295" spans="51:51" x14ac:dyDescent="0.3">
      <c r="AY295"/>
    </row>
    <row r="296" spans="51:51" x14ac:dyDescent="0.3">
      <c r="AY296"/>
    </row>
    <row r="297" spans="51:51" x14ac:dyDescent="0.3">
      <c r="AY297"/>
    </row>
    <row r="298" spans="51:51" x14ac:dyDescent="0.3">
      <c r="AY298"/>
    </row>
    <row r="299" spans="51:51" x14ac:dyDescent="0.3">
      <c r="AY299"/>
    </row>
    <row r="300" spans="51:51" x14ac:dyDescent="0.3">
      <c r="AY300"/>
    </row>
    <row r="301" spans="51:51" x14ac:dyDescent="0.3">
      <c r="AY301"/>
    </row>
    <row r="302" spans="51:51" x14ac:dyDescent="0.3">
      <c r="AY302"/>
    </row>
    <row r="303" spans="51:51" x14ac:dyDescent="0.3">
      <c r="AY303"/>
    </row>
    <row r="304" spans="51:51" x14ac:dyDescent="0.3">
      <c r="AY304"/>
    </row>
    <row r="305" spans="51:51" x14ac:dyDescent="0.3">
      <c r="AY305"/>
    </row>
    <row r="306" spans="51:51" x14ac:dyDescent="0.3">
      <c r="AY306"/>
    </row>
    <row r="307" spans="51:51" x14ac:dyDescent="0.3">
      <c r="AY307"/>
    </row>
    <row r="308" spans="51:51" x14ac:dyDescent="0.3">
      <c r="AY308"/>
    </row>
    <row r="309" spans="51:51" x14ac:dyDescent="0.3">
      <c r="AY309"/>
    </row>
    <row r="310" spans="51:51" x14ac:dyDescent="0.3">
      <c r="AY310"/>
    </row>
    <row r="311" spans="51:51" x14ac:dyDescent="0.3">
      <c r="AY311"/>
    </row>
    <row r="312" spans="51:51" x14ac:dyDescent="0.3">
      <c r="AY312"/>
    </row>
    <row r="313" spans="51:51" x14ac:dyDescent="0.3">
      <c r="AY313"/>
    </row>
    <row r="314" spans="51:51" x14ac:dyDescent="0.3">
      <c r="AY314"/>
    </row>
    <row r="315" spans="51:51" x14ac:dyDescent="0.3">
      <c r="AY315"/>
    </row>
    <row r="316" spans="51:51" x14ac:dyDescent="0.3">
      <c r="AY316"/>
    </row>
    <row r="317" spans="51:51" x14ac:dyDescent="0.3">
      <c r="AY317"/>
    </row>
    <row r="318" spans="51:51" x14ac:dyDescent="0.3">
      <c r="AY318"/>
    </row>
    <row r="319" spans="51:51" x14ac:dyDescent="0.3">
      <c r="AY319"/>
    </row>
    <row r="320" spans="51:51" x14ac:dyDescent="0.3">
      <c r="AY320"/>
    </row>
    <row r="321" spans="51:51" x14ac:dyDescent="0.3">
      <c r="AY321"/>
    </row>
    <row r="322" spans="51:51" x14ac:dyDescent="0.3">
      <c r="AY322"/>
    </row>
    <row r="323" spans="51:51" x14ac:dyDescent="0.3">
      <c r="AY323"/>
    </row>
    <row r="324" spans="51:51" x14ac:dyDescent="0.3">
      <c r="AY324"/>
    </row>
    <row r="325" spans="51:51" x14ac:dyDescent="0.3">
      <c r="AY325"/>
    </row>
    <row r="326" spans="51:51" x14ac:dyDescent="0.3">
      <c r="AY326"/>
    </row>
    <row r="327" spans="51:51" x14ac:dyDescent="0.3">
      <c r="AY327"/>
    </row>
    <row r="328" spans="51:51" x14ac:dyDescent="0.3">
      <c r="AY328"/>
    </row>
    <row r="329" spans="51:51" x14ac:dyDescent="0.3">
      <c r="AY329"/>
    </row>
    <row r="330" spans="51:51" x14ac:dyDescent="0.3">
      <c r="AY330"/>
    </row>
    <row r="331" spans="51:51" x14ac:dyDescent="0.3">
      <c r="AY331"/>
    </row>
    <row r="332" spans="51:51" x14ac:dyDescent="0.3">
      <c r="AY332"/>
    </row>
    <row r="333" spans="51:51" x14ac:dyDescent="0.3">
      <c r="AY333"/>
    </row>
    <row r="334" spans="51:51" x14ac:dyDescent="0.3">
      <c r="AY334"/>
    </row>
    <row r="335" spans="51:51" x14ac:dyDescent="0.3">
      <c r="AY335"/>
    </row>
    <row r="336" spans="51:51" x14ac:dyDescent="0.3">
      <c r="AY336"/>
    </row>
    <row r="337" spans="51:51" x14ac:dyDescent="0.3">
      <c r="AY337"/>
    </row>
    <row r="338" spans="51:51" x14ac:dyDescent="0.3">
      <c r="AY338"/>
    </row>
    <row r="339" spans="51:51" x14ac:dyDescent="0.3">
      <c r="AY339"/>
    </row>
    <row r="340" spans="51:51" x14ac:dyDescent="0.3">
      <c r="AY340"/>
    </row>
    <row r="341" spans="51:51" x14ac:dyDescent="0.3">
      <c r="AY341"/>
    </row>
    <row r="342" spans="51:51" x14ac:dyDescent="0.3">
      <c r="AY342"/>
    </row>
    <row r="343" spans="51:51" x14ac:dyDescent="0.3">
      <c r="AY343"/>
    </row>
    <row r="344" spans="51:51" x14ac:dyDescent="0.3">
      <c r="AY344"/>
    </row>
    <row r="345" spans="51:51" x14ac:dyDescent="0.3">
      <c r="AY345"/>
    </row>
    <row r="346" spans="51:51" x14ac:dyDescent="0.3">
      <c r="AY346"/>
    </row>
    <row r="347" spans="51:51" x14ac:dyDescent="0.3">
      <c r="AY347"/>
    </row>
    <row r="348" spans="51:51" x14ac:dyDescent="0.3">
      <c r="AY348"/>
    </row>
    <row r="349" spans="51:51" x14ac:dyDescent="0.3">
      <c r="AY349"/>
    </row>
    <row r="350" spans="51:51" x14ac:dyDescent="0.3">
      <c r="AY350"/>
    </row>
    <row r="351" spans="51:51" x14ac:dyDescent="0.3">
      <c r="AY351"/>
    </row>
    <row r="352" spans="51:51" x14ac:dyDescent="0.3">
      <c r="AY352"/>
    </row>
    <row r="353" spans="51:51" x14ac:dyDescent="0.3">
      <c r="AY353"/>
    </row>
    <row r="354" spans="51:51" x14ac:dyDescent="0.3">
      <c r="AY354"/>
    </row>
    <row r="355" spans="51:51" x14ac:dyDescent="0.3">
      <c r="AY355"/>
    </row>
    <row r="356" spans="51:51" x14ac:dyDescent="0.3">
      <c r="AY356"/>
    </row>
    <row r="357" spans="51:51" x14ac:dyDescent="0.3">
      <c r="AY357"/>
    </row>
    <row r="358" spans="51:51" x14ac:dyDescent="0.3">
      <c r="AY358"/>
    </row>
    <row r="359" spans="51:51" x14ac:dyDescent="0.3">
      <c r="AY359"/>
    </row>
    <row r="360" spans="51:51" x14ac:dyDescent="0.3">
      <c r="AY360"/>
    </row>
    <row r="361" spans="51:51" x14ac:dyDescent="0.3">
      <c r="AY361"/>
    </row>
    <row r="362" spans="51:51" x14ac:dyDescent="0.3">
      <c r="AY362"/>
    </row>
    <row r="363" spans="51:51" x14ac:dyDescent="0.3">
      <c r="AY363"/>
    </row>
    <row r="364" spans="51:51" x14ac:dyDescent="0.3">
      <c r="AY364"/>
    </row>
    <row r="365" spans="51:51" x14ac:dyDescent="0.3">
      <c r="AY365"/>
    </row>
    <row r="366" spans="51:51" x14ac:dyDescent="0.3">
      <c r="AY366"/>
    </row>
    <row r="367" spans="51:51" x14ac:dyDescent="0.3">
      <c r="AY367"/>
    </row>
    <row r="368" spans="51:51" x14ac:dyDescent="0.3">
      <c r="AY368"/>
    </row>
    <row r="369" spans="51:51" x14ac:dyDescent="0.3">
      <c r="AY369"/>
    </row>
    <row r="370" spans="51:51" x14ac:dyDescent="0.3">
      <c r="AY370"/>
    </row>
    <row r="371" spans="51:51" x14ac:dyDescent="0.3">
      <c r="AY371"/>
    </row>
    <row r="372" spans="51:51" x14ac:dyDescent="0.3">
      <c r="AY372"/>
    </row>
    <row r="373" spans="51:51" x14ac:dyDescent="0.3">
      <c r="AY373"/>
    </row>
    <row r="374" spans="51:51" x14ac:dyDescent="0.3">
      <c r="AY374"/>
    </row>
    <row r="375" spans="51:51" x14ac:dyDescent="0.3">
      <c r="AY375"/>
    </row>
    <row r="376" spans="51:51" x14ac:dyDescent="0.3">
      <c r="AY376"/>
    </row>
    <row r="377" spans="51:51" x14ac:dyDescent="0.3">
      <c r="AY377"/>
    </row>
    <row r="378" spans="51:51" x14ac:dyDescent="0.3">
      <c r="AY378"/>
    </row>
    <row r="379" spans="51:51" x14ac:dyDescent="0.3">
      <c r="AY379"/>
    </row>
    <row r="380" spans="51:51" x14ac:dyDescent="0.3">
      <c r="AY380"/>
    </row>
    <row r="381" spans="51:51" x14ac:dyDescent="0.3">
      <c r="AY381"/>
    </row>
    <row r="382" spans="51:51" x14ac:dyDescent="0.3">
      <c r="AY382"/>
    </row>
    <row r="383" spans="51:51" x14ac:dyDescent="0.3">
      <c r="AY383"/>
    </row>
    <row r="384" spans="51:51" x14ac:dyDescent="0.3">
      <c r="AY384"/>
    </row>
    <row r="385" spans="51:51" x14ac:dyDescent="0.3">
      <c r="AY385"/>
    </row>
    <row r="386" spans="51:51" x14ac:dyDescent="0.3">
      <c r="AY386"/>
    </row>
    <row r="387" spans="51:51" x14ac:dyDescent="0.3">
      <c r="AY387"/>
    </row>
    <row r="388" spans="51:51" x14ac:dyDescent="0.3">
      <c r="AY388"/>
    </row>
    <row r="389" spans="51:51" x14ac:dyDescent="0.3">
      <c r="AY389"/>
    </row>
    <row r="390" spans="51:51" x14ac:dyDescent="0.3">
      <c r="AY390"/>
    </row>
    <row r="391" spans="51:51" x14ac:dyDescent="0.3">
      <c r="AY391"/>
    </row>
    <row r="392" spans="51:51" x14ac:dyDescent="0.3">
      <c r="AY392"/>
    </row>
    <row r="393" spans="51:51" x14ac:dyDescent="0.3">
      <c r="AY393"/>
    </row>
    <row r="394" spans="51:51" x14ac:dyDescent="0.3">
      <c r="AY394"/>
    </row>
    <row r="395" spans="51:51" x14ac:dyDescent="0.3">
      <c r="AY395"/>
    </row>
    <row r="396" spans="51:51" x14ac:dyDescent="0.3">
      <c r="AY396"/>
    </row>
    <row r="397" spans="51:51" x14ac:dyDescent="0.3">
      <c r="AY397"/>
    </row>
    <row r="398" spans="51:51" x14ac:dyDescent="0.3">
      <c r="AY398"/>
    </row>
    <row r="399" spans="51:51" x14ac:dyDescent="0.3">
      <c r="AY399"/>
    </row>
    <row r="400" spans="51:51" x14ac:dyDescent="0.3">
      <c r="AY400"/>
    </row>
    <row r="401" spans="51:51" x14ac:dyDescent="0.3">
      <c r="AY401"/>
    </row>
    <row r="402" spans="51:51" x14ac:dyDescent="0.3">
      <c r="AY402"/>
    </row>
    <row r="403" spans="51:51" x14ac:dyDescent="0.3">
      <c r="AY403"/>
    </row>
    <row r="404" spans="51:51" x14ac:dyDescent="0.3">
      <c r="AY404"/>
    </row>
    <row r="405" spans="51:51" x14ac:dyDescent="0.3">
      <c r="AY405"/>
    </row>
    <row r="406" spans="51:51" x14ac:dyDescent="0.3">
      <c r="AY406"/>
    </row>
    <row r="407" spans="51:51" x14ac:dyDescent="0.3">
      <c r="AY407"/>
    </row>
    <row r="408" spans="51:51" x14ac:dyDescent="0.3">
      <c r="AY408"/>
    </row>
    <row r="409" spans="51:51" x14ac:dyDescent="0.3">
      <c r="AY409"/>
    </row>
    <row r="410" spans="51:51" x14ac:dyDescent="0.3">
      <c r="AY410"/>
    </row>
    <row r="411" spans="51:51" x14ac:dyDescent="0.3">
      <c r="AY411"/>
    </row>
    <row r="412" spans="51:51" x14ac:dyDescent="0.3">
      <c r="AY412"/>
    </row>
    <row r="413" spans="51:51" x14ac:dyDescent="0.3">
      <c r="AY413"/>
    </row>
    <row r="414" spans="51:51" x14ac:dyDescent="0.3">
      <c r="AY414"/>
    </row>
    <row r="415" spans="51:51" x14ac:dyDescent="0.3">
      <c r="AY415"/>
    </row>
    <row r="416" spans="51:51" x14ac:dyDescent="0.3">
      <c r="AY416"/>
    </row>
    <row r="417" spans="51:51" x14ac:dyDescent="0.3">
      <c r="AY417"/>
    </row>
    <row r="418" spans="51:51" x14ac:dyDescent="0.3">
      <c r="AY418"/>
    </row>
    <row r="419" spans="51:51" x14ac:dyDescent="0.3">
      <c r="AY419"/>
    </row>
    <row r="420" spans="51:51" x14ac:dyDescent="0.3">
      <c r="AY420"/>
    </row>
    <row r="421" spans="51:51" x14ac:dyDescent="0.3">
      <c r="AY421"/>
    </row>
    <row r="422" spans="51:51" x14ac:dyDescent="0.3">
      <c r="AY422"/>
    </row>
    <row r="423" spans="51:51" x14ac:dyDescent="0.3">
      <c r="AY423"/>
    </row>
    <row r="424" spans="51:51" x14ac:dyDescent="0.3">
      <c r="AY424"/>
    </row>
    <row r="425" spans="51:51" x14ac:dyDescent="0.3">
      <c r="AY425"/>
    </row>
    <row r="426" spans="51:51" x14ac:dyDescent="0.3">
      <c r="AY426"/>
    </row>
    <row r="427" spans="51:51" x14ac:dyDescent="0.3">
      <c r="AY427"/>
    </row>
    <row r="428" spans="51:51" x14ac:dyDescent="0.3">
      <c r="AY428"/>
    </row>
    <row r="429" spans="51:51" x14ac:dyDescent="0.3">
      <c r="AY429"/>
    </row>
    <row r="430" spans="51:51" x14ac:dyDescent="0.3">
      <c r="AY430"/>
    </row>
    <row r="431" spans="51:51" x14ac:dyDescent="0.3">
      <c r="AY431"/>
    </row>
    <row r="432" spans="51:51" x14ac:dyDescent="0.3">
      <c r="AY432"/>
    </row>
    <row r="433" spans="51:51" x14ac:dyDescent="0.3">
      <c r="AY433"/>
    </row>
    <row r="434" spans="51:51" x14ac:dyDescent="0.3">
      <c r="AY434"/>
    </row>
    <row r="435" spans="51:51" x14ac:dyDescent="0.3">
      <c r="AY435"/>
    </row>
    <row r="436" spans="51:51" x14ac:dyDescent="0.3">
      <c r="AY436"/>
    </row>
    <row r="437" spans="51:51" x14ac:dyDescent="0.3">
      <c r="AY437"/>
    </row>
    <row r="438" spans="51:51" x14ac:dyDescent="0.3">
      <c r="AY438"/>
    </row>
    <row r="439" spans="51:51" x14ac:dyDescent="0.3">
      <c r="AY439"/>
    </row>
    <row r="440" spans="51:51" x14ac:dyDescent="0.3">
      <c r="AY440"/>
    </row>
    <row r="441" spans="51:51" x14ac:dyDescent="0.3">
      <c r="AY441"/>
    </row>
    <row r="442" spans="51:51" x14ac:dyDescent="0.3">
      <c r="AY442"/>
    </row>
    <row r="443" spans="51:51" x14ac:dyDescent="0.3">
      <c r="AY443"/>
    </row>
    <row r="444" spans="51:51" x14ac:dyDescent="0.3">
      <c r="AY444"/>
    </row>
    <row r="445" spans="51:51" x14ac:dyDescent="0.3">
      <c r="AY445"/>
    </row>
    <row r="446" spans="51:51" x14ac:dyDescent="0.3">
      <c r="AY446"/>
    </row>
    <row r="447" spans="51:51" x14ac:dyDescent="0.3">
      <c r="AY447"/>
    </row>
    <row r="448" spans="51:51" x14ac:dyDescent="0.3">
      <c r="AY448"/>
    </row>
    <row r="449" spans="51:51" x14ac:dyDescent="0.3">
      <c r="AY449"/>
    </row>
    <row r="450" spans="51:51" x14ac:dyDescent="0.3">
      <c r="AY450"/>
    </row>
    <row r="451" spans="51:51" x14ac:dyDescent="0.3">
      <c r="AY451"/>
    </row>
    <row r="452" spans="51:51" x14ac:dyDescent="0.3">
      <c r="AY452"/>
    </row>
    <row r="453" spans="51:51" x14ac:dyDescent="0.3">
      <c r="AY453"/>
    </row>
    <row r="454" spans="51:51" x14ac:dyDescent="0.3">
      <c r="AY454"/>
    </row>
    <row r="455" spans="51:51" x14ac:dyDescent="0.3">
      <c r="AY455"/>
    </row>
    <row r="456" spans="51:51" x14ac:dyDescent="0.3">
      <c r="AY456"/>
    </row>
    <row r="457" spans="51:51" x14ac:dyDescent="0.3">
      <c r="AY457"/>
    </row>
    <row r="458" spans="51:51" x14ac:dyDescent="0.3">
      <c r="AY458"/>
    </row>
    <row r="459" spans="51:51" x14ac:dyDescent="0.3">
      <c r="AY459"/>
    </row>
    <row r="460" spans="51:51" x14ac:dyDescent="0.3">
      <c r="AY460"/>
    </row>
    <row r="461" spans="51:51" x14ac:dyDescent="0.3">
      <c r="AY461"/>
    </row>
    <row r="462" spans="51:51" x14ac:dyDescent="0.3">
      <c r="AY462"/>
    </row>
    <row r="463" spans="51:51" x14ac:dyDescent="0.3">
      <c r="AY463"/>
    </row>
    <row r="464" spans="51:51" x14ac:dyDescent="0.3">
      <c r="AY464"/>
    </row>
    <row r="465" spans="51:51" x14ac:dyDescent="0.3">
      <c r="AY465"/>
    </row>
    <row r="466" spans="51:51" x14ac:dyDescent="0.3">
      <c r="AY466"/>
    </row>
    <row r="467" spans="51:51" x14ac:dyDescent="0.3">
      <c r="AY467"/>
    </row>
    <row r="468" spans="51:51" x14ac:dyDescent="0.3">
      <c r="AY468"/>
    </row>
    <row r="469" spans="51:51" x14ac:dyDescent="0.3">
      <c r="AY469"/>
    </row>
    <row r="470" spans="51:51" x14ac:dyDescent="0.3">
      <c r="AY470"/>
    </row>
    <row r="471" spans="51:51" x14ac:dyDescent="0.3">
      <c r="AY471"/>
    </row>
    <row r="472" spans="51:51" x14ac:dyDescent="0.3">
      <c r="AY472"/>
    </row>
    <row r="473" spans="51:51" x14ac:dyDescent="0.3">
      <c r="AY473"/>
    </row>
    <row r="474" spans="51:51" x14ac:dyDescent="0.3">
      <c r="AY474"/>
    </row>
    <row r="475" spans="51:51" x14ac:dyDescent="0.3">
      <c r="AY475"/>
    </row>
    <row r="476" spans="51:51" x14ac:dyDescent="0.3">
      <c r="AY476"/>
    </row>
    <row r="477" spans="51:51" x14ac:dyDescent="0.3">
      <c r="AY477"/>
    </row>
    <row r="478" spans="51:51" x14ac:dyDescent="0.3">
      <c r="AY478"/>
    </row>
    <row r="479" spans="51:51" x14ac:dyDescent="0.3">
      <c r="AY479"/>
    </row>
    <row r="480" spans="51:51" x14ac:dyDescent="0.3">
      <c r="AY480"/>
    </row>
    <row r="481" spans="51:51" x14ac:dyDescent="0.3">
      <c r="AY481"/>
    </row>
    <row r="482" spans="51:51" x14ac:dyDescent="0.3">
      <c r="AY482"/>
    </row>
    <row r="483" spans="51:51" x14ac:dyDescent="0.3">
      <c r="AY483"/>
    </row>
    <row r="484" spans="51:51" x14ac:dyDescent="0.3">
      <c r="AY484"/>
    </row>
    <row r="485" spans="51:51" x14ac:dyDescent="0.3">
      <c r="AY485"/>
    </row>
    <row r="486" spans="51:51" x14ac:dyDescent="0.3">
      <c r="AY486"/>
    </row>
    <row r="487" spans="51:51" x14ac:dyDescent="0.3">
      <c r="AY487"/>
    </row>
    <row r="488" spans="51:51" x14ac:dyDescent="0.3">
      <c r="AY488"/>
    </row>
    <row r="489" spans="51:51" x14ac:dyDescent="0.3">
      <c r="AY489"/>
    </row>
    <row r="490" spans="51:51" x14ac:dyDescent="0.3">
      <c r="AY490"/>
    </row>
    <row r="491" spans="51:51" x14ac:dyDescent="0.3">
      <c r="AY491"/>
    </row>
    <row r="492" spans="51:51" x14ac:dyDescent="0.3">
      <c r="AY492"/>
    </row>
    <row r="493" spans="51:51" x14ac:dyDescent="0.3">
      <c r="AY493"/>
    </row>
    <row r="494" spans="51:51" x14ac:dyDescent="0.3">
      <c r="AY494"/>
    </row>
    <row r="495" spans="51:51" x14ac:dyDescent="0.3">
      <c r="AY495"/>
    </row>
    <row r="496" spans="51:51" x14ac:dyDescent="0.3">
      <c r="AY496"/>
    </row>
    <row r="497" spans="51:51" x14ac:dyDescent="0.3">
      <c r="AY497"/>
    </row>
    <row r="498" spans="51:51" x14ac:dyDescent="0.3">
      <c r="AY498"/>
    </row>
    <row r="499" spans="51:51" x14ac:dyDescent="0.3">
      <c r="AY499"/>
    </row>
    <row r="500" spans="51:51" x14ac:dyDescent="0.3">
      <c r="AY500"/>
    </row>
    <row r="501" spans="51:51" x14ac:dyDescent="0.3">
      <c r="AY501"/>
    </row>
    <row r="502" spans="51:51" x14ac:dyDescent="0.3">
      <c r="AY502"/>
    </row>
    <row r="503" spans="51:51" x14ac:dyDescent="0.3">
      <c r="AY503"/>
    </row>
    <row r="504" spans="51:51" x14ac:dyDescent="0.3">
      <c r="AY504"/>
    </row>
    <row r="505" spans="51:51" x14ac:dyDescent="0.3">
      <c r="AY505"/>
    </row>
    <row r="506" spans="51:51" x14ac:dyDescent="0.3">
      <c r="AY506"/>
    </row>
    <row r="507" spans="51:51" x14ac:dyDescent="0.3">
      <c r="AY507"/>
    </row>
    <row r="508" spans="51:51" x14ac:dyDescent="0.3">
      <c r="AY508"/>
    </row>
    <row r="509" spans="51:51" x14ac:dyDescent="0.3">
      <c r="AY509"/>
    </row>
    <row r="510" spans="51:51" x14ac:dyDescent="0.3">
      <c r="AY510"/>
    </row>
    <row r="511" spans="51:51" x14ac:dyDescent="0.3">
      <c r="AY511"/>
    </row>
    <row r="512" spans="51:51" x14ac:dyDescent="0.3">
      <c r="AY512"/>
    </row>
    <row r="513" spans="51:51" x14ac:dyDescent="0.3">
      <c r="AY513"/>
    </row>
    <row r="514" spans="51:51" x14ac:dyDescent="0.3">
      <c r="AY514"/>
    </row>
    <row r="515" spans="51:51" x14ac:dyDescent="0.3">
      <c r="AY515"/>
    </row>
    <row r="516" spans="51:51" x14ac:dyDescent="0.3">
      <c r="AY516"/>
    </row>
    <row r="517" spans="51:51" x14ac:dyDescent="0.3">
      <c r="AY517"/>
    </row>
    <row r="518" spans="51:51" x14ac:dyDescent="0.3">
      <c r="AY518"/>
    </row>
    <row r="519" spans="51:51" x14ac:dyDescent="0.3">
      <c r="AY519"/>
    </row>
    <row r="520" spans="51:51" x14ac:dyDescent="0.3">
      <c r="AY520"/>
    </row>
    <row r="521" spans="51:51" x14ac:dyDescent="0.3">
      <c r="AY521"/>
    </row>
    <row r="522" spans="51:51" x14ac:dyDescent="0.3">
      <c r="AY522"/>
    </row>
    <row r="523" spans="51:51" x14ac:dyDescent="0.3">
      <c r="AY523"/>
    </row>
    <row r="524" spans="51:51" x14ac:dyDescent="0.3">
      <c r="AY524"/>
    </row>
    <row r="525" spans="51:51" x14ac:dyDescent="0.3">
      <c r="AY525"/>
    </row>
    <row r="526" spans="51:51" x14ac:dyDescent="0.3">
      <c r="AY526"/>
    </row>
    <row r="527" spans="51:51" x14ac:dyDescent="0.3">
      <c r="AY527"/>
    </row>
    <row r="528" spans="51:51" x14ac:dyDescent="0.3">
      <c r="AY528"/>
    </row>
    <row r="529" spans="51:51" x14ac:dyDescent="0.3">
      <c r="AY529"/>
    </row>
    <row r="530" spans="51:51" x14ac:dyDescent="0.3">
      <c r="AY530"/>
    </row>
    <row r="531" spans="51:51" x14ac:dyDescent="0.3">
      <c r="AY531"/>
    </row>
    <row r="532" spans="51:51" x14ac:dyDescent="0.3">
      <c r="AY532"/>
    </row>
    <row r="533" spans="51:51" x14ac:dyDescent="0.3">
      <c r="AY533"/>
    </row>
    <row r="534" spans="51:51" x14ac:dyDescent="0.3">
      <c r="AY534"/>
    </row>
    <row r="535" spans="51:51" x14ac:dyDescent="0.3">
      <c r="AY535"/>
    </row>
    <row r="536" spans="51:51" x14ac:dyDescent="0.3">
      <c r="AY536"/>
    </row>
    <row r="537" spans="51:51" x14ac:dyDescent="0.3">
      <c r="AY537"/>
    </row>
    <row r="538" spans="51:51" x14ac:dyDescent="0.3">
      <c r="AY538"/>
    </row>
    <row r="539" spans="51:51" x14ac:dyDescent="0.3">
      <c r="AY539"/>
    </row>
    <row r="540" spans="51:51" x14ac:dyDescent="0.3">
      <c r="AY540"/>
    </row>
    <row r="541" spans="51:51" x14ac:dyDescent="0.3">
      <c r="AY541"/>
    </row>
    <row r="542" spans="51:51" x14ac:dyDescent="0.3">
      <c r="AY542"/>
    </row>
    <row r="543" spans="51:51" x14ac:dyDescent="0.3">
      <c r="AY543"/>
    </row>
    <row r="544" spans="51:51" x14ac:dyDescent="0.3">
      <c r="AY544"/>
    </row>
    <row r="545" spans="51:51" x14ac:dyDescent="0.3">
      <c r="AY545"/>
    </row>
    <row r="546" spans="51:51" x14ac:dyDescent="0.3">
      <c r="AY546"/>
    </row>
    <row r="547" spans="51:51" x14ac:dyDescent="0.3">
      <c r="AY547"/>
    </row>
    <row r="548" spans="51:51" x14ac:dyDescent="0.3">
      <c r="AY548"/>
    </row>
    <row r="549" spans="51:51" x14ac:dyDescent="0.3">
      <c r="AY549"/>
    </row>
    <row r="550" spans="51:51" x14ac:dyDescent="0.3">
      <c r="AY550"/>
    </row>
    <row r="551" spans="51:51" x14ac:dyDescent="0.3">
      <c r="AY551"/>
    </row>
    <row r="552" spans="51:51" x14ac:dyDescent="0.3">
      <c r="AY552"/>
    </row>
    <row r="553" spans="51:51" x14ac:dyDescent="0.3">
      <c r="AY553"/>
    </row>
    <row r="554" spans="51:51" x14ac:dyDescent="0.3">
      <c r="AY554"/>
    </row>
    <row r="555" spans="51:51" x14ac:dyDescent="0.3">
      <c r="AY555"/>
    </row>
    <row r="556" spans="51:51" x14ac:dyDescent="0.3">
      <c r="AY556"/>
    </row>
    <row r="557" spans="51:51" x14ac:dyDescent="0.3">
      <c r="AY557"/>
    </row>
    <row r="558" spans="51:51" x14ac:dyDescent="0.3">
      <c r="AY558"/>
    </row>
    <row r="559" spans="51:51" x14ac:dyDescent="0.3">
      <c r="AY559"/>
    </row>
    <row r="560" spans="51:51" x14ac:dyDescent="0.3">
      <c r="AY560"/>
    </row>
    <row r="561" spans="51:51" x14ac:dyDescent="0.3">
      <c r="AY561"/>
    </row>
    <row r="562" spans="51:51" x14ac:dyDescent="0.3">
      <c r="AY562"/>
    </row>
    <row r="563" spans="51:51" x14ac:dyDescent="0.3">
      <c r="AY563"/>
    </row>
    <row r="564" spans="51:51" x14ac:dyDescent="0.3">
      <c r="AY564"/>
    </row>
    <row r="565" spans="51:51" x14ac:dyDescent="0.3">
      <c r="AY565"/>
    </row>
    <row r="566" spans="51:51" x14ac:dyDescent="0.3">
      <c r="AY566"/>
    </row>
    <row r="567" spans="51:51" x14ac:dyDescent="0.3">
      <c r="AY567"/>
    </row>
    <row r="568" spans="51:51" x14ac:dyDescent="0.3">
      <c r="AY568"/>
    </row>
    <row r="569" spans="51:51" x14ac:dyDescent="0.3">
      <c r="AY569"/>
    </row>
    <row r="570" spans="51:51" x14ac:dyDescent="0.3">
      <c r="AY570"/>
    </row>
    <row r="571" spans="51:51" x14ac:dyDescent="0.3">
      <c r="AY571"/>
    </row>
    <row r="572" spans="51:51" x14ac:dyDescent="0.3">
      <c r="AY572"/>
    </row>
    <row r="573" spans="51:51" x14ac:dyDescent="0.3">
      <c r="AY573"/>
    </row>
    <row r="574" spans="51:51" x14ac:dyDescent="0.3">
      <c r="AY574"/>
    </row>
    <row r="575" spans="51:51" x14ac:dyDescent="0.3">
      <c r="AY575"/>
    </row>
    <row r="576" spans="51:51" x14ac:dyDescent="0.3">
      <c r="AY576"/>
    </row>
    <row r="577" spans="51:51" x14ac:dyDescent="0.3">
      <c r="AY577"/>
    </row>
    <row r="578" spans="51:51" x14ac:dyDescent="0.3">
      <c r="AY578"/>
    </row>
    <row r="579" spans="51:51" x14ac:dyDescent="0.3">
      <c r="AY579"/>
    </row>
    <row r="580" spans="51:51" x14ac:dyDescent="0.3">
      <c r="AY580"/>
    </row>
    <row r="581" spans="51:51" x14ac:dyDescent="0.3">
      <c r="AY581"/>
    </row>
    <row r="582" spans="51:51" x14ac:dyDescent="0.3">
      <c r="AY582"/>
    </row>
    <row r="583" spans="51:51" x14ac:dyDescent="0.3">
      <c r="AY583"/>
    </row>
    <row r="584" spans="51:51" x14ac:dyDescent="0.3">
      <c r="AY584"/>
    </row>
    <row r="585" spans="51:51" x14ac:dyDescent="0.3">
      <c r="AY585"/>
    </row>
    <row r="586" spans="51:51" x14ac:dyDescent="0.3">
      <c r="AY586"/>
    </row>
    <row r="587" spans="51:51" x14ac:dyDescent="0.3">
      <c r="AY587"/>
    </row>
    <row r="588" spans="51:51" x14ac:dyDescent="0.3">
      <c r="AY588"/>
    </row>
    <row r="589" spans="51:51" x14ac:dyDescent="0.3">
      <c r="AY589"/>
    </row>
    <row r="590" spans="51:51" x14ac:dyDescent="0.3">
      <c r="AY590"/>
    </row>
    <row r="591" spans="51:51" x14ac:dyDescent="0.3">
      <c r="AY591"/>
    </row>
    <row r="592" spans="51:51" x14ac:dyDescent="0.3">
      <c r="AY592"/>
    </row>
    <row r="593" spans="51:51" x14ac:dyDescent="0.3">
      <c r="AY593"/>
    </row>
    <row r="594" spans="51:51" x14ac:dyDescent="0.3">
      <c r="AY594"/>
    </row>
    <row r="595" spans="51:51" x14ac:dyDescent="0.3">
      <c r="AY595"/>
    </row>
    <row r="596" spans="51:51" x14ac:dyDescent="0.3">
      <c r="AY596"/>
    </row>
    <row r="597" spans="51:51" x14ac:dyDescent="0.3">
      <c r="AY597"/>
    </row>
    <row r="598" spans="51:51" x14ac:dyDescent="0.3">
      <c r="AY598"/>
    </row>
    <row r="599" spans="51:51" x14ac:dyDescent="0.3">
      <c r="AY599"/>
    </row>
    <row r="600" spans="51:51" x14ac:dyDescent="0.3">
      <c r="AY600"/>
    </row>
    <row r="601" spans="51:51" x14ac:dyDescent="0.3">
      <c r="AY601"/>
    </row>
    <row r="602" spans="51:51" x14ac:dyDescent="0.3">
      <c r="AY602"/>
    </row>
    <row r="603" spans="51:51" x14ac:dyDescent="0.3">
      <c r="AY603"/>
    </row>
    <row r="604" spans="51:51" x14ac:dyDescent="0.3">
      <c r="AY604"/>
    </row>
    <row r="605" spans="51:51" x14ac:dyDescent="0.3">
      <c r="AY605"/>
    </row>
    <row r="606" spans="51:51" x14ac:dyDescent="0.3">
      <c r="AY606"/>
    </row>
    <row r="607" spans="51:51" x14ac:dyDescent="0.3">
      <c r="AY607"/>
    </row>
    <row r="608" spans="51:51" x14ac:dyDescent="0.3">
      <c r="AY608"/>
    </row>
    <row r="609" spans="51:51" x14ac:dyDescent="0.3">
      <c r="AY609"/>
    </row>
    <row r="610" spans="51:51" x14ac:dyDescent="0.3">
      <c r="AY610"/>
    </row>
    <row r="611" spans="51:51" x14ac:dyDescent="0.3">
      <c r="AY611"/>
    </row>
    <row r="612" spans="51:51" x14ac:dyDescent="0.3">
      <c r="AY612"/>
    </row>
    <row r="613" spans="51:51" x14ac:dyDescent="0.3">
      <c r="AY613"/>
    </row>
    <row r="614" spans="51:51" x14ac:dyDescent="0.3">
      <c r="AY614"/>
    </row>
    <row r="615" spans="51:51" x14ac:dyDescent="0.3">
      <c r="AY615"/>
    </row>
    <row r="616" spans="51:51" x14ac:dyDescent="0.3">
      <c r="AY616"/>
    </row>
    <row r="617" spans="51:51" x14ac:dyDescent="0.3">
      <c r="AY617"/>
    </row>
    <row r="618" spans="51:51" x14ac:dyDescent="0.3">
      <c r="AY618"/>
    </row>
    <row r="619" spans="51:51" x14ac:dyDescent="0.3">
      <c r="AY619"/>
    </row>
    <row r="620" spans="51:51" x14ac:dyDescent="0.3">
      <c r="AY620"/>
    </row>
    <row r="621" spans="51:51" x14ac:dyDescent="0.3">
      <c r="AY621"/>
    </row>
    <row r="622" spans="51:51" x14ac:dyDescent="0.3">
      <c r="AY622"/>
    </row>
    <row r="623" spans="51:51" x14ac:dyDescent="0.3">
      <c r="AY623"/>
    </row>
    <row r="624" spans="51:51" x14ac:dyDescent="0.3">
      <c r="AY624"/>
    </row>
    <row r="625" spans="51:51" x14ac:dyDescent="0.3">
      <c r="AY625"/>
    </row>
    <row r="626" spans="51:51" x14ac:dyDescent="0.3">
      <c r="AY626"/>
    </row>
    <row r="627" spans="51:51" x14ac:dyDescent="0.3">
      <c r="AY627"/>
    </row>
    <row r="628" spans="51:51" x14ac:dyDescent="0.3">
      <c r="AY628"/>
    </row>
    <row r="629" spans="51:51" x14ac:dyDescent="0.3">
      <c r="AY629"/>
    </row>
    <row r="630" spans="51:51" x14ac:dyDescent="0.3">
      <c r="AY630"/>
    </row>
    <row r="631" spans="51:51" x14ac:dyDescent="0.3">
      <c r="AY631"/>
    </row>
    <row r="632" spans="51:51" x14ac:dyDescent="0.3">
      <c r="AY632"/>
    </row>
    <row r="633" spans="51:51" x14ac:dyDescent="0.3">
      <c r="AY633"/>
    </row>
    <row r="634" spans="51:51" x14ac:dyDescent="0.3">
      <c r="AY634"/>
    </row>
    <row r="635" spans="51:51" x14ac:dyDescent="0.3">
      <c r="AY635"/>
    </row>
    <row r="636" spans="51:51" x14ac:dyDescent="0.3">
      <c r="AY636"/>
    </row>
    <row r="637" spans="51:51" x14ac:dyDescent="0.3">
      <c r="AY637"/>
    </row>
    <row r="638" spans="51:51" x14ac:dyDescent="0.3">
      <c r="AY638"/>
    </row>
    <row r="639" spans="51:51" x14ac:dyDescent="0.3">
      <c r="AY639"/>
    </row>
    <row r="640" spans="51:51" x14ac:dyDescent="0.3">
      <c r="AY640"/>
    </row>
    <row r="641" spans="51:51" x14ac:dyDescent="0.3">
      <c r="AY641"/>
    </row>
    <row r="642" spans="51:51" x14ac:dyDescent="0.3">
      <c r="AY642"/>
    </row>
    <row r="643" spans="51:51" x14ac:dyDescent="0.3">
      <c r="AY643"/>
    </row>
    <row r="644" spans="51:51" x14ac:dyDescent="0.3">
      <c r="AY644"/>
    </row>
    <row r="645" spans="51:51" x14ac:dyDescent="0.3">
      <c r="AY645"/>
    </row>
    <row r="646" spans="51:51" x14ac:dyDescent="0.3">
      <c r="AY646"/>
    </row>
    <row r="647" spans="51:51" x14ac:dyDescent="0.3">
      <c r="AY647"/>
    </row>
    <row r="648" spans="51:51" x14ac:dyDescent="0.3">
      <c r="AY648"/>
    </row>
    <row r="649" spans="51:51" x14ac:dyDescent="0.3">
      <c r="AY649"/>
    </row>
    <row r="650" spans="51:51" x14ac:dyDescent="0.3">
      <c r="AY650"/>
    </row>
    <row r="651" spans="51:51" x14ac:dyDescent="0.3">
      <c r="AY651"/>
    </row>
    <row r="652" spans="51:51" x14ac:dyDescent="0.3">
      <c r="AY652"/>
    </row>
    <row r="653" spans="51:51" x14ac:dyDescent="0.3">
      <c r="AY653"/>
    </row>
    <row r="654" spans="51:51" x14ac:dyDescent="0.3">
      <c r="AY654"/>
    </row>
    <row r="655" spans="51:51" x14ac:dyDescent="0.3">
      <c r="AY655"/>
    </row>
    <row r="656" spans="51:51" x14ac:dyDescent="0.3">
      <c r="AY656"/>
    </row>
    <row r="657" spans="51:51" x14ac:dyDescent="0.3">
      <c r="AY657"/>
    </row>
    <row r="658" spans="51:51" x14ac:dyDescent="0.3">
      <c r="AY658"/>
    </row>
    <row r="659" spans="51:51" x14ac:dyDescent="0.3">
      <c r="AY659"/>
    </row>
    <row r="660" spans="51:51" x14ac:dyDescent="0.3">
      <c r="AY660"/>
    </row>
    <row r="661" spans="51:51" x14ac:dyDescent="0.3">
      <c r="AY661"/>
    </row>
    <row r="662" spans="51:51" x14ac:dyDescent="0.3">
      <c r="AY662"/>
    </row>
    <row r="663" spans="51:51" x14ac:dyDescent="0.3">
      <c r="AY663"/>
    </row>
    <row r="664" spans="51:51" x14ac:dyDescent="0.3">
      <c r="AY664"/>
    </row>
    <row r="665" spans="51:51" x14ac:dyDescent="0.3">
      <c r="AY665"/>
    </row>
    <row r="666" spans="51:51" x14ac:dyDescent="0.3">
      <c r="AY666"/>
    </row>
    <row r="667" spans="51:51" x14ac:dyDescent="0.3">
      <c r="AY667"/>
    </row>
    <row r="668" spans="51:51" x14ac:dyDescent="0.3">
      <c r="AY668"/>
    </row>
    <row r="669" spans="51:51" x14ac:dyDescent="0.3">
      <c r="AY669"/>
    </row>
    <row r="670" spans="51:51" x14ac:dyDescent="0.3">
      <c r="AY670"/>
    </row>
    <row r="671" spans="51:51" x14ac:dyDescent="0.3">
      <c r="AY671"/>
    </row>
    <row r="672" spans="51:51" x14ac:dyDescent="0.3">
      <c r="AY672"/>
    </row>
    <row r="673" spans="51:51" x14ac:dyDescent="0.3">
      <c r="AY673"/>
    </row>
    <row r="674" spans="51:51" x14ac:dyDescent="0.3">
      <c r="AY674"/>
    </row>
    <row r="675" spans="51:51" x14ac:dyDescent="0.3">
      <c r="AY675"/>
    </row>
    <row r="676" spans="51:51" x14ac:dyDescent="0.3">
      <c r="AY676"/>
    </row>
    <row r="677" spans="51:51" x14ac:dyDescent="0.3">
      <c r="AY677"/>
    </row>
    <row r="678" spans="51:51" x14ac:dyDescent="0.3">
      <c r="AY678"/>
    </row>
    <row r="679" spans="51:51" x14ac:dyDescent="0.3">
      <c r="AY679"/>
    </row>
    <row r="680" spans="51:51" x14ac:dyDescent="0.3">
      <c r="AY680"/>
    </row>
    <row r="681" spans="51:51" x14ac:dyDescent="0.3">
      <c r="AY681"/>
    </row>
    <row r="682" spans="51:51" x14ac:dyDescent="0.3">
      <c r="AY682"/>
    </row>
    <row r="683" spans="51:51" x14ac:dyDescent="0.3">
      <c r="AY683"/>
    </row>
    <row r="684" spans="51:51" x14ac:dyDescent="0.3">
      <c r="AY684"/>
    </row>
    <row r="685" spans="51:51" x14ac:dyDescent="0.3">
      <c r="AY685"/>
    </row>
    <row r="686" spans="51:51" x14ac:dyDescent="0.3">
      <c r="AY686"/>
    </row>
    <row r="687" spans="51:51" x14ac:dyDescent="0.3">
      <c r="AY687"/>
    </row>
    <row r="688" spans="51:51" x14ac:dyDescent="0.3">
      <c r="AY688"/>
    </row>
    <row r="689" spans="51:51" x14ac:dyDescent="0.3">
      <c r="AY689"/>
    </row>
    <row r="690" spans="51:51" x14ac:dyDescent="0.3">
      <c r="AY690"/>
    </row>
    <row r="691" spans="51:51" x14ac:dyDescent="0.3">
      <c r="AY691"/>
    </row>
    <row r="692" spans="51:51" x14ac:dyDescent="0.3">
      <c r="AY692"/>
    </row>
    <row r="693" spans="51:51" x14ac:dyDescent="0.3">
      <c r="AY693"/>
    </row>
    <row r="694" spans="51:51" x14ac:dyDescent="0.3">
      <c r="AY694"/>
    </row>
    <row r="695" spans="51:51" x14ac:dyDescent="0.3">
      <c r="AY695"/>
    </row>
    <row r="696" spans="51:51" x14ac:dyDescent="0.3">
      <c r="AY696"/>
    </row>
    <row r="697" spans="51:51" x14ac:dyDescent="0.3">
      <c r="AY697"/>
    </row>
    <row r="698" spans="51:51" x14ac:dyDescent="0.3">
      <c r="AY698"/>
    </row>
    <row r="699" spans="51:51" x14ac:dyDescent="0.3">
      <c r="AY699"/>
    </row>
    <row r="700" spans="51:51" x14ac:dyDescent="0.3">
      <c r="AY700"/>
    </row>
    <row r="701" spans="51:51" x14ac:dyDescent="0.3">
      <c r="AY701"/>
    </row>
    <row r="702" spans="51:51" x14ac:dyDescent="0.3">
      <c r="AY702"/>
    </row>
    <row r="703" spans="51:51" x14ac:dyDescent="0.3">
      <c r="AY703"/>
    </row>
    <row r="704" spans="51:51" x14ac:dyDescent="0.3">
      <c r="AY704"/>
    </row>
    <row r="705" spans="51:51" x14ac:dyDescent="0.3">
      <c r="AY705"/>
    </row>
    <row r="706" spans="51:51" x14ac:dyDescent="0.3">
      <c r="AY706"/>
    </row>
    <row r="707" spans="51:51" x14ac:dyDescent="0.3">
      <c r="AY707"/>
    </row>
    <row r="708" spans="51:51" x14ac:dyDescent="0.3">
      <c r="AY708"/>
    </row>
    <row r="709" spans="51:51" x14ac:dyDescent="0.3">
      <c r="AY709"/>
    </row>
    <row r="710" spans="51:51" x14ac:dyDescent="0.3">
      <c r="AY710"/>
    </row>
    <row r="711" spans="51:51" x14ac:dyDescent="0.3">
      <c r="AY711"/>
    </row>
    <row r="712" spans="51:51" x14ac:dyDescent="0.3">
      <c r="AY712"/>
    </row>
    <row r="713" spans="51:51" x14ac:dyDescent="0.3">
      <c r="AY713"/>
    </row>
    <row r="714" spans="51:51" x14ac:dyDescent="0.3">
      <c r="AY714"/>
    </row>
    <row r="715" spans="51:51" x14ac:dyDescent="0.3">
      <c r="AY715"/>
    </row>
    <row r="716" spans="51:51" x14ac:dyDescent="0.3">
      <c r="AY716"/>
    </row>
    <row r="717" spans="51:51" x14ac:dyDescent="0.3">
      <c r="AY717"/>
    </row>
    <row r="718" spans="51:51" x14ac:dyDescent="0.3">
      <c r="AY718"/>
    </row>
    <row r="719" spans="51:51" x14ac:dyDescent="0.3">
      <c r="AY719"/>
    </row>
    <row r="720" spans="51:51" x14ac:dyDescent="0.3">
      <c r="AY720"/>
    </row>
    <row r="721" spans="51:51" x14ac:dyDescent="0.3">
      <c r="AY721"/>
    </row>
    <row r="722" spans="51:51" x14ac:dyDescent="0.3">
      <c r="AY722"/>
    </row>
    <row r="723" spans="51:51" x14ac:dyDescent="0.3">
      <c r="AY723"/>
    </row>
    <row r="724" spans="51:51" x14ac:dyDescent="0.3">
      <c r="AY724"/>
    </row>
    <row r="725" spans="51:51" x14ac:dyDescent="0.3">
      <c r="AY725"/>
    </row>
    <row r="726" spans="51:51" x14ac:dyDescent="0.3">
      <c r="AY726"/>
    </row>
    <row r="727" spans="51:51" x14ac:dyDescent="0.3">
      <c r="AY727"/>
    </row>
    <row r="728" spans="51:51" x14ac:dyDescent="0.3">
      <c r="AY728"/>
    </row>
    <row r="729" spans="51:51" x14ac:dyDescent="0.3">
      <c r="AY729"/>
    </row>
    <row r="730" spans="51:51" x14ac:dyDescent="0.3">
      <c r="AY730"/>
    </row>
    <row r="731" spans="51:51" x14ac:dyDescent="0.3">
      <c r="AY731"/>
    </row>
    <row r="732" spans="51:51" x14ac:dyDescent="0.3">
      <c r="AY732"/>
    </row>
    <row r="733" spans="51:51" x14ac:dyDescent="0.3">
      <c r="AY733"/>
    </row>
    <row r="734" spans="51:51" x14ac:dyDescent="0.3">
      <c r="AY734"/>
    </row>
    <row r="735" spans="51:51" x14ac:dyDescent="0.3">
      <c r="AY735"/>
    </row>
    <row r="736" spans="51:51" x14ac:dyDescent="0.3">
      <c r="AY736"/>
    </row>
    <row r="737" spans="51:51" x14ac:dyDescent="0.3">
      <c r="AY737"/>
    </row>
    <row r="738" spans="51:51" x14ac:dyDescent="0.3">
      <c r="AY738"/>
    </row>
    <row r="739" spans="51:51" x14ac:dyDescent="0.3">
      <c r="AY739"/>
    </row>
    <row r="740" spans="51:51" x14ac:dyDescent="0.3">
      <c r="AY740"/>
    </row>
    <row r="741" spans="51:51" x14ac:dyDescent="0.3">
      <c r="AY741"/>
    </row>
    <row r="742" spans="51:51" x14ac:dyDescent="0.3">
      <c r="AY742"/>
    </row>
    <row r="743" spans="51:51" x14ac:dyDescent="0.3">
      <c r="AY743"/>
    </row>
    <row r="744" spans="51:51" x14ac:dyDescent="0.3">
      <c r="AY744"/>
    </row>
    <row r="745" spans="51:51" x14ac:dyDescent="0.3">
      <c r="AY745"/>
    </row>
    <row r="746" spans="51:51" x14ac:dyDescent="0.3">
      <c r="AY746"/>
    </row>
    <row r="747" spans="51:51" x14ac:dyDescent="0.3">
      <c r="AY747"/>
    </row>
    <row r="748" spans="51:51" x14ac:dyDescent="0.3">
      <c r="AY748"/>
    </row>
    <row r="749" spans="51:51" x14ac:dyDescent="0.3">
      <c r="AY749"/>
    </row>
    <row r="750" spans="51:51" x14ac:dyDescent="0.3">
      <c r="AY750"/>
    </row>
    <row r="751" spans="51:51" x14ac:dyDescent="0.3">
      <c r="AY751"/>
    </row>
    <row r="752" spans="51:51" x14ac:dyDescent="0.3">
      <c r="AY752"/>
    </row>
    <row r="753" spans="51:51" x14ac:dyDescent="0.3">
      <c r="AY753"/>
    </row>
    <row r="754" spans="51:51" x14ac:dyDescent="0.3">
      <c r="AY754"/>
    </row>
    <row r="755" spans="51:51" x14ac:dyDescent="0.3">
      <c r="AY755"/>
    </row>
    <row r="756" spans="51:51" x14ac:dyDescent="0.3">
      <c r="AY756"/>
    </row>
    <row r="757" spans="51:51" x14ac:dyDescent="0.3">
      <c r="AY757"/>
    </row>
    <row r="758" spans="51:51" x14ac:dyDescent="0.3">
      <c r="AY758"/>
    </row>
    <row r="759" spans="51:51" x14ac:dyDescent="0.3">
      <c r="AY759"/>
    </row>
    <row r="760" spans="51:51" x14ac:dyDescent="0.3">
      <c r="AY760"/>
    </row>
    <row r="761" spans="51:51" x14ac:dyDescent="0.3">
      <c r="AY761"/>
    </row>
    <row r="762" spans="51:51" x14ac:dyDescent="0.3">
      <c r="AY762"/>
    </row>
    <row r="763" spans="51:51" x14ac:dyDescent="0.3">
      <c r="AY763"/>
    </row>
    <row r="764" spans="51:51" x14ac:dyDescent="0.3">
      <c r="AY764"/>
    </row>
    <row r="765" spans="51:51" x14ac:dyDescent="0.3">
      <c r="AY765"/>
    </row>
    <row r="766" spans="51:51" x14ac:dyDescent="0.3">
      <c r="AY766"/>
    </row>
    <row r="767" spans="51:51" x14ac:dyDescent="0.3">
      <c r="AY767"/>
    </row>
    <row r="768" spans="51:51" x14ac:dyDescent="0.3">
      <c r="AY768"/>
    </row>
    <row r="769" spans="51:51" x14ac:dyDescent="0.3">
      <c r="AY769"/>
    </row>
    <row r="770" spans="51:51" x14ac:dyDescent="0.3">
      <c r="AY770"/>
    </row>
    <row r="771" spans="51:51" x14ac:dyDescent="0.3">
      <c r="AY771"/>
    </row>
    <row r="772" spans="51:51" x14ac:dyDescent="0.3">
      <c r="AY772"/>
    </row>
    <row r="773" spans="51:51" x14ac:dyDescent="0.3">
      <c r="AY773"/>
    </row>
    <row r="774" spans="51:51" x14ac:dyDescent="0.3">
      <c r="AY774"/>
    </row>
    <row r="775" spans="51:51" x14ac:dyDescent="0.3">
      <c r="AY775"/>
    </row>
    <row r="776" spans="51:51" x14ac:dyDescent="0.3">
      <c r="AY776"/>
    </row>
    <row r="777" spans="51:51" x14ac:dyDescent="0.3">
      <c r="AY777"/>
    </row>
    <row r="778" spans="51:51" x14ac:dyDescent="0.3">
      <c r="AY778"/>
    </row>
    <row r="779" spans="51:51" x14ac:dyDescent="0.3">
      <c r="AY779"/>
    </row>
    <row r="780" spans="51:51" x14ac:dyDescent="0.3">
      <c r="AY780"/>
    </row>
    <row r="781" spans="51:51" x14ac:dyDescent="0.3">
      <c r="AY781"/>
    </row>
    <row r="782" spans="51:51" x14ac:dyDescent="0.3">
      <c r="AY782"/>
    </row>
    <row r="783" spans="51:51" x14ac:dyDescent="0.3">
      <c r="AY783"/>
    </row>
    <row r="784" spans="51:51" x14ac:dyDescent="0.3">
      <c r="AY784"/>
    </row>
    <row r="785" spans="51:51" x14ac:dyDescent="0.3">
      <c r="AY785"/>
    </row>
    <row r="786" spans="51:51" x14ac:dyDescent="0.3">
      <c r="AY786"/>
    </row>
    <row r="787" spans="51:51" x14ac:dyDescent="0.3">
      <c r="AY787"/>
    </row>
    <row r="788" spans="51:51" x14ac:dyDescent="0.3">
      <c r="AY788"/>
    </row>
    <row r="789" spans="51:51" x14ac:dyDescent="0.3">
      <c r="AY789"/>
    </row>
    <row r="790" spans="51:51" x14ac:dyDescent="0.3">
      <c r="AY790"/>
    </row>
    <row r="791" spans="51:51" x14ac:dyDescent="0.3">
      <c r="AY791"/>
    </row>
    <row r="792" spans="51:51" x14ac:dyDescent="0.3">
      <c r="AY792"/>
    </row>
    <row r="793" spans="51:51" x14ac:dyDescent="0.3">
      <c r="AY793"/>
    </row>
    <row r="794" spans="51:51" x14ac:dyDescent="0.3">
      <c r="AY794"/>
    </row>
    <row r="795" spans="51:51" x14ac:dyDescent="0.3">
      <c r="AY795"/>
    </row>
    <row r="796" spans="51:51" x14ac:dyDescent="0.3">
      <c r="AY796"/>
    </row>
    <row r="797" spans="51:51" x14ac:dyDescent="0.3">
      <c r="AY797"/>
    </row>
    <row r="798" spans="51:51" x14ac:dyDescent="0.3">
      <c r="AY798"/>
    </row>
    <row r="799" spans="51:51" x14ac:dyDescent="0.3">
      <c r="AY799"/>
    </row>
    <row r="800" spans="51:51" x14ac:dyDescent="0.3">
      <c r="AY800"/>
    </row>
    <row r="801" spans="51:51" x14ac:dyDescent="0.3">
      <c r="AY801"/>
    </row>
    <row r="802" spans="51:51" x14ac:dyDescent="0.3">
      <c r="AY802"/>
    </row>
    <row r="803" spans="51:51" x14ac:dyDescent="0.3">
      <c r="AY803"/>
    </row>
    <row r="804" spans="51:51" x14ac:dyDescent="0.3">
      <c r="AY804"/>
    </row>
    <row r="805" spans="51:51" x14ac:dyDescent="0.3">
      <c r="AY805"/>
    </row>
    <row r="806" spans="51:51" x14ac:dyDescent="0.3">
      <c r="AY806"/>
    </row>
    <row r="807" spans="51:51" x14ac:dyDescent="0.3">
      <c r="AY807"/>
    </row>
    <row r="808" spans="51:51" x14ac:dyDescent="0.3">
      <c r="AY808"/>
    </row>
    <row r="809" spans="51:51" x14ac:dyDescent="0.3">
      <c r="AY809"/>
    </row>
    <row r="810" spans="51:51" x14ac:dyDescent="0.3">
      <c r="AY810"/>
    </row>
    <row r="811" spans="51:51" x14ac:dyDescent="0.3">
      <c r="AY811"/>
    </row>
    <row r="812" spans="51:51" x14ac:dyDescent="0.3">
      <c r="AY812"/>
    </row>
    <row r="813" spans="51:51" x14ac:dyDescent="0.3">
      <c r="AY813"/>
    </row>
    <row r="814" spans="51:51" x14ac:dyDescent="0.3">
      <c r="AY814"/>
    </row>
    <row r="815" spans="51:51" x14ac:dyDescent="0.3">
      <c r="AY815"/>
    </row>
    <row r="816" spans="51:51" x14ac:dyDescent="0.3">
      <c r="AY816"/>
    </row>
    <row r="817" spans="51:51" x14ac:dyDescent="0.3">
      <c r="AY817"/>
    </row>
    <row r="818" spans="51:51" x14ac:dyDescent="0.3">
      <c r="AY818"/>
    </row>
    <row r="819" spans="51:51" x14ac:dyDescent="0.3">
      <c r="AY819"/>
    </row>
    <row r="820" spans="51:51" x14ac:dyDescent="0.3">
      <c r="AY820"/>
    </row>
    <row r="821" spans="51:51" x14ac:dyDescent="0.3">
      <c r="AY821"/>
    </row>
    <row r="822" spans="51:51" x14ac:dyDescent="0.3">
      <c r="AY822"/>
    </row>
    <row r="823" spans="51:51" x14ac:dyDescent="0.3">
      <c r="AY823"/>
    </row>
    <row r="824" spans="51:51" x14ac:dyDescent="0.3">
      <c r="AY824"/>
    </row>
    <row r="825" spans="51:51" x14ac:dyDescent="0.3">
      <c r="AY825"/>
    </row>
    <row r="826" spans="51:51" x14ac:dyDescent="0.3">
      <c r="AY826"/>
    </row>
    <row r="827" spans="51:51" x14ac:dyDescent="0.3">
      <c r="AY827"/>
    </row>
    <row r="828" spans="51:51" x14ac:dyDescent="0.3">
      <c r="AY828"/>
    </row>
    <row r="829" spans="51:51" x14ac:dyDescent="0.3">
      <c r="AY829"/>
    </row>
    <row r="830" spans="51:51" x14ac:dyDescent="0.3">
      <c r="AY830"/>
    </row>
    <row r="831" spans="51:51" x14ac:dyDescent="0.3">
      <c r="AY831"/>
    </row>
    <row r="832" spans="51:51" x14ac:dyDescent="0.3">
      <c r="AY832"/>
    </row>
    <row r="833" spans="51:51" x14ac:dyDescent="0.3">
      <c r="AY833"/>
    </row>
    <row r="834" spans="51:51" x14ac:dyDescent="0.3">
      <c r="AY834"/>
    </row>
    <row r="835" spans="51:51" x14ac:dyDescent="0.3">
      <c r="AY835"/>
    </row>
    <row r="836" spans="51:51" x14ac:dyDescent="0.3">
      <c r="AY836"/>
    </row>
    <row r="837" spans="51:51" x14ac:dyDescent="0.3">
      <c r="AY837"/>
    </row>
    <row r="838" spans="51:51" x14ac:dyDescent="0.3">
      <c r="AY838"/>
    </row>
    <row r="839" spans="51:51" x14ac:dyDescent="0.3">
      <c r="AY839"/>
    </row>
    <row r="840" spans="51:51" x14ac:dyDescent="0.3">
      <c r="AY840"/>
    </row>
    <row r="841" spans="51:51" x14ac:dyDescent="0.3">
      <c r="AY841"/>
    </row>
    <row r="842" spans="51:51" x14ac:dyDescent="0.3">
      <c r="AY842"/>
    </row>
    <row r="843" spans="51:51" x14ac:dyDescent="0.3">
      <c r="AY843"/>
    </row>
    <row r="844" spans="51:51" x14ac:dyDescent="0.3">
      <c r="AY844"/>
    </row>
    <row r="845" spans="51:51" x14ac:dyDescent="0.3">
      <c r="AY845"/>
    </row>
    <row r="846" spans="51:51" x14ac:dyDescent="0.3">
      <c r="AY846"/>
    </row>
    <row r="847" spans="51:51" x14ac:dyDescent="0.3">
      <c r="AY847"/>
    </row>
    <row r="848" spans="51:51" x14ac:dyDescent="0.3">
      <c r="AY848"/>
    </row>
    <row r="849" spans="51:51" x14ac:dyDescent="0.3">
      <c r="AY849"/>
    </row>
    <row r="850" spans="51:51" x14ac:dyDescent="0.3">
      <c r="AY850"/>
    </row>
    <row r="851" spans="51:51" x14ac:dyDescent="0.3">
      <c r="AY851"/>
    </row>
    <row r="852" spans="51:51" x14ac:dyDescent="0.3">
      <c r="AY852"/>
    </row>
    <row r="853" spans="51:51" x14ac:dyDescent="0.3">
      <c r="AY853"/>
    </row>
    <row r="854" spans="51:51" x14ac:dyDescent="0.3">
      <c r="AY854"/>
    </row>
    <row r="855" spans="51:51" x14ac:dyDescent="0.3">
      <c r="AY855"/>
    </row>
    <row r="856" spans="51:51" x14ac:dyDescent="0.3">
      <c r="AY856"/>
    </row>
    <row r="857" spans="51:51" x14ac:dyDescent="0.3">
      <c r="AY857"/>
    </row>
    <row r="858" spans="51:51" x14ac:dyDescent="0.3">
      <c r="AY858"/>
    </row>
    <row r="859" spans="51:51" x14ac:dyDescent="0.3">
      <c r="AY859"/>
    </row>
    <row r="860" spans="51:51" x14ac:dyDescent="0.3">
      <c r="AY860"/>
    </row>
    <row r="861" spans="51:51" x14ac:dyDescent="0.3">
      <c r="AY861"/>
    </row>
    <row r="862" spans="51:51" x14ac:dyDescent="0.3">
      <c r="AY862"/>
    </row>
    <row r="863" spans="51:51" x14ac:dyDescent="0.3">
      <c r="AY863"/>
    </row>
    <row r="864" spans="51:51" x14ac:dyDescent="0.3">
      <c r="AY864"/>
    </row>
    <row r="865" spans="51:51" x14ac:dyDescent="0.3">
      <c r="AY865"/>
    </row>
    <row r="866" spans="51:51" x14ac:dyDescent="0.3">
      <c r="AY866"/>
    </row>
    <row r="867" spans="51:51" x14ac:dyDescent="0.3">
      <c r="AY867"/>
    </row>
    <row r="868" spans="51:51" x14ac:dyDescent="0.3">
      <c r="AY868"/>
    </row>
    <row r="869" spans="51:51" x14ac:dyDescent="0.3">
      <c r="AY869"/>
    </row>
    <row r="870" spans="51:51" x14ac:dyDescent="0.3">
      <c r="AY870"/>
    </row>
    <row r="871" spans="51:51" x14ac:dyDescent="0.3">
      <c r="AY871"/>
    </row>
    <row r="872" spans="51:51" x14ac:dyDescent="0.3">
      <c r="AY872"/>
    </row>
    <row r="873" spans="51:51" x14ac:dyDescent="0.3">
      <c r="AY873"/>
    </row>
    <row r="874" spans="51:51" x14ac:dyDescent="0.3">
      <c r="AY874"/>
    </row>
    <row r="875" spans="51:51" x14ac:dyDescent="0.3">
      <c r="AY875"/>
    </row>
    <row r="876" spans="51:51" x14ac:dyDescent="0.3">
      <c r="AY876"/>
    </row>
    <row r="877" spans="51:51" x14ac:dyDescent="0.3">
      <c r="AY877"/>
    </row>
    <row r="878" spans="51:51" x14ac:dyDescent="0.3">
      <c r="AY878"/>
    </row>
    <row r="879" spans="51:51" x14ac:dyDescent="0.3">
      <c r="AY879"/>
    </row>
    <row r="880" spans="51:51" x14ac:dyDescent="0.3">
      <c r="AY880"/>
    </row>
    <row r="881" spans="51:51" x14ac:dyDescent="0.3">
      <c r="AY881"/>
    </row>
    <row r="882" spans="51:51" x14ac:dyDescent="0.3">
      <c r="AY882"/>
    </row>
    <row r="883" spans="51:51" x14ac:dyDescent="0.3">
      <c r="AY883"/>
    </row>
    <row r="884" spans="51:51" x14ac:dyDescent="0.3">
      <c r="AY884"/>
    </row>
    <row r="885" spans="51:51" x14ac:dyDescent="0.3">
      <c r="AY885"/>
    </row>
    <row r="886" spans="51:51" x14ac:dyDescent="0.3">
      <c r="AY886"/>
    </row>
    <row r="887" spans="51:51" x14ac:dyDescent="0.3">
      <c r="AY887"/>
    </row>
    <row r="888" spans="51:51" x14ac:dyDescent="0.3">
      <c r="AY888"/>
    </row>
    <row r="889" spans="51:51" x14ac:dyDescent="0.3">
      <c r="AY889"/>
    </row>
    <row r="890" spans="51:51" x14ac:dyDescent="0.3">
      <c r="AY890"/>
    </row>
    <row r="891" spans="51:51" x14ac:dyDescent="0.3">
      <c r="AY891"/>
    </row>
    <row r="892" spans="51:51" x14ac:dyDescent="0.3">
      <c r="AY892"/>
    </row>
    <row r="893" spans="51:51" x14ac:dyDescent="0.3">
      <c r="AY893"/>
    </row>
    <row r="894" spans="51:51" x14ac:dyDescent="0.3">
      <c r="AY894"/>
    </row>
    <row r="895" spans="51:51" x14ac:dyDescent="0.3">
      <c r="AY895"/>
    </row>
    <row r="896" spans="51:51" x14ac:dyDescent="0.3">
      <c r="AY896"/>
    </row>
    <row r="897" spans="51:51" x14ac:dyDescent="0.3">
      <c r="AY897"/>
    </row>
    <row r="898" spans="51:51" x14ac:dyDescent="0.3">
      <c r="AY898"/>
    </row>
    <row r="899" spans="51:51" x14ac:dyDescent="0.3">
      <c r="AY899"/>
    </row>
    <row r="900" spans="51:51" x14ac:dyDescent="0.3">
      <c r="AY900"/>
    </row>
    <row r="901" spans="51:51" x14ac:dyDescent="0.3">
      <c r="AY901"/>
    </row>
    <row r="902" spans="51:51" x14ac:dyDescent="0.3">
      <c r="AY902"/>
    </row>
    <row r="903" spans="51:51" x14ac:dyDescent="0.3">
      <c r="AY903"/>
    </row>
    <row r="904" spans="51:51" x14ac:dyDescent="0.3">
      <c r="AY904"/>
    </row>
    <row r="905" spans="51:51" x14ac:dyDescent="0.3">
      <c r="AY905"/>
    </row>
    <row r="906" spans="51:51" x14ac:dyDescent="0.3">
      <c r="AY906"/>
    </row>
    <row r="907" spans="51:51" x14ac:dyDescent="0.3">
      <c r="AY907"/>
    </row>
    <row r="908" spans="51:51" x14ac:dyDescent="0.3">
      <c r="AY908"/>
    </row>
    <row r="909" spans="51:51" x14ac:dyDescent="0.3">
      <c r="AY909"/>
    </row>
    <row r="910" spans="51:51" x14ac:dyDescent="0.3">
      <c r="AY910"/>
    </row>
    <row r="911" spans="51:51" x14ac:dyDescent="0.3">
      <c r="AY911"/>
    </row>
    <row r="912" spans="51:51" x14ac:dyDescent="0.3">
      <c r="AY912"/>
    </row>
    <row r="913" spans="51:51" x14ac:dyDescent="0.3">
      <c r="AY913"/>
    </row>
    <row r="914" spans="51:51" x14ac:dyDescent="0.3">
      <c r="AY914"/>
    </row>
    <row r="915" spans="51:51" x14ac:dyDescent="0.3">
      <c r="AY915"/>
    </row>
    <row r="916" spans="51:51" x14ac:dyDescent="0.3">
      <c r="AY916"/>
    </row>
    <row r="917" spans="51:51" x14ac:dyDescent="0.3">
      <c r="AY917"/>
    </row>
    <row r="918" spans="51:51" x14ac:dyDescent="0.3">
      <c r="AY918"/>
    </row>
    <row r="919" spans="51:51" x14ac:dyDescent="0.3">
      <c r="AY919"/>
    </row>
    <row r="920" spans="51:51" x14ac:dyDescent="0.3">
      <c r="AY920"/>
    </row>
    <row r="921" spans="51:51" x14ac:dyDescent="0.3">
      <c r="AY921"/>
    </row>
    <row r="922" spans="51:51" x14ac:dyDescent="0.3">
      <c r="AY922"/>
    </row>
    <row r="923" spans="51:51" x14ac:dyDescent="0.3">
      <c r="AY923"/>
    </row>
    <row r="924" spans="51:51" x14ac:dyDescent="0.3">
      <c r="AY924"/>
    </row>
    <row r="925" spans="51:51" x14ac:dyDescent="0.3">
      <c r="AY925"/>
    </row>
    <row r="926" spans="51:51" x14ac:dyDescent="0.3">
      <c r="AY926"/>
    </row>
    <row r="927" spans="51:51" x14ac:dyDescent="0.3">
      <c r="AY927"/>
    </row>
    <row r="928" spans="51:51" x14ac:dyDescent="0.3">
      <c r="AY928"/>
    </row>
    <row r="929" spans="51:51" x14ac:dyDescent="0.3">
      <c r="AY929"/>
    </row>
    <row r="930" spans="51:51" x14ac:dyDescent="0.3">
      <c r="AY930"/>
    </row>
    <row r="931" spans="51:51" x14ac:dyDescent="0.3">
      <c r="AY931"/>
    </row>
    <row r="932" spans="51:51" x14ac:dyDescent="0.3">
      <c r="AY932"/>
    </row>
    <row r="933" spans="51:51" x14ac:dyDescent="0.3">
      <c r="AY933"/>
    </row>
    <row r="934" spans="51:51" x14ac:dyDescent="0.3">
      <c r="AY934"/>
    </row>
    <row r="935" spans="51:51" x14ac:dyDescent="0.3">
      <c r="AY935"/>
    </row>
    <row r="936" spans="51:51" x14ac:dyDescent="0.3">
      <c r="AY936"/>
    </row>
    <row r="937" spans="51:51" x14ac:dyDescent="0.3">
      <c r="AY937"/>
    </row>
    <row r="938" spans="51:51" x14ac:dyDescent="0.3">
      <c r="AY938"/>
    </row>
    <row r="939" spans="51:51" x14ac:dyDescent="0.3">
      <c r="AY939"/>
    </row>
    <row r="940" spans="51:51" x14ac:dyDescent="0.3">
      <c r="AY940"/>
    </row>
    <row r="941" spans="51:51" x14ac:dyDescent="0.3">
      <c r="AY941"/>
    </row>
    <row r="942" spans="51:51" x14ac:dyDescent="0.3">
      <c r="AY942"/>
    </row>
    <row r="943" spans="51:51" x14ac:dyDescent="0.3">
      <c r="AY943"/>
    </row>
    <row r="944" spans="51:51" x14ac:dyDescent="0.3">
      <c r="AY944"/>
    </row>
    <row r="945" spans="51:51" x14ac:dyDescent="0.3">
      <c r="AY945"/>
    </row>
    <row r="946" spans="51:51" x14ac:dyDescent="0.3">
      <c r="AY946"/>
    </row>
    <row r="947" spans="51:51" x14ac:dyDescent="0.3">
      <c r="AY947"/>
    </row>
    <row r="948" spans="51:51" x14ac:dyDescent="0.3">
      <c r="AY948"/>
    </row>
    <row r="949" spans="51:51" x14ac:dyDescent="0.3">
      <c r="AY949"/>
    </row>
    <row r="950" spans="51:51" x14ac:dyDescent="0.3">
      <c r="AY950"/>
    </row>
    <row r="951" spans="51:51" x14ac:dyDescent="0.3">
      <c r="AY951"/>
    </row>
    <row r="952" spans="51:51" x14ac:dyDescent="0.3">
      <c r="AY952"/>
    </row>
    <row r="953" spans="51:51" x14ac:dyDescent="0.3">
      <c r="AY953"/>
    </row>
    <row r="954" spans="51:51" x14ac:dyDescent="0.3">
      <c r="AY954"/>
    </row>
    <row r="955" spans="51:51" x14ac:dyDescent="0.3">
      <c r="AY955"/>
    </row>
    <row r="956" spans="51:51" x14ac:dyDescent="0.3">
      <c r="AY956"/>
    </row>
    <row r="957" spans="51:51" x14ac:dyDescent="0.3">
      <c r="AY957"/>
    </row>
    <row r="958" spans="51:51" x14ac:dyDescent="0.3">
      <c r="AY958"/>
    </row>
    <row r="959" spans="51:51" x14ac:dyDescent="0.3">
      <c r="AY959"/>
    </row>
    <row r="960" spans="51:51" x14ac:dyDescent="0.3">
      <c r="AY960"/>
    </row>
    <row r="961" spans="51:51" x14ac:dyDescent="0.3">
      <c r="AY961"/>
    </row>
    <row r="962" spans="51:51" x14ac:dyDescent="0.3">
      <c r="AY962"/>
    </row>
    <row r="963" spans="51:51" x14ac:dyDescent="0.3">
      <c r="AY963"/>
    </row>
    <row r="964" spans="51:51" x14ac:dyDescent="0.3">
      <c r="AY964"/>
    </row>
    <row r="965" spans="51:51" x14ac:dyDescent="0.3">
      <c r="AY965"/>
    </row>
    <row r="966" spans="51:51" x14ac:dyDescent="0.3">
      <c r="AY966"/>
    </row>
    <row r="967" spans="51:51" x14ac:dyDescent="0.3">
      <c r="AY967"/>
    </row>
    <row r="968" spans="51:51" x14ac:dyDescent="0.3">
      <c r="AY968"/>
    </row>
    <row r="969" spans="51:51" x14ac:dyDescent="0.3">
      <c r="AY969"/>
    </row>
    <row r="970" spans="51:51" x14ac:dyDescent="0.3">
      <c r="AY970"/>
    </row>
    <row r="971" spans="51:51" x14ac:dyDescent="0.3">
      <c r="AY971"/>
    </row>
    <row r="972" spans="51:51" x14ac:dyDescent="0.3">
      <c r="AY972"/>
    </row>
    <row r="973" spans="51:51" x14ac:dyDescent="0.3">
      <c r="AY973"/>
    </row>
    <row r="974" spans="51:51" x14ac:dyDescent="0.3">
      <c r="AY974"/>
    </row>
    <row r="975" spans="51:51" x14ac:dyDescent="0.3">
      <c r="AY975"/>
    </row>
    <row r="976" spans="51:51" x14ac:dyDescent="0.3">
      <c r="AY976"/>
    </row>
    <row r="977" spans="51:51" x14ac:dyDescent="0.3">
      <c r="AY977"/>
    </row>
    <row r="978" spans="51:51" x14ac:dyDescent="0.3">
      <c r="AY978"/>
    </row>
    <row r="979" spans="51:51" x14ac:dyDescent="0.3">
      <c r="AY979"/>
    </row>
    <row r="980" spans="51:51" x14ac:dyDescent="0.3">
      <c r="AY980"/>
    </row>
    <row r="981" spans="51:51" x14ac:dyDescent="0.3">
      <c r="AY981"/>
    </row>
    <row r="982" spans="51:51" x14ac:dyDescent="0.3">
      <c r="AY982"/>
    </row>
    <row r="983" spans="51:51" x14ac:dyDescent="0.3">
      <c r="AY983"/>
    </row>
    <row r="984" spans="51:51" x14ac:dyDescent="0.3">
      <c r="AY984"/>
    </row>
    <row r="985" spans="51:51" x14ac:dyDescent="0.3">
      <c r="AY985"/>
    </row>
    <row r="986" spans="51:51" x14ac:dyDescent="0.3">
      <c r="AY986"/>
    </row>
    <row r="987" spans="51:51" x14ac:dyDescent="0.3">
      <c r="AY987"/>
    </row>
    <row r="988" spans="51:51" x14ac:dyDescent="0.3">
      <c r="AY988"/>
    </row>
    <row r="989" spans="51:51" x14ac:dyDescent="0.3">
      <c r="AY989"/>
    </row>
    <row r="990" spans="51:51" x14ac:dyDescent="0.3">
      <c r="AY990"/>
    </row>
    <row r="991" spans="51:51" x14ac:dyDescent="0.3">
      <c r="AY991"/>
    </row>
    <row r="992" spans="51:51" x14ac:dyDescent="0.3">
      <c r="AY992"/>
    </row>
    <row r="993" spans="51:51" x14ac:dyDescent="0.3">
      <c r="AY993"/>
    </row>
    <row r="994" spans="51:51" x14ac:dyDescent="0.3">
      <c r="AY994"/>
    </row>
    <row r="995" spans="51:51" x14ac:dyDescent="0.3">
      <c r="AY995"/>
    </row>
    <row r="996" spans="51:51" x14ac:dyDescent="0.3">
      <c r="AY996"/>
    </row>
    <row r="997" spans="51:51" x14ac:dyDescent="0.3">
      <c r="AY997"/>
    </row>
    <row r="998" spans="51:51" x14ac:dyDescent="0.3">
      <c r="AY998"/>
    </row>
    <row r="999" spans="51:51" x14ac:dyDescent="0.3">
      <c r="AY999"/>
    </row>
    <row r="1000" spans="51:51" x14ac:dyDescent="0.3">
      <c r="AY1000"/>
    </row>
    <row r="1001" spans="51:51" x14ac:dyDescent="0.3">
      <c r="AY1001"/>
    </row>
    <row r="1002" spans="51:51" x14ac:dyDescent="0.3">
      <c r="AY1002"/>
    </row>
    <row r="1003" spans="51:51" x14ac:dyDescent="0.3">
      <c r="AY1003"/>
    </row>
    <row r="1004" spans="51:51" x14ac:dyDescent="0.3">
      <c r="AY1004"/>
    </row>
    <row r="1005" spans="51:51" x14ac:dyDescent="0.3">
      <c r="AY1005"/>
    </row>
    <row r="1006" spans="51:51" x14ac:dyDescent="0.3">
      <c r="AY1006"/>
    </row>
    <row r="1007" spans="51:51" x14ac:dyDescent="0.3">
      <c r="AY1007"/>
    </row>
    <row r="1008" spans="51:51" x14ac:dyDescent="0.3">
      <c r="AY1008"/>
    </row>
    <row r="1009" spans="51:51" x14ac:dyDescent="0.3">
      <c r="AY1009"/>
    </row>
    <row r="1010" spans="51:51" x14ac:dyDescent="0.3">
      <c r="AY1010"/>
    </row>
    <row r="1011" spans="51:51" x14ac:dyDescent="0.3">
      <c r="AY1011"/>
    </row>
    <row r="1012" spans="51:51" x14ac:dyDescent="0.3">
      <c r="AY1012"/>
    </row>
    <row r="1013" spans="51:51" x14ac:dyDescent="0.3">
      <c r="AY1013"/>
    </row>
    <row r="1014" spans="51:51" x14ac:dyDescent="0.3">
      <c r="AY1014"/>
    </row>
    <row r="1015" spans="51:51" x14ac:dyDescent="0.3">
      <c r="AY1015"/>
    </row>
    <row r="1016" spans="51:51" x14ac:dyDescent="0.3">
      <c r="AY1016"/>
    </row>
    <row r="1017" spans="51:51" x14ac:dyDescent="0.3">
      <c r="AY1017"/>
    </row>
    <row r="1018" spans="51:51" x14ac:dyDescent="0.3">
      <c r="AY1018"/>
    </row>
    <row r="1019" spans="51:51" x14ac:dyDescent="0.3">
      <c r="AY1019"/>
    </row>
    <row r="1020" spans="51:51" x14ac:dyDescent="0.3">
      <c r="AY1020"/>
    </row>
    <row r="1021" spans="51:51" x14ac:dyDescent="0.3">
      <c r="AY1021"/>
    </row>
    <row r="1022" spans="51:51" x14ac:dyDescent="0.3">
      <c r="AY1022"/>
    </row>
    <row r="1023" spans="51:51" x14ac:dyDescent="0.3">
      <c r="AY1023"/>
    </row>
    <row r="1024" spans="51:51" x14ac:dyDescent="0.3">
      <c r="AY1024"/>
    </row>
    <row r="1025" spans="51:51" x14ac:dyDescent="0.3">
      <c r="AY1025"/>
    </row>
    <row r="1026" spans="51:51" x14ac:dyDescent="0.3">
      <c r="AY1026"/>
    </row>
    <row r="1027" spans="51:51" x14ac:dyDescent="0.3">
      <c r="AY1027"/>
    </row>
    <row r="1028" spans="51:51" x14ac:dyDescent="0.3">
      <c r="AY1028"/>
    </row>
    <row r="1029" spans="51:51" x14ac:dyDescent="0.3">
      <c r="AY1029"/>
    </row>
    <row r="1030" spans="51:51" x14ac:dyDescent="0.3">
      <c r="AY1030"/>
    </row>
    <row r="1031" spans="51:51" x14ac:dyDescent="0.3">
      <c r="AY1031"/>
    </row>
    <row r="1032" spans="51:51" x14ac:dyDescent="0.3">
      <c r="AY1032"/>
    </row>
    <row r="1033" spans="51:51" x14ac:dyDescent="0.3">
      <c r="AY1033"/>
    </row>
    <row r="1034" spans="51:51" x14ac:dyDescent="0.3">
      <c r="AY1034"/>
    </row>
    <row r="1035" spans="51:51" x14ac:dyDescent="0.3">
      <c r="AY1035"/>
    </row>
    <row r="1036" spans="51:51" x14ac:dyDescent="0.3">
      <c r="AY1036"/>
    </row>
    <row r="1037" spans="51:51" x14ac:dyDescent="0.3">
      <c r="AY1037"/>
    </row>
    <row r="1038" spans="51:51" x14ac:dyDescent="0.3">
      <c r="AY1038"/>
    </row>
    <row r="1039" spans="51:51" x14ac:dyDescent="0.3">
      <c r="AY1039"/>
    </row>
    <row r="1040" spans="51:51" x14ac:dyDescent="0.3">
      <c r="AY1040"/>
    </row>
    <row r="1041" spans="51:51" x14ac:dyDescent="0.3">
      <c r="AY1041"/>
    </row>
    <row r="1042" spans="51:51" x14ac:dyDescent="0.3">
      <c r="AY1042"/>
    </row>
    <row r="1043" spans="51:51" x14ac:dyDescent="0.3">
      <c r="AY1043"/>
    </row>
    <row r="1044" spans="51:51" x14ac:dyDescent="0.3">
      <c r="AY1044"/>
    </row>
    <row r="1045" spans="51:51" x14ac:dyDescent="0.3">
      <c r="AY1045"/>
    </row>
    <row r="1046" spans="51:51" x14ac:dyDescent="0.3">
      <c r="AY1046"/>
    </row>
    <row r="1047" spans="51:51" x14ac:dyDescent="0.3">
      <c r="AY1047"/>
    </row>
    <row r="1048" spans="51:51" x14ac:dyDescent="0.3">
      <c r="AY1048"/>
    </row>
    <row r="1049" spans="51:51" x14ac:dyDescent="0.3">
      <c r="AY1049"/>
    </row>
    <row r="1050" spans="51:51" x14ac:dyDescent="0.3">
      <c r="AY1050"/>
    </row>
    <row r="1051" spans="51:51" x14ac:dyDescent="0.3">
      <c r="AY1051"/>
    </row>
    <row r="1052" spans="51:51" x14ac:dyDescent="0.3">
      <c r="AY1052"/>
    </row>
    <row r="1053" spans="51:51" x14ac:dyDescent="0.3">
      <c r="AY1053"/>
    </row>
    <row r="1054" spans="51:51" x14ac:dyDescent="0.3">
      <c r="AY1054"/>
    </row>
    <row r="1055" spans="51:51" x14ac:dyDescent="0.3">
      <c r="AY1055"/>
    </row>
    <row r="1056" spans="51:51" x14ac:dyDescent="0.3">
      <c r="AY1056"/>
    </row>
    <row r="1057" spans="51:51" x14ac:dyDescent="0.3">
      <c r="AY1057"/>
    </row>
    <row r="1058" spans="51:51" x14ac:dyDescent="0.3">
      <c r="AY1058"/>
    </row>
    <row r="1059" spans="51:51" x14ac:dyDescent="0.3">
      <c r="AY1059"/>
    </row>
    <row r="1060" spans="51:51" x14ac:dyDescent="0.3">
      <c r="AY1060"/>
    </row>
    <row r="1061" spans="51:51" x14ac:dyDescent="0.3">
      <c r="AY1061"/>
    </row>
    <row r="1062" spans="51:51" x14ac:dyDescent="0.3">
      <c r="AY1062"/>
    </row>
    <row r="1063" spans="51:51" x14ac:dyDescent="0.3">
      <c r="AY1063"/>
    </row>
    <row r="1064" spans="51:51" x14ac:dyDescent="0.3">
      <c r="AY1064"/>
    </row>
    <row r="1065" spans="51:51" x14ac:dyDescent="0.3">
      <c r="AY1065"/>
    </row>
    <row r="1066" spans="51:51" x14ac:dyDescent="0.3">
      <c r="AY1066"/>
    </row>
    <row r="1067" spans="51:51" x14ac:dyDescent="0.3">
      <c r="AY1067"/>
    </row>
    <row r="1068" spans="51:51" x14ac:dyDescent="0.3">
      <c r="AY1068"/>
    </row>
    <row r="1069" spans="51:51" x14ac:dyDescent="0.3">
      <c r="AY1069"/>
    </row>
    <row r="1070" spans="51:51" x14ac:dyDescent="0.3">
      <c r="AY1070"/>
    </row>
    <row r="1071" spans="51:51" x14ac:dyDescent="0.3">
      <c r="AY1071"/>
    </row>
    <row r="1072" spans="51:51" x14ac:dyDescent="0.3">
      <c r="AY1072"/>
    </row>
    <row r="1073" spans="51:51" x14ac:dyDescent="0.3">
      <c r="AY1073"/>
    </row>
    <row r="1074" spans="51:51" x14ac:dyDescent="0.3">
      <c r="AY1074"/>
    </row>
    <row r="1075" spans="51:51" x14ac:dyDescent="0.3">
      <c r="AY1075"/>
    </row>
    <row r="1076" spans="51:51" x14ac:dyDescent="0.3">
      <c r="AY1076"/>
    </row>
    <row r="1077" spans="51:51" x14ac:dyDescent="0.3">
      <c r="AY1077"/>
    </row>
    <row r="1078" spans="51:51" x14ac:dyDescent="0.3">
      <c r="AY1078"/>
    </row>
    <row r="1079" spans="51:51" x14ac:dyDescent="0.3">
      <c r="AY1079"/>
    </row>
    <row r="1080" spans="51:51" x14ac:dyDescent="0.3">
      <c r="AY1080"/>
    </row>
    <row r="1081" spans="51:51" x14ac:dyDescent="0.3">
      <c r="AY1081"/>
    </row>
    <row r="1082" spans="51:51" x14ac:dyDescent="0.3">
      <c r="AY1082"/>
    </row>
    <row r="1083" spans="51:51" x14ac:dyDescent="0.3">
      <c r="AY1083"/>
    </row>
    <row r="1084" spans="51:51" x14ac:dyDescent="0.3">
      <c r="AY1084"/>
    </row>
    <row r="1085" spans="51:51" x14ac:dyDescent="0.3">
      <c r="AY1085"/>
    </row>
    <row r="1086" spans="51:51" x14ac:dyDescent="0.3">
      <c r="AY1086"/>
    </row>
    <row r="1087" spans="51:51" x14ac:dyDescent="0.3">
      <c r="AY1087"/>
    </row>
    <row r="1088" spans="51:51" x14ac:dyDescent="0.3">
      <c r="AY1088"/>
    </row>
    <row r="1089" spans="51:51" x14ac:dyDescent="0.3">
      <c r="AY1089"/>
    </row>
    <row r="1090" spans="51:51" x14ac:dyDescent="0.3">
      <c r="AY1090"/>
    </row>
    <row r="1091" spans="51:51" x14ac:dyDescent="0.3">
      <c r="AY1091"/>
    </row>
    <row r="1092" spans="51:51" x14ac:dyDescent="0.3">
      <c r="AY1092"/>
    </row>
    <row r="1093" spans="51:51" x14ac:dyDescent="0.3">
      <c r="AY1093"/>
    </row>
    <row r="1094" spans="51:51" x14ac:dyDescent="0.3">
      <c r="AY1094"/>
    </row>
    <row r="1095" spans="51:51" x14ac:dyDescent="0.3">
      <c r="AY1095"/>
    </row>
    <row r="1096" spans="51:51" x14ac:dyDescent="0.3">
      <c r="AY1096"/>
    </row>
    <row r="1097" spans="51:51" x14ac:dyDescent="0.3">
      <c r="AY1097"/>
    </row>
    <row r="1098" spans="51:51" x14ac:dyDescent="0.3">
      <c r="AY1098"/>
    </row>
    <row r="1099" spans="51:51" x14ac:dyDescent="0.3">
      <c r="AY1099"/>
    </row>
    <row r="1100" spans="51:51" x14ac:dyDescent="0.3">
      <c r="AY1100"/>
    </row>
    <row r="1101" spans="51:51" x14ac:dyDescent="0.3">
      <c r="AY1101"/>
    </row>
    <row r="1102" spans="51:51" x14ac:dyDescent="0.3">
      <c r="AY1102"/>
    </row>
    <row r="1103" spans="51:51" x14ac:dyDescent="0.3">
      <c r="AY1103"/>
    </row>
    <row r="1104" spans="51:51" x14ac:dyDescent="0.3">
      <c r="AY1104"/>
    </row>
    <row r="1105" spans="51:51" x14ac:dyDescent="0.3">
      <c r="AY1105"/>
    </row>
    <row r="1106" spans="51:51" x14ac:dyDescent="0.3">
      <c r="AY1106"/>
    </row>
    <row r="1107" spans="51:51" x14ac:dyDescent="0.3">
      <c r="AY1107"/>
    </row>
    <row r="1108" spans="51:51" x14ac:dyDescent="0.3">
      <c r="AY1108"/>
    </row>
    <row r="1109" spans="51:51" x14ac:dyDescent="0.3">
      <c r="AY1109"/>
    </row>
    <row r="1110" spans="51:51" x14ac:dyDescent="0.3">
      <c r="AY1110"/>
    </row>
    <row r="1111" spans="51:51" x14ac:dyDescent="0.3">
      <c r="AY1111"/>
    </row>
    <row r="1112" spans="51:51" x14ac:dyDescent="0.3">
      <c r="AY1112"/>
    </row>
    <row r="1113" spans="51:51" x14ac:dyDescent="0.3">
      <c r="AY1113"/>
    </row>
    <row r="1114" spans="51:51" x14ac:dyDescent="0.3">
      <c r="AY1114"/>
    </row>
    <row r="1115" spans="51:51" x14ac:dyDescent="0.3">
      <c r="AY1115"/>
    </row>
    <row r="1116" spans="51:51" x14ac:dyDescent="0.3">
      <c r="AY1116"/>
    </row>
    <row r="1117" spans="51:51" x14ac:dyDescent="0.3">
      <c r="AY1117"/>
    </row>
    <row r="1118" spans="51:51" x14ac:dyDescent="0.3">
      <c r="AY1118"/>
    </row>
    <row r="1119" spans="51:51" x14ac:dyDescent="0.3">
      <c r="AY1119"/>
    </row>
    <row r="1120" spans="51:51" x14ac:dyDescent="0.3">
      <c r="AY1120"/>
    </row>
    <row r="1121" spans="51:51" x14ac:dyDescent="0.3">
      <c r="AY1121"/>
    </row>
    <row r="1122" spans="51:51" x14ac:dyDescent="0.3">
      <c r="AY1122"/>
    </row>
    <row r="1123" spans="51:51" x14ac:dyDescent="0.3">
      <c r="AY1123"/>
    </row>
    <row r="1124" spans="51:51" x14ac:dyDescent="0.3">
      <c r="AY1124"/>
    </row>
    <row r="1125" spans="51:51" x14ac:dyDescent="0.3">
      <c r="AY1125"/>
    </row>
    <row r="1126" spans="51:51" x14ac:dyDescent="0.3">
      <c r="AY1126"/>
    </row>
    <row r="1127" spans="51:51" x14ac:dyDescent="0.3">
      <c r="AY1127"/>
    </row>
    <row r="1128" spans="51:51" x14ac:dyDescent="0.3">
      <c r="AY1128"/>
    </row>
    <row r="1129" spans="51:51" x14ac:dyDescent="0.3">
      <c r="AY1129"/>
    </row>
    <row r="1130" spans="51:51" x14ac:dyDescent="0.3">
      <c r="AY1130"/>
    </row>
    <row r="1131" spans="51:51" x14ac:dyDescent="0.3">
      <c r="AY1131"/>
    </row>
    <row r="1132" spans="51:51" x14ac:dyDescent="0.3">
      <c r="AY1132"/>
    </row>
    <row r="1133" spans="51:51" x14ac:dyDescent="0.3">
      <c r="AY1133"/>
    </row>
    <row r="1134" spans="51:51" x14ac:dyDescent="0.3">
      <c r="AY1134"/>
    </row>
    <row r="1135" spans="51:51" x14ac:dyDescent="0.3">
      <c r="AY1135"/>
    </row>
    <row r="1136" spans="51:51" x14ac:dyDescent="0.3">
      <c r="AY1136"/>
    </row>
    <row r="1137" spans="51:51" x14ac:dyDescent="0.3">
      <c r="AY1137"/>
    </row>
    <row r="1138" spans="51:51" x14ac:dyDescent="0.3">
      <c r="AY1138"/>
    </row>
    <row r="1139" spans="51:51" x14ac:dyDescent="0.3">
      <c r="AY1139"/>
    </row>
    <row r="1140" spans="51:51" x14ac:dyDescent="0.3">
      <c r="AY1140"/>
    </row>
    <row r="1141" spans="51:51" x14ac:dyDescent="0.3">
      <c r="AY1141"/>
    </row>
    <row r="1142" spans="51:51" x14ac:dyDescent="0.3">
      <c r="AY1142"/>
    </row>
    <row r="1048576" spans="52:52" x14ac:dyDescent="0.3">
      <c r="AZ1048576" s="3"/>
    </row>
  </sheetData>
  <hyperlinks>
    <hyperlink ref="A1" location="main!A1" display="main" xr:uid="{58067496-F078-4446-A634-CE0CEC29859F}"/>
  </hyperlinks>
  <pageMargins left="0.7" right="0.7" top="0.75" bottom="0.75" header="0.3" footer="0.3"/>
  <pageSetup orientation="portrait" r:id="rId1"/>
  <ignoredErrors>
    <ignoredError sqref="BG4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E4D6-77FD-4166-B324-4BE55944C381}">
  <dimension ref="A1:BL116"/>
  <sheetViews>
    <sheetView showGridLines="0" topLeftCell="A15" workbookViewId="0">
      <pane xSplit="1" topLeftCell="B1" activePane="topRight" state="frozen"/>
      <selection pane="topRight" activeCell="A7" sqref="A7:B116"/>
    </sheetView>
  </sheetViews>
  <sheetFormatPr defaultRowHeight="14.4" x14ac:dyDescent="0.3"/>
  <cols>
    <col min="1" max="1" width="25.109375" bestFit="1" customWidth="1"/>
    <col min="2" max="2" width="35" bestFit="1" customWidth="1"/>
    <col min="3" max="3" width="11.21875" bestFit="1" customWidth="1"/>
    <col min="4" max="4" width="11" bestFit="1" customWidth="1"/>
    <col min="5" max="5" width="11.33203125" bestFit="1" customWidth="1"/>
    <col min="6" max="6" width="11.44140625" bestFit="1" customWidth="1"/>
    <col min="7" max="7" width="11.21875" bestFit="1" customWidth="1"/>
    <col min="8" max="8" width="11" bestFit="1" customWidth="1"/>
    <col min="9" max="9" width="11.33203125" bestFit="1" customWidth="1"/>
    <col min="10" max="10" width="11.44140625" bestFit="1" customWidth="1"/>
    <col min="11" max="11" width="11.21875" bestFit="1" customWidth="1"/>
    <col min="12" max="12" width="11" bestFit="1" customWidth="1"/>
    <col min="13" max="13" width="11.33203125" bestFit="1" customWidth="1"/>
    <col min="14" max="14" width="11.44140625" bestFit="1" customWidth="1"/>
    <col min="15" max="15" width="11.21875" bestFit="1" customWidth="1"/>
    <col min="16" max="16" width="11" bestFit="1" customWidth="1"/>
    <col min="17" max="17" width="11.33203125" bestFit="1" customWidth="1"/>
    <col min="18" max="18" width="11.44140625" bestFit="1" customWidth="1"/>
    <col min="19" max="19" width="11.21875" bestFit="1" customWidth="1"/>
    <col min="20" max="20" width="11" bestFit="1" customWidth="1"/>
    <col min="21" max="21" width="11.33203125" bestFit="1" customWidth="1"/>
    <col min="22" max="22" width="11.44140625" bestFit="1" customWidth="1"/>
    <col min="23" max="23" width="11.21875" bestFit="1" customWidth="1"/>
    <col min="24" max="24" width="11" bestFit="1" customWidth="1"/>
    <col min="25" max="25" width="11.33203125" bestFit="1" customWidth="1"/>
    <col min="26" max="26" width="11.44140625" bestFit="1" customWidth="1"/>
    <col min="27" max="27" width="11.21875" bestFit="1" customWidth="1"/>
    <col min="28" max="28" width="11" bestFit="1" customWidth="1"/>
    <col min="29" max="29" width="11.33203125" bestFit="1" customWidth="1"/>
    <col min="30" max="30" width="11.44140625" bestFit="1" customWidth="1"/>
    <col min="31" max="31" width="11.21875" bestFit="1" customWidth="1"/>
    <col min="32" max="32" width="11" bestFit="1" customWidth="1"/>
    <col min="33" max="33" width="11.33203125" bestFit="1" customWidth="1"/>
    <col min="34" max="34" width="11.44140625" bestFit="1" customWidth="1"/>
    <col min="35" max="35" width="11.21875" bestFit="1" customWidth="1"/>
    <col min="36" max="36" width="11" bestFit="1" customWidth="1"/>
    <col min="37" max="37" width="11.33203125" bestFit="1" customWidth="1"/>
    <col min="38" max="38" width="11.44140625" bestFit="1" customWidth="1"/>
    <col min="39" max="39" width="11.21875" bestFit="1" customWidth="1"/>
    <col min="40" max="40" width="11" bestFit="1" customWidth="1"/>
    <col min="41" max="41" width="11.33203125" bestFit="1" customWidth="1"/>
    <col min="42" max="42" width="11.44140625" bestFit="1" customWidth="1"/>
    <col min="43" max="43" width="11.21875" bestFit="1" customWidth="1"/>
    <col min="44" max="44" width="11" bestFit="1" customWidth="1"/>
    <col min="45" max="45" width="11.33203125" bestFit="1" customWidth="1"/>
    <col min="46" max="46" width="11.44140625" bestFit="1" customWidth="1"/>
    <col min="47" max="47" width="11.21875" bestFit="1" customWidth="1"/>
    <col min="48" max="48" width="11" bestFit="1" customWidth="1"/>
    <col min="49" max="49" width="11.33203125" bestFit="1" customWidth="1"/>
    <col min="50" max="50" width="11.44140625" bestFit="1" customWidth="1"/>
    <col min="51" max="51" width="11.21875" bestFit="1" customWidth="1"/>
    <col min="52" max="52" width="11" bestFit="1" customWidth="1"/>
    <col min="53" max="53" width="11.33203125" bestFit="1" customWidth="1"/>
    <col min="54" max="54" width="11.44140625" bestFit="1" customWidth="1"/>
    <col min="55" max="55" width="11.21875" bestFit="1" customWidth="1"/>
    <col min="56" max="56" width="11" bestFit="1" customWidth="1"/>
    <col min="57" max="57" width="11.33203125" bestFit="1" customWidth="1"/>
    <col min="58" max="58" width="11.44140625" bestFit="1" customWidth="1"/>
    <col min="59" max="59" width="11.21875" bestFit="1" customWidth="1"/>
    <col min="60" max="60" width="11" bestFit="1" customWidth="1"/>
    <col min="61" max="61" width="11.33203125" bestFit="1" customWidth="1"/>
    <col min="62" max="62" width="11.44140625" bestFit="1" customWidth="1"/>
    <col min="63" max="63" width="11.21875" bestFit="1" customWidth="1"/>
    <col min="64" max="64" width="11" bestFit="1" customWidth="1"/>
  </cols>
  <sheetData>
    <row r="1" spans="1:64" x14ac:dyDescent="0.3">
      <c r="A1" s="39" t="s">
        <v>400</v>
      </c>
    </row>
    <row r="3" spans="1:64" x14ac:dyDescent="0.3">
      <c r="A3" s="38" t="s">
        <v>399</v>
      </c>
    </row>
    <row r="4" spans="1:64" ht="15" thickBot="1" x14ac:dyDescent="0.35">
      <c r="A4" s="38" t="s">
        <v>398</v>
      </c>
    </row>
    <row r="5" spans="1:64" ht="15" thickBot="1" x14ac:dyDescent="0.35">
      <c r="A5" s="37" t="s">
        <v>397</v>
      </c>
      <c r="B5" s="36"/>
      <c r="C5" s="34">
        <v>2009</v>
      </c>
      <c r="D5" s="35"/>
      <c r="E5" s="35"/>
      <c r="F5" s="33"/>
      <c r="G5" s="34">
        <v>2010</v>
      </c>
      <c r="H5" s="35"/>
      <c r="I5" s="35"/>
      <c r="J5" s="33"/>
      <c r="K5" s="34">
        <v>2011</v>
      </c>
      <c r="L5" s="35"/>
      <c r="M5" s="35"/>
      <c r="N5" s="33"/>
      <c r="O5" s="34">
        <v>2012</v>
      </c>
      <c r="P5" s="35"/>
      <c r="Q5" s="35"/>
      <c r="R5" s="33"/>
      <c r="S5" s="34">
        <v>2013</v>
      </c>
      <c r="T5" s="35"/>
      <c r="U5" s="35"/>
      <c r="V5" s="33"/>
      <c r="W5" s="34">
        <v>2014</v>
      </c>
      <c r="X5" s="35"/>
      <c r="Y5" s="35"/>
      <c r="Z5" s="33"/>
      <c r="AA5" s="34">
        <v>2015</v>
      </c>
      <c r="AB5" s="35"/>
      <c r="AC5" s="35"/>
      <c r="AD5" s="33"/>
      <c r="AE5" s="34">
        <v>2016</v>
      </c>
      <c r="AF5" s="35"/>
      <c r="AG5" s="35"/>
      <c r="AH5" s="33"/>
      <c r="AI5" s="34">
        <v>2017</v>
      </c>
      <c r="AJ5" s="35"/>
      <c r="AK5" s="35"/>
      <c r="AL5" s="33"/>
      <c r="AM5" s="34">
        <v>2018</v>
      </c>
      <c r="AN5" s="35"/>
      <c r="AO5" s="35"/>
      <c r="AP5" s="33"/>
      <c r="AQ5" s="34">
        <v>2019</v>
      </c>
      <c r="AR5" s="35"/>
      <c r="AS5" s="35"/>
      <c r="AT5" s="33"/>
      <c r="AU5" s="34">
        <v>2020</v>
      </c>
      <c r="AV5" s="35"/>
      <c r="AW5" s="35"/>
      <c r="AX5" s="33"/>
      <c r="AY5" s="34">
        <v>2021</v>
      </c>
      <c r="AZ5" s="35"/>
      <c r="BA5" s="35"/>
      <c r="BB5" s="33"/>
      <c r="BC5" s="34">
        <v>2022</v>
      </c>
      <c r="BD5" s="35"/>
      <c r="BE5" s="35"/>
      <c r="BF5" s="33"/>
      <c r="BG5" s="34">
        <v>2023</v>
      </c>
      <c r="BH5" s="35"/>
      <c r="BI5" s="35"/>
      <c r="BJ5" s="33"/>
      <c r="BK5" s="34">
        <v>2024</v>
      </c>
      <c r="BL5" s="33"/>
    </row>
    <row r="6" spans="1:64" ht="15" thickBot="1" x14ac:dyDescent="0.35">
      <c r="A6" s="32"/>
      <c r="B6" s="31"/>
      <c r="C6" s="20" t="s">
        <v>396</v>
      </c>
      <c r="D6" s="20" t="s">
        <v>395</v>
      </c>
      <c r="E6" s="20" t="s">
        <v>394</v>
      </c>
      <c r="F6" s="20" t="s">
        <v>393</v>
      </c>
      <c r="G6" s="21" t="s">
        <v>392</v>
      </c>
      <c r="H6" s="21" t="s">
        <v>391</v>
      </c>
      <c r="I6" s="21" t="s">
        <v>390</v>
      </c>
      <c r="J6" s="21" t="s">
        <v>389</v>
      </c>
      <c r="K6" s="20" t="s">
        <v>388</v>
      </c>
      <c r="L6" s="20" t="s">
        <v>387</v>
      </c>
      <c r="M6" s="20" t="s">
        <v>386</v>
      </c>
      <c r="N6" s="20" t="s">
        <v>385</v>
      </c>
      <c r="O6" s="21" t="s">
        <v>384</v>
      </c>
      <c r="P6" s="21" t="s">
        <v>383</v>
      </c>
      <c r="Q6" s="21" t="s">
        <v>382</v>
      </c>
      <c r="R6" s="21" t="s">
        <v>381</v>
      </c>
      <c r="S6" s="20" t="s">
        <v>380</v>
      </c>
      <c r="T6" s="20" t="s">
        <v>379</v>
      </c>
      <c r="U6" s="20" t="s">
        <v>378</v>
      </c>
      <c r="V6" s="20" t="s">
        <v>377</v>
      </c>
      <c r="W6" s="21" t="s">
        <v>376</v>
      </c>
      <c r="X6" s="21" t="s">
        <v>375</v>
      </c>
      <c r="Y6" s="21" t="s">
        <v>374</v>
      </c>
      <c r="Z6" s="21" t="s">
        <v>373</v>
      </c>
      <c r="AA6" s="20" t="s">
        <v>372</v>
      </c>
      <c r="AB6" s="20" t="s">
        <v>371</v>
      </c>
      <c r="AC6" s="20" t="s">
        <v>370</v>
      </c>
      <c r="AD6" s="20" t="s">
        <v>369</v>
      </c>
      <c r="AE6" s="21" t="s">
        <v>368</v>
      </c>
      <c r="AF6" s="21" t="s">
        <v>367</v>
      </c>
      <c r="AG6" s="21" t="s">
        <v>366</v>
      </c>
      <c r="AH6" s="21" t="s">
        <v>365</v>
      </c>
      <c r="AI6" s="20" t="s">
        <v>364</v>
      </c>
      <c r="AJ6" s="20" t="s">
        <v>363</v>
      </c>
      <c r="AK6" s="20" t="s">
        <v>362</v>
      </c>
      <c r="AL6" s="20" t="s">
        <v>361</v>
      </c>
      <c r="AM6" s="21" t="s">
        <v>360</v>
      </c>
      <c r="AN6" s="21" t="s">
        <v>359</v>
      </c>
      <c r="AO6" s="21" t="s">
        <v>358</v>
      </c>
      <c r="AP6" s="21" t="s">
        <v>357</v>
      </c>
      <c r="AQ6" s="20" t="s">
        <v>356</v>
      </c>
      <c r="AR6" s="20" t="s">
        <v>355</v>
      </c>
      <c r="AS6" s="20" t="s">
        <v>354</v>
      </c>
      <c r="AT6" s="20" t="s">
        <v>353</v>
      </c>
      <c r="AU6" s="21" t="s">
        <v>352</v>
      </c>
      <c r="AV6" s="21" t="s">
        <v>351</v>
      </c>
      <c r="AW6" s="21" t="s">
        <v>350</v>
      </c>
      <c r="AX6" s="21" t="s">
        <v>349</v>
      </c>
      <c r="AY6" s="20" t="s">
        <v>348</v>
      </c>
      <c r="AZ6" s="20" t="s">
        <v>347</v>
      </c>
      <c r="BA6" s="20" t="s">
        <v>346</v>
      </c>
      <c r="BB6" s="20" t="s">
        <v>345</v>
      </c>
      <c r="BC6" s="21" t="s">
        <v>344</v>
      </c>
      <c r="BD6" s="21" t="s">
        <v>343</v>
      </c>
      <c r="BE6" s="21" t="s">
        <v>342</v>
      </c>
      <c r="BF6" s="21" t="s">
        <v>341</v>
      </c>
      <c r="BG6" s="20" t="s">
        <v>340</v>
      </c>
      <c r="BH6" s="20" t="s">
        <v>339</v>
      </c>
      <c r="BI6" s="20" t="s">
        <v>338</v>
      </c>
      <c r="BJ6" s="20" t="s">
        <v>337</v>
      </c>
      <c r="BK6" s="21" t="s">
        <v>336</v>
      </c>
      <c r="BL6" s="21" t="s">
        <v>335</v>
      </c>
    </row>
    <row r="7" spans="1:64" ht="11.4" customHeight="1" thickBot="1" x14ac:dyDescent="0.35">
      <c r="A7" s="30"/>
      <c r="B7" s="29" t="s">
        <v>334</v>
      </c>
      <c r="C7" s="28" t="s">
        <v>333</v>
      </c>
      <c r="D7" s="28" t="s">
        <v>333</v>
      </c>
      <c r="E7" s="28" t="s">
        <v>333</v>
      </c>
      <c r="F7" s="28" t="s">
        <v>333</v>
      </c>
      <c r="G7" s="28" t="s">
        <v>333</v>
      </c>
      <c r="H7" s="28" t="s">
        <v>333</v>
      </c>
      <c r="I7" s="28" t="s">
        <v>333</v>
      </c>
      <c r="J7" s="28" t="s">
        <v>333</v>
      </c>
      <c r="K7" s="28" t="s">
        <v>333</v>
      </c>
      <c r="L7" s="28" t="s">
        <v>333</v>
      </c>
      <c r="M7" s="28" t="s">
        <v>333</v>
      </c>
      <c r="N7" s="28" t="s">
        <v>333</v>
      </c>
      <c r="O7" s="28" t="s">
        <v>333</v>
      </c>
      <c r="P7" s="28" t="s">
        <v>333</v>
      </c>
      <c r="Q7" s="28" t="s">
        <v>333</v>
      </c>
      <c r="R7" s="28" t="s">
        <v>333</v>
      </c>
      <c r="S7" s="28" t="s">
        <v>333</v>
      </c>
      <c r="T7" s="28" t="s">
        <v>333</v>
      </c>
      <c r="U7" s="28" t="s">
        <v>333</v>
      </c>
      <c r="V7" s="28" t="s">
        <v>333</v>
      </c>
      <c r="W7" s="28" t="s">
        <v>333</v>
      </c>
      <c r="X7" s="25" t="s">
        <v>316</v>
      </c>
      <c r="Y7" s="25" t="s">
        <v>315</v>
      </c>
      <c r="Z7" s="25" t="s">
        <v>313</v>
      </c>
      <c r="AA7" s="23" t="s">
        <v>332</v>
      </c>
      <c r="AB7" s="26" t="s">
        <v>330</v>
      </c>
      <c r="AC7" s="27" t="s">
        <v>331</v>
      </c>
      <c r="AD7" s="27" t="s">
        <v>331</v>
      </c>
      <c r="AE7" s="27" t="s">
        <v>331</v>
      </c>
      <c r="AF7" s="26" t="s">
        <v>330</v>
      </c>
      <c r="AG7" s="26" t="s">
        <v>330</v>
      </c>
      <c r="AH7" s="26" t="s">
        <v>330</v>
      </c>
      <c r="AI7" s="27" t="s">
        <v>329</v>
      </c>
      <c r="AJ7" s="26" t="s">
        <v>328</v>
      </c>
      <c r="AK7" s="26" t="s">
        <v>327</v>
      </c>
      <c r="AL7" s="26" t="s">
        <v>326</v>
      </c>
      <c r="AM7" s="23" t="s">
        <v>325</v>
      </c>
      <c r="AN7" s="23" t="s">
        <v>324</v>
      </c>
      <c r="AO7" s="24" t="s">
        <v>323</v>
      </c>
      <c r="AP7" s="25" t="s">
        <v>315</v>
      </c>
      <c r="AQ7" s="25" t="s">
        <v>317</v>
      </c>
      <c r="AR7" s="25" t="s">
        <v>322</v>
      </c>
      <c r="AS7" s="24" t="s">
        <v>321</v>
      </c>
      <c r="AT7" s="25" t="s">
        <v>312</v>
      </c>
      <c r="AU7" s="24" t="s">
        <v>320</v>
      </c>
      <c r="AV7" s="23" t="s">
        <v>319</v>
      </c>
      <c r="AW7" s="24" t="s">
        <v>318</v>
      </c>
      <c r="AX7" s="25" t="s">
        <v>316</v>
      </c>
      <c r="AY7" s="25" t="s">
        <v>317</v>
      </c>
      <c r="AZ7" s="25" t="s">
        <v>316</v>
      </c>
      <c r="BA7" s="25" t="s">
        <v>315</v>
      </c>
      <c r="BB7" s="25" t="s">
        <v>314</v>
      </c>
      <c r="BC7" s="25" t="s">
        <v>313</v>
      </c>
      <c r="BD7" s="25" t="s">
        <v>311</v>
      </c>
      <c r="BE7" s="25" t="s">
        <v>311</v>
      </c>
      <c r="BF7" s="25" t="s">
        <v>312</v>
      </c>
      <c r="BG7" s="25" t="s">
        <v>311</v>
      </c>
      <c r="BH7" s="25" t="s">
        <v>311</v>
      </c>
      <c r="BI7" s="25" t="s">
        <v>311</v>
      </c>
      <c r="BJ7" s="24" t="s">
        <v>310</v>
      </c>
      <c r="BK7" s="23" t="s">
        <v>309</v>
      </c>
      <c r="BL7" s="23" t="s">
        <v>308</v>
      </c>
    </row>
    <row r="8" spans="1:64" ht="15" thickBot="1" x14ac:dyDescent="0.35">
      <c r="A8" s="21"/>
      <c r="B8" s="22" t="s">
        <v>307</v>
      </c>
      <c r="C8" s="21" t="s">
        <v>306</v>
      </c>
      <c r="D8" s="21" t="s">
        <v>305</v>
      </c>
      <c r="E8" s="21" t="s">
        <v>304</v>
      </c>
      <c r="F8" s="21" t="s">
        <v>303</v>
      </c>
      <c r="G8" s="20" t="s">
        <v>302</v>
      </c>
      <c r="H8" s="20" t="s">
        <v>301</v>
      </c>
      <c r="I8" s="20" t="s">
        <v>300</v>
      </c>
      <c r="J8" s="20" t="s">
        <v>299</v>
      </c>
      <c r="K8" s="21" t="s">
        <v>298</v>
      </c>
      <c r="L8" s="21" t="s">
        <v>297</v>
      </c>
      <c r="M8" s="21" t="s">
        <v>296</v>
      </c>
      <c r="N8" s="21" t="s">
        <v>295</v>
      </c>
      <c r="O8" s="20" t="s">
        <v>294</v>
      </c>
      <c r="P8" s="20" t="s">
        <v>293</v>
      </c>
      <c r="Q8" s="20" t="s">
        <v>292</v>
      </c>
      <c r="R8" s="20" t="s">
        <v>291</v>
      </c>
      <c r="S8" s="21" t="s">
        <v>290</v>
      </c>
      <c r="T8" s="21" t="s">
        <v>289</v>
      </c>
      <c r="U8" s="21" t="s">
        <v>288</v>
      </c>
      <c r="V8" s="21" t="s">
        <v>287</v>
      </c>
      <c r="W8" s="20" t="s">
        <v>286</v>
      </c>
      <c r="X8" s="20" t="s">
        <v>285</v>
      </c>
      <c r="Y8" s="20" t="s">
        <v>284</v>
      </c>
      <c r="Z8" s="20" t="s">
        <v>283</v>
      </c>
      <c r="AA8" s="21" t="s">
        <v>282</v>
      </c>
      <c r="AB8" s="21" t="s">
        <v>281</v>
      </c>
      <c r="AC8" s="21" t="s">
        <v>280</v>
      </c>
      <c r="AD8" s="21" t="s">
        <v>279</v>
      </c>
      <c r="AE8" s="20" t="s">
        <v>278</v>
      </c>
      <c r="AF8" s="20" t="s">
        <v>277</v>
      </c>
      <c r="AG8" s="20" t="s">
        <v>276</v>
      </c>
      <c r="AH8" s="20" t="s">
        <v>275</v>
      </c>
      <c r="AI8" s="21" t="s">
        <v>274</v>
      </c>
      <c r="AJ8" s="21" t="s">
        <v>273</v>
      </c>
      <c r="AK8" s="21" t="s">
        <v>272</v>
      </c>
      <c r="AL8" s="21" t="s">
        <v>271</v>
      </c>
      <c r="AM8" s="20" t="s">
        <v>270</v>
      </c>
      <c r="AN8" s="20" t="s">
        <v>269</v>
      </c>
      <c r="AO8" s="20" t="s">
        <v>268</v>
      </c>
      <c r="AP8" s="20" t="s">
        <v>267</v>
      </c>
      <c r="AQ8" s="21" t="s">
        <v>266</v>
      </c>
      <c r="AR8" s="21" t="s">
        <v>265</v>
      </c>
      <c r="AS8" s="21" t="s">
        <v>264</v>
      </c>
      <c r="AT8" s="21" t="s">
        <v>263</v>
      </c>
      <c r="AU8" s="20" t="s">
        <v>262</v>
      </c>
      <c r="AV8" s="20" t="s">
        <v>261</v>
      </c>
      <c r="AW8" s="20" t="s">
        <v>260</v>
      </c>
      <c r="AX8" s="20" t="s">
        <v>259</v>
      </c>
      <c r="AY8" s="21" t="s">
        <v>258</v>
      </c>
      <c r="AZ8" s="21" t="s">
        <v>257</v>
      </c>
      <c r="BA8" s="21" t="s">
        <v>256</v>
      </c>
      <c r="BB8" s="21" t="s">
        <v>255</v>
      </c>
      <c r="BC8" s="20" t="s">
        <v>254</v>
      </c>
      <c r="BD8" s="20" t="s">
        <v>253</v>
      </c>
      <c r="BE8" s="20" t="s">
        <v>252</v>
      </c>
      <c r="BF8" s="20" t="s">
        <v>251</v>
      </c>
      <c r="BG8" s="21" t="s">
        <v>250</v>
      </c>
      <c r="BH8" s="21" t="s">
        <v>249</v>
      </c>
      <c r="BI8" s="21" t="s">
        <v>248</v>
      </c>
      <c r="BJ8" s="21" t="s">
        <v>247</v>
      </c>
      <c r="BK8" s="20" t="s">
        <v>246</v>
      </c>
      <c r="BL8" s="20" t="s">
        <v>245</v>
      </c>
    </row>
    <row r="9" spans="1:64" ht="15" thickBot="1" x14ac:dyDescent="0.35">
      <c r="A9" s="21"/>
      <c r="B9" s="22" t="s">
        <v>244</v>
      </c>
      <c r="C9" s="21" t="s">
        <v>243</v>
      </c>
      <c r="D9" s="21" t="s">
        <v>243</v>
      </c>
      <c r="E9" s="21" t="s">
        <v>243</v>
      </c>
      <c r="F9" s="21" t="s">
        <v>243</v>
      </c>
      <c r="G9" s="20" t="s">
        <v>243</v>
      </c>
      <c r="H9" s="20" t="s">
        <v>243</v>
      </c>
      <c r="I9" s="20" t="s">
        <v>243</v>
      </c>
      <c r="J9" s="20" t="s">
        <v>243</v>
      </c>
      <c r="K9" s="21" t="s">
        <v>243</v>
      </c>
      <c r="L9" s="21" t="s">
        <v>243</v>
      </c>
      <c r="M9" s="21" t="s">
        <v>243</v>
      </c>
      <c r="N9" s="21" t="s">
        <v>243</v>
      </c>
      <c r="O9" s="20" t="s">
        <v>243</v>
      </c>
      <c r="P9" s="20" t="s">
        <v>243</v>
      </c>
      <c r="Q9" s="20" t="s">
        <v>243</v>
      </c>
      <c r="R9" s="20" t="s">
        <v>243</v>
      </c>
      <c r="S9" s="21" t="s">
        <v>243</v>
      </c>
      <c r="T9" s="21" t="s">
        <v>243</v>
      </c>
      <c r="U9" s="21" t="s">
        <v>243</v>
      </c>
      <c r="V9" s="21" t="s">
        <v>243</v>
      </c>
      <c r="W9" s="20" t="s">
        <v>243</v>
      </c>
      <c r="X9" s="20" t="s">
        <v>243</v>
      </c>
      <c r="Y9" s="20" t="s">
        <v>243</v>
      </c>
      <c r="Z9" s="20" t="s">
        <v>243</v>
      </c>
      <c r="AA9" s="21" t="s">
        <v>243</v>
      </c>
      <c r="AB9" s="21" t="s">
        <v>243</v>
      </c>
      <c r="AC9" s="21" t="s">
        <v>243</v>
      </c>
      <c r="AD9" s="21" t="s">
        <v>243</v>
      </c>
      <c r="AE9" s="20" t="s">
        <v>243</v>
      </c>
      <c r="AF9" s="20" t="s">
        <v>243</v>
      </c>
      <c r="AG9" s="20" t="s">
        <v>243</v>
      </c>
      <c r="AH9" s="20" t="s">
        <v>243</v>
      </c>
      <c r="AI9" s="21" t="s">
        <v>243</v>
      </c>
      <c r="AJ9" s="21" t="s">
        <v>243</v>
      </c>
      <c r="AK9" s="21" t="s">
        <v>243</v>
      </c>
      <c r="AL9" s="21" t="s">
        <v>243</v>
      </c>
      <c r="AM9" s="20" t="s">
        <v>243</v>
      </c>
      <c r="AN9" s="20" t="s">
        <v>243</v>
      </c>
      <c r="AO9" s="20" t="s">
        <v>243</v>
      </c>
      <c r="AP9" s="20" t="s">
        <v>243</v>
      </c>
      <c r="AQ9" s="21" t="s">
        <v>243</v>
      </c>
      <c r="AR9" s="21" t="s">
        <v>243</v>
      </c>
      <c r="AS9" s="21" t="s">
        <v>243</v>
      </c>
      <c r="AT9" s="21" t="s">
        <v>243</v>
      </c>
      <c r="AU9" s="20" t="s">
        <v>243</v>
      </c>
      <c r="AV9" s="20" t="s">
        <v>243</v>
      </c>
      <c r="AW9" s="20" t="s">
        <v>243</v>
      </c>
      <c r="AX9" s="20" t="s">
        <v>243</v>
      </c>
      <c r="AY9" s="21" t="s">
        <v>243</v>
      </c>
      <c r="AZ9" s="21" t="s">
        <v>243</v>
      </c>
      <c r="BA9" s="21" t="s">
        <v>243</v>
      </c>
      <c r="BB9" s="21" t="s">
        <v>243</v>
      </c>
      <c r="BC9" s="20" t="s">
        <v>243</v>
      </c>
      <c r="BD9" s="20" t="s">
        <v>243</v>
      </c>
      <c r="BE9" s="20" t="s">
        <v>243</v>
      </c>
      <c r="BF9" s="20" t="s">
        <v>243</v>
      </c>
      <c r="BG9" s="21" t="s">
        <v>243</v>
      </c>
      <c r="BH9" s="21" t="s">
        <v>243</v>
      </c>
      <c r="BI9" s="21" t="s">
        <v>243</v>
      </c>
      <c r="BJ9" s="21" t="s">
        <v>243</v>
      </c>
      <c r="BK9" s="20" t="s">
        <v>243</v>
      </c>
      <c r="BL9" s="20" t="s">
        <v>243</v>
      </c>
    </row>
    <row r="10" spans="1:64" ht="15" thickBot="1" x14ac:dyDescent="0.35">
      <c r="A10" s="21"/>
      <c r="B10" s="22" t="s">
        <v>242</v>
      </c>
      <c r="C10" s="21" t="s">
        <v>241</v>
      </c>
      <c r="D10" s="21" t="s">
        <v>241</v>
      </c>
      <c r="E10" s="21" t="s">
        <v>241</v>
      </c>
      <c r="F10" s="21" t="s">
        <v>241</v>
      </c>
      <c r="G10" s="20" t="s">
        <v>241</v>
      </c>
      <c r="H10" s="20" t="s">
        <v>241</v>
      </c>
      <c r="I10" s="20" t="s">
        <v>241</v>
      </c>
      <c r="J10" s="20" t="s">
        <v>241</v>
      </c>
      <c r="K10" s="21" t="s">
        <v>241</v>
      </c>
      <c r="L10" s="21" t="s">
        <v>241</v>
      </c>
      <c r="M10" s="21" t="s">
        <v>241</v>
      </c>
      <c r="N10" s="21" t="s">
        <v>241</v>
      </c>
      <c r="O10" s="20" t="s">
        <v>241</v>
      </c>
      <c r="P10" s="20" t="s">
        <v>241</v>
      </c>
      <c r="Q10" s="20" t="s">
        <v>241</v>
      </c>
      <c r="R10" s="20" t="s">
        <v>241</v>
      </c>
      <c r="S10" s="21" t="s">
        <v>241</v>
      </c>
      <c r="T10" s="21" t="s">
        <v>241</v>
      </c>
      <c r="U10" s="21" t="s">
        <v>241</v>
      </c>
      <c r="V10" s="21" t="s">
        <v>241</v>
      </c>
      <c r="W10" s="20" t="s">
        <v>241</v>
      </c>
      <c r="X10" s="20" t="s">
        <v>241</v>
      </c>
      <c r="Y10" s="20" t="s">
        <v>241</v>
      </c>
      <c r="Z10" s="20" t="s">
        <v>241</v>
      </c>
      <c r="AA10" s="21" t="s">
        <v>241</v>
      </c>
      <c r="AB10" s="21" t="s">
        <v>241</v>
      </c>
      <c r="AC10" s="21" t="s">
        <v>241</v>
      </c>
      <c r="AD10" s="21" t="s">
        <v>241</v>
      </c>
      <c r="AE10" s="20" t="s">
        <v>241</v>
      </c>
      <c r="AF10" s="20" t="s">
        <v>241</v>
      </c>
      <c r="AG10" s="20" t="s">
        <v>241</v>
      </c>
      <c r="AH10" s="20" t="s">
        <v>241</v>
      </c>
      <c r="AI10" s="21" t="s">
        <v>241</v>
      </c>
      <c r="AJ10" s="21" t="s">
        <v>241</v>
      </c>
      <c r="AK10" s="21" t="s">
        <v>241</v>
      </c>
      <c r="AL10" s="21" t="s">
        <v>241</v>
      </c>
      <c r="AM10" s="20" t="s">
        <v>241</v>
      </c>
      <c r="AN10" s="20" t="s">
        <v>241</v>
      </c>
      <c r="AO10" s="20" t="s">
        <v>241</v>
      </c>
      <c r="AP10" s="20" t="s">
        <v>241</v>
      </c>
      <c r="AQ10" s="21" t="s">
        <v>241</v>
      </c>
      <c r="AR10" s="21" t="s">
        <v>241</v>
      </c>
      <c r="AS10" s="21" t="s">
        <v>241</v>
      </c>
      <c r="AT10" s="21" t="s">
        <v>241</v>
      </c>
      <c r="AU10" s="20" t="s">
        <v>241</v>
      </c>
      <c r="AV10" s="20" t="s">
        <v>241</v>
      </c>
      <c r="AW10" s="20" t="s">
        <v>241</v>
      </c>
      <c r="AX10" s="20" t="s">
        <v>241</v>
      </c>
      <c r="AY10" s="21" t="s">
        <v>241</v>
      </c>
      <c r="AZ10" s="21" t="s">
        <v>241</v>
      </c>
      <c r="BA10" s="21" t="s">
        <v>241</v>
      </c>
      <c r="BB10" s="21" t="s">
        <v>241</v>
      </c>
      <c r="BC10" s="20" t="s">
        <v>241</v>
      </c>
      <c r="BD10" s="20" t="s">
        <v>241</v>
      </c>
      <c r="BE10" s="20" t="s">
        <v>241</v>
      </c>
      <c r="BF10" s="20" t="s">
        <v>241</v>
      </c>
      <c r="BG10" s="21" t="s">
        <v>241</v>
      </c>
      <c r="BH10" s="21" t="s">
        <v>241</v>
      </c>
      <c r="BI10" s="21" t="s">
        <v>241</v>
      </c>
      <c r="BJ10" s="21" t="s">
        <v>241</v>
      </c>
      <c r="BK10" s="20" t="s">
        <v>241</v>
      </c>
      <c r="BL10" s="20" t="s">
        <v>241</v>
      </c>
    </row>
    <row r="11" spans="1:64" ht="15" thickBot="1" x14ac:dyDescent="0.35">
      <c r="A11" s="15" t="s">
        <v>240</v>
      </c>
      <c r="B11" s="14" t="s">
        <v>239</v>
      </c>
      <c r="C11" s="13">
        <v>1159</v>
      </c>
      <c r="D11" s="13">
        <v>1625</v>
      </c>
      <c r="E11" s="13">
        <v>5407</v>
      </c>
      <c r="F11" s="13">
        <v>12003</v>
      </c>
      <c r="G11" s="12">
        <v>11587</v>
      </c>
      <c r="H11" s="12">
        <v>10769</v>
      </c>
      <c r="I11" s="12">
        <v>18690</v>
      </c>
      <c r="J11" s="12">
        <v>20615</v>
      </c>
      <c r="K11" s="13">
        <v>18069</v>
      </c>
      <c r="L11" s="13">
        <v>29592</v>
      </c>
      <c r="M11" s="13">
        <v>44728</v>
      </c>
      <c r="N11" s="13">
        <v>57134</v>
      </c>
      <c r="O11" s="12">
        <v>42600</v>
      </c>
      <c r="P11" s="12">
        <v>55697</v>
      </c>
      <c r="Q11" s="12">
        <v>60813</v>
      </c>
      <c r="R11" s="12">
        <v>57568</v>
      </c>
      <c r="S11" s="13">
        <v>45577</v>
      </c>
      <c r="T11" s="13">
        <v>58167</v>
      </c>
      <c r="U11" s="13">
        <v>62046</v>
      </c>
      <c r="V11" s="13">
        <v>67056</v>
      </c>
      <c r="W11" s="12">
        <v>57580</v>
      </c>
      <c r="X11" s="12">
        <v>82004</v>
      </c>
      <c r="Y11" s="12">
        <v>99113</v>
      </c>
      <c r="Z11" s="12">
        <v>105207</v>
      </c>
      <c r="AA11" s="13">
        <v>86653</v>
      </c>
      <c r="AB11" s="13">
        <v>102093</v>
      </c>
      <c r="AC11" s="13">
        <v>102874</v>
      </c>
      <c r="AD11" s="13">
        <v>65629</v>
      </c>
      <c r="AE11" s="12">
        <v>64121</v>
      </c>
      <c r="AF11" s="12">
        <v>79185</v>
      </c>
      <c r="AG11" s="12">
        <v>88684</v>
      </c>
      <c r="AH11" s="12">
        <v>90601</v>
      </c>
      <c r="AI11" s="13">
        <v>54751</v>
      </c>
      <c r="AJ11" s="13">
        <v>74704</v>
      </c>
      <c r="AK11" s="13">
        <v>77038</v>
      </c>
      <c r="AL11" s="13">
        <v>79674</v>
      </c>
      <c r="AM11" s="12">
        <v>69972</v>
      </c>
      <c r="AN11" s="12">
        <v>75896</v>
      </c>
      <c r="AO11" s="12">
        <v>78002</v>
      </c>
      <c r="AP11" s="12">
        <v>92289</v>
      </c>
      <c r="AQ11" s="13">
        <v>100150</v>
      </c>
      <c r="AR11" s="13">
        <v>134094</v>
      </c>
      <c r="AS11" s="13">
        <v>180057</v>
      </c>
      <c r="AT11" s="13">
        <v>210032</v>
      </c>
      <c r="AU11" s="12">
        <v>205545</v>
      </c>
      <c r="AV11" s="12">
        <v>125538</v>
      </c>
      <c r="AW11" s="12">
        <v>178503</v>
      </c>
      <c r="AX11" s="12">
        <v>264839</v>
      </c>
      <c r="AY11" s="13">
        <v>301754</v>
      </c>
      <c r="AZ11" s="13">
        <v>316057</v>
      </c>
      <c r="BA11" s="13">
        <v>351519</v>
      </c>
      <c r="BB11" s="13">
        <v>412719</v>
      </c>
      <c r="BC11" s="12">
        <v>441292</v>
      </c>
      <c r="BD11" s="12">
        <v>530196</v>
      </c>
      <c r="BE11" s="12">
        <v>634713</v>
      </c>
      <c r="BF11" s="12">
        <v>724652</v>
      </c>
      <c r="BG11" s="13">
        <v>726016</v>
      </c>
      <c r="BH11" s="13">
        <v>711118</v>
      </c>
      <c r="BI11" s="13">
        <v>551082</v>
      </c>
      <c r="BJ11" s="13">
        <v>302570</v>
      </c>
      <c r="BK11" s="12">
        <v>263339</v>
      </c>
      <c r="BL11" s="12">
        <v>303458</v>
      </c>
    </row>
    <row r="12" spans="1:64" ht="15" thickBot="1" x14ac:dyDescent="0.35">
      <c r="A12" s="15" t="s">
        <v>238</v>
      </c>
      <c r="B12" s="14" t="s">
        <v>237</v>
      </c>
      <c r="C12" s="13">
        <v>1159</v>
      </c>
      <c r="D12" s="13">
        <v>1625</v>
      </c>
      <c r="E12" s="13">
        <v>5407</v>
      </c>
      <c r="F12" s="13">
        <v>12003</v>
      </c>
      <c r="G12" s="12">
        <v>11587</v>
      </c>
      <c r="H12" s="12">
        <v>10769</v>
      </c>
      <c r="I12" s="12">
        <v>18690</v>
      </c>
      <c r="J12" s="12">
        <v>20615</v>
      </c>
      <c r="K12" s="13">
        <v>18069</v>
      </c>
      <c r="L12" s="13">
        <v>29592</v>
      </c>
      <c r="M12" s="13">
        <v>44728</v>
      </c>
      <c r="N12" s="13">
        <v>57134</v>
      </c>
      <c r="O12" s="12">
        <v>42600</v>
      </c>
      <c r="P12" s="12">
        <v>55697</v>
      </c>
      <c r="Q12" s="12">
        <v>60813</v>
      </c>
      <c r="R12" s="12">
        <v>57568</v>
      </c>
      <c r="S12" s="13">
        <v>45577</v>
      </c>
      <c r="T12" s="13">
        <v>58167</v>
      </c>
      <c r="U12" s="13">
        <v>62046</v>
      </c>
      <c r="V12" s="13">
        <v>67056</v>
      </c>
      <c r="W12" s="12">
        <v>57580</v>
      </c>
      <c r="X12" s="12">
        <v>82004</v>
      </c>
      <c r="Y12" s="12">
        <v>99113</v>
      </c>
      <c r="Z12" s="12">
        <v>105207</v>
      </c>
      <c r="AA12" s="13">
        <v>86653</v>
      </c>
      <c r="AB12" s="13">
        <v>102093</v>
      </c>
      <c r="AC12" s="13">
        <v>102874</v>
      </c>
      <c r="AD12" s="13">
        <v>65629</v>
      </c>
      <c r="AE12" s="12">
        <v>64121</v>
      </c>
      <c r="AF12" s="12">
        <v>79185</v>
      </c>
      <c r="AG12" s="12">
        <v>88684</v>
      </c>
      <c r="AH12" s="12">
        <v>90601</v>
      </c>
      <c r="AI12" s="13">
        <v>54751</v>
      </c>
      <c r="AJ12" s="13">
        <v>74704</v>
      </c>
      <c r="AK12" s="13">
        <v>77038</v>
      </c>
      <c r="AL12" s="13">
        <v>79674</v>
      </c>
      <c r="AM12" s="12">
        <v>69972</v>
      </c>
      <c r="AN12" s="12">
        <v>75896</v>
      </c>
      <c r="AO12" s="12">
        <v>78002</v>
      </c>
      <c r="AP12" s="12">
        <v>92289</v>
      </c>
      <c r="AQ12" s="13">
        <v>100150</v>
      </c>
      <c r="AR12" s="13">
        <v>134094</v>
      </c>
      <c r="AS12" s="13">
        <v>180057</v>
      </c>
      <c r="AT12" s="13">
        <v>210032</v>
      </c>
      <c r="AU12" s="12">
        <v>205545</v>
      </c>
      <c r="AV12" s="12">
        <v>125538</v>
      </c>
      <c r="AW12" s="12">
        <v>178503</v>
      </c>
      <c r="AX12" s="12">
        <v>264839</v>
      </c>
      <c r="AY12" s="13">
        <v>301754</v>
      </c>
      <c r="AZ12" s="13">
        <v>316057</v>
      </c>
      <c r="BA12" s="13">
        <v>351519</v>
      </c>
      <c r="BB12" s="13">
        <v>412719</v>
      </c>
      <c r="BC12" s="12">
        <v>441292</v>
      </c>
      <c r="BD12" s="12">
        <v>530196</v>
      </c>
      <c r="BE12" s="12">
        <v>634713</v>
      </c>
      <c r="BF12" s="12">
        <v>724652</v>
      </c>
      <c r="BG12" s="13">
        <v>726016</v>
      </c>
      <c r="BH12" s="13">
        <v>711118</v>
      </c>
      <c r="BI12" s="13">
        <v>551082</v>
      </c>
      <c r="BJ12" s="13">
        <v>302570</v>
      </c>
      <c r="BK12" s="12">
        <v>263339</v>
      </c>
      <c r="BL12" s="12">
        <v>303458</v>
      </c>
    </row>
    <row r="13" spans="1:64" ht="15" thickBot="1" x14ac:dyDescent="0.3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</row>
    <row r="14" spans="1:64" ht="15" thickBot="1" x14ac:dyDescent="0.35">
      <c r="A14" s="15" t="s">
        <v>236</v>
      </c>
      <c r="B14" s="14" t="s">
        <v>144</v>
      </c>
      <c r="C14" s="13" t="s">
        <v>86</v>
      </c>
      <c r="D14" s="13" t="s">
        <v>86</v>
      </c>
      <c r="E14" s="13" t="s">
        <v>86</v>
      </c>
      <c r="F14" s="13" t="s">
        <v>86</v>
      </c>
      <c r="G14" s="12" t="s">
        <v>86</v>
      </c>
      <c r="H14" s="12" t="s">
        <v>86</v>
      </c>
      <c r="I14" s="12" t="s">
        <v>86</v>
      </c>
      <c r="J14" s="12" t="s">
        <v>86</v>
      </c>
      <c r="K14" s="13" t="s">
        <v>86</v>
      </c>
      <c r="L14" s="13" t="s">
        <v>86</v>
      </c>
      <c r="M14" s="13" t="s">
        <v>86</v>
      </c>
      <c r="N14" s="13" t="s">
        <v>86</v>
      </c>
      <c r="O14" s="12" t="s">
        <v>86</v>
      </c>
      <c r="P14" s="12" t="s">
        <v>86</v>
      </c>
      <c r="Q14" s="12" t="s">
        <v>86</v>
      </c>
      <c r="R14" s="12" t="s">
        <v>86</v>
      </c>
      <c r="S14" s="13" t="s">
        <v>86</v>
      </c>
      <c r="T14" s="13" t="s">
        <v>86</v>
      </c>
      <c r="U14" s="13" t="s">
        <v>86</v>
      </c>
      <c r="V14" s="13" t="s">
        <v>86</v>
      </c>
      <c r="W14" s="12" t="s">
        <v>86</v>
      </c>
      <c r="X14" s="12" t="s">
        <v>86</v>
      </c>
      <c r="Y14" s="12" t="s">
        <v>86</v>
      </c>
      <c r="Z14" s="12" t="s">
        <v>86</v>
      </c>
      <c r="AA14" s="13" t="s">
        <v>86</v>
      </c>
      <c r="AB14" s="13" t="s">
        <v>86</v>
      </c>
      <c r="AC14" s="13" t="s">
        <v>86</v>
      </c>
      <c r="AD14" s="13" t="s">
        <v>86</v>
      </c>
      <c r="AE14" s="12" t="s">
        <v>86</v>
      </c>
      <c r="AF14" s="12" t="s">
        <v>86</v>
      </c>
      <c r="AG14" s="12" t="s">
        <v>86</v>
      </c>
      <c r="AH14" s="12" t="s">
        <v>86</v>
      </c>
      <c r="AI14" s="13" t="s">
        <v>86</v>
      </c>
      <c r="AJ14" s="13" t="s">
        <v>86</v>
      </c>
      <c r="AK14" s="13" t="s">
        <v>86</v>
      </c>
      <c r="AL14" s="13" t="s">
        <v>86</v>
      </c>
      <c r="AM14" s="12" t="s">
        <v>86</v>
      </c>
      <c r="AN14" s="12" t="s">
        <v>86</v>
      </c>
      <c r="AO14" s="12" t="s">
        <v>86</v>
      </c>
      <c r="AP14" s="12" t="s">
        <v>86</v>
      </c>
      <c r="AQ14" s="13" t="s">
        <v>86</v>
      </c>
      <c r="AR14" s="13" t="s">
        <v>86</v>
      </c>
      <c r="AS14" s="13" t="s">
        <v>86</v>
      </c>
      <c r="AT14" s="13" t="s">
        <v>86</v>
      </c>
      <c r="AU14" s="12" t="s">
        <v>86</v>
      </c>
      <c r="AV14" s="12" t="s">
        <v>86</v>
      </c>
      <c r="AW14" s="12" t="s">
        <v>86</v>
      </c>
      <c r="AX14" s="12" t="s">
        <v>86</v>
      </c>
      <c r="AY14" s="13" t="s">
        <v>86</v>
      </c>
      <c r="AZ14" s="13" t="s">
        <v>86</v>
      </c>
      <c r="BA14" s="13" t="s">
        <v>86</v>
      </c>
      <c r="BB14" s="13" t="s">
        <v>86</v>
      </c>
      <c r="BC14" s="12" t="s">
        <v>86</v>
      </c>
      <c r="BD14" s="12" t="s">
        <v>86</v>
      </c>
      <c r="BE14" s="12" t="s">
        <v>86</v>
      </c>
      <c r="BF14" s="12" t="s">
        <v>86</v>
      </c>
      <c r="BG14" s="13" t="s">
        <v>86</v>
      </c>
      <c r="BH14" s="13" t="s">
        <v>86</v>
      </c>
      <c r="BI14" s="13" t="s">
        <v>86</v>
      </c>
      <c r="BJ14" s="13" t="s">
        <v>86</v>
      </c>
      <c r="BK14" s="12" t="s">
        <v>86</v>
      </c>
      <c r="BL14" s="12" t="s">
        <v>86</v>
      </c>
    </row>
    <row r="15" spans="1:64" ht="15" thickBot="1" x14ac:dyDescent="0.35">
      <c r="A15" s="15" t="s">
        <v>234</v>
      </c>
      <c r="B15" s="14" t="s">
        <v>235</v>
      </c>
      <c r="C15" s="13" t="s">
        <v>86</v>
      </c>
      <c r="D15" s="13" t="s">
        <v>86</v>
      </c>
      <c r="E15" s="13" t="s">
        <v>86</v>
      </c>
      <c r="F15" s="13" t="s">
        <v>86</v>
      </c>
      <c r="G15" s="12" t="s">
        <v>86</v>
      </c>
      <c r="H15" s="12" t="s">
        <v>86</v>
      </c>
      <c r="I15" s="12" t="s">
        <v>86</v>
      </c>
      <c r="J15" s="12" t="s">
        <v>86</v>
      </c>
      <c r="K15" s="13" t="s">
        <v>86</v>
      </c>
      <c r="L15" s="13" t="s">
        <v>86</v>
      </c>
      <c r="M15" s="13" t="s">
        <v>86</v>
      </c>
      <c r="N15" s="13" t="s">
        <v>86</v>
      </c>
      <c r="O15" s="12" t="s">
        <v>86</v>
      </c>
      <c r="P15" s="12" t="s">
        <v>86</v>
      </c>
      <c r="Q15" s="12" t="s">
        <v>86</v>
      </c>
      <c r="R15" s="12" t="s">
        <v>86</v>
      </c>
      <c r="S15" s="13" t="s">
        <v>86</v>
      </c>
      <c r="T15" s="13" t="s">
        <v>86</v>
      </c>
      <c r="U15" s="13" t="s">
        <v>86</v>
      </c>
      <c r="V15" s="13" t="s">
        <v>86</v>
      </c>
      <c r="W15" s="12" t="s">
        <v>86</v>
      </c>
      <c r="X15" s="12" t="s">
        <v>86</v>
      </c>
      <c r="Y15" s="12" t="s">
        <v>86</v>
      </c>
      <c r="Z15" s="12" t="s">
        <v>86</v>
      </c>
      <c r="AA15" s="13" t="s">
        <v>86</v>
      </c>
      <c r="AB15" s="13" t="s">
        <v>86</v>
      </c>
      <c r="AC15" s="13" t="s">
        <v>86</v>
      </c>
      <c r="AD15" s="13" t="s">
        <v>86</v>
      </c>
      <c r="AE15" s="12" t="s">
        <v>86</v>
      </c>
      <c r="AF15" s="12" t="s">
        <v>86</v>
      </c>
      <c r="AG15" s="12" t="s">
        <v>86</v>
      </c>
      <c r="AH15" s="12" t="s">
        <v>86</v>
      </c>
      <c r="AI15" s="13" t="s">
        <v>86</v>
      </c>
      <c r="AJ15" s="13" t="s">
        <v>86</v>
      </c>
      <c r="AK15" s="13" t="s">
        <v>86</v>
      </c>
      <c r="AL15" s="13" t="s">
        <v>86</v>
      </c>
      <c r="AM15" s="12" t="s">
        <v>86</v>
      </c>
      <c r="AN15" s="12" t="s">
        <v>86</v>
      </c>
      <c r="AO15" s="12" t="s">
        <v>86</v>
      </c>
      <c r="AP15" s="12" t="s">
        <v>86</v>
      </c>
      <c r="AQ15" s="13" t="s">
        <v>86</v>
      </c>
      <c r="AR15" s="13" t="s">
        <v>86</v>
      </c>
      <c r="AS15" s="13" t="s">
        <v>86</v>
      </c>
      <c r="AT15" s="13" t="s">
        <v>86</v>
      </c>
      <c r="AU15" s="12" t="s">
        <v>86</v>
      </c>
      <c r="AV15" s="12" t="s">
        <v>86</v>
      </c>
      <c r="AW15" s="12" t="s">
        <v>86</v>
      </c>
      <c r="AX15" s="12" t="s">
        <v>86</v>
      </c>
      <c r="AY15" s="13" t="s">
        <v>86</v>
      </c>
      <c r="AZ15" s="13" t="s">
        <v>86</v>
      </c>
      <c r="BA15" s="13" t="s">
        <v>86</v>
      </c>
      <c r="BB15" s="13" t="s">
        <v>86</v>
      </c>
      <c r="BC15" s="12">
        <v>1758</v>
      </c>
      <c r="BD15" s="12">
        <v>2067</v>
      </c>
      <c r="BE15" s="12">
        <v>2066</v>
      </c>
      <c r="BF15" s="12">
        <v>2362</v>
      </c>
      <c r="BG15" s="13">
        <v>2454</v>
      </c>
      <c r="BH15" s="13">
        <v>2454</v>
      </c>
      <c r="BI15" s="13">
        <v>2456</v>
      </c>
      <c r="BJ15" s="13">
        <v>2462</v>
      </c>
      <c r="BK15" s="12">
        <v>1576</v>
      </c>
      <c r="BL15" s="12">
        <v>1567</v>
      </c>
    </row>
    <row r="16" spans="1:64" ht="15" thickBot="1" x14ac:dyDescent="0.35">
      <c r="A16" s="15" t="s">
        <v>234</v>
      </c>
      <c r="B16" s="14" t="s">
        <v>233</v>
      </c>
      <c r="C16" s="13" t="s">
        <v>86</v>
      </c>
      <c r="D16" s="13" t="s">
        <v>86</v>
      </c>
      <c r="E16" s="13" t="s">
        <v>86</v>
      </c>
      <c r="F16" s="13" t="s">
        <v>86</v>
      </c>
      <c r="G16" s="12" t="s">
        <v>86</v>
      </c>
      <c r="H16" s="12" t="s">
        <v>86</v>
      </c>
      <c r="I16" s="12" t="s">
        <v>86</v>
      </c>
      <c r="J16" s="12" t="s">
        <v>86</v>
      </c>
      <c r="K16" s="13" t="s">
        <v>86</v>
      </c>
      <c r="L16" s="13" t="s">
        <v>86</v>
      </c>
      <c r="M16" s="13" t="s">
        <v>86</v>
      </c>
      <c r="N16" s="13" t="s">
        <v>86</v>
      </c>
      <c r="O16" s="12" t="s">
        <v>86</v>
      </c>
      <c r="P16" s="12" t="s">
        <v>86</v>
      </c>
      <c r="Q16" s="12" t="s">
        <v>86</v>
      </c>
      <c r="R16" s="12" t="s">
        <v>86</v>
      </c>
      <c r="S16" s="13" t="s">
        <v>86</v>
      </c>
      <c r="T16" s="13" t="s">
        <v>86</v>
      </c>
      <c r="U16" s="13" t="s">
        <v>86</v>
      </c>
      <c r="V16" s="13" t="s">
        <v>86</v>
      </c>
      <c r="W16" s="12" t="s">
        <v>86</v>
      </c>
      <c r="X16" s="12" t="s">
        <v>86</v>
      </c>
      <c r="Y16" s="12" t="s">
        <v>86</v>
      </c>
      <c r="Z16" s="12" t="s">
        <v>86</v>
      </c>
      <c r="AA16" s="13" t="s">
        <v>86</v>
      </c>
      <c r="AB16" s="13" t="s">
        <v>86</v>
      </c>
      <c r="AC16" s="13" t="s">
        <v>86</v>
      </c>
      <c r="AD16" s="13" t="s">
        <v>86</v>
      </c>
      <c r="AE16" s="12" t="s">
        <v>86</v>
      </c>
      <c r="AF16" s="12" t="s">
        <v>86</v>
      </c>
      <c r="AG16" s="12" t="s">
        <v>86</v>
      </c>
      <c r="AH16" s="12" t="s">
        <v>86</v>
      </c>
      <c r="AI16" s="13" t="s">
        <v>86</v>
      </c>
      <c r="AJ16" s="13" t="s">
        <v>86</v>
      </c>
      <c r="AK16" s="13" t="s">
        <v>86</v>
      </c>
      <c r="AL16" s="13" t="s">
        <v>86</v>
      </c>
      <c r="AM16" s="12" t="s">
        <v>86</v>
      </c>
      <c r="AN16" s="12" t="s">
        <v>86</v>
      </c>
      <c r="AO16" s="12" t="s">
        <v>86</v>
      </c>
      <c r="AP16" s="12" t="s">
        <v>86</v>
      </c>
      <c r="AQ16" s="13" t="s">
        <v>86</v>
      </c>
      <c r="AR16" s="13" t="s">
        <v>86</v>
      </c>
      <c r="AS16" s="13" t="s">
        <v>86</v>
      </c>
      <c r="AT16" s="13" t="s">
        <v>86</v>
      </c>
      <c r="AU16" s="12" t="s">
        <v>86</v>
      </c>
      <c r="AV16" s="12" t="s">
        <v>86</v>
      </c>
      <c r="AW16" s="12" t="s">
        <v>86</v>
      </c>
      <c r="AX16" s="12" t="s">
        <v>86</v>
      </c>
      <c r="AY16" s="13" t="s">
        <v>86</v>
      </c>
      <c r="AZ16" s="13" t="s">
        <v>86</v>
      </c>
      <c r="BA16" s="13" t="s">
        <v>86</v>
      </c>
      <c r="BB16" s="13" t="s">
        <v>86</v>
      </c>
      <c r="BC16" s="12">
        <v>1885</v>
      </c>
      <c r="BD16" s="12">
        <v>1885</v>
      </c>
      <c r="BE16" s="12">
        <v>1885</v>
      </c>
      <c r="BF16" s="12">
        <v>1885</v>
      </c>
      <c r="BG16" s="13">
        <v>1885</v>
      </c>
      <c r="BH16" s="13">
        <v>1885</v>
      </c>
      <c r="BI16" s="13">
        <v>1885</v>
      </c>
      <c r="BJ16" s="13">
        <v>1885</v>
      </c>
      <c r="BK16" s="12">
        <v>1885</v>
      </c>
      <c r="BL16" s="12">
        <v>1885</v>
      </c>
    </row>
    <row r="17" spans="1:64" ht="15" thickBot="1" x14ac:dyDescent="0.35">
      <c r="A17" s="15" t="s">
        <v>229</v>
      </c>
      <c r="B17" s="14" t="s">
        <v>232</v>
      </c>
      <c r="C17" s="13" t="s">
        <v>86</v>
      </c>
      <c r="D17" s="13" t="s">
        <v>86</v>
      </c>
      <c r="E17" s="13" t="s">
        <v>86</v>
      </c>
      <c r="F17" s="13" t="s">
        <v>86</v>
      </c>
      <c r="G17" s="12" t="s">
        <v>86</v>
      </c>
      <c r="H17" s="12" t="s">
        <v>86</v>
      </c>
      <c r="I17" s="12" t="s">
        <v>86</v>
      </c>
      <c r="J17" s="12" t="s">
        <v>86</v>
      </c>
      <c r="K17" s="13" t="s">
        <v>86</v>
      </c>
      <c r="L17" s="13" t="s">
        <v>86</v>
      </c>
      <c r="M17" s="13" t="s">
        <v>86</v>
      </c>
      <c r="N17" s="13" t="s">
        <v>86</v>
      </c>
      <c r="O17" s="12" t="s">
        <v>86</v>
      </c>
      <c r="P17" s="12" t="s">
        <v>86</v>
      </c>
      <c r="Q17" s="12" t="s">
        <v>86</v>
      </c>
      <c r="R17" s="12" t="s">
        <v>86</v>
      </c>
      <c r="S17" s="13" t="s">
        <v>86</v>
      </c>
      <c r="T17" s="13" t="s">
        <v>86</v>
      </c>
      <c r="U17" s="13" t="s">
        <v>86</v>
      </c>
      <c r="V17" s="13" t="s">
        <v>86</v>
      </c>
      <c r="W17" s="12" t="s">
        <v>86</v>
      </c>
      <c r="X17" s="12" t="s">
        <v>86</v>
      </c>
      <c r="Y17" s="12" t="s">
        <v>86</v>
      </c>
      <c r="Z17" s="12" t="s">
        <v>86</v>
      </c>
      <c r="AA17" s="13" t="s">
        <v>86</v>
      </c>
      <c r="AB17" s="13" t="s">
        <v>86</v>
      </c>
      <c r="AC17" s="13" t="s">
        <v>86</v>
      </c>
      <c r="AD17" s="13" t="s">
        <v>86</v>
      </c>
      <c r="AE17" s="12" t="s">
        <v>86</v>
      </c>
      <c r="AF17" s="12" t="s">
        <v>86</v>
      </c>
      <c r="AG17" s="12" t="s">
        <v>86</v>
      </c>
      <c r="AH17" s="12" t="s">
        <v>86</v>
      </c>
      <c r="AI17" s="13" t="s">
        <v>86</v>
      </c>
      <c r="AJ17" s="13" t="s">
        <v>86</v>
      </c>
      <c r="AK17" s="13" t="s">
        <v>86</v>
      </c>
      <c r="AL17" s="13" t="s">
        <v>86</v>
      </c>
      <c r="AM17" s="12" t="s">
        <v>86</v>
      </c>
      <c r="AN17" s="12" t="s">
        <v>86</v>
      </c>
      <c r="AO17" s="12" t="s">
        <v>86</v>
      </c>
      <c r="AP17" s="12" t="s">
        <v>86</v>
      </c>
      <c r="AQ17" s="13" t="s">
        <v>86</v>
      </c>
      <c r="AR17" s="13" t="s">
        <v>86</v>
      </c>
      <c r="AS17" s="13" t="s">
        <v>86</v>
      </c>
      <c r="AT17" s="13" t="s">
        <v>86</v>
      </c>
      <c r="AU17" s="12" t="s">
        <v>86</v>
      </c>
      <c r="AV17" s="12" t="s">
        <v>86</v>
      </c>
      <c r="AW17" s="12" t="s">
        <v>86</v>
      </c>
      <c r="AX17" s="12" t="s">
        <v>86</v>
      </c>
      <c r="AY17" s="13" t="s">
        <v>86</v>
      </c>
      <c r="AZ17" s="13" t="s">
        <v>86</v>
      </c>
      <c r="BA17" s="13" t="s">
        <v>86</v>
      </c>
      <c r="BB17" s="13" t="s">
        <v>86</v>
      </c>
      <c r="BC17" s="12">
        <v>400</v>
      </c>
      <c r="BD17" s="12">
        <v>0</v>
      </c>
      <c r="BE17" s="12">
        <v>0</v>
      </c>
      <c r="BF17" s="12">
        <v>0</v>
      </c>
      <c r="BG17" s="13" t="s">
        <v>86</v>
      </c>
      <c r="BH17" s="13" t="s">
        <v>86</v>
      </c>
      <c r="BI17" s="13" t="s">
        <v>86</v>
      </c>
      <c r="BJ17" s="13" t="s">
        <v>86</v>
      </c>
      <c r="BK17" s="12" t="s">
        <v>86</v>
      </c>
      <c r="BL17" s="12" t="s">
        <v>86</v>
      </c>
    </row>
    <row r="18" spans="1:64" ht="15" thickBot="1" x14ac:dyDescent="0.35">
      <c r="A18" s="15" t="s">
        <v>229</v>
      </c>
      <c r="B18" s="14" t="s">
        <v>231</v>
      </c>
      <c r="C18" s="13" t="s">
        <v>86</v>
      </c>
      <c r="D18" s="13" t="s">
        <v>86</v>
      </c>
      <c r="E18" s="13" t="s">
        <v>86</v>
      </c>
      <c r="F18" s="13" t="s">
        <v>86</v>
      </c>
      <c r="G18" s="12" t="s">
        <v>86</v>
      </c>
      <c r="H18" s="12" t="s">
        <v>86</v>
      </c>
      <c r="I18" s="12" t="s">
        <v>86</v>
      </c>
      <c r="J18" s="12" t="s">
        <v>86</v>
      </c>
      <c r="K18" s="13" t="s">
        <v>86</v>
      </c>
      <c r="L18" s="13" t="s">
        <v>86</v>
      </c>
      <c r="M18" s="13" t="s">
        <v>86</v>
      </c>
      <c r="N18" s="13" t="s">
        <v>86</v>
      </c>
      <c r="O18" s="12" t="s">
        <v>86</v>
      </c>
      <c r="P18" s="12" t="s">
        <v>86</v>
      </c>
      <c r="Q18" s="12" t="s">
        <v>86</v>
      </c>
      <c r="R18" s="12" t="s">
        <v>86</v>
      </c>
      <c r="S18" s="13" t="s">
        <v>86</v>
      </c>
      <c r="T18" s="13" t="s">
        <v>86</v>
      </c>
      <c r="U18" s="13" t="s">
        <v>86</v>
      </c>
      <c r="V18" s="13" t="s">
        <v>86</v>
      </c>
      <c r="W18" s="12" t="s">
        <v>86</v>
      </c>
      <c r="X18" s="12" t="s">
        <v>86</v>
      </c>
      <c r="Y18" s="12" t="s">
        <v>86</v>
      </c>
      <c r="Z18" s="12" t="s">
        <v>86</v>
      </c>
      <c r="AA18" s="13" t="s">
        <v>86</v>
      </c>
      <c r="AB18" s="13" t="s">
        <v>86</v>
      </c>
      <c r="AC18" s="13" t="s">
        <v>86</v>
      </c>
      <c r="AD18" s="13" t="s">
        <v>86</v>
      </c>
      <c r="AE18" s="12" t="s">
        <v>86</v>
      </c>
      <c r="AF18" s="12" t="s">
        <v>86</v>
      </c>
      <c r="AG18" s="12" t="s">
        <v>86</v>
      </c>
      <c r="AH18" s="12" t="s">
        <v>86</v>
      </c>
      <c r="AI18" s="13" t="s">
        <v>86</v>
      </c>
      <c r="AJ18" s="13" t="s">
        <v>86</v>
      </c>
      <c r="AK18" s="13" t="s">
        <v>86</v>
      </c>
      <c r="AL18" s="13" t="s">
        <v>86</v>
      </c>
      <c r="AM18" s="12" t="s">
        <v>86</v>
      </c>
      <c r="AN18" s="12" t="s">
        <v>86</v>
      </c>
      <c r="AO18" s="12" t="s">
        <v>86</v>
      </c>
      <c r="AP18" s="12" t="s">
        <v>86</v>
      </c>
      <c r="AQ18" s="13" t="s">
        <v>86</v>
      </c>
      <c r="AR18" s="13" t="s">
        <v>86</v>
      </c>
      <c r="AS18" s="13" t="s">
        <v>86</v>
      </c>
      <c r="AT18" s="13" t="s">
        <v>86</v>
      </c>
      <c r="AU18" s="12" t="s">
        <v>86</v>
      </c>
      <c r="AV18" s="12" t="s">
        <v>86</v>
      </c>
      <c r="AW18" s="12" t="s">
        <v>86</v>
      </c>
      <c r="AX18" s="12" t="s">
        <v>86</v>
      </c>
      <c r="AY18" s="13">
        <v>1700</v>
      </c>
      <c r="AZ18" s="13">
        <v>-1400</v>
      </c>
      <c r="BA18" s="13">
        <v>1700</v>
      </c>
      <c r="BB18" s="13">
        <v>0</v>
      </c>
      <c r="BC18" s="12" t="s">
        <v>86</v>
      </c>
      <c r="BD18" s="12" t="s">
        <v>86</v>
      </c>
      <c r="BE18" s="12" t="s">
        <v>86</v>
      </c>
      <c r="BF18" s="12" t="s">
        <v>86</v>
      </c>
      <c r="BG18" s="13" t="s">
        <v>86</v>
      </c>
      <c r="BH18" s="13" t="s">
        <v>86</v>
      </c>
      <c r="BI18" s="13" t="s">
        <v>86</v>
      </c>
      <c r="BJ18" s="13" t="s">
        <v>86</v>
      </c>
      <c r="BK18" s="12" t="s">
        <v>86</v>
      </c>
      <c r="BL18" s="12" t="s">
        <v>86</v>
      </c>
    </row>
    <row r="19" spans="1:64" ht="15" thickBot="1" x14ac:dyDescent="0.35">
      <c r="A19" s="15" t="s">
        <v>229</v>
      </c>
      <c r="B19" s="14" t="s">
        <v>230</v>
      </c>
      <c r="C19" s="13" t="s">
        <v>86</v>
      </c>
      <c r="D19" s="13" t="s">
        <v>86</v>
      </c>
      <c r="E19" s="13" t="s">
        <v>86</v>
      </c>
      <c r="F19" s="13" t="s">
        <v>86</v>
      </c>
      <c r="G19" s="12" t="s">
        <v>86</v>
      </c>
      <c r="H19" s="12" t="s">
        <v>86</v>
      </c>
      <c r="I19" s="12" t="s">
        <v>86</v>
      </c>
      <c r="J19" s="12" t="s">
        <v>86</v>
      </c>
      <c r="K19" s="13" t="s">
        <v>86</v>
      </c>
      <c r="L19" s="13" t="s">
        <v>86</v>
      </c>
      <c r="M19" s="13" t="s">
        <v>86</v>
      </c>
      <c r="N19" s="13" t="s">
        <v>86</v>
      </c>
      <c r="O19" s="12" t="s">
        <v>86</v>
      </c>
      <c r="P19" s="12" t="s">
        <v>86</v>
      </c>
      <c r="Q19" s="12" t="s">
        <v>86</v>
      </c>
      <c r="R19" s="12" t="s">
        <v>86</v>
      </c>
      <c r="S19" s="13" t="s">
        <v>86</v>
      </c>
      <c r="T19" s="13" t="s">
        <v>86</v>
      </c>
      <c r="U19" s="13" t="s">
        <v>86</v>
      </c>
      <c r="V19" s="13" t="s">
        <v>86</v>
      </c>
      <c r="W19" s="12" t="s">
        <v>86</v>
      </c>
      <c r="X19" s="12" t="s">
        <v>86</v>
      </c>
      <c r="Y19" s="12" t="s">
        <v>86</v>
      </c>
      <c r="Z19" s="12" t="s">
        <v>86</v>
      </c>
      <c r="AA19" s="13" t="s">
        <v>86</v>
      </c>
      <c r="AB19" s="13" t="s">
        <v>86</v>
      </c>
      <c r="AC19" s="13" t="s">
        <v>86</v>
      </c>
      <c r="AD19" s="13" t="s">
        <v>86</v>
      </c>
      <c r="AE19" s="12" t="s">
        <v>86</v>
      </c>
      <c r="AF19" s="12" t="s">
        <v>86</v>
      </c>
      <c r="AG19" s="12" t="s">
        <v>86</v>
      </c>
      <c r="AH19" s="12" t="s">
        <v>86</v>
      </c>
      <c r="AI19" s="13" t="s">
        <v>86</v>
      </c>
      <c r="AJ19" s="13" t="s">
        <v>86</v>
      </c>
      <c r="AK19" s="13" t="s">
        <v>86</v>
      </c>
      <c r="AL19" s="13" t="s">
        <v>86</v>
      </c>
      <c r="AM19" s="12" t="s">
        <v>86</v>
      </c>
      <c r="AN19" s="12" t="s">
        <v>86</v>
      </c>
      <c r="AO19" s="12" t="s">
        <v>86</v>
      </c>
      <c r="AP19" s="12" t="s">
        <v>86</v>
      </c>
      <c r="AQ19" s="13" t="s">
        <v>86</v>
      </c>
      <c r="AR19" s="13" t="s">
        <v>86</v>
      </c>
      <c r="AS19" s="13" t="s">
        <v>86</v>
      </c>
      <c r="AT19" s="13" t="s">
        <v>86</v>
      </c>
      <c r="AU19" s="12" t="s">
        <v>86</v>
      </c>
      <c r="AV19" s="12" t="s">
        <v>86</v>
      </c>
      <c r="AW19" s="12" t="s">
        <v>86</v>
      </c>
      <c r="AX19" s="12" t="s">
        <v>86</v>
      </c>
      <c r="AY19" s="13">
        <v>1400</v>
      </c>
      <c r="AZ19" s="13">
        <v>-900</v>
      </c>
      <c r="BA19" s="13">
        <v>1400</v>
      </c>
      <c r="BB19" s="13">
        <v>0</v>
      </c>
      <c r="BC19" s="12" t="s">
        <v>86</v>
      </c>
      <c r="BD19" s="12" t="s">
        <v>86</v>
      </c>
      <c r="BE19" s="12" t="s">
        <v>86</v>
      </c>
      <c r="BF19" s="12" t="s">
        <v>86</v>
      </c>
      <c r="BG19" s="13" t="s">
        <v>86</v>
      </c>
      <c r="BH19" s="13" t="s">
        <v>86</v>
      </c>
      <c r="BI19" s="13" t="s">
        <v>86</v>
      </c>
      <c r="BJ19" s="13" t="s">
        <v>86</v>
      </c>
      <c r="BK19" s="12" t="s">
        <v>86</v>
      </c>
      <c r="BL19" s="12" t="s">
        <v>86</v>
      </c>
    </row>
    <row r="20" spans="1:64" ht="15" thickBot="1" x14ac:dyDescent="0.35">
      <c r="A20" s="15" t="s">
        <v>229</v>
      </c>
      <c r="B20" s="14" t="s">
        <v>228</v>
      </c>
      <c r="C20" s="13" t="s">
        <v>86</v>
      </c>
      <c r="D20" s="13" t="s">
        <v>86</v>
      </c>
      <c r="E20" s="13" t="s">
        <v>86</v>
      </c>
      <c r="F20" s="13" t="s">
        <v>86</v>
      </c>
      <c r="G20" s="12" t="s">
        <v>86</v>
      </c>
      <c r="H20" s="12" t="s">
        <v>86</v>
      </c>
      <c r="I20" s="12" t="s">
        <v>86</v>
      </c>
      <c r="J20" s="12" t="s">
        <v>86</v>
      </c>
      <c r="K20" s="13" t="s">
        <v>86</v>
      </c>
      <c r="L20" s="13" t="s">
        <v>86</v>
      </c>
      <c r="M20" s="13" t="s">
        <v>86</v>
      </c>
      <c r="N20" s="13" t="s">
        <v>86</v>
      </c>
      <c r="O20" s="12" t="s">
        <v>86</v>
      </c>
      <c r="P20" s="12" t="s">
        <v>86</v>
      </c>
      <c r="Q20" s="12" t="s">
        <v>86</v>
      </c>
      <c r="R20" s="12" t="s">
        <v>86</v>
      </c>
      <c r="S20" s="13" t="s">
        <v>86</v>
      </c>
      <c r="T20" s="13" t="s">
        <v>86</v>
      </c>
      <c r="U20" s="13" t="s">
        <v>86</v>
      </c>
      <c r="V20" s="13" t="s">
        <v>86</v>
      </c>
      <c r="W20" s="12" t="s">
        <v>86</v>
      </c>
      <c r="X20" s="12" t="s">
        <v>86</v>
      </c>
      <c r="Y20" s="12" t="s">
        <v>86</v>
      </c>
      <c r="Z20" s="12" t="s">
        <v>86</v>
      </c>
      <c r="AA20" s="13" t="s">
        <v>86</v>
      </c>
      <c r="AB20" s="13" t="s">
        <v>86</v>
      </c>
      <c r="AC20" s="13" t="s">
        <v>86</v>
      </c>
      <c r="AD20" s="13" t="s">
        <v>86</v>
      </c>
      <c r="AE20" s="12" t="s">
        <v>86</v>
      </c>
      <c r="AF20" s="12" t="s">
        <v>86</v>
      </c>
      <c r="AG20" s="12" t="s">
        <v>86</v>
      </c>
      <c r="AH20" s="12" t="s">
        <v>86</v>
      </c>
      <c r="AI20" s="13" t="s">
        <v>86</v>
      </c>
      <c r="AJ20" s="13" t="s">
        <v>86</v>
      </c>
      <c r="AK20" s="13" t="s">
        <v>86</v>
      </c>
      <c r="AL20" s="13" t="s">
        <v>86</v>
      </c>
      <c r="AM20" s="12" t="s">
        <v>86</v>
      </c>
      <c r="AN20" s="12" t="s">
        <v>86</v>
      </c>
      <c r="AO20" s="12" t="s">
        <v>86</v>
      </c>
      <c r="AP20" s="12" t="s">
        <v>86</v>
      </c>
      <c r="AQ20" s="13" t="s">
        <v>86</v>
      </c>
      <c r="AR20" s="13" t="s">
        <v>86</v>
      </c>
      <c r="AS20" s="13" t="s">
        <v>86</v>
      </c>
      <c r="AT20" s="13" t="s">
        <v>86</v>
      </c>
      <c r="AU20" s="12" t="s">
        <v>86</v>
      </c>
      <c r="AV20" s="12" t="s">
        <v>86</v>
      </c>
      <c r="AW20" s="12" t="s">
        <v>86</v>
      </c>
      <c r="AX20" s="12" t="s">
        <v>86</v>
      </c>
      <c r="AY20" s="13">
        <v>56369</v>
      </c>
      <c r="AZ20" s="13">
        <v>13</v>
      </c>
      <c r="BA20" s="13">
        <v>0</v>
      </c>
      <c r="BB20" s="13">
        <v>115</v>
      </c>
      <c r="BC20" s="12">
        <v>0</v>
      </c>
      <c r="BD20" s="12">
        <v>0</v>
      </c>
      <c r="BE20" s="12">
        <v>0</v>
      </c>
      <c r="BF20" s="12">
        <v>0</v>
      </c>
      <c r="BG20" s="13" t="s">
        <v>86</v>
      </c>
      <c r="BH20" s="13" t="s">
        <v>86</v>
      </c>
      <c r="BI20" s="13" t="s">
        <v>86</v>
      </c>
      <c r="BJ20" s="13" t="s">
        <v>86</v>
      </c>
      <c r="BK20" s="12" t="s">
        <v>86</v>
      </c>
      <c r="BL20" s="12" t="s">
        <v>86</v>
      </c>
    </row>
    <row r="21" spans="1:64" ht="15" thickBot="1" x14ac:dyDescent="0.35">
      <c r="A21" s="15" t="s">
        <v>227</v>
      </c>
      <c r="B21" s="14" t="s">
        <v>226</v>
      </c>
      <c r="C21" s="13" t="s">
        <v>86</v>
      </c>
      <c r="D21" s="13" t="s">
        <v>86</v>
      </c>
      <c r="E21" s="13" t="s">
        <v>86</v>
      </c>
      <c r="F21" s="13" t="s">
        <v>86</v>
      </c>
      <c r="G21" s="12" t="s">
        <v>86</v>
      </c>
      <c r="H21" s="12" t="s">
        <v>86</v>
      </c>
      <c r="I21" s="12" t="s">
        <v>86</v>
      </c>
      <c r="J21" s="12" t="s">
        <v>86</v>
      </c>
      <c r="K21" s="13" t="s">
        <v>86</v>
      </c>
      <c r="L21" s="13" t="s">
        <v>86</v>
      </c>
      <c r="M21" s="13" t="s">
        <v>86</v>
      </c>
      <c r="N21" s="13" t="s">
        <v>86</v>
      </c>
      <c r="O21" s="12" t="s">
        <v>86</v>
      </c>
      <c r="P21" s="12" t="s">
        <v>86</v>
      </c>
      <c r="Q21" s="12" t="s">
        <v>86</v>
      </c>
      <c r="R21" s="12" t="s">
        <v>86</v>
      </c>
      <c r="S21" s="13" t="s">
        <v>86</v>
      </c>
      <c r="T21" s="13" t="s">
        <v>86</v>
      </c>
      <c r="U21" s="13" t="s">
        <v>86</v>
      </c>
      <c r="V21" s="13" t="s">
        <v>86</v>
      </c>
      <c r="W21" s="12" t="s">
        <v>86</v>
      </c>
      <c r="X21" s="12" t="s">
        <v>86</v>
      </c>
      <c r="Y21" s="12" t="s">
        <v>86</v>
      </c>
      <c r="Z21" s="12" t="s">
        <v>86</v>
      </c>
      <c r="AA21" s="13" t="s">
        <v>86</v>
      </c>
      <c r="AB21" s="13" t="s">
        <v>86</v>
      </c>
      <c r="AC21" s="13" t="s">
        <v>86</v>
      </c>
      <c r="AD21" s="13" t="s">
        <v>86</v>
      </c>
      <c r="AE21" s="12" t="s">
        <v>86</v>
      </c>
      <c r="AF21" s="12" t="s">
        <v>86</v>
      </c>
      <c r="AG21" s="12">
        <v>2717</v>
      </c>
      <c r="AH21" s="12">
        <v>1060</v>
      </c>
      <c r="AI21" s="13">
        <v>7247</v>
      </c>
      <c r="AJ21" s="13">
        <v>3609</v>
      </c>
      <c r="AK21" s="13">
        <v>4071</v>
      </c>
      <c r="AL21" s="13">
        <v>1990</v>
      </c>
      <c r="AM21" s="12">
        <v>0</v>
      </c>
      <c r="AN21" s="12">
        <v>0</v>
      </c>
      <c r="AO21" s="12">
        <v>2588</v>
      </c>
      <c r="AP21" s="12">
        <v>1541</v>
      </c>
      <c r="AQ21" s="13">
        <v>368</v>
      </c>
      <c r="AR21" s="13">
        <v>631</v>
      </c>
      <c r="AS21" s="13">
        <v>469</v>
      </c>
      <c r="AT21" s="13">
        <v>1131</v>
      </c>
      <c r="AU21" s="12">
        <v>0</v>
      </c>
      <c r="AV21" s="12">
        <v>0</v>
      </c>
      <c r="AW21" s="12">
        <v>0</v>
      </c>
      <c r="AX21" s="12">
        <v>0</v>
      </c>
      <c r="AY21" s="13" t="s">
        <v>86</v>
      </c>
      <c r="AZ21" s="13" t="s">
        <v>86</v>
      </c>
      <c r="BA21" s="13" t="s">
        <v>86</v>
      </c>
      <c r="BB21" s="13">
        <v>0</v>
      </c>
      <c r="BC21" s="12" t="s">
        <v>86</v>
      </c>
      <c r="BD21" s="12" t="s">
        <v>86</v>
      </c>
      <c r="BE21" s="12">
        <v>594</v>
      </c>
      <c r="BF21" s="12">
        <v>1790</v>
      </c>
      <c r="BG21" s="13">
        <v>693</v>
      </c>
      <c r="BH21" s="13">
        <v>177</v>
      </c>
      <c r="BI21" s="13">
        <v>0</v>
      </c>
      <c r="BJ21" s="13">
        <v>14814</v>
      </c>
      <c r="BK21" s="12">
        <v>1907</v>
      </c>
      <c r="BL21" s="12">
        <v>1171</v>
      </c>
    </row>
    <row r="22" spans="1:64" ht="15" thickBot="1" x14ac:dyDescent="0.35">
      <c r="A22" s="15" t="s">
        <v>223</v>
      </c>
      <c r="B22" s="14" t="s">
        <v>225</v>
      </c>
      <c r="C22" s="13" t="s">
        <v>86</v>
      </c>
      <c r="D22" s="13" t="s">
        <v>86</v>
      </c>
      <c r="E22" s="13" t="s">
        <v>86</v>
      </c>
      <c r="F22" s="13" t="s">
        <v>86</v>
      </c>
      <c r="G22" s="12" t="s">
        <v>86</v>
      </c>
      <c r="H22" s="12" t="s">
        <v>86</v>
      </c>
      <c r="I22" s="12" t="s">
        <v>86</v>
      </c>
      <c r="J22" s="12" t="s">
        <v>86</v>
      </c>
      <c r="K22" s="13" t="s">
        <v>86</v>
      </c>
      <c r="L22" s="13" t="s">
        <v>86</v>
      </c>
      <c r="M22" s="13" t="s">
        <v>86</v>
      </c>
      <c r="N22" s="13" t="s">
        <v>86</v>
      </c>
      <c r="O22" s="12" t="s">
        <v>86</v>
      </c>
      <c r="P22" s="12" t="s">
        <v>86</v>
      </c>
      <c r="Q22" s="12" t="s">
        <v>86</v>
      </c>
      <c r="R22" s="12" t="s">
        <v>86</v>
      </c>
      <c r="S22" s="13" t="s">
        <v>86</v>
      </c>
      <c r="T22" s="13" t="s">
        <v>86</v>
      </c>
      <c r="U22" s="13" t="s">
        <v>86</v>
      </c>
      <c r="V22" s="13" t="s">
        <v>86</v>
      </c>
      <c r="W22" s="12" t="s">
        <v>86</v>
      </c>
      <c r="X22" s="12" t="s">
        <v>86</v>
      </c>
      <c r="Y22" s="12" t="s">
        <v>86</v>
      </c>
      <c r="Z22" s="12" t="s">
        <v>86</v>
      </c>
      <c r="AA22" s="13" t="s">
        <v>86</v>
      </c>
      <c r="AB22" s="13" t="s">
        <v>86</v>
      </c>
      <c r="AC22" s="13" t="s">
        <v>86</v>
      </c>
      <c r="AD22" s="13" t="s">
        <v>86</v>
      </c>
      <c r="AE22" s="12" t="s">
        <v>86</v>
      </c>
      <c r="AF22" s="12" t="s">
        <v>86</v>
      </c>
      <c r="AG22" s="12" t="s">
        <v>86</v>
      </c>
      <c r="AH22" s="12" t="s">
        <v>86</v>
      </c>
      <c r="AI22" s="13" t="s">
        <v>86</v>
      </c>
      <c r="AJ22" s="13" t="s">
        <v>86</v>
      </c>
      <c r="AK22" s="13" t="s">
        <v>86</v>
      </c>
      <c r="AL22" s="13" t="s">
        <v>86</v>
      </c>
      <c r="AM22" s="12" t="s">
        <v>86</v>
      </c>
      <c r="AN22" s="12" t="s">
        <v>86</v>
      </c>
      <c r="AO22" s="12" t="s">
        <v>86</v>
      </c>
      <c r="AP22" s="12" t="s">
        <v>86</v>
      </c>
      <c r="AQ22" s="13" t="s">
        <v>86</v>
      </c>
      <c r="AR22" s="13" t="s">
        <v>86</v>
      </c>
      <c r="AS22" s="13" t="s">
        <v>86</v>
      </c>
      <c r="AT22" s="13" t="s">
        <v>86</v>
      </c>
      <c r="AU22" s="12" t="s">
        <v>86</v>
      </c>
      <c r="AV22" s="12" t="s">
        <v>86</v>
      </c>
      <c r="AW22" s="12" t="s">
        <v>86</v>
      </c>
      <c r="AX22" s="12" t="s">
        <v>86</v>
      </c>
      <c r="AY22" s="13" t="s">
        <v>86</v>
      </c>
      <c r="AZ22" s="13" t="s">
        <v>86</v>
      </c>
      <c r="BA22" s="13" t="s">
        <v>86</v>
      </c>
      <c r="BB22" s="13" t="s">
        <v>86</v>
      </c>
      <c r="BC22" s="12">
        <v>1866</v>
      </c>
      <c r="BD22" s="12">
        <v>2010</v>
      </c>
      <c r="BE22" s="12">
        <v>2012</v>
      </c>
      <c r="BF22" s="12">
        <v>2415</v>
      </c>
      <c r="BG22" s="13">
        <v>2455</v>
      </c>
      <c r="BH22" s="13">
        <v>2455</v>
      </c>
      <c r="BI22" s="13">
        <v>2456</v>
      </c>
      <c r="BJ22" s="13">
        <v>2466</v>
      </c>
      <c r="BK22" s="12">
        <v>2467</v>
      </c>
      <c r="BL22" s="12">
        <v>2458</v>
      </c>
    </row>
    <row r="23" spans="1:64" ht="15" thickBot="1" x14ac:dyDescent="0.35">
      <c r="A23" s="15" t="s">
        <v>223</v>
      </c>
      <c r="B23" s="14" t="s">
        <v>125</v>
      </c>
      <c r="C23" s="13" t="s">
        <v>86</v>
      </c>
      <c r="D23" s="13" t="s">
        <v>86</v>
      </c>
      <c r="E23" s="13" t="s">
        <v>86</v>
      </c>
      <c r="F23" s="13" t="s">
        <v>86</v>
      </c>
      <c r="G23" s="12" t="s">
        <v>86</v>
      </c>
      <c r="H23" s="12" t="s">
        <v>86</v>
      </c>
      <c r="I23" s="12" t="s">
        <v>86</v>
      </c>
      <c r="J23" s="12" t="s">
        <v>86</v>
      </c>
      <c r="K23" s="13" t="s">
        <v>86</v>
      </c>
      <c r="L23" s="13" t="s">
        <v>86</v>
      </c>
      <c r="M23" s="13" t="s">
        <v>86</v>
      </c>
      <c r="N23" s="13" t="s">
        <v>86</v>
      </c>
      <c r="O23" s="12" t="s">
        <v>86</v>
      </c>
      <c r="P23" s="12" t="s">
        <v>86</v>
      </c>
      <c r="Q23" s="12" t="s">
        <v>86</v>
      </c>
      <c r="R23" s="12">
        <v>77</v>
      </c>
      <c r="S23" s="13" t="s">
        <v>86</v>
      </c>
      <c r="T23" s="13">
        <v>64</v>
      </c>
      <c r="U23" s="13">
        <v>137</v>
      </c>
      <c r="V23" s="13">
        <v>129</v>
      </c>
      <c r="W23" s="12">
        <v>149</v>
      </c>
      <c r="X23" s="12">
        <v>194</v>
      </c>
      <c r="Y23" s="12">
        <v>229</v>
      </c>
      <c r="Z23" s="12">
        <v>244</v>
      </c>
      <c r="AA23" s="13">
        <v>264</v>
      </c>
      <c r="AB23" s="13">
        <v>318</v>
      </c>
      <c r="AC23" s="13">
        <v>331</v>
      </c>
      <c r="AD23" s="13">
        <v>304</v>
      </c>
      <c r="AE23" s="12">
        <v>307</v>
      </c>
      <c r="AF23" s="12">
        <v>305</v>
      </c>
      <c r="AG23" s="12">
        <v>295</v>
      </c>
      <c r="AH23" s="12">
        <v>281</v>
      </c>
      <c r="AI23" s="13">
        <v>239</v>
      </c>
      <c r="AJ23" s="13">
        <v>211</v>
      </c>
      <c r="AK23" s="13">
        <v>347</v>
      </c>
      <c r="AL23" s="13">
        <v>276</v>
      </c>
      <c r="AM23" s="12">
        <v>198</v>
      </c>
      <c r="AN23" s="12">
        <v>417</v>
      </c>
      <c r="AO23" s="12">
        <v>330</v>
      </c>
      <c r="AP23" s="12">
        <v>126</v>
      </c>
      <c r="AQ23" s="13">
        <v>231</v>
      </c>
      <c r="AR23" s="13">
        <v>386</v>
      </c>
      <c r="AS23" s="13">
        <v>497</v>
      </c>
      <c r="AT23" s="13">
        <v>536</v>
      </c>
      <c r="AU23" s="12">
        <v>606</v>
      </c>
      <c r="AV23" s="12">
        <v>1337</v>
      </c>
      <c r="AW23" s="12">
        <v>1294</v>
      </c>
      <c r="AX23" s="12">
        <v>522</v>
      </c>
      <c r="AY23" s="13">
        <v>982</v>
      </c>
      <c r="AZ23" s="13">
        <v>1060</v>
      </c>
      <c r="BA23" s="13">
        <v>2915</v>
      </c>
      <c r="BB23" s="13">
        <v>2409</v>
      </c>
      <c r="BC23" s="12">
        <v>2507</v>
      </c>
      <c r="BD23" s="12">
        <v>3131</v>
      </c>
      <c r="BE23" s="12">
        <v>3188</v>
      </c>
      <c r="BF23" s="12">
        <v>4271</v>
      </c>
      <c r="BG23" s="13">
        <v>3669</v>
      </c>
      <c r="BH23" s="13">
        <v>3398</v>
      </c>
      <c r="BI23" s="13">
        <v>2708</v>
      </c>
      <c r="BJ23" s="13">
        <v>3582</v>
      </c>
      <c r="BK23" s="12">
        <v>4182</v>
      </c>
      <c r="BL23" s="12">
        <v>3730</v>
      </c>
    </row>
    <row r="24" spans="1:64" ht="15" thickBot="1" x14ac:dyDescent="0.35">
      <c r="A24" s="15" t="s">
        <v>223</v>
      </c>
      <c r="B24" s="14" t="s">
        <v>224</v>
      </c>
      <c r="C24" s="13" t="s">
        <v>86</v>
      </c>
      <c r="D24" s="13" t="s">
        <v>86</v>
      </c>
      <c r="E24" s="13" t="s">
        <v>86</v>
      </c>
      <c r="F24" s="13" t="s">
        <v>86</v>
      </c>
      <c r="G24" s="12" t="s">
        <v>86</v>
      </c>
      <c r="H24" s="12" t="s">
        <v>86</v>
      </c>
      <c r="I24" s="12" t="s">
        <v>86</v>
      </c>
      <c r="J24" s="12" t="s">
        <v>86</v>
      </c>
      <c r="K24" s="13" t="s">
        <v>86</v>
      </c>
      <c r="L24" s="13" t="s">
        <v>86</v>
      </c>
      <c r="M24" s="13" t="s">
        <v>86</v>
      </c>
      <c r="N24" s="13" t="s">
        <v>86</v>
      </c>
      <c r="O24" s="12" t="s">
        <v>86</v>
      </c>
      <c r="P24" s="12" t="s">
        <v>86</v>
      </c>
      <c r="Q24" s="12" t="s">
        <v>86</v>
      </c>
      <c r="R24" s="12">
        <v>41435</v>
      </c>
      <c r="S24" s="13" t="s">
        <v>86</v>
      </c>
      <c r="T24" s="13">
        <v>41819</v>
      </c>
      <c r="U24" s="13">
        <v>44474</v>
      </c>
      <c r="V24" s="13">
        <v>45431</v>
      </c>
      <c r="W24" s="12">
        <v>38776</v>
      </c>
      <c r="X24" s="12">
        <v>54978</v>
      </c>
      <c r="Y24" s="12">
        <v>66363</v>
      </c>
      <c r="Z24" s="12">
        <v>69928</v>
      </c>
      <c r="AA24" s="13">
        <v>58365</v>
      </c>
      <c r="AB24" s="13">
        <v>68748</v>
      </c>
      <c r="AC24" s="13">
        <v>71077</v>
      </c>
      <c r="AD24" s="13">
        <v>49625</v>
      </c>
      <c r="AE24" s="12">
        <v>52054</v>
      </c>
      <c r="AF24" s="12">
        <v>64744</v>
      </c>
      <c r="AG24" s="12">
        <v>72510</v>
      </c>
      <c r="AH24" s="12">
        <v>74087</v>
      </c>
      <c r="AI24" s="13">
        <v>47464</v>
      </c>
      <c r="AJ24" s="13">
        <v>60946</v>
      </c>
      <c r="AK24" s="13">
        <v>60230</v>
      </c>
      <c r="AL24" s="13">
        <v>60409</v>
      </c>
      <c r="AM24" s="12">
        <v>51459</v>
      </c>
      <c r="AN24" s="12">
        <v>52778</v>
      </c>
      <c r="AO24" s="12">
        <v>52408</v>
      </c>
      <c r="AP24" s="12">
        <v>63999</v>
      </c>
      <c r="AQ24" s="13">
        <v>66580</v>
      </c>
      <c r="AR24" s="13">
        <v>88389</v>
      </c>
      <c r="AS24" s="13">
        <v>114854</v>
      </c>
      <c r="AT24" s="13">
        <v>131615</v>
      </c>
      <c r="AU24" s="12">
        <v>124264</v>
      </c>
      <c r="AV24" s="12">
        <v>75814</v>
      </c>
      <c r="AW24" s="12">
        <v>82228</v>
      </c>
      <c r="AX24" s="12">
        <v>142379</v>
      </c>
      <c r="AY24" s="13">
        <v>177823</v>
      </c>
      <c r="AZ24" s="13">
        <v>187196</v>
      </c>
      <c r="BA24" s="13">
        <v>208246</v>
      </c>
      <c r="BB24" s="13">
        <v>246996</v>
      </c>
      <c r="BC24" s="12">
        <v>259946</v>
      </c>
      <c r="BD24" s="12">
        <v>306050</v>
      </c>
      <c r="BE24" s="12">
        <v>361597</v>
      </c>
      <c r="BF24" s="12">
        <v>407265</v>
      </c>
      <c r="BG24" s="13">
        <v>393521</v>
      </c>
      <c r="BH24" s="13">
        <v>381923</v>
      </c>
      <c r="BI24" s="13">
        <v>283905</v>
      </c>
      <c r="BJ24" s="13">
        <v>149860</v>
      </c>
      <c r="BK24" s="12">
        <v>141182</v>
      </c>
      <c r="BL24" s="12">
        <v>160104</v>
      </c>
    </row>
    <row r="25" spans="1:64" ht="15" thickBot="1" x14ac:dyDescent="0.35">
      <c r="A25" s="15" t="s">
        <v>223</v>
      </c>
      <c r="B25" s="14" t="s">
        <v>222</v>
      </c>
      <c r="C25" s="13">
        <v>2672</v>
      </c>
      <c r="D25" s="13">
        <v>3725</v>
      </c>
      <c r="E25" s="13">
        <v>5681</v>
      </c>
      <c r="F25" s="13">
        <v>11145</v>
      </c>
      <c r="G25" s="12">
        <v>10631</v>
      </c>
      <c r="H25" s="12">
        <v>9464</v>
      </c>
      <c r="I25" s="12">
        <v>16650</v>
      </c>
      <c r="J25" s="12">
        <v>18414</v>
      </c>
      <c r="K25" s="13">
        <v>15421</v>
      </c>
      <c r="L25" s="13">
        <v>24785</v>
      </c>
      <c r="M25" s="13">
        <v>36185</v>
      </c>
      <c r="N25" s="13">
        <v>44063</v>
      </c>
      <c r="O25" s="12">
        <v>33293</v>
      </c>
      <c r="P25" s="12">
        <v>42096</v>
      </c>
      <c r="Q25" s="12">
        <v>44489</v>
      </c>
      <c r="R25" s="12" t="s">
        <v>86</v>
      </c>
      <c r="S25" s="13">
        <v>33376</v>
      </c>
      <c r="T25" s="13" t="s">
        <v>86</v>
      </c>
      <c r="U25" s="13" t="s">
        <v>86</v>
      </c>
      <c r="V25" s="13" t="s">
        <v>86</v>
      </c>
      <c r="W25" s="12" t="s">
        <v>86</v>
      </c>
      <c r="X25" s="12" t="s">
        <v>86</v>
      </c>
      <c r="Y25" s="12" t="s">
        <v>86</v>
      </c>
      <c r="Z25" s="12" t="s">
        <v>86</v>
      </c>
      <c r="AA25" s="13" t="s">
        <v>86</v>
      </c>
      <c r="AB25" s="13" t="s">
        <v>86</v>
      </c>
      <c r="AC25" s="13" t="s">
        <v>86</v>
      </c>
      <c r="AD25" s="13" t="s">
        <v>86</v>
      </c>
      <c r="AE25" s="12" t="s">
        <v>86</v>
      </c>
      <c r="AF25" s="12" t="s">
        <v>86</v>
      </c>
      <c r="AG25" s="12" t="s">
        <v>86</v>
      </c>
      <c r="AH25" s="12" t="s">
        <v>86</v>
      </c>
      <c r="AI25" s="13" t="s">
        <v>86</v>
      </c>
      <c r="AJ25" s="13" t="s">
        <v>86</v>
      </c>
      <c r="AK25" s="13" t="s">
        <v>86</v>
      </c>
      <c r="AL25" s="13" t="s">
        <v>86</v>
      </c>
      <c r="AM25" s="12" t="s">
        <v>86</v>
      </c>
      <c r="AN25" s="12" t="s">
        <v>86</v>
      </c>
      <c r="AO25" s="12" t="s">
        <v>86</v>
      </c>
      <c r="AP25" s="12" t="s">
        <v>86</v>
      </c>
      <c r="AQ25" s="13" t="s">
        <v>86</v>
      </c>
      <c r="AR25" s="13" t="s">
        <v>86</v>
      </c>
      <c r="AS25" s="13" t="s">
        <v>86</v>
      </c>
      <c r="AT25" s="13" t="s">
        <v>86</v>
      </c>
      <c r="AU25" s="12" t="s">
        <v>86</v>
      </c>
      <c r="AV25" s="12" t="s">
        <v>86</v>
      </c>
      <c r="AW25" s="12" t="s">
        <v>86</v>
      </c>
      <c r="AX25" s="12" t="s">
        <v>86</v>
      </c>
      <c r="AY25" s="13" t="s">
        <v>86</v>
      </c>
      <c r="AZ25" s="13" t="s">
        <v>86</v>
      </c>
      <c r="BA25" s="13" t="s">
        <v>86</v>
      </c>
      <c r="BB25" s="13" t="s">
        <v>86</v>
      </c>
      <c r="BC25" s="12" t="s">
        <v>86</v>
      </c>
      <c r="BD25" s="12" t="s">
        <v>86</v>
      </c>
      <c r="BE25" s="12" t="s">
        <v>86</v>
      </c>
      <c r="BF25" s="12" t="s">
        <v>86</v>
      </c>
      <c r="BG25" s="13" t="s">
        <v>86</v>
      </c>
      <c r="BH25" s="13" t="s">
        <v>86</v>
      </c>
      <c r="BI25" s="13" t="s">
        <v>86</v>
      </c>
      <c r="BJ25" s="13" t="s">
        <v>86</v>
      </c>
      <c r="BK25" s="12" t="s">
        <v>86</v>
      </c>
      <c r="BL25" s="12" t="s">
        <v>86</v>
      </c>
    </row>
    <row r="26" spans="1:64" ht="15" thickBot="1" x14ac:dyDescent="0.35">
      <c r="A26" s="15" t="s">
        <v>221</v>
      </c>
      <c r="B26" s="14" t="s">
        <v>139</v>
      </c>
      <c r="C26" s="13" t="s">
        <v>86</v>
      </c>
      <c r="D26" s="13" t="s">
        <v>86</v>
      </c>
      <c r="E26" s="13" t="s">
        <v>86</v>
      </c>
      <c r="F26" s="13" t="s">
        <v>86</v>
      </c>
      <c r="G26" s="12" t="s">
        <v>86</v>
      </c>
      <c r="H26" s="12" t="s">
        <v>86</v>
      </c>
      <c r="I26" s="12" t="s">
        <v>86</v>
      </c>
      <c r="J26" s="12" t="s">
        <v>86</v>
      </c>
      <c r="K26" s="13" t="s">
        <v>86</v>
      </c>
      <c r="L26" s="13" t="s">
        <v>86</v>
      </c>
      <c r="M26" s="13" t="s">
        <v>86</v>
      </c>
      <c r="N26" s="13" t="s">
        <v>86</v>
      </c>
      <c r="O26" s="12" t="s">
        <v>86</v>
      </c>
      <c r="P26" s="12" t="s">
        <v>86</v>
      </c>
      <c r="Q26" s="12" t="s">
        <v>86</v>
      </c>
      <c r="R26" s="12" t="s">
        <v>86</v>
      </c>
      <c r="S26" s="13" t="s">
        <v>86</v>
      </c>
      <c r="T26" s="13">
        <v>8046</v>
      </c>
      <c r="U26" s="13">
        <v>7668</v>
      </c>
      <c r="V26" s="13">
        <v>8152</v>
      </c>
      <c r="W26" s="12">
        <v>8473</v>
      </c>
      <c r="X26" s="12">
        <v>10370</v>
      </c>
      <c r="Y26" s="12">
        <v>11288</v>
      </c>
      <c r="Z26" s="12">
        <v>12128</v>
      </c>
      <c r="AA26" s="13">
        <v>12351</v>
      </c>
      <c r="AB26" s="13">
        <v>11628</v>
      </c>
      <c r="AC26" s="13">
        <v>10918</v>
      </c>
      <c r="AD26" s="13">
        <v>11364</v>
      </c>
      <c r="AE26" s="12">
        <v>11940</v>
      </c>
      <c r="AF26" s="12">
        <v>12111</v>
      </c>
      <c r="AG26" s="12">
        <v>12228</v>
      </c>
      <c r="AH26" s="12">
        <v>10545</v>
      </c>
      <c r="AI26" s="13">
        <v>8854</v>
      </c>
      <c r="AJ26" s="13">
        <v>7311</v>
      </c>
      <c r="AK26" s="13">
        <v>6790</v>
      </c>
      <c r="AL26" s="13">
        <v>7629</v>
      </c>
      <c r="AM26" s="12">
        <v>7002</v>
      </c>
      <c r="AN26" s="12">
        <v>8313</v>
      </c>
      <c r="AO26" s="12">
        <v>7287</v>
      </c>
      <c r="AP26" s="12">
        <v>7045</v>
      </c>
      <c r="AQ26" s="13">
        <v>7808</v>
      </c>
      <c r="AR26" s="13">
        <v>8476</v>
      </c>
      <c r="AS26" s="13">
        <v>9674</v>
      </c>
      <c r="AT26" s="13">
        <v>9526</v>
      </c>
      <c r="AU26" s="12">
        <v>9957</v>
      </c>
      <c r="AV26" s="12">
        <v>9929</v>
      </c>
      <c r="AW26" s="12">
        <v>10804</v>
      </c>
      <c r="AX26" s="12">
        <v>12530</v>
      </c>
      <c r="AY26" s="13">
        <v>16069</v>
      </c>
      <c r="AZ26" s="13">
        <v>17241</v>
      </c>
      <c r="BA26" s="13">
        <v>18412</v>
      </c>
      <c r="BB26" s="13">
        <v>19877</v>
      </c>
      <c r="BC26" s="12">
        <v>21990</v>
      </c>
      <c r="BD26" s="12">
        <v>22990</v>
      </c>
      <c r="BE26" s="12">
        <v>26788</v>
      </c>
      <c r="BF26" s="12">
        <v>27996</v>
      </c>
      <c r="BG26" s="13">
        <v>35651</v>
      </c>
      <c r="BH26" s="13">
        <v>36278</v>
      </c>
      <c r="BI26" s="13">
        <v>35588</v>
      </c>
      <c r="BJ26" s="13">
        <v>31452</v>
      </c>
      <c r="BK26" s="12">
        <v>29661</v>
      </c>
      <c r="BL26" s="12">
        <v>28661</v>
      </c>
    </row>
    <row r="27" spans="1:64" ht="15" thickBot="1" x14ac:dyDescent="0.35">
      <c r="A27" s="15" t="s">
        <v>221</v>
      </c>
      <c r="B27" s="14" t="s">
        <v>138</v>
      </c>
      <c r="C27" s="13">
        <v>1752</v>
      </c>
      <c r="D27" s="13">
        <v>2061</v>
      </c>
      <c r="E27" s="13">
        <v>2249</v>
      </c>
      <c r="F27" s="13">
        <v>2349</v>
      </c>
      <c r="G27" s="12">
        <v>2735</v>
      </c>
      <c r="H27" s="12">
        <v>3160</v>
      </c>
      <c r="I27" s="12">
        <v>3968</v>
      </c>
      <c r="J27" s="12">
        <v>4433</v>
      </c>
      <c r="K27" s="13">
        <v>5345</v>
      </c>
      <c r="L27" s="13">
        <v>6143</v>
      </c>
      <c r="M27" s="13">
        <v>6431</v>
      </c>
      <c r="N27" s="13">
        <v>7180</v>
      </c>
      <c r="O27" s="12">
        <v>7842</v>
      </c>
      <c r="P27" s="12">
        <v>8655</v>
      </c>
      <c r="Q27" s="12">
        <v>10571</v>
      </c>
      <c r="R27" s="12">
        <v>8533</v>
      </c>
      <c r="S27" s="13">
        <v>9026</v>
      </c>
      <c r="T27" s="13" t="s">
        <v>86</v>
      </c>
      <c r="U27" s="13" t="s">
        <v>86</v>
      </c>
      <c r="V27" s="13" t="s">
        <v>86</v>
      </c>
      <c r="W27" s="12" t="s">
        <v>86</v>
      </c>
      <c r="X27" s="12" t="s">
        <v>86</v>
      </c>
      <c r="Y27" s="12" t="s">
        <v>86</v>
      </c>
      <c r="Z27" s="12" t="s">
        <v>86</v>
      </c>
      <c r="AA27" s="13" t="s">
        <v>86</v>
      </c>
      <c r="AB27" s="13" t="s">
        <v>86</v>
      </c>
      <c r="AC27" s="13" t="s">
        <v>86</v>
      </c>
      <c r="AD27" s="13" t="s">
        <v>86</v>
      </c>
      <c r="AE27" s="12" t="s">
        <v>86</v>
      </c>
      <c r="AF27" s="12" t="s">
        <v>86</v>
      </c>
      <c r="AG27" s="12" t="s">
        <v>86</v>
      </c>
      <c r="AH27" s="12" t="s">
        <v>86</v>
      </c>
      <c r="AI27" s="13" t="s">
        <v>86</v>
      </c>
      <c r="AJ27" s="13" t="s">
        <v>86</v>
      </c>
      <c r="AK27" s="13" t="s">
        <v>86</v>
      </c>
      <c r="AL27" s="13" t="s">
        <v>86</v>
      </c>
      <c r="AM27" s="12" t="s">
        <v>86</v>
      </c>
      <c r="AN27" s="12" t="s">
        <v>86</v>
      </c>
      <c r="AO27" s="12" t="s">
        <v>86</v>
      </c>
      <c r="AP27" s="12" t="s">
        <v>86</v>
      </c>
      <c r="AQ27" s="13" t="s">
        <v>86</v>
      </c>
      <c r="AR27" s="13" t="s">
        <v>86</v>
      </c>
      <c r="AS27" s="13" t="s">
        <v>86</v>
      </c>
      <c r="AT27" s="13" t="s">
        <v>86</v>
      </c>
      <c r="AU27" s="12" t="s">
        <v>86</v>
      </c>
      <c r="AV27" s="12" t="s">
        <v>86</v>
      </c>
      <c r="AW27" s="12" t="s">
        <v>86</v>
      </c>
      <c r="AX27" s="12" t="s">
        <v>86</v>
      </c>
      <c r="AY27" s="13" t="s">
        <v>86</v>
      </c>
      <c r="AZ27" s="13" t="s">
        <v>86</v>
      </c>
      <c r="BA27" s="13" t="s">
        <v>86</v>
      </c>
      <c r="BB27" s="13" t="s">
        <v>86</v>
      </c>
      <c r="BC27" s="12" t="s">
        <v>86</v>
      </c>
      <c r="BD27" s="12" t="s">
        <v>86</v>
      </c>
      <c r="BE27" s="12" t="s">
        <v>86</v>
      </c>
      <c r="BF27" s="12" t="s">
        <v>86</v>
      </c>
      <c r="BG27" s="13" t="s">
        <v>86</v>
      </c>
      <c r="BH27" s="13" t="s">
        <v>86</v>
      </c>
      <c r="BI27" s="13" t="s">
        <v>86</v>
      </c>
      <c r="BJ27" s="13" t="s">
        <v>86</v>
      </c>
      <c r="BK27" s="12" t="s">
        <v>86</v>
      </c>
      <c r="BL27" s="12" t="s">
        <v>86</v>
      </c>
    </row>
    <row r="28" spans="1:64" ht="15" thickBot="1" x14ac:dyDescent="0.35">
      <c r="A28" s="15" t="s">
        <v>221</v>
      </c>
      <c r="B28" s="14" t="s">
        <v>122</v>
      </c>
      <c r="C28" s="13" t="s">
        <v>86</v>
      </c>
      <c r="D28" s="13" t="s">
        <v>86</v>
      </c>
      <c r="E28" s="13" t="s">
        <v>86</v>
      </c>
      <c r="F28" s="13" t="s">
        <v>86</v>
      </c>
      <c r="G28" s="12" t="s">
        <v>86</v>
      </c>
      <c r="H28" s="12" t="s">
        <v>86</v>
      </c>
      <c r="I28" s="12" t="s">
        <v>86</v>
      </c>
      <c r="J28" s="12" t="s">
        <v>86</v>
      </c>
      <c r="K28" s="13" t="s">
        <v>86</v>
      </c>
      <c r="L28" s="13" t="s">
        <v>86</v>
      </c>
      <c r="M28" s="13" t="s">
        <v>86</v>
      </c>
      <c r="N28" s="13" t="s">
        <v>86</v>
      </c>
      <c r="O28" s="12" t="s">
        <v>86</v>
      </c>
      <c r="P28" s="12" t="s">
        <v>86</v>
      </c>
      <c r="Q28" s="12" t="s">
        <v>86</v>
      </c>
      <c r="R28" s="12" t="s">
        <v>86</v>
      </c>
      <c r="S28" s="13" t="s">
        <v>86</v>
      </c>
      <c r="T28" s="13">
        <v>438</v>
      </c>
      <c r="U28" s="13">
        <v>625</v>
      </c>
      <c r="V28" s="13">
        <v>569</v>
      </c>
      <c r="W28" s="12">
        <v>613</v>
      </c>
      <c r="X28" s="12">
        <v>778</v>
      </c>
      <c r="Y28" s="12">
        <v>824</v>
      </c>
      <c r="Z28" s="12">
        <v>912</v>
      </c>
      <c r="AA28" s="13">
        <v>1079</v>
      </c>
      <c r="AB28" s="13">
        <v>1158</v>
      </c>
      <c r="AC28" s="13">
        <v>1141</v>
      </c>
      <c r="AD28" s="13">
        <v>1180</v>
      </c>
      <c r="AE28" s="12">
        <v>1126</v>
      </c>
      <c r="AF28" s="12">
        <v>980</v>
      </c>
      <c r="AG28" s="12">
        <v>941</v>
      </c>
      <c r="AH28" s="12">
        <v>832</v>
      </c>
      <c r="AI28" s="13">
        <v>751</v>
      </c>
      <c r="AJ28" s="13">
        <v>636</v>
      </c>
      <c r="AK28" s="13">
        <v>607</v>
      </c>
      <c r="AL28" s="13">
        <v>579</v>
      </c>
      <c r="AM28" s="12">
        <v>618</v>
      </c>
      <c r="AN28" s="12">
        <v>1149</v>
      </c>
      <c r="AO28" s="12">
        <v>878</v>
      </c>
      <c r="AP28" s="12">
        <v>295</v>
      </c>
      <c r="AQ28" s="13">
        <v>716</v>
      </c>
      <c r="AR28" s="13">
        <v>1128</v>
      </c>
      <c r="AS28" s="13">
        <v>1411</v>
      </c>
      <c r="AT28" s="13">
        <v>1642</v>
      </c>
      <c r="AU28" s="12">
        <v>1919</v>
      </c>
      <c r="AV28" s="12">
        <v>3263</v>
      </c>
      <c r="AW28" s="12">
        <v>4248</v>
      </c>
      <c r="AX28" s="12">
        <v>3271</v>
      </c>
      <c r="AY28" s="13">
        <v>5749</v>
      </c>
      <c r="AZ28" s="13">
        <v>5467</v>
      </c>
      <c r="BA28" s="13">
        <v>10999</v>
      </c>
      <c r="BB28" s="13">
        <v>11712</v>
      </c>
      <c r="BC28" s="12">
        <v>13729</v>
      </c>
      <c r="BD28" s="12">
        <v>16266</v>
      </c>
      <c r="BE28" s="12">
        <v>17400</v>
      </c>
      <c r="BF28" s="12">
        <v>21687</v>
      </c>
      <c r="BG28" s="13">
        <v>21478</v>
      </c>
      <c r="BH28" s="13">
        <v>23765</v>
      </c>
      <c r="BI28" s="13">
        <v>19285</v>
      </c>
      <c r="BJ28" s="13">
        <v>23839</v>
      </c>
      <c r="BK28" s="12">
        <v>24550</v>
      </c>
      <c r="BL28" s="12">
        <v>20210</v>
      </c>
    </row>
    <row r="29" spans="1:64" ht="15" thickBot="1" x14ac:dyDescent="0.35">
      <c r="A29" s="15" t="s">
        <v>220</v>
      </c>
      <c r="B29" s="14" t="s">
        <v>124</v>
      </c>
      <c r="C29" s="13" t="s">
        <v>86</v>
      </c>
      <c r="D29" s="13" t="s">
        <v>86</v>
      </c>
      <c r="E29" s="13" t="s">
        <v>86</v>
      </c>
      <c r="F29" s="13" t="s">
        <v>86</v>
      </c>
      <c r="G29" s="12" t="s">
        <v>86</v>
      </c>
      <c r="H29" s="12" t="s">
        <v>86</v>
      </c>
      <c r="I29" s="12" t="s">
        <v>86</v>
      </c>
      <c r="J29" s="12" t="s">
        <v>86</v>
      </c>
      <c r="K29" s="13" t="s">
        <v>86</v>
      </c>
      <c r="L29" s="13" t="s">
        <v>86</v>
      </c>
      <c r="M29" s="13" t="s">
        <v>86</v>
      </c>
      <c r="N29" s="13" t="s">
        <v>86</v>
      </c>
      <c r="O29" s="12" t="s">
        <v>86</v>
      </c>
      <c r="P29" s="12" t="s">
        <v>86</v>
      </c>
      <c r="Q29" s="12" t="s">
        <v>86</v>
      </c>
      <c r="R29" s="12">
        <v>428</v>
      </c>
      <c r="S29" s="13" t="s">
        <v>86</v>
      </c>
      <c r="T29" s="13">
        <v>397</v>
      </c>
      <c r="U29" s="13">
        <v>542</v>
      </c>
      <c r="V29" s="13">
        <v>495</v>
      </c>
      <c r="W29" s="12">
        <v>532</v>
      </c>
      <c r="X29" s="12">
        <v>649</v>
      </c>
      <c r="Y29" s="12">
        <v>635</v>
      </c>
      <c r="Z29" s="12">
        <v>671</v>
      </c>
      <c r="AA29" s="13">
        <v>765</v>
      </c>
      <c r="AB29" s="13">
        <v>942</v>
      </c>
      <c r="AC29" s="13">
        <v>803</v>
      </c>
      <c r="AD29" s="13">
        <v>652</v>
      </c>
      <c r="AE29" s="12">
        <v>612</v>
      </c>
      <c r="AF29" s="12">
        <v>588</v>
      </c>
      <c r="AG29" s="12">
        <v>560</v>
      </c>
      <c r="AH29" s="12">
        <v>384</v>
      </c>
      <c r="AI29" s="13">
        <v>378</v>
      </c>
      <c r="AJ29" s="13">
        <v>285</v>
      </c>
      <c r="AK29" s="13">
        <v>226</v>
      </c>
      <c r="AL29" s="13">
        <v>268</v>
      </c>
      <c r="AM29" s="12">
        <v>361</v>
      </c>
      <c r="AN29" s="12">
        <v>997</v>
      </c>
      <c r="AO29" s="12">
        <v>1151</v>
      </c>
      <c r="AP29" s="12">
        <v>565</v>
      </c>
      <c r="AQ29" s="13">
        <v>999</v>
      </c>
      <c r="AR29" s="13">
        <v>1360</v>
      </c>
      <c r="AS29" s="13">
        <v>1541</v>
      </c>
      <c r="AT29" s="13">
        <v>1778</v>
      </c>
      <c r="AU29" s="12">
        <v>1942</v>
      </c>
      <c r="AV29" s="12">
        <v>3610</v>
      </c>
      <c r="AW29" s="12">
        <v>3952</v>
      </c>
      <c r="AX29" s="12">
        <v>2044</v>
      </c>
      <c r="AY29" s="13">
        <v>3537</v>
      </c>
      <c r="AZ29" s="13">
        <v>5335</v>
      </c>
      <c r="BA29" s="13">
        <v>15472</v>
      </c>
      <c r="BB29" s="13">
        <v>13090</v>
      </c>
      <c r="BC29" s="12">
        <v>13057</v>
      </c>
      <c r="BD29" s="12">
        <v>22176</v>
      </c>
      <c r="BE29" s="12">
        <v>20069</v>
      </c>
      <c r="BF29" s="12">
        <v>23517</v>
      </c>
      <c r="BG29" s="13">
        <v>21419</v>
      </c>
      <c r="BH29" s="13">
        <v>14515</v>
      </c>
      <c r="BI29" s="13">
        <v>13297</v>
      </c>
      <c r="BJ29" s="13">
        <v>16472</v>
      </c>
      <c r="BK29" s="12">
        <v>18178</v>
      </c>
      <c r="BL29" s="12">
        <v>16784</v>
      </c>
    </row>
    <row r="30" spans="1:64" ht="15" thickBot="1" x14ac:dyDescent="0.35">
      <c r="A30" s="15" t="s">
        <v>220</v>
      </c>
      <c r="B30" s="14" t="s">
        <v>123</v>
      </c>
      <c r="C30" s="13" t="s">
        <v>86</v>
      </c>
      <c r="D30" s="13" t="s">
        <v>86</v>
      </c>
      <c r="E30" s="13" t="s">
        <v>86</v>
      </c>
      <c r="F30" s="13" t="s">
        <v>86</v>
      </c>
      <c r="G30" s="12" t="s">
        <v>86</v>
      </c>
      <c r="H30" s="12" t="s">
        <v>86</v>
      </c>
      <c r="I30" s="12" t="s">
        <v>86</v>
      </c>
      <c r="J30" s="12" t="s">
        <v>86</v>
      </c>
      <c r="K30" s="13" t="s">
        <v>86</v>
      </c>
      <c r="L30" s="13" t="s">
        <v>86</v>
      </c>
      <c r="M30" s="13" t="s">
        <v>86</v>
      </c>
      <c r="N30" s="13" t="s">
        <v>86</v>
      </c>
      <c r="O30" s="12" t="s">
        <v>86</v>
      </c>
      <c r="P30" s="12" t="s">
        <v>86</v>
      </c>
      <c r="Q30" s="12" t="s">
        <v>86</v>
      </c>
      <c r="R30" s="12">
        <v>545</v>
      </c>
      <c r="S30" s="13" t="s">
        <v>86</v>
      </c>
      <c r="T30" s="13">
        <v>576</v>
      </c>
      <c r="U30" s="13">
        <v>741</v>
      </c>
      <c r="V30" s="13">
        <v>701</v>
      </c>
      <c r="W30" s="12">
        <v>719</v>
      </c>
      <c r="X30" s="12">
        <v>873</v>
      </c>
      <c r="Y30" s="12">
        <v>842</v>
      </c>
      <c r="Z30" s="12">
        <v>876</v>
      </c>
      <c r="AA30" s="13">
        <v>880</v>
      </c>
      <c r="AB30" s="13">
        <v>889</v>
      </c>
      <c r="AC30" s="13">
        <v>1008</v>
      </c>
      <c r="AD30" s="13">
        <v>981</v>
      </c>
      <c r="AE30" s="12">
        <v>954</v>
      </c>
      <c r="AF30" s="12">
        <v>835</v>
      </c>
      <c r="AG30" s="12">
        <v>736</v>
      </c>
      <c r="AH30" s="12">
        <v>590</v>
      </c>
      <c r="AI30" s="13">
        <v>561</v>
      </c>
      <c r="AJ30" s="13">
        <v>489</v>
      </c>
      <c r="AK30" s="13">
        <v>547</v>
      </c>
      <c r="AL30" s="13">
        <v>327</v>
      </c>
      <c r="AM30" s="12">
        <v>394</v>
      </c>
      <c r="AN30" s="12">
        <v>1725</v>
      </c>
      <c r="AO30" s="12">
        <v>1692</v>
      </c>
      <c r="AP30" s="12">
        <v>535</v>
      </c>
      <c r="AQ30" s="13">
        <v>1288</v>
      </c>
      <c r="AR30" s="13">
        <v>1729</v>
      </c>
      <c r="AS30" s="13">
        <v>1996</v>
      </c>
      <c r="AT30" s="13">
        <v>2203</v>
      </c>
      <c r="AU30" s="12">
        <v>3048</v>
      </c>
      <c r="AV30" s="12">
        <v>4090</v>
      </c>
      <c r="AW30" s="12">
        <v>4905</v>
      </c>
      <c r="AX30" s="12">
        <v>2452</v>
      </c>
      <c r="AY30" s="13">
        <v>4576</v>
      </c>
      <c r="AZ30" s="13">
        <v>3450</v>
      </c>
      <c r="BA30" s="13">
        <v>17568</v>
      </c>
      <c r="BB30" s="13">
        <v>9965</v>
      </c>
      <c r="BC30" s="12">
        <v>18504</v>
      </c>
      <c r="BD30" s="12">
        <v>11491</v>
      </c>
      <c r="BE30" s="12">
        <v>11639</v>
      </c>
      <c r="BF30" s="12">
        <v>14170</v>
      </c>
      <c r="BG30" s="13">
        <v>13089</v>
      </c>
      <c r="BH30" s="13">
        <v>12488</v>
      </c>
      <c r="BI30" s="13">
        <v>8524</v>
      </c>
      <c r="BJ30" s="13">
        <v>11329</v>
      </c>
      <c r="BK30" s="12">
        <v>13923</v>
      </c>
      <c r="BL30" s="12">
        <v>12033</v>
      </c>
    </row>
    <row r="31" spans="1:64" ht="15" thickBot="1" x14ac:dyDescent="0.35">
      <c r="A31" s="15" t="s">
        <v>220</v>
      </c>
      <c r="B31" s="14" t="s">
        <v>219</v>
      </c>
      <c r="C31" s="13" t="s">
        <v>86</v>
      </c>
      <c r="D31" s="13" t="s">
        <v>86</v>
      </c>
      <c r="E31" s="13" t="s">
        <v>86</v>
      </c>
      <c r="F31" s="13" t="s">
        <v>86</v>
      </c>
      <c r="G31" s="12" t="s">
        <v>86</v>
      </c>
      <c r="H31" s="12" t="s">
        <v>86</v>
      </c>
      <c r="I31" s="12" t="s">
        <v>86</v>
      </c>
      <c r="J31" s="12" t="s">
        <v>86</v>
      </c>
      <c r="K31" s="13">
        <v>233</v>
      </c>
      <c r="L31" s="13" t="s">
        <v>86</v>
      </c>
      <c r="M31" s="13" t="s">
        <v>86</v>
      </c>
      <c r="N31" s="13" t="s">
        <v>86</v>
      </c>
      <c r="O31" s="12">
        <v>413</v>
      </c>
      <c r="P31" s="12" t="s">
        <v>86</v>
      </c>
      <c r="Q31" s="12" t="s">
        <v>86</v>
      </c>
      <c r="R31" s="12" t="s">
        <v>86</v>
      </c>
      <c r="S31" s="13" t="s">
        <v>86</v>
      </c>
      <c r="T31" s="13" t="s">
        <v>86</v>
      </c>
      <c r="U31" s="13" t="s">
        <v>86</v>
      </c>
      <c r="V31" s="13" t="s">
        <v>86</v>
      </c>
      <c r="W31" s="12" t="s">
        <v>86</v>
      </c>
      <c r="X31" s="12" t="s">
        <v>86</v>
      </c>
      <c r="Y31" s="12" t="s">
        <v>86</v>
      </c>
      <c r="Z31" s="12" t="s">
        <v>86</v>
      </c>
      <c r="AA31" s="13" t="s">
        <v>86</v>
      </c>
      <c r="AB31" s="13" t="s">
        <v>86</v>
      </c>
      <c r="AC31" s="13" t="s">
        <v>86</v>
      </c>
      <c r="AD31" s="13" t="s">
        <v>86</v>
      </c>
      <c r="AE31" s="12" t="s">
        <v>86</v>
      </c>
      <c r="AF31" s="12" t="s">
        <v>86</v>
      </c>
      <c r="AG31" s="12" t="s">
        <v>86</v>
      </c>
      <c r="AH31" s="12" t="s">
        <v>86</v>
      </c>
      <c r="AI31" s="13" t="s">
        <v>86</v>
      </c>
      <c r="AJ31" s="13" t="s">
        <v>86</v>
      </c>
      <c r="AK31" s="13" t="s">
        <v>86</v>
      </c>
      <c r="AL31" s="13" t="s">
        <v>86</v>
      </c>
      <c r="AM31" s="12" t="s">
        <v>86</v>
      </c>
      <c r="AN31" s="12" t="s">
        <v>86</v>
      </c>
      <c r="AO31" s="12" t="s">
        <v>86</v>
      </c>
      <c r="AP31" s="12" t="s">
        <v>86</v>
      </c>
      <c r="AQ31" s="13" t="s">
        <v>86</v>
      </c>
      <c r="AR31" s="13" t="s">
        <v>86</v>
      </c>
      <c r="AS31" s="13" t="s">
        <v>86</v>
      </c>
      <c r="AT31" s="13" t="s">
        <v>86</v>
      </c>
      <c r="AU31" s="12" t="s">
        <v>86</v>
      </c>
      <c r="AV31" s="12" t="s">
        <v>86</v>
      </c>
      <c r="AW31" s="12" t="s">
        <v>86</v>
      </c>
      <c r="AX31" s="12" t="s">
        <v>86</v>
      </c>
      <c r="AY31" s="13" t="s">
        <v>86</v>
      </c>
      <c r="AZ31" s="13" t="s">
        <v>86</v>
      </c>
      <c r="BA31" s="13" t="s">
        <v>86</v>
      </c>
      <c r="BB31" s="13" t="s">
        <v>86</v>
      </c>
      <c r="BC31" s="12" t="s">
        <v>86</v>
      </c>
      <c r="BD31" s="12" t="s">
        <v>86</v>
      </c>
      <c r="BE31" s="12" t="s">
        <v>86</v>
      </c>
      <c r="BF31" s="12" t="s">
        <v>86</v>
      </c>
      <c r="BG31" s="13" t="s">
        <v>86</v>
      </c>
      <c r="BH31" s="13" t="s">
        <v>86</v>
      </c>
      <c r="BI31" s="13" t="s">
        <v>86</v>
      </c>
      <c r="BJ31" s="13" t="s">
        <v>86</v>
      </c>
      <c r="BK31" s="12" t="s">
        <v>86</v>
      </c>
      <c r="BL31" s="12" t="s">
        <v>86</v>
      </c>
    </row>
    <row r="32" spans="1:64" ht="15" thickBot="1" x14ac:dyDescent="0.35">
      <c r="A32" s="15" t="s">
        <v>215</v>
      </c>
      <c r="B32" s="14" t="s">
        <v>218</v>
      </c>
      <c r="C32" s="13" t="s">
        <v>86</v>
      </c>
      <c r="D32" s="13" t="s">
        <v>86</v>
      </c>
      <c r="E32" s="13" t="s">
        <v>86</v>
      </c>
      <c r="F32" s="13" t="s">
        <v>86</v>
      </c>
      <c r="G32" s="12" t="s">
        <v>86</v>
      </c>
      <c r="H32" s="12" t="s">
        <v>86</v>
      </c>
      <c r="I32" s="12" t="s">
        <v>86</v>
      </c>
      <c r="J32" s="12" t="s">
        <v>86</v>
      </c>
      <c r="K32" s="13" t="s">
        <v>86</v>
      </c>
      <c r="L32" s="13" t="s">
        <v>86</v>
      </c>
      <c r="M32" s="13" t="s">
        <v>86</v>
      </c>
      <c r="N32" s="13" t="s">
        <v>86</v>
      </c>
      <c r="O32" s="12" t="s">
        <v>86</v>
      </c>
      <c r="P32" s="12" t="s">
        <v>86</v>
      </c>
      <c r="Q32" s="12" t="s">
        <v>86</v>
      </c>
      <c r="R32" s="12">
        <v>7097</v>
      </c>
      <c r="S32" s="13" t="s">
        <v>86</v>
      </c>
      <c r="T32" s="13">
        <v>6968</v>
      </c>
      <c r="U32" s="13">
        <v>8008</v>
      </c>
      <c r="V32" s="13">
        <v>7820</v>
      </c>
      <c r="W32" s="12">
        <v>8296</v>
      </c>
      <c r="X32" s="12">
        <v>9844</v>
      </c>
      <c r="Y32" s="12">
        <v>9249</v>
      </c>
      <c r="Z32" s="12">
        <v>11127</v>
      </c>
      <c r="AA32" s="13">
        <v>11172</v>
      </c>
      <c r="AB32" s="13">
        <v>11566</v>
      </c>
      <c r="AC32" s="13">
        <v>9707</v>
      </c>
      <c r="AD32" s="13">
        <v>10270</v>
      </c>
      <c r="AE32" s="12">
        <v>9603</v>
      </c>
      <c r="AF32" s="12">
        <v>9399</v>
      </c>
      <c r="AG32" s="12">
        <v>10456</v>
      </c>
      <c r="AH32" s="12">
        <v>7208</v>
      </c>
      <c r="AI32" s="13">
        <v>6080</v>
      </c>
      <c r="AJ32" s="13">
        <v>5989</v>
      </c>
      <c r="AK32" s="13">
        <v>5227</v>
      </c>
      <c r="AL32" s="13">
        <v>4672</v>
      </c>
      <c r="AM32" s="12">
        <v>5866</v>
      </c>
      <c r="AN32" s="12">
        <v>5831</v>
      </c>
      <c r="AO32" s="12">
        <v>6224</v>
      </c>
      <c r="AP32" s="12">
        <v>6052</v>
      </c>
      <c r="AQ32" s="13">
        <v>6434</v>
      </c>
      <c r="AR32" s="13">
        <v>7694</v>
      </c>
      <c r="AS32" s="13">
        <v>8010</v>
      </c>
      <c r="AT32" s="13">
        <v>8912</v>
      </c>
      <c r="AU32" s="12">
        <v>9830</v>
      </c>
      <c r="AV32" s="12">
        <v>8761</v>
      </c>
      <c r="AW32" s="12">
        <v>10693</v>
      </c>
      <c r="AX32" s="12">
        <v>12095</v>
      </c>
      <c r="AY32" s="13">
        <v>16085</v>
      </c>
      <c r="AZ32" s="13">
        <v>20251</v>
      </c>
      <c r="BA32" s="13">
        <v>23824</v>
      </c>
      <c r="BB32" s="13">
        <v>31380</v>
      </c>
      <c r="BC32" s="12">
        <v>24644</v>
      </c>
      <c r="BD32" s="12">
        <v>27460</v>
      </c>
      <c r="BE32" s="12">
        <v>31237</v>
      </c>
      <c r="BF32" s="12">
        <v>37149</v>
      </c>
      <c r="BG32" s="13">
        <v>38863</v>
      </c>
      <c r="BH32" s="13">
        <v>39551</v>
      </c>
      <c r="BI32" s="13">
        <v>37719</v>
      </c>
      <c r="BJ32" s="13">
        <v>32590</v>
      </c>
      <c r="BK32" s="12">
        <v>31668</v>
      </c>
      <c r="BL32" s="12">
        <v>31539</v>
      </c>
    </row>
    <row r="33" spans="1:64" ht="15" thickBot="1" x14ac:dyDescent="0.35">
      <c r="A33" s="15" t="s">
        <v>215</v>
      </c>
      <c r="B33" s="14" t="s">
        <v>217</v>
      </c>
      <c r="C33" s="13" t="s">
        <v>86</v>
      </c>
      <c r="D33" s="13" t="s">
        <v>86</v>
      </c>
      <c r="E33" s="13" t="s">
        <v>86</v>
      </c>
      <c r="F33" s="13" t="s">
        <v>86</v>
      </c>
      <c r="G33" s="12" t="s">
        <v>86</v>
      </c>
      <c r="H33" s="12" t="s">
        <v>86</v>
      </c>
      <c r="I33" s="12" t="s">
        <v>86</v>
      </c>
      <c r="J33" s="12" t="s">
        <v>86</v>
      </c>
      <c r="K33" s="13" t="s">
        <v>86</v>
      </c>
      <c r="L33" s="13" t="s">
        <v>86</v>
      </c>
      <c r="M33" s="13" t="s">
        <v>86</v>
      </c>
      <c r="N33" s="13" t="s">
        <v>86</v>
      </c>
      <c r="O33" s="12" t="s">
        <v>86</v>
      </c>
      <c r="P33" s="12" t="s">
        <v>86</v>
      </c>
      <c r="Q33" s="12" t="s">
        <v>86</v>
      </c>
      <c r="R33" s="12">
        <v>5632</v>
      </c>
      <c r="S33" s="13" t="s">
        <v>86</v>
      </c>
      <c r="T33" s="13">
        <v>5350</v>
      </c>
      <c r="U33" s="13">
        <v>5196</v>
      </c>
      <c r="V33" s="13">
        <v>5370</v>
      </c>
      <c r="W33" s="12">
        <v>5807</v>
      </c>
      <c r="X33" s="12">
        <v>6806</v>
      </c>
      <c r="Y33" s="12">
        <v>7790</v>
      </c>
      <c r="Z33" s="12">
        <v>7370</v>
      </c>
      <c r="AA33" s="13">
        <v>7325</v>
      </c>
      <c r="AB33" s="13">
        <v>7213</v>
      </c>
      <c r="AC33" s="13">
        <v>6110</v>
      </c>
      <c r="AD33" s="13">
        <v>6424</v>
      </c>
      <c r="AE33" s="12">
        <v>6613</v>
      </c>
      <c r="AF33" s="12">
        <v>6011</v>
      </c>
      <c r="AG33" s="12">
        <v>5972</v>
      </c>
      <c r="AH33" s="12">
        <v>5707</v>
      </c>
      <c r="AI33" s="13">
        <v>5272</v>
      </c>
      <c r="AJ33" s="13">
        <v>4475</v>
      </c>
      <c r="AK33" s="13">
        <v>4894</v>
      </c>
      <c r="AL33" s="13">
        <v>5656</v>
      </c>
      <c r="AM33" s="12">
        <v>6549</v>
      </c>
      <c r="AN33" s="12">
        <v>5244</v>
      </c>
      <c r="AO33" s="12">
        <v>5818</v>
      </c>
      <c r="AP33" s="12">
        <v>7128</v>
      </c>
      <c r="AQ33" s="13">
        <v>8592</v>
      </c>
      <c r="AR33" s="13">
        <v>6854</v>
      </c>
      <c r="AS33" s="13">
        <v>7899</v>
      </c>
      <c r="AT33" s="13">
        <v>8247</v>
      </c>
      <c r="AU33" s="12">
        <v>9267</v>
      </c>
      <c r="AV33" s="12">
        <v>7880</v>
      </c>
      <c r="AW33" s="12">
        <v>8620</v>
      </c>
      <c r="AX33" s="12">
        <v>10432</v>
      </c>
      <c r="AY33" s="13">
        <v>12447</v>
      </c>
      <c r="AZ33" s="13">
        <v>18957</v>
      </c>
      <c r="BA33" s="13">
        <v>13632</v>
      </c>
      <c r="BB33" s="13">
        <v>19595</v>
      </c>
      <c r="BC33" s="12">
        <v>19182</v>
      </c>
      <c r="BD33" s="12">
        <v>20634</v>
      </c>
      <c r="BE33" s="12">
        <v>20797</v>
      </c>
      <c r="BF33" s="12">
        <v>23185</v>
      </c>
      <c r="BG33" s="13">
        <v>23176</v>
      </c>
      <c r="BH33" s="13">
        <v>21909</v>
      </c>
      <c r="BI33" s="13">
        <v>25270</v>
      </c>
      <c r="BJ33" s="13">
        <v>22050</v>
      </c>
      <c r="BK33" s="12">
        <v>21259</v>
      </c>
      <c r="BL33" s="12">
        <v>21517</v>
      </c>
    </row>
    <row r="34" spans="1:64" ht="15" thickBot="1" x14ac:dyDescent="0.35">
      <c r="A34" s="15" t="s">
        <v>215</v>
      </c>
      <c r="B34" s="14" t="s">
        <v>216</v>
      </c>
      <c r="C34" s="13">
        <v>513</v>
      </c>
      <c r="D34" s="13">
        <v>489</v>
      </c>
      <c r="E34" s="13">
        <v>661</v>
      </c>
      <c r="F34" s="13">
        <v>988</v>
      </c>
      <c r="G34" s="12">
        <v>855</v>
      </c>
      <c r="H34" s="12">
        <v>1280</v>
      </c>
      <c r="I34" s="12">
        <v>1955</v>
      </c>
      <c r="J34" s="12">
        <v>2468</v>
      </c>
      <c r="K34" s="13">
        <v>2873</v>
      </c>
      <c r="L34" s="13">
        <v>4265</v>
      </c>
      <c r="M34" s="13">
        <v>4567</v>
      </c>
      <c r="N34" s="13">
        <v>5612</v>
      </c>
      <c r="O34" s="12">
        <v>4854</v>
      </c>
      <c r="P34" s="12">
        <v>6360</v>
      </c>
      <c r="Q34" s="12">
        <v>7039</v>
      </c>
      <c r="R34" s="12" t="s">
        <v>86</v>
      </c>
      <c r="S34" s="13">
        <v>6850</v>
      </c>
      <c r="T34" s="13" t="s">
        <v>86</v>
      </c>
      <c r="U34" s="13" t="s">
        <v>86</v>
      </c>
      <c r="V34" s="13" t="s">
        <v>86</v>
      </c>
      <c r="W34" s="12" t="s">
        <v>86</v>
      </c>
      <c r="X34" s="12" t="s">
        <v>86</v>
      </c>
      <c r="Y34" s="12" t="s">
        <v>86</v>
      </c>
      <c r="Z34" s="12" t="s">
        <v>86</v>
      </c>
      <c r="AA34" s="13" t="s">
        <v>86</v>
      </c>
      <c r="AB34" s="13" t="s">
        <v>86</v>
      </c>
      <c r="AC34" s="13" t="s">
        <v>86</v>
      </c>
      <c r="AD34" s="13" t="s">
        <v>86</v>
      </c>
      <c r="AE34" s="12" t="s">
        <v>86</v>
      </c>
      <c r="AF34" s="12" t="s">
        <v>86</v>
      </c>
      <c r="AG34" s="12" t="s">
        <v>86</v>
      </c>
      <c r="AH34" s="12" t="s">
        <v>86</v>
      </c>
      <c r="AI34" s="13" t="s">
        <v>86</v>
      </c>
      <c r="AJ34" s="13" t="s">
        <v>86</v>
      </c>
      <c r="AK34" s="13" t="s">
        <v>86</v>
      </c>
      <c r="AL34" s="13" t="s">
        <v>86</v>
      </c>
      <c r="AM34" s="12" t="s">
        <v>86</v>
      </c>
      <c r="AN34" s="12" t="s">
        <v>86</v>
      </c>
      <c r="AO34" s="12" t="s">
        <v>86</v>
      </c>
      <c r="AP34" s="12" t="s">
        <v>86</v>
      </c>
      <c r="AQ34" s="13" t="s">
        <v>86</v>
      </c>
      <c r="AR34" s="13" t="s">
        <v>86</v>
      </c>
      <c r="AS34" s="13" t="s">
        <v>86</v>
      </c>
      <c r="AT34" s="13" t="s">
        <v>86</v>
      </c>
      <c r="AU34" s="12" t="s">
        <v>86</v>
      </c>
      <c r="AV34" s="12" t="s">
        <v>86</v>
      </c>
      <c r="AW34" s="12" t="s">
        <v>86</v>
      </c>
      <c r="AX34" s="12" t="s">
        <v>86</v>
      </c>
      <c r="AY34" s="13" t="s">
        <v>86</v>
      </c>
      <c r="AZ34" s="13" t="s">
        <v>86</v>
      </c>
      <c r="BA34" s="13" t="s">
        <v>86</v>
      </c>
      <c r="BB34" s="13" t="s">
        <v>86</v>
      </c>
      <c r="BC34" s="12" t="s">
        <v>86</v>
      </c>
      <c r="BD34" s="12" t="s">
        <v>86</v>
      </c>
      <c r="BE34" s="12" t="s">
        <v>86</v>
      </c>
      <c r="BF34" s="12" t="s">
        <v>86</v>
      </c>
      <c r="BG34" s="13" t="s">
        <v>86</v>
      </c>
      <c r="BH34" s="13" t="s">
        <v>86</v>
      </c>
      <c r="BI34" s="13" t="s">
        <v>86</v>
      </c>
      <c r="BJ34" s="13" t="s">
        <v>86</v>
      </c>
      <c r="BK34" s="12" t="s">
        <v>86</v>
      </c>
      <c r="BL34" s="12" t="s">
        <v>86</v>
      </c>
    </row>
    <row r="35" spans="1:64" ht="15" thickBot="1" x14ac:dyDescent="0.35">
      <c r="A35" s="15" t="s">
        <v>215</v>
      </c>
      <c r="B35" s="14" t="s">
        <v>214</v>
      </c>
      <c r="C35" s="13">
        <v>534</v>
      </c>
      <c r="D35" s="13">
        <v>482</v>
      </c>
      <c r="E35" s="13">
        <v>533</v>
      </c>
      <c r="F35" s="13">
        <v>1054</v>
      </c>
      <c r="G35" s="12">
        <v>1099</v>
      </c>
      <c r="H35" s="12">
        <v>1387</v>
      </c>
      <c r="I35" s="12">
        <v>1900</v>
      </c>
      <c r="J35" s="12">
        <v>1979</v>
      </c>
      <c r="K35" s="13">
        <v>3154</v>
      </c>
      <c r="L35" s="13">
        <v>3889</v>
      </c>
      <c r="M35" s="13">
        <v>3980</v>
      </c>
      <c r="N35" s="13">
        <v>4109</v>
      </c>
      <c r="O35" s="12">
        <v>5478</v>
      </c>
      <c r="P35" s="12">
        <v>6091</v>
      </c>
      <c r="Q35" s="12">
        <v>6911</v>
      </c>
      <c r="R35" s="12" t="s">
        <v>86</v>
      </c>
      <c r="S35" s="13">
        <v>6036</v>
      </c>
      <c r="T35" s="13" t="s">
        <v>86</v>
      </c>
      <c r="U35" s="13" t="s">
        <v>86</v>
      </c>
      <c r="V35" s="13" t="s">
        <v>86</v>
      </c>
      <c r="W35" s="12" t="s">
        <v>86</v>
      </c>
      <c r="X35" s="12" t="s">
        <v>86</v>
      </c>
      <c r="Y35" s="12" t="s">
        <v>86</v>
      </c>
      <c r="Z35" s="12" t="s">
        <v>86</v>
      </c>
      <c r="AA35" s="13" t="s">
        <v>86</v>
      </c>
      <c r="AB35" s="13" t="s">
        <v>86</v>
      </c>
      <c r="AC35" s="13" t="s">
        <v>86</v>
      </c>
      <c r="AD35" s="13" t="s">
        <v>86</v>
      </c>
      <c r="AE35" s="12" t="s">
        <v>86</v>
      </c>
      <c r="AF35" s="12" t="s">
        <v>86</v>
      </c>
      <c r="AG35" s="12" t="s">
        <v>86</v>
      </c>
      <c r="AH35" s="12" t="s">
        <v>86</v>
      </c>
      <c r="AI35" s="13" t="s">
        <v>86</v>
      </c>
      <c r="AJ35" s="13" t="s">
        <v>86</v>
      </c>
      <c r="AK35" s="13" t="s">
        <v>86</v>
      </c>
      <c r="AL35" s="13" t="s">
        <v>86</v>
      </c>
      <c r="AM35" s="12" t="s">
        <v>86</v>
      </c>
      <c r="AN35" s="12" t="s">
        <v>86</v>
      </c>
      <c r="AO35" s="12" t="s">
        <v>86</v>
      </c>
      <c r="AP35" s="12" t="s">
        <v>86</v>
      </c>
      <c r="AQ35" s="13" t="s">
        <v>86</v>
      </c>
      <c r="AR35" s="13" t="s">
        <v>86</v>
      </c>
      <c r="AS35" s="13" t="s">
        <v>86</v>
      </c>
      <c r="AT35" s="13" t="s">
        <v>86</v>
      </c>
      <c r="AU35" s="12" t="s">
        <v>86</v>
      </c>
      <c r="AV35" s="12" t="s">
        <v>86</v>
      </c>
      <c r="AW35" s="12" t="s">
        <v>86</v>
      </c>
      <c r="AX35" s="12" t="s">
        <v>86</v>
      </c>
      <c r="AY35" s="13" t="s">
        <v>86</v>
      </c>
      <c r="AZ35" s="13" t="s">
        <v>86</v>
      </c>
      <c r="BA35" s="13" t="s">
        <v>86</v>
      </c>
      <c r="BB35" s="13" t="s">
        <v>86</v>
      </c>
      <c r="BC35" s="12" t="s">
        <v>86</v>
      </c>
      <c r="BD35" s="12" t="s">
        <v>86</v>
      </c>
      <c r="BE35" s="12" t="s">
        <v>86</v>
      </c>
      <c r="BF35" s="12" t="s">
        <v>86</v>
      </c>
      <c r="BG35" s="13" t="s">
        <v>86</v>
      </c>
      <c r="BH35" s="13" t="s">
        <v>86</v>
      </c>
      <c r="BI35" s="13" t="s">
        <v>86</v>
      </c>
      <c r="BJ35" s="13" t="s">
        <v>86</v>
      </c>
      <c r="BK35" s="12" t="s">
        <v>86</v>
      </c>
      <c r="BL35" s="12" t="s">
        <v>86</v>
      </c>
    </row>
    <row r="36" spans="1:64" ht="15" thickBot="1" x14ac:dyDescent="0.35">
      <c r="A36" s="15" t="s">
        <v>213</v>
      </c>
      <c r="B36" s="14" t="s">
        <v>212</v>
      </c>
      <c r="C36" s="13">
        <v>5471</v>
      </c>
      <c r="D36" s="13">
        <v>6757</v>
      </c>
      <c r="E36" s="13">
        <v>9124</v>
      </c>
      <c r="F36" s="13">
        <v>15536</v>
      </c>
      <c r="G36" s="12">
        <v>15320</v>
      </c>
      <c r="H36" s="12">
        <v>15291</v>
      </c>
      <c r="I36" s="12">
        <v>24473</v>
      </c>
      <c r="J36" s="12">
        <v>27294</v>
      </c>
      <c r="K36" s="13">
        <v>27026</v>
      </c>
      <c r="L36" s="13">
        <v>39082</v>
      </c>
      <c r="M36" s="13">
        <v>51163</v>
      </c>
      <c r="N36" s="13">
        <v>60964</v>
      </c>
      <c r="O36" s="12">
        <v>51880</v>
      </c>
      <c r="P36" s="12">
        <v>63202</v>
      </c>
      <c r="Q36" s="12">
        <v>69010</v>
      </c>
      <c r="R36" s="12">
        <v>63747</v>
      </c>
      <c r="S36" s="13">
        <v>55288</v>
      </c>
      <c r="T36" s="13">
        <v>63658</v>
      </c>
      <c r="U36" s="13">
        <v>67391</v>
      </c>
      <c r="V36" s="13">
        <v>68667</v>
      </c>
      <c r="W36" s="12">
        <v>63365</v>
      </c>
      <c r="X36" s="12">
        <v>84492</v>
      </c>
      <c r="Y36" s="12">
        <v>97220</v>
      </c>
      <c r="Z36" s="12">
        <v>103256</v>
      </c>
      <c r="AA36" s="13">
        <v>92201</v>
      </c>
      <c r="AB36" s="13">
        <v>102462</v>
      </c>
      <c r="AC36" s="13">
        <v>101095</v>
      </c>
      <c r="AD36" s="13">
        <v>80800</v>
      </c>
      <c r="AE36" s="12">
        <v>83209</v>
      </c>
      <c r="AF36" s="12">
        <v>94973</v>
      </c>
      <c r="AG36" s="12">
        <v>106415</v>
      </c>
      <c r="AH36" s="12">
        <v>100694</v>
      </c>
      <c r="AI36" s="13">
        <v>76846</v>
      </c>
      <c r="AJ36" s="13">
        <v>83951</v>
      </c>
      <c r="AK36" s="13">
        <v>82939</v>
      </c>
      <c r="AL36" s="13">
        <v>81806</v>
      </c>
      <c r="AM36" s="12">
        <v>72447</v>
      </c>
      <c r="AN36" s="12">
        <v>76454</v>
      </c>
      <c r="AO36" s="12">
        <v>78376</v>
      </c>
      <c r="AP36" s="12">
        <v>87286</v>
      </c>
      <c r="AQ36" s="13">
        <v>93016</v>
      </c>
      <c r="AR36" s="13">
        <v>116647</v>
      </c>
      <c r="AS36" s="13">
        <v>146351</v>
      </c>
      <c r="AT36" s="13">
        <v>165590</v>
      </c>
      <c r="AU36" s="12">
        <v>160833</v>
      </c>
      <c r="AV36" s="12">
        <v>114684</v>
      </c>
      <c r="AW36" s="12">
        <v>126744</v>
      </c>
      <c r="AX36" s="12">
        <v>185725</v>
      </c>
      <c r="AY36" s="13">
        <v>296737</v>
      </c>
      <c r="AZ36" s="13">
        <v>256670</v>
      </c>
      <c r="BA36" s="13">
        <v>314168</v>
      </c>
      <c r="BB36" s="13">
        <v>355139</v>
      </c>
      <c r="BC36" s="12">
        <v>379468</v>
      </c>
      <c r="BD36" s="12">
        <v>436160</v>
      </c>
      <c r="BE36" s="12">
        <v>499272</v>
      </c>
      <c r="BF36" s="12">
        <v>567692</v>
      </c>
      <c r="BG36" s="13">
        <v>558353</v>
      </c>
      <c r="BH36" s="13">
        <v>540798</v>
      </c>
      <c r="BI36" s="13">
        <v>433093</v>
      </c>
      <c r="BJ36" s="13">
        <v>312801</v>
      </c>
      <c r="BK36" s="12">
        <v>292438</v>
      </c>
      <c r="BL36" s="12">
        <v>301659</v>
      </c>
    </row>
    <row r="37" spans="1:64" ht="15" thickBot="1" x14ac:dyDescent="0.3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</row>
    <row r="38" spans="1:64" ht="15" thickBot="1" x14ac:dyDescent="0.35">
      <c r="A38" s="15" t="s">
        <v>210</v>
      </c>
      <c r="B38" s="14" t="s">
        <v>211</v>
      </c>
      <c r="C38" s="13" t="s">
        <v>86</v>
      </c>
      <c r="D38" s="13" t="s">
        <v>86</v>
      </c>
      <c r="E38" s="13" t="s">
        <v>86</v>
      </c>
      <c r="F38" s="13" t="s">
        <v>86</v>
      </c>
      <c r="G38" s="12" t="s">
        <v>86</v>
      </c>
      <c r="H38" s="12" t="s">
        <v>86</v>
      </c>
      <c r="I38" s="12" t="s">
        <v>86</v>
      </c>
      <c r="J38" s="12" t="s">
        <v>86</v>
      </c>
      <c r="K38" s="13" t="s">
        <v>86</v>
      </c>
      <c r="L38" s="13" t="s">
        <v>86</v>
      </c>
      <c r="M38" s="13" t="s">
        <v>86</v>
      </c>
      <c r="N38" s="13" t="s">
        <v>86</v>
      </c>
      <c r="O38" s="12" t="s">
        <v>86</v>
      </c>
      <c r="P38" s="12" t="s">
        <v>86</v>
      </c>
      <c r="Q38" s="12" t="s">
        <v>86</v>
      </c>
      <c r="R38" s="12" t="s">
        <v>86</v>
      </c>
      <c r="S38" s="13" t="s">
        <v>86</v>
      </c>
      <c r="T38" s="13" t="s">
        <v>86</v>
      </c>
      <c r="U38" s="13" t="s">
        <v>86</v>
      </c>
      <c r="V38" s="13" t="s">
        <v>86</v>
      </c>
      <c r="W38" s="12" t="s">
        <v>86</v>
      </c>
      <c r="X38" s="12" t="s">
        <v>86</v>
      </c>
      <c r="Y38" s="12" t="s">
        <v>86</v>
      </c>
      <c r="Z38" s="12" t="s">
        <v>86</v>
      </c>
      <c r="AA38" s="13" t="s">
        <v>86</v>
      </c>
      <c r="AB38" s="13" t="s">
        <v>86</v>
      </c>
      <c r="AC38" s="13" t="s">
        <v>86</v>
      </c>
      <c r="AD38" s="13" t="s">
        <v>86</v>
      </c>
      <c r="AE38" s="12" t="s">
        <v>86</v>
      </c>
      <c r="AF38" s="12" t="s">
        <v>86</v>
      </c>
      <c r="AG38" s="12" t="s">
        <v>86</v>
      </c>
      <c r="AH38" s="12" t="s">
        <v>86</v>
      </c>
      <c r="AI38" s="13" t="s">
        <v>86</v>
      </c>
      <c r="AJ38" s="13" t="s">
        <v>86</v>
      </c>
      <c r="AK38" s="13" t="s">
        <v>86</v>
      </c>
      <c r="AL38" s="13" t="s">
        <v>86</v>
      </c>
      <c r="AM38" s="12" t="s">
        <v>86</v>
      </c>
      <c r="AN38" s="12" t="s">
        <v>86</v>
      </c>
      <c r="AO38" s="12" t="s">
        <v>86</v>
      </c>
      <c r="AP38" s="12" t="s">
        <v>86</v>
      </c>
      <c r="AQ38" s="13" t="s">
        <v>86</v>
      </c>
      <c r="AR38" s="13" t="s">
        <v>86</v>
      </c>
      <c r="AS38" s="13" t="s">
        <v>86</v>
      </c>
      <c r="AT38" s="13" t="s">
        <v>86</v>
      </c>
      <c r="AU38" s="12" t="s">
        <v>86</v>
      </c>
      <c r="AV38" s="12" t="s">
        <v>86</v>
      </c>
      <c r="AW38" s="12" t="s">
        <v>86</v>
      </c>
      <c r="AX38" s="12" t="s">
        <v>86</v>
      </c>
      <c r="AY38" s="13" t="s">
        <v>86</v>
      </c>
      <c r="AZ38" s="13" t="s">
        <v>86</v>
      </c>
      <c r="BA38" s="13" t="s">
        <v>86</v>
      </c>
      <c r="BB38" s="13" t="s">
        <v>86</v>
      </c>
      <c r="BC38" s="12">
        <v>-1116</v>
      </c>
      <c r="BD38" s="12">
        <v>987</v>
      </c>
      <c r="BE38" s="12">
        <v>519</v>
      </c>
      <c r="BF38" s="12">
        <v>345</v>
      </c>
      <c r="BG38" s="13">
        <v>1744</v>
      </c>
      <c r="BH38" s="13">
        <v>1754</v>
      </c>
      <c r="BI38" s="13">
        <v>1910</v>
      </c>
      <c r="BJ38" s="13">
        <v>2670</v>
      </c>
      <c r="BK38" s="12">
        <v>942</v>
      </c>
      <c r="BL38" s="12">
        <v>-1931</v>
      </c>
    </row>
    <row r="39" spans="1:64" ht="15" thickBot="1" x14ac:dyDescent="0.35">
      <c r="A39" s="15" t="s">
        <v>210</v>
      </c>
      <c r="B39" s="14" t="s">
        <v>209</v>
      </c>
      <c r="C39" s="13" t="s">
        <v>86</v>
      </c>
      <c r="D39" s="13" t="s">
        <v>86</v>
      </c>
      <c r="E39" s="13" t="s">
        <v>86</v>
      </c>
      <c r="F39" s="13" t="s">
        <v>86</v>
      </c>
      <c r="G39" s="12" t="s">
        <v>86</v>
      </c>
      <c r="H39" s="12" t="s">
        <v>86</v>
      </c>
      <c r="I39" s="12" t="s">
        <v>86</v>
      </c>
      <c r="J39" s="12" t="s">
        <v>86</v>
      </c>
      <c r="K39" s="13" t="s">
        <v>86</v>
      </c>
      <c r="L39" s="13" t="s">
        <v>86</v>
      </c>
      <c r="M39" s="13" t="s">
        <v>86</v>
      </c>
      <c r="N39" s="13" t="s">
        <v>86</v>
      </c>
      <c r="O39" s="12" t="s">
        <v>86</v>
      </c>
      <c r="P39" s="12" t="s">
        <v>86</v>
      </c>
      <c r="Q39" s="12" t="s">
        <v>86</v>
      </c>
      <c r="R39" s="12" t="s">
        <v>86</v>
      </c>
      <c r="S39" s="13" t="s">
        <v>86</v>
      </c>
      <c r="T39" s="13" t="s">
        <v>86</v>
      </c>
      <c r="U39" s="13" t="s">
        <v>86</v>
      </c>
      <c r="V39" s="13" t="s">
        <v>86</v>
      </c>
      <c r="W39" s="12" t="s">
        <v>86</v>
      </c>
      <c r="X39" s="12" t="s">
        <v>86</v>
      </c>
      <c r="Y39" s="12" t="s">
        <v>86</v>
      </c>
      <c r="Z39" s="12" t="s">
        <v>86</v>
      </c>
      <c r="AA39" s="13" t="s">
        <v>86</v>
      </c>
      <c r="AB39" s="13" t="s">
        <v>86</v>
      </c>
      <c r="AC39" s="13" t="s">
        <v>86</v>
      </c>
      <c r="AD39" s="13" t="s">
        <v>86</v>
      </c>
      <c r="AE39" s="12" t="s">
        <v>86</v>
      </c>
      <c r="AF39" s="12" t="s">
        <v>86</v>
      </c>
      <c r="AG39" s="12" t="s">
        <v>86</v>
      </c>
      <c r="AH39" s="12" t="s">
        <v>86</v>
      </c>
      <c r="AI39" s="13" t="s">
        <v>86</v>
      </c>
      <c r="AJ39" s="13" t="s">
        <v>86</v>
      </c>
      <c r="AK39" s="13" t="s">
        <v>86</v>
      </c>
      <c r="AL39" s="13" t="s">
        <v>86</v>
      </c>
      <c r="AM39" s="12" t="s">
        <v>86</v>
      </c>
      <c r="AN39" s="12" t="s">
        <v>86</v>
      </c>
      <c r="AO39" s="12" t="s">
        <v>86</v>
      </c>
      <c r="AP39" s="12" t="s">
        <v>86</v>
      </c>
      <c r="AQ39" s="13" t="s">
        <v>86</v>
      </c>
      <c r="AR39" s="13" t="s">
        <v>86</v>
      </c>
      <c r="AS39" s="13" t="s">
        <v>86</v>
      </c>
      <c r="AT39" s="13" t="s">
        <v>86</v>
      </c>
      <c r="AU39" s="12">
        <v>15344</v>
      </c>
      <c r="AV39" s="12">
        <v>-59692</v>
      </c>
      <c r="AW39" s="12">
        <v>0</v>
      </c>
      <c r="AX39" s="12">
        <v>0</v>
      </c>
      <c r="AY39" s="13">
        <v>0</v>
      </c>
      <c r="AZ39" s="13">
        <v>0</v>
      </c>
      <c r="BA39" s="13">
        <v>0</v>
      </c>
      <c r="BB39" s="13">
        <v>0</v>
      </c>
      <c r="BC39" s="12" t="s">
        <v>86</v>
      </c>
      <c r="BD39" s="12" t="s">
        <v>86</v>
      </c>
      <c r="BE39" s="12" t="s">
        <v>86</v>
      </c>
      <c r="BF39" s="12">
        <v>0</v>
      </c>
      <c r="BG39" s="13" t="s">
        <v>86</v>
      </c>
      <c r="BH39" s="13" t="s">
        <v>86</v>
      </c>
      <c r="BI39" s="13" t="s">
        <v>86</v>
      </c>
      <c r="BJ39" s="13" t="s">
        <v>86</v>
      </c>
      <c r="BK39" s="12" t="s">
        <v>86</v>
      </c>
      <c r="BL39" s="12" t="s">
        <v>86</v>
      </c>
    </row>
    <row r="40" spans="1:64" ht="15" thickBot="1" x14ac:dyDescent="0.35">
      <c r="A40" s="15" t="s">
        <v>208</v>
      </c>
      <c r="B40" s="14" t="s">
        <v>207</v>
      </c>
      <c r="C40" s="13" t="s">
        <v>86</v>
      </c>
      <c r="D40" s="13" t="s">
        <v>86</v>
      </c>
      <c r="E40" s="13" t="s">
        <v>86</v>
      </c>
      <c r="F40" s="13" t="s">
        <v>86</v>
      </c>
      <c r="G40" s="12">
        <v>10</v>
      </c>
      <c r="H40" s="12" t="s">
        <v>86</v>
      </c>
      <c r="I40" s="12" t="s">
        <v>86</v>
      </c>
      <c r="J40" s="12" t="s">
        <v>86</v>
      </c>
      <c r="K40" s="13">
        <v>4</v>
      </c>
      <c r="L40" s="13">
        <v>0</v>
      </c>
      <c r="M40" s="13">
        <v>0</v>
      </c>
      <c r="N40" s="13">
        <v>0</v>
      </c>
      <c r="O40" s="12">
        <v>0</v>
      </c>
      <c r="P40" s="12">
        <v>14</v>
      </c>
      <c r="Q40" s="12">
        <v>3</v>
      </c>
      <c r="R40" s="12">
        <v>0</v>
      </c>
      <c r="S40" s="13" t="s">
        <v>86</v>
      </c>
      <c r="T40" s="13" t="s">
        <v>86</v>
      </c>
      <c r="U40" s="13" t="s">
        <v>86</v>
      </c>
      <c r="V40" s="13" t="s">
        <v>86</v>
      </c>
      <c r="W40" s="12" t="s">
        <v>86</v>
      </c>
      <c r="X40" s="12" t="s">
        <v>86</v>
      </c>
      <c r="Y40" s="12" t="s">
        <v>86</v>
      </c>
      <c r="Z40" s="12" t="s">
        <v>86</v>
      </c>
      <c r="AA40" s="13" t="s">
        <v>86</v>
      </c>
      <c r="AB40" s="13" t="s">
        <v>86</v>
      </c>
      <c r="AC40" s="13" t="s">
        <v>86</v>
      </c>
      <c r="AD40" s="13" t="s">
        <v>86</v>
      </c>
      <c r="AE40" s="12" t="s">
        <v>86</v>
      </c>
      <c r="AF40" s="12" t="s">
        <v>86</v>
      </c>
      <c r="AG40" s="12" t="s">
        <v>86</v>
      </c>
      <c r="AH40" s="12" t="s">
        <v>86</v>
      </c>
      <c r="AI40" s="13" t="s">
        <v>86</v>
      </c>
      <c r="AJ40" s="13" t="s">
        <v>86</v>
      </c>
      <c r="AK40" s="13" t="s">
        <v>86</v>
      </c>
      <c r="AL40" s="13" t="s">
        <v>86</v>
      </c>
      <c r="AM40" s="12" t="s">
        <v>86</v>
      </c>
      <c r="AN40" s="12" t="s">
        <v>86</v>
      </c>
      <c r="AO40" s="12" t="s">
        <v>86</v>
      </c>
      <c r="AP40" s="12">
        <v>1058</v>
      </c>
      <c r="AQ40" s="13" t="s">
        <v>86</v>
      </c>
      <c r="AR40" s="13">
        <v>593</v>
      </c>
      <c r="AS40" s="13">
        <v>894</v>
      </c>
      <c r="AT40" s="13">
        <v>815</v>
      </c>
      <c r="AU40" s="12">
        <v>1091</v>
      </c>
      <c r="AV40" s="12">
        <v>282</v>
      </c>
      <c r="AW40" s="12">
        <v>110</v>
      </c>
      <c r="AX40" s="12">
        <v>673</v>
      </c>
      <c r="AY40" s="13">
        <v>73</v>
      </c>
      <c r="AZ40" s="13">
        <v>98</v>
      </c>
      <c r="BA40" s="13">
        <v>110</v>
      </c>
      <c r="BB40" s="13">
        <v>414</v>
      </c>
      <c r="BC40" s="12">
        <v>460</v>
      </c>
      <c r="BD40" s="12">
        <v>796</v>
      </c>
      <c r="BE40" s="12">
        <v>3680</v>
      </c>
      <c r="BF40" s="12">
        <v>8720</v>
      </c>
      <c r="BG40" s="13">
        <v>13040</v>
      </c>
      <c r="BH40" s="13">
        <v>16526</v>
      </c>
      <c r="BI40" s="13">
        <v>19669</v>
      </c>
      <c r="BJ40" s="13">
        <v>20493</v>
      </c>
      <c r="BK40" s="12">
        <v>19709</v>
      </c>
      <c r="BL40" s="12">
        <v>19203</v>
      </c>
    </row>
    <row r="41" spans="1:64" ht="15" thickBot="1" x14ac:dyDescent="0.35">
      <c r="A41" s="15" t="s">
        <v>206</v>
      </c>
      <c r="B41" s="14" t="s">
        <v>135</v>
      </c>
      <c r="C41" s="13" t="s">
        <v>86</v>
      </c>
      <c r="D41" s="13" t="s">
        <v>86</v>
      </c>
      <c r="E41" s="13" t="s">
        <v>86</v>
      </c>
      <c r="F41" s="13" t="s">
        <v>86</v>
      </c>
      <c r="G41" s="12">
        <v>-75</v>
      </c>
      <c r="H41" s="12" t="s">
        <v>86</v>
      </c>
      <c r="I41" s="12" t="s">
        <v>86</v>
      </c>
      <c r="J41" s="12" t="s">
        <v>86</v>
      </c>
      <c r="K41" s="13">
        <v>-280</v>
      </c>
      <c r="L41" s="13">
        <v>-460</v>
      </c>
      <c r="M41" s="13">
        <v>-886</v>
      </c>
      <c r="N41" s="13">
        <v>-1380</v>
      </c>
      <c r="O41" s="12">
        <v>-1479</v>
      </c>
      <c r="P41" s="12">
        <v>-3405</v>
      </c>
      <c r="Q41" s="12">
        <v>-527</v>
      </c>
      <c r="R41" s="12">
        <v>-1025</v>
      </c>
      <c r="S41" s="13">
        <v>-464</v>
      </c>
      <c r="T41" s="13">
        <v>-484</v>
      </c>
      <c r="U41" s="13">
        <v>-437</v>
      </c>
      <c r="V41" s="13">
        <v>-670</v>
      </c>
      <c r="W41" s="12">
        <v>-449</v>
      </c>
      <c r="X41" s="12">
        <v>-486</v>
      </c>
      <c r="Y41" s="12">
        <v>-356</v>
      </c>
      <c r="Z41" s="12">
        <v>-572</v>
      </c>
      <c r="AA41" s="13">
        <v>-78</v>
      </c>
      <c r="AB41" s="13">
        <v>-87</v>
      </c>
      <c r="AC41" s="13">
        <v>-140</v>
      </c>
      <c r="AD41" s="13">
        <v>-196</v>
      </c>
      <c r="AE41" s="12">
        <v>-152</v>
      </c>
      <c r="AF41" s="12">
        <v>-212</v>
      </c>
      <c r="AG41" s="12">
        <v>-1234</v>
      </c>
      <c r="AH41" s="12">
        <v>-1175</v>
      </c>
      <c r="AI41" s="13">
        <v>-2139</v>
      </c>
      <c r="AJ41" s="13">
        <v>-2080</v>
      </c>
      <c r="AK41" s="13">
        <v>-1760</v>
      </c>
      <c r="AL41" s="13">
        <v>-1957</v>
      </c>
      <c r="AM41" s="12">
        <v>-2292</v>
      </c>
      <c r="AN41" s="12">
        <v>-2269</v>
      </c>
      <c r="AO41" s="12">
        <v>-2469</v>
      </c>
      <c r="AP41" s="12">
        <v>-3662</v>
      </c>
      <c r="AQ41" s="13">
        <v>-3540</v>
      </c>
      <c r="AR41" s="13">
        <v>-1351</v>
      </c>
      <c r="AS41" s="13">
        <v>-2286</v>
      </c>
      <c r="AT41" s="13">
        <v>-2303</v>
      </c>
      <c r="AU41" s="12">
        <v>-3155</v>
      </c>
      <c r="AV41" s="12">
        <v>-5952</v>
      </c>
      <c r="AW41" s="12">
        <v>-5993</v>
      </c>
      <c r="AX41" s="12">
        <v>-5901</v>
      </c>
      <c r="AY41" s="13">
        <v>-7329</v>
      </c>
      <c r="AZ41" s="13">
        <v>-12506</v>
      </c>
      <c r="BA41" s="13">
        <v>-12628</v>
      </c>
      <c r="BB41" s="13">
        <v>-12689</v>
      </c>
      <c r="BC41" s="12">
        <v>-2736</v>
      </c>
      <c r="BD41" s="12">
        <v>-2168</v>
      </c>
      <c r="BE41" s="12">
        <v>-2255</v>
      </c>
      <c r="BF41" s="12">
        <v>-2279</v>
      </c>
      <c r="BG41" s="13">
        <v>-2156</v>
      </c>
      <c r="BH41" s="13">
        <v>-2219</v>
      </c>
      <c r="BI41" s="13">
        <v>-2196</v>
      </c>
      <c r="BJ41" s="13">
        <v>-2268</v>
      </c>
      <c r="BK41" s="12">
        <v>-2196</v>
      </c>
      <c r="BL41" s="12">
        <v>-2220</v>
      </c>
    </row>
    <row r="42" spans="1:64" ht="15" thickBot="1" x14ac:dyDescent="0.35">
      <c r="A42" s="15" t="s">
        <v>204</v>
      </c>
      <c r="B42" s="14" t="s">
        <v>205</v>
      </c>
      <c r="C42" s="13" t="s">
        <v>86</v>
      </c>
      <c r="D42" s="13" t="s">
        <v>86</v>
      </c>
      <c r="E42" s="13" t="s">
        <v>86</v>
      </c>
      <c r="F42" s="13" t="s">
        <v>86</v>
      </c>
      <c r="G42" s="12" t="s">
        <v>86</v>
      </c>
      <c r="H42" s="12" t="s">
        <v>86</v>
      </c>
      <c r="I42" s="12" t="s">
        <v>86</v>
      </c>
      <c r="J42" s="12" t="s">
        <v>86</v>
      </c>
      <c r="K42" s="13" t="s">
        <v>86</v>
      </c>
      <c r="L42" s="13" t="s">
        <v>86</v>
      </c>
      <c r="M42" s="13" t="s">
        <v>86</v>
      </c>
      <c r="N42" s="13" t="s">
        <v>86</v>
      </c>
      <c r="O42" s="12" t="s">
        <v>86</v>
      </c>
      <c r="P42" s="12" t="s">
        <v>86</v>
      </c>
      <c r="Q42" s="12" t="s">
        <v>86</v>
      </c>
      <c r="R42" s="12" t="s">
        <v>86</v>
      </c>
      <c r="S42" s="13" t="s">
        <v>86</v>
      </c>
      <c r="T42" s="13" t="s">
        <v>86</v>
      </c>
      <c r="U42" s="13" t="s">
        <v>86</v>
      </c>
      <c r="V42" s="13" t="s">
        <v>86</v>
      </c>
      <c r="W42" s="12" t="s">
        <v>86</v>
      </c>
      <c r="X42" s="12" t="s">
        <v>86</v>
      </c>
      <c r="Y42" s="12" t="s">
        <v>86</v>
      </c>
      <c r="Z42" s="12" t="s">
        <v>86</v>
      </c>
      <c r="AA42" s="13" t="s">
        <v>86</v>
      </c>
      <c r="AB42" s="13" t="s">
        <v>86</v>
      </c>
      <c r="AC42" s="13" t="s">
        <v>86</v>
      </c>
      <c r="AD42" s="13" t="s">
        <v>86</v>
      </c>
      <c r="AE42" s="12" t="s">
        <v>86</v>
      </c>
      <c r="AF42" s="12" t="s">
        <v>86</v>
      </c>
      <c r="AG42" s="12" t="s">
        <v>86</v>
      </c>
      <c r="AH42" s="12" t="s">
        <v>86</v>
      </c>
      <c r="AI42" s="13" t="s">
        <v>86</v>
      </c>
      <c r="AJ42" s="13" t="s">
        <v>86</v>
      </c>
      <c r="AK42" s="13" t="s">
        <v>86</v>
      </c>
      <c r="AL42" s="13" t="s">
        <v>86</v>
      </c>
      <c r="AM42" s="12" t="s">
        <v>86</v>
      </c>
      <c r="AN42" s="12" t="s">
        <v>86</v>
      </c>
      <c r="AO42" s="12" t="s">
        <v>86</v>
      </c>
      <c r="AP42" s="12" t="s">
        <v>86</v>
      </c>
      <c r="AQ42" s="13" t="s">
        <v>86</v>
      </c>
      <c r="AR42" s="13" t="s">
        <v>86</v>
      </c>
      <c r="AS42" s="13" t="s">
        <v>86</v>
      </c>
      <c r="AT42" s="13" t="s">
        <v>86</v>
      </c>
      <c r="AU42" s="12" t="s">
        <v>86</v>
      </c>
      <c r="AV42" s="12" t="s">
        <v>86</v>
      </c>
      <c r="AW42" s="12" t="s">
        <v>86</v>
      </c>
      <c r="AX42" s="12" t="s">
        <v>86</v>
      </c>
      <c r="AY42" s="13" t="s">
        <v>86</v>
      </c>
      <c r="AZ42" s="13" t="s">
        <v>86</v>
      </c>
      <c r="BA42" s="13" t="s">
        <v>86</v>
      </c>
      <c r="BB42" s="13" t="s">
        <v>86</v>
      </c>
      <c r="BC42" s="12">
        <v>-1025</v>
      </c>
      <c r="BD42" s="12">
        <v>-1443</v>
      </c>
      <c r="BE42" s="12">
        <v>-3130</v>
      </c>
      <c r="BF42" s="12">
        <v>4432</v>
      </c>
      <c r="BG42" s="13">
        <v>-1318</v>
      </c>
      <c r="BH42" s="13">
        <v>-1787</v>
      </c>
      <c r="BI42" s="13">
        <v>-27</v>
      </c>
      <c r="BJ42" s="13">
        <v>1563</v>
      </c>
      <c r="BK42" s="12">
        <v>-855</v>
      </c>
      <c r="BL42" s="12">
        <v>-5635</v>
      </c>
    </row>
    <row r="43" spans="1:64" ht="15" thickBot="1" x14ac:dyDescent="0.35">
      <c r="A43" s="15" t="s">
        <v>204</v>
      </c>
      <c r="B43" s="14" t="s">
        <v>203</v>
      </c>
      <c r="C43" s="13">
        <v>-9</v>
      </c>
      <c r="D43" s="13">
        <v>-250</v>
      </c>
      <c r="E43" s="13">
        <v>28</v>
      </c>
      <c r="F43" s="13">
        <v>0</v>
      </c>
      <c r="G43" s="12">
        <v>-1</v>
      </c>
      <c r="H43" s="12">
        <v>-329</v>
      </c>
      <c r="I43" s="12">
        <v>-458</v>
      </c>
      <c r="J43" s="12">
        <v>-207</v>
      </c>
      <c r="K43" s="13">
        <v>-56</v>
      </c>
      <c r="L43" s="13">
        <v>-338</v>
      </c>
      <c r="M43" s="13">
        <v>145</v>
      </c>
      <c r="N43" s="13">
        <v>-327</v>
      </c>
      <c r="O43" s="12">
        <v>640</v>
      </c>
      <c r="P43" s="12">
        <v>-338</v>
      </c>
      <c r="Q43" s="12">
        <v>-56</v>
      </c>
      <c r="R43" s="12">
        <v>-233</v>
      </c>
      <c r="S43" s="13">
        <v>-49</v>
      </c>
      <c r="T43" s="13">
        <v>-297</v>
      </c>
      <c r="U43" s="13">
        <v>-378</v>
      </c>
      <c r="V43" s="13">
        <v>-113</v>
      </c>
      <c r="W43" s="12">
        <v>107</v>
      </c>
      <c r="X43" s="12">
        <v>58</v>
      </c>
      <c r="Y43" s="12">
        <v>-597</v>
      </c>
      <c r="Z43" s="12">
        <v>-562</v>
      </c>
      <c r="AA43" s="13">
        <v>-527</v>
      </c>
      <c r="AB43" s="13">
        <v>79</v>
      </c>
      <c r="AC43" s="13">
        <v>-704</v>
      </c>
      <c r="AD43" s="13">
        <v>259</v>
      </c>
      <c r="AE43" s="12">
        <v>681</v>
      </c>
      <c r="AF43" s="12">
        <v>-379</v>
      </c>
      <c r="AG43" s="12">
        <v>353</v>
      </c>
      <c r="AH43" s="12">
        <v>-1169</v>
      </c>
      <c r="AI43" s="13">
        <v>1060</v>
      </c>
      <c r="AJ43" s="13">
        <v>88</v>
      </c>
      <c r="AK43" s="13">
        <v>623</v>
      </c>
      <c r="AL43" s="13">
        <v>202</v>
      </c>
      <c r="AM43" s="12">
        <v>-126</v>
      </c>
      <c r="AN43" s="12">
        <v>-572</v>
      </c>
      <c r="AO43" s="12">
        <v>-379</v>
      </c>
      <c r="AP43" s="12">
        <v>-1113</v>
      </c>
      <c r="AQ43" s="13">
        <v>-481</v>
      </c>
      <c r="AR43" s="13">
        <v>-5480</v>
      </c>
      <c r="AS43" s="13">
        <v>-943</v>
      </c>
      <c r="AT43" s="13">
        <v>1467</v>
      </c>
      <c r="AU43" s="12">
        <v>-924</v>
      </c>
      <c r="AV43" s="12">
        <v>653</v>
      </c>
      <c r="AW43" s="12">
        <v>-1031</v>
      </c>
      <c r="AX43" s="12">
        <v>-2534</v>
      </c>
      <c r="AY43" s="13">
        <v>573</v>
      </c>
      <c r="AZ43" s="13">
        <v>-633</v>
      </c>
      <c r="BA43" s="13">
        <v>874</v>
      </c>
      <c r="BB43" s="13">
        <v>5236</v>
      </c>
      <c r="BC43" s="12" t="s">
        <v>86</v>
      </c>
      <c r="BD43" s="12" t="s">
        <v>86</v>
      </c>
      <c r="BE43" s="12" t="s">
        <v>86</v>
      </c>
      <c r="BF43" s="12" t="s">
        <v>86</v>
      </c>
      <c r="BG43" s="13" t="s">
        <v>86</v>
      </c>
      <c r="BH43" s="13" t="s">
        <v>86</v>
      </c>
      <c r="BI43" s="13" t="s">
        <v>86</v>
      </c>
      <c r="BJ43" s="13" t="s">
        <v>86</v>
      </c>
      <c r="BK43" s="12" t="s">
        <v>86</v>
      </c>
      <c r="BL43" s="12" t="s">
        <v>86</v>
      </c>
    </row>
    <row r="44" spans="1:64" ht="15" thickBot="1" x14ac:dyDescent="0.35">
      <c r="A44" s="15" t="s">
        <v>202</v>
      </c>
      <c r="B44" s="14" t="s">
        <v>201</v>
      </c>
      <c r="C44" s="13">
        <v>-4321</v>
      </c>
      <c r="D44" s="13">
        <v>-5382</v>
      </c>
      <c r="E44" s="13">
        <v>-3689</v>
      </c>
      <c r="F44" s="13">
        <v>-3533</v>
      </c>
      <c r="G44" s="12">
        <v>-3799</v>
      </c>
      <c r="H44" s="12">
        <v>-4851</v>
      </c>
      <c r="I44" s="12">
        <v>-6241</v>
      </c>
      <c r="J44" s="12">
        <v>-6886</v>
      </c>
      <c r="K44" s="13">
        <v>-9289</v>
      </c>
      <c r="L44" s="13">
        <v>-10288</v>
      </c>
      <c r="M44" s="13">
        <v>-7176</v>
      </c>
      <c r="N44" s="13">
        <v>-5537</v>
      </c>
      <c r="O44" s="12">
        <v>-10119</v>
      </c>
      <c r="P44" s="12">
        <v>-11234</v>
      </c>
      <c r="Q44" s="12">
        <v>-8777</v>
      </c>
      <c r="R44" s="12">
        <v>-7437</v>
      </c>
      <c r="S44" s="13">
        <v>-10224</v>
      </c>
      <c r="T44" s="13">
        <v>-6272</v>
      </c>
      <c r="U44" s="13">
        <v>-6160</v>
      </c>
      <c r="V44" s="13">
        <v>-2394</v>
      </c>
      <c r="W44" s="12">
        <v>-6127</v>
      </c>
      <c r="X44" s="12">
        <v>-2916</v>
      </c>
      <c r="Y44" s="12">
        <v>940</v>
      </c>
      <c r="Z44" s="12">
        <v>817</v>
      </c>
      <c r="AA44" s="13">
        <v>-6153</v>
      </c>
      <c r="AB44" s="13">
        <v>-377</v>
      </c>
      <c r="AC44" s="13">
        <v>935</v>
      </c>
      <c r="AD44" s="13">
        <v>-15108</v>
      </c>
      <c r="AE44" s="12">
        <v>-18559</v>
      </c>
      <c r="AF44" s="12">
        <v>-16379</v>
      </c>
      <c r="AG44" s="12">
        <v>-18612</v>
      </c>
      <c r="AH44" s="12">
        <v>-12437</v>
      </c>
      <c r="AI44" s="13">
        <v>-23174</v>
      </c>
      <c r="AJ44" s="13">
        <v>-11239</v>
      </c>
      <c r="AK44" s="13">
        <v>-7038</v>
      </c>
      <c r="AL44" s="13">
        <v>-3887</v>
      </c>
      <c r="AM44" s="12">
        <v>-4893</v>
      </c>
      <c r="AN44" s="12">
        <v>-3399</v>
      </c>
      <c r="AO44" s="12">
        <v>-3222</v>
      </c>
      <c r="AP44" s="12">
        <v>1286</v>
      </c>
      <c r="AQ44" s="13">
        <v>3113</v>
      </c>
      <c r="AR44" s="13">
        <v>11209</v>
      </c>
      <c r="AS44" s="13">
        <v>31371</v>
      </c>
      <c r="AT44" s="13">
        <v>44421</v>
      </c>
      <c r="AU44" s="12">
        <v>57068</v>
      </c>
      <c r="AV44" s="12">
        <v>-53855</v>
      </c>
      <c r="AW44" s="12">
        <v>44845</v>
      </c>
      <c r="AX44" s="12">
        <v>71352</v>
      </c>
      <c r="AY44" s="13">
        <v>-1666</v>
      </c>
      <c r="AZ44" s="13">
        <v>46346</v>
      </c>
      <c r="BA44" s="13">
        <v>25707</v>
      </c>
      <c r="BB44" s="13">
        <v>50541</v>
      </c>
      <c r="BC44" s="12">
        <v>57407</v>
      </c>
      <c r="BD44" s="12">
        <v>92208</v>
      </c>
      <c r="BE44" s="12">
        <v>134255</v>
      </c>
      <c r="BF44" s="12">
        <v>168178</v>
      </c>
      <c r="BG44" s="13">
        <v>178973</v>
      </c>
      <c r="BH44" s="13">
        <v>184594</v>
      </c>
      <c r="BI44" s="13">
        <v>137345</v>
      </c>
      <c r="BJ44" s="13">
        <v>12227</v>
      </c>
      <c r="BK44" s="12">
        <v>-11499</v>
      </c>
      <c r="BL44" s="12">
        <v>11216</v>
      </c>
    </row>
    <row r="45" spans="1:64" ht="15" thickBot="1" x14ac:dyDescent="0.35">
      <c r="A45" s="15" t="s">
        <v>200</v>
      </c>
      <c r="B45" s="14" t="s">
        <v>199</v>
      </c>
      <c r="C45" s="13">
        <v>0</v>
      </c>
      <c r="D45" s="13">
        <v>0</v>
      </c>
      <c r="E45" s="13">
        <v>0</v>
      </c>
      <c r="F45" s="13">
        <v>0</v>
      </c>
      <c r="G45" s="12">
        <v>0</v>
      </c>
      <c r="H45" s="12">
        <v>0</v>
      </c>
      <c r="I45" s="12">
        <v>0</v>
      </c>
      <c r="J45" s="12">
        <v>0</v>
      </c>
      <c r="K45" s="13">
        <v>0</v>
      </c>
      <c r="L45" s="13">
        <v>0</v>
      </c>
      <c r="M45" s="13">
        <v>0</v>
      </c>
      <c r="N45" s="13">
        <v>0</v>
      </c>
      <c r="O45" s="12">
        <v>65</v>
      </c>
      <c r="P45" s="12">
        <v>151</v>
      </c>
      <c r="Q45" s="12">
        <v>130</v>
      </c>
      <c r="R45" s="12">
        <v>305</v>
      </c>
      <c r="S45" s="13">
        <v>182</v>
      </c>
      <c r="T45" s="13">
        <v>124</v>
      </c>
      <c r="U45" s="13">
        <v>141</v>
      </c>
      <c r="V45" s="13">
        <v>416</v>
      </c>
      <c r="W45" s="12">
        <v>109</v>
      </c>
      <c r="X45" s="12">
        <v>115</v>
      </c>
      <c r="Y45" s="12">
        <v>127</v>
      </c>
      <c r="Z45" s="12">
        <v>415</v>
      </c>
      <c r="AA45" s="13">
        <v>167</v>
      </c>
      <c r="AB45" s="13">
        <v>226</v>
      </c>
      <c r="AC45" s="13">
        <v>311</v>
      </c>
      <c r="AD45" s="13">
        <v>675</v>
      </c>
      <c r="AE45" s="12">
        <v>236</v>
      </c>
      <c r="AF45" s="12">
        <v>344</v>
      </c>
      <c r="AG45" s="12">
        <v>144</v>
      </c>
      <c r="AH45" s="12">
        <v>751</v>
      </c>
      <c r="AI45" s="13">
        <v>131</v>
      </c>
      <c r="AJ45" s="13">
        <v>854</v>
      </c>
      <c r="AK45" s="13">
        <v>-184</v>
      </c>
      <c r="AL45" s="13">
        <v>-35088</v>
      </c>
      <c r="AM45" s="12">
        <v>235</v>
      </c>
      <c r="AN45" s="12">
        <v>339</v>
      </c>
      <c r="AO45" s="12">
        <v>248</v>
      </c>
      <c r="AP45" s="12">
        <v>577</v>
      </c>
      <c r="AQ45" s="13">
        <v>348</v>
      </c>
      <c r="AR45" s="13">
        <v>591</v>
      </c>
      <c r="AS45" s="13">
        <v>272</v>
      </c>
      <c r="AT45" s="13">
        <v>-72245</v>
      </c>
      <c r="AU45" s="12">
        <v>-11868</v>
      </c>
      <c r="AV45" s="12">
        <v>-6561</v>
      </c>
      <c r="AW45" s="12">
        <v>5483</v>
      </c>
      <c r="AX45" s="12">
        <v>-1639</v>
      </c>
      <c r="AY45" s="13">
        <v>-33364</v>
      </c>
      <c r="AZ45" s="13">
        <v>6995</v>
      </c>
      <c r="BA45" s="13">
        <v>3898</v>
      </c>
      <c r="BB45" s="13">
        <v>-2050</v>
      </c>
      <c r="BC45" s="12">
        <v>5586</v>
      </c>
      <c r="BD45" s="12">
        <v>15232</v>
      </c>
      <c r="BE45" s="12">
        <v>19443</v>
      </c>
      <c r="BF45" s="12">
        <v>14425</v>
      </c>
      <c r="BG45" s="13">
        <v>32100</v>
      </c>
      <c r="BH45" s="13">
        <v>27403</v>
      </c>
      <c r="BI45" s="13">
        <v>23392</v>
      </c>
      <c r="BJ45" s="13">
        <v>-8692</v>
      </c>
      <c r="BK45" s="12">
        <v>4598</v>
      </c>
      <c r="BL45" s="12">
        <v>383</v>
      </c>
    </row>
    <row r="46" spans="1:64" ht="15" thickBot="1" x14ac:dyDescent="0.35">
      <c r="A46" s="15" t="s">
        <v>198</v>
      </c>
      <c r="B46" s="14" t="s">
        <v>197</v>
      </c>
      <c r="C46" s="13">
        <v>-4321</v>
      </c>
      <c r="D46" s="13">
        <v>-5382</v>
      </c>
      <c r="E46" s="13">
        <v>-3689</v>
      </c>
      <c r="F46" s="13">
        <v>-3533</v>
      </c>
      <c r="G46" s="12">
        <v>-3799</v>
      </c>
      <c r="H46" s="12">
        <v>-4851</v>
      </c>
      <c r="I46" s="12">
        <v>-6241</v>
      </c>
      <c r="J46" s="12">
        <v>-6886</v>
      </c>
      <c r="K46" s="13">
        <v>-9289</v>
      </c>
      <c r="L46" s="13">
        <v>-10288</v>
      </c>
      <c r="M46" s="13">
        <v>-7176</v>
      </c>
      <c r="N46" s="13">
        <v>-5537</v>
      </c>
      <c r="O46" s="12">
        <v>-10184</v>
      </c>
      <c r="P46" s="12">
        <v>-11385</v>
      </c>
      <c r="Q46" s="12">
        <v>-8907</v>
      </c>
      <c r="R46" s="12">
        <v>-7742</v>
      </c>
      <c r="S46" s="13">
        <v>-10406</v>
      </c>
      <c r="T46" s="13">
        <v>-6396</v>
      </c>
      <c r="U46" s="13">
        <v>-6301</v>
      </c>
      <c r="V46" s="13">
        <v>-2810</v>
      </c>
      <c r="W46" s="12">
        <v>-6236</v>
      </c>
      <c r="X46" s="12">
        <v>-3031</v>
      </c>
      <c r="Y46" s="12">
        <v>813</v>
      </c>
      <c r="Z46" s="12">
        <v>402</v>
      </c>
      <c r="AA46" s="13">
        <v>-6320</v>
      </c>
      <c r="AB46" s="13">
        <v>-603</v>
      </c>
      <c r="AC46" s="13">
        <v>624</v>
      </c>
      <c r="AD46" s="13">
        <v>-15783</v>
      </c>
      <c r="AE46" s="12">
        <v>-18795</v>
      </c>
      <c r="AF46" s="12">
        <v>-16723</v>
      </c>
      <c r="AG46" s="12">
        <v>-18756</v>
      </c>
      <c r="AH46" s="12">
        <v>-13188</v>
      </c>
      <c r="AI46" s="13">
        <v>-23305</v>
      </c>
      <c r="AJ46" s="13">
        <v>-12093</v>
      </c>
      <c r="AK46" s="13">
        <v>-6854</v>
      </c>
      <c r="AL46" s="13">
        <v>31201</v>
      </c>
      <c r="AM46" s="12">
        <v>-5128</v>
      </c>
      <c r="AN46" s="12">
        <v>-3738</v>
      </c>
      <c r="AO46" s="12">
        <v>-3470</v>
      </c>
      <c r="AP46" s="12">
        <v>709</v>
      </c>
      <c r="AQ46" s="13">
        <v>2765</v>
      </c>
      <c r="AR46" s="13">
        <v>10618</v>
      </c>
      <c r="AS46" s="13">
        <v>31099</v>
      </c>
      <c r="AT46" s="13">
        <v>116666</v>
      </c>
      <c r="AU46" s="12">
        <v>68936</v>
      </c>
      <c r="AV46" s="12">
        <v>-47294</v>
      </c>
      <c r="AW46" s="12">
        <v>39362</v>
      </c>
      <c r="AX46" s="12">
        <v>72991</v>
      </c>
      <c r="AY46" s="13">
        <v>31698</v>
      </c>
      <c r="AZ46" s="13">
        <v>39351</v>
      </c>
      <c r="BA46" s="13">
        <v>21809</v>
      </c>
      <c r="BB46" s="13">
        <v>52591</v>
      </c>
      <c r="BC46" s="12">
        <v>51821</v>
      </c>
      <c r="BD46" s="12">
        <v>76976</v>
      </c>
      <c r="BE46" s="12">
        <v>114812</v>
      </c>
      <c r="BF46" s="12">
        <v>153753</v>
      </c>
      <c r="BG46" s="13">
        <v>146873</v>
      </c>
      <c r="BH46" s="13">
        <v>157191</v>
      </c>
      <c r="BI46" s="13">
        <v>113953</v>
      </c>
      <c r="BJ46" s="13">
        <v>20919</v>
      </c>
      <c r="BK46" s="12">
        <v>-16097</v>
      </c>
      <c r="BL46" s="12">
        <v>10833</v>
      </c>
    </row>
    <row r="47" spans="1:64" ht="15" thickBot="1" x14ac:dyDescent="0.35">
      <c r="A47" s="15" t="s">
        <v>196</v>
      </c>
      <c r="B47" s="14" t="s">
        <v>195</v>
      </c>
      <c r="C47" s="13">
        <v>-4321</v>
      </c>
      <c r="D47" s="13">
        <v>-5382</v>
      </c>
      <c r="E47" s="13">
        <v>-3689</v>
      </c>
      <c r="F47" s="13">
        <v>-3533</v>
      </c>
      <c r="G47" s="12">
        <v>-3799</v>
      </c>
      <c r="H47" s="12">
        <v>-4851</v>
      </c>
      <c r="I47" s="12">
        <v>-6241</v>
      </c>
      <c r="J47" s="12">
        <v>-6886</v>
      </c>
      <c r="K47" s="13">
        <v>-9289</v>
      </c>
      <c r="L47" s="13">
        <v>-10288</v>
      </c>
      <c r="M47" s="13">
        <v>-7176</v>
      </c>
      <c r="N47" s="13">
        <v>-5537</v>
      </c>
      <c r="O47" s="12">
        <v>-10184</v>
      </c>
      <c r="P47" s="12">
        <v>-11385</v>
      </c>
      <c r="Q47" s="12">
        <v>-8907</v>
      </c>
      <c r="R47" s="12">
        <v>-7742</v>
      </c>
      <c r="S47" s="13">
        <v>-10406</v>
      </c>
      <c r="T47" s="13">
        <v>-6396</v>
      </c>
      <c r="U47" s="13">
        <v>-6301</v>
      </c>
      <c r="V47" s="13">
        <v>-2810</v>
      </c>
      <c r="W47" s="12">
        <v>-6236</v>
      </c>
      <c r="X47" s="12">
        <v>-3031</v>
      </c>
      <c r="Y47" s="12">
        <v>813</v>
      </c>
      <c r="Z47" s="12">
        <v>402</v>
      </c>
      <c r="AA47" s="13">
        <v>-6320</v>
      </c>
      <c r="AB47" s="13">
        <v>-603</v>
      </c>
      <c r="AC47" s="13">
        <v>624</v>
      </c>
      <c r="AD47" s="13">
        <v>-15783</v>
      </c>
      <c r="AE47" s="12">
        <v>-18795</v>
      </c>
      <c r="AF47" s="12">
        <v>-16723</v>
      </c>
      <c r="AG47" s="12">
        <v>-18756</v>
      </c>
      <c r="AH47" s="12">
        <v>-13188</v>
      </c>
      <c r="AI47" s="13">
        <v>-23305</v>
      </c>
      <c r="AJ47" s="13">
        <v>-12093</v>
      </c>
      <c r="AK47" s="13">
        <v>-6854</v>
      </c>
      <c r="AL47" s="13">
        <v>31201</v>
      </c>
      <c r="AM47" s="12">
        <v>-5128</v>
      </c>
      <c r="AN47" s="12">
        <v>-3738</v>
      </c>
      <c r="AO47" s="12">
        <v>-3470</v>
      </c>
      <c r="AP47" s="12">
        <v>709</v>
      </c>
      <c r="AQ47" s="13">
        <v>2765</v>
      </c>
      <c r="AR47" s="13">
        <v>10618</v>
      </c>
      <c r="AS47" s="13">
        <v>31099</v>
      </c>
      <c r="AT47" s="13">
        <v>116666</v>
      </c>
      <c r="AU47" s="12">
        <v>68936</v>
      </c>
      <c r="AV47" s="12">
        <v>-47294</v>
      </c>
      <c r="AW47" s="12">
        <v>39362</v>
      </c>
      <c r="AX47" s="12">
        <v>72991</v>
      </c>
      <c r="AY47" s="13">
        <v>31698</v>
      </c>
      <c r="AZ47" s="13">
        <v>39351</v>
      </c>
      <c r="BA47" s="13">
        <v>21809</v>
      </c>
      <c r="BB47" s="13">
        <v>52591</v>
      </c>
      <c r="BC47" s="12">
        <v>51821</v>
      </c>
      <c r="BD47" s="12">
        <v>76976</v>
      </c>
      <c r="BE47" s="12">
        <v>114812</v>
      </c>
      <c r="BF47" s="12">
        <v>153753</v>
      </c>
      <c r="BG47" s="13">
        <v>146873</v>
      </c>
      <c r="BH47" s="13">
        <v>157191</v>
      </c>
      <c r="BI47" s="13">
        <v>113953</v>
      </c>
      <c r="BJ47" s="13">
        <v>20919</v>
      </c>
      <c r="BK47" s="12">
        <v>-16097</v>
      </c>
      <c r="BL47" s="12">
        <v>10833</v>
      </c>
    </row>
    <row r="48" spans="1:64" ht="15" thickBot="1" x14ac:dyDescent="0.3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</row>
    <row r="49" spans="1:64" ht="15" thickBot="1" x14ac:dyDescent="0.35">
      <c r="A49" s="15" t="s">
        <v>194</v>
      </c>
      <c r="B49" s="14" t="s">
        <v>193</v>
      </c>
      <c r="C49" s="13" t="s">
        <v>86</v>
      </c>
      <c r="D49" s="13" t="s">
        <v>86</v>
      </c>
      <c r="E49" s="13" t="s">
        <v>86</v>
      </c>
      <c r="F49" s="13" t="s">
        <v>86</v>
      </c>
      <c r="G49" s="12" t="s">
        <v>86</v>
      </c>
      <c r="H49" s="12" t="s">
        <v>86</v>
      </c>
      <c r="I49" s="12" t="s">
        <v>86</v>
      </c>
      <c r="J49" s="12" t="s">
        <v>86</v>
      </c>
      <c r="K49" s="13" t="s">
        <v>86</v>
      </c>
      <c r="L49" s="13" t="s">
        <v>86</v>
      </c>
      <c r="M49" s="13" t="s">
        <v>86</v>
      </c>
      <c r="N49" s="13" t="s">
        <v>86</v>
      </c>
      <c r="O49" s="12" t="s">
        <v>86</v>
      </c>
      <c r="P49" s="12" t="s">
        <v>86</v>
      </c>
      <c r="Q49" s="12" t="s">
        <v>86</v>
      </c>
      <c r="R49" s="12" t="s">
        <v>86</v>
      </c>
      <c r="S49" s="13" t="s">
        <v>86</v>
      </c>
      <c r="T49" s="13" t="s">
        <v>86</v>
      </c>
      <c r="U49" s="13" t="s">
        <v>86</v>
      </c>
      <c r="V49" s="13" t="s">
        <v>86</v>
      </c>
      <c r="W49" s="12" t="s">
        <v>86</v>
      </c>
      <c r="X49" s="12" t="s">
        <v>86</v>
      </c>
      <c r="Y49" s="12" t="s">
        <v>86</v>
      </c>
      <c r="Z49" s="12" t="s">
        <v>86</v>
      </c>
      <c r="AA49" s="13" t="s">
        <v>86</v>
      </c>
      <c r="AB49" s="13" t="s">
        <v>86</v>
      </c>
      <c r="AC49" s="13" t="s">
        <v>86</v>
      </c>
      <c r="AD49" s="13" t="s">
        <v>86</v>
      </c>
      <c r="AE49" s="12" t="s">
        <v>86</v>
      </c>
      <c r="AF49" s="12" t="s">
        <v>86</v>
      </c>
      <c r="AG49" s="12" t="s">
        <v>86</v>
      </c>
      <c r="AH49" s="12" t="s">
        <v>86</v>
      </c>
      <c r="AI49" s="13" t="s">
        <v>86</v>
      </c>
      <c r="AJ49" s="13" t="s">
        <v>86</v>
      </c>
      <c r="AK49" s="13" t="s">
        <v>86</v>
      </c>
      <c r="AL49" s="13">
        <v>-34141</v>
      </c>
      <c r="AM49" s="12" t="s">
        <v>86</v>
      </c>
      <c r="AN49" s="12" t="s">
        <v>86</v>
      </c>
      <c r="AO49" s="12" t="s">
        <v>86</v>
      </c>
      <c r="AP49" s="12" t="s">
        <v>86</v>
      </c>
      <c r="AQ49" s="13" t="s">
        <v>86</v>
      </c>
      <c r="AR49" s="13" t="s">
        <v>86</v>
      </c>
      <c r="AS49" s="13" t="s">
        <v>86</v>
      </c>
      <c r="AT49" s="13">
        <v>0</v>
      </c>
      <c r="AU49" s="12" t="s">
        <v>86</v>
      </c>
      <c r="AV49" s="12" t="s">
        <v>86</v>
      </c>
      <c r="AW49" s="12" t="s">
        <v>86</v>
      </c>
      <c r="AX49" s="12" t="s">
        <v>86</v>
      </c>
      <c r="AY49" s="13" t="s">
        <v>86</v>
      </c>
      <c r="AZ49" s="13" t="s">
        <v>86</v>
      </c>
      <c r="BA49" s="13" t="s">
        <v>86</v>
      </c>
      <c r="BB49" s="13" t="s">
        <v>86</v>
      </c>
      <c r="BC49" s="12" t="s">
        <v>86</v>
      </c>
      <c r="BD49" s="12" t="s">
        <v>86</v>
      </c>
      <c r="BE49" s="12" t="s">
        <v>86</v>
      </c>
      <c r="BF49" s="12" t="s">
        <v>86</v>
      </c>
      <c r="BG49" s="13" t="s">
        <v>86</v>
      </c>
      <c r="BH49" s="13" t="s">
        <v>86</v>
      </c>
      <c r="BI49" s="13" t="s">
        <v>86</v>
      </c>
      <c r="BJ49" s="13" t="s">
        <v>86</v>
      </c>
      <c r="BK49" s="12" t="s">
        <v>86</v>
      </c>
      <c r="BL49" s="12" t="s">
        <v>86</v>
      </c>
    </row>
    <row r="50" spans="1:64" ht="15" thickBot="1" x14ac:dyDescent="0.35">
      <c r="A50" s="15" t="s">
        <v>192</v>
      </c>
      <c r="B50" s="14" t="s">
        <v>191</v>
      </c>
      <c r="C50" s="13">
        <v>-4321</v>
      </c>
      <c r="D50" s="13">
        <v>-5382</v>
      </c>
      <c r="E50" s="13">
        <v>-3689</v>
      </c>
      <c r="F50" s="13">
        <v>-3533</v>
      </c>
      <c r="G50" s="12">
        <v>-3799</v>
      </c>
      <c r="H50" s="12">
        <v>-4851</v>
      </c>
      <c r="I50" s="12">
        <v>-6241</v>
      </c>
      <c r="J50" s="12">
        <v>-6886</v>
      </c>
      <c r="K50" s="13">
        <v>-9289</v>
      </c>
      <c r="L50" s="13">
        <v>-10288</v>
      </c>
      <c r="M50" s="13">
        <v>-7176</v>
      </c>
      <c r="N50" s="13">
        <v>-5537</v>
      </c>
      <c r="O50" s="12">
        <v>-10184</v>
      </c>
      <c r="P50" s="12">
        <v>-11385</v>
      </c>
      <c r="Q50" s="12">
        <v>-8907</v>
      </c>
      <c r="R50" s="12">
        <v>-7742</v>
      </c>
      <c r="S50" s="13">
        <v>-10406</v>
      </c>
      <c r="T50" s="13">
        <v>-6396</v>
      </c>
      <c r="U50" s="13">
        <v>-6301</v>
      </c>
      <c r="V50" s="13">
        <v>-2810</v>
      </c>
      <c r="W50" s="12">
        <v>-6236</v>
      </c>
      <c r="X50" s="12">
        <v>-3031</v>
      </c>
      <c r="Y50" s="12">
        <v>813</v>
      </c>
      <c r="Z50" s="12">
        <v>402</v>
      </c>
      <c r="AA50" s="13">
        <v>-6320</v>
      </c>
      <c r="AB50" s="13">
        <v>-603</v>
      </c>
      <c r="AC50" s="13">
        <v>624</v>
      </c>
      <c r="AD50" s="13">
        <v>-15783</v>
      </c>
      <c r="AE50" s="12">
        <v>-18795</v>
      </c>
      <c r="AF50" s="12">
        <v>-16723</v>
      </c>
      <c r="AG50" s="12">
        <v>-18756</v>
      </c>
      <c r="AH50" s="12">
        <v>-13188</v>
      </c>
      <c r="AI50" s="13">
        <v>-23305</v>
      </c>
      <c r="AJ50" s="13">
        <v>-12093</v>
      </c>
      <c r="AK50" s="13">
        <v>-6854</v>
      </c>
      <c r="AL50" s="13">
        <v>-2940</v>
      </c>
      <c r="AM50" s="12">
        <v>-5128</v>
      </c>
      <c r="AN50" s="12">
        <v>-3738</v>
      </c>
      <c r="AO50" s="12">
        <v>-3470</v>
      </c>
      <c r="AP50" s="12">
        <v>709</v>
      </c>
      <c r="AQ50" s="13">
        <v>2765</v>
      </c>
      <c r="AR50" s="13">
        <v>10618</v>
      </c>
      <c r="AS50" s="13">
        <v>31099</v>
      </c>
      <c r="AT50" s="13">
        <v>116666</v>
      </c>
      <c r="AU50" s="12">
        <v>68936</v>
      </c>
      <c r="AV50" s="12">
        <v>-47294</v>
      </c>
      <c r="AW50" s="12">
        <v>39362</v>
      </c>
      <c r="AX50" s="12">
        <v>72991</v>
      </c>
      <c r="AY50" s="13">
        <v>31698</v>
      </c>
      <c r="AZ50" s="13">
        <v>39351</v>
      </c>
      <c r="BA50" s="13">
        <v>21809</v>
      </c>
      <c r="BB50" s="13">
        <v>52591</v>
      </c>
      <c r="BC50" s="12">
        <v>51821</v>
      </c>
      <c r="BD50" s="12">
        <v>76976</v>
      </c>
      <c r="BE50" s="12">
        <v>114812</v>
      </c>
      <c r="BF50" s="12">
        <v>153753</v>
      </c>
      <c r="BG50" s="13">
        <v>146873</v>
      </c>
      <c r="BH50" s="13">
        <v>157191</v>
      </c>
      <c r="BI50" s="13">
        <v>113953</v>
      </c>
      <c r="BJ50" s="13">
        <v>20919</v>
      </c>
      <c r="BK50" s="12">
        <v>-16097</v>
      </c>
      <c r="BL50" s="12">
        <v>10833</v>
      </c>
    </row>
    <row r="51" spans="1:64" ht="15" thickBot="1" x14ac:dyDescent="0.3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</row>
    <row r="52" spans="1:64" ht="15" thickBot="1" x14ac:dyDescent="0.35">
      <c r="A52" s="15" t="s">
        <v>190</v>
      </c>
      <c r="B52" s="14" t="s">
        <v>189</v>
      </c>
      <c r="C52" s="13">
        <v>-4321</v>
      </c>
      <c r="D52" s="13">
        <v>-5382</v>
      </c>
      <c r="E52" s="13">
        <v>-3689</v>
      </c>
      <c r="F52" s="13">
        <v>-3533</v>
      </c>
      <c r="G52" s="12">
        <v>-3799</v>
      </c>
      <c r="H52" s="12">
        <v>-4851</v>
      </c>
      <c r="I52" s="12">
        <v>-6241</v>
      </c>
      <c r="J52" s="12">
        <v>-6886</v>
      </c>
      <c r="K52" s="13">
        <v>-9289</v>
      </c>
      <c r="L52" s="13">
        <v>-10288</v>
      </c>
      <c r="M52" s="13">
        <v>-7176</v>
      </c>
      <c r="N52" s="13">
        <v>-5537</v>
      </c>
      <c r="O52" s="12">
        <v>-10184</v>
      </c>
      <c r="P52" s="12">
        <v>-11385</v>
      </c>
      <c r="Q52" s="12">
        <v>-8907</v>
      </c>
      <c r="R52" s="12">
        <v>-7742</v>
      </c>
      <c r="S52" s="13">
        <v>-10406</v>
      </c>
      <c r="T52" s="13">
        <v>-6396</v>
      </c>
      <c r="U52" s="13">
        <v>-6301</v>
      </c>
      <c r="V52" s="13">
        <v>-2810</v>
      </c>
      <c r="W52" s="12">
        <v>-6236</v>
      </c>
      <c r="X52" s="12">
        <v>-3031</v>
      </c>
      <c r="Y52" s="12">
        <v>813</v>
      </c>
      <c r="Z52" s="12">
        <v>402</v>
      </c>
      <c r="AA52" s="13">
        <v>-6320</v>
      </c>
      <c r="AB52" s="13">
        <v>-603</v>
      </c>
      <c r="AC52" s="13">
        <v>624</v>
      </c>
      <c r="AD52" s="13">
        <v>-15783</v>
      </c>
      <c r="AE52" s="12">
        <v>-18795</v>
      </c>
      <c r="AF52" s="12">
        <v>-16723</v>
      </c>
      <c r="AG52" s="12">
        <v>-18756</v>
      </c>
      <c r="AH52" s="12">
        <v>-13188</v>
      </c>
      <c r="AI52" s="13">
        <v>-23305</v>
      </c>
      <c r="AJ52" s="13">
        <v>-12093</v>
      </c>
      <c r="AK52" s="13">
        <v>-6854</v>
      </c>
      <c r="AL52" s="13">
        <v>31201</v>
      </c>
      <c r="AM52" s="12">
        <v>-5128</v>
      </c>
      <c r="AN52" s="12">
        <v>-3738</v>
      </c>
      <c r="AO52" s="12">
        <v>-3470</v>
      </c>
      <c r="AP52" s="12">
        <v>709</v>
      </c>
      <c r="AQ52" s="13">
        <v>2765</v>
      </c>
      <c r="AR52" s="13">
        <v>10618</v>
      </c>
      <c r="AS52" s="13">
        <v>31099</v>
      </c>
      <c r="AT52" s="13">
        <v>116666</v>
      </c>
      <c r="AU52" s="12">
        <v>68936</v>
      </c>
      <c r="AV52" s="12">
        <v>-47294</v>
      </c>
      <c r="AW52" s="12">
        <v>39362</v>
      </c>
      <c r="AX52" s="12">
        <v>72991</v>
      </c>
      <c r="AY52" s="13">
        <v>31698</v>
      </c>
      <c r="AZ52" s="13">
        <v>39351</v>
      </c>
      <c r="BA52" s="13">
        <v>21809</v>
      </c>
      <c r="BB52" s="13">
        <v>52591</v>
      </c>
      <c r="BC52" s="12">
        <v>51821</v>
      </c>
      <c r="BD52" s="12">
        <v>76976</v>
      </c>
      <c r="BE52" s="12">
        <v>114812</v>
      </c>
      <c r="BF52" s="12">
        <v>153753</v>
      </c>
      <c r="BG52" s="13">
        <v>146873</v>
      </c>
      <c r="BH52" s="13">
        <v>157191</v>
      </c>
      <c r="BI52" s="13">
        <v>113953</v>
      </c>
      <c r="BJ52" s="13">
        <v>20919</v>
      </c>
      <c r="BK52" s="12">
        <v>-16097</v>
      </c>
      <c r="BL52" s="12">
        <v>10833</v>
      </c>
    </row>
    <row r="53" spans="1:64" ht="15" thickBot="1" x14ac:dyDescent="0.35">
      <c r="A53" s="15" t="s">
        <v>188</v>
      </c>
      <c r="B53" s="14" t="s">
        <v>187</v>
      </c>
      <c r="C53" s="13">
        <v>-4321</v>
      </c>
      <c r="D53" s="13">
        <v>-5382</v>
      </c>
      <c r="E53" s="13">
        <v>-3689</v>
      </c>
      <c r="F53" s="13">
        <v>-3533</v>
      </c>
      <c r="G53" s="12">
        <v>-3799</v>
      </c>
      <c r="H53" s="12">
        <v>-4851</v>
      </c>
      <c r="I53" s="12">
        <v>-6241</v>
      </c>
      <c r="J53" s="12">
        <v>-6886</v>
      </c>
      <c r="K53" s="13">
        <v>-9289</v>
      </c>
      <c r="L53" s="13">
        <v>-10288</v>
      </c>
      <c r="M53" s="13">
        <v>-7176</v>
      </c>
      <c r="N53" s="13">
        <v>-5537</v>
      </c>
      <c r="O53" s="12">
        <v>-10184</v>
      </c>
      <c r="P53" s="12">
        <v>-11385</v>
      </c>
      <c r="Q53" s="12">
        <v>-8907</v>
      </c>
      <c r="R53" s="12">
        <v>-7742</v>
      </c>
      <c r="S53" s="13">
        <v>-10406</v>
      </c>
      <c r="T53" s="13">
        <v>-6396</v>
      </c>
      <c r="U53" s="13">
        <v>-6301</v>
      </c>
      <c r="V53" s="13">
        <v>-2810</v>
      </c>
      <c r="W53" s="12">
        <v>-6236</v>
      </c>
      <c r="X53" s="12">
        <v>-3031</v>
      </c>
      <c r="Y53" s="12">
        <v>813</v>
      </c>
      <c r="Z53" s="12">
        <v>402</v>
      </c>
      <c r="AA53" s="13">
        <v>-6320</v>
      </c>
      <c r="AB53" s="13">
        <v>-603</v>
      </c>
      <c r="AC53" s="13">
        <v>624</v>
      </c>
      <c r="AD53" s="13">
        <v>-15783</v>
      </c>
      <c r="AE53" s="12">
        <v>-18795</v>
      </c>
      <c r="AF53" s="12">
        <v>-16723</v>
      </c>
      <c r="AG53" s="12">
        <v>-18756</v>
      </c>
      <c r="AH53" s="12">
        <v>-13188</v>
      </c>
      <c r="AI53" s="13">
        <v>-23305</v>
      </c>
      <c r="AJ53" s="13">
        <v>-12093</v>
      </c>
      <c r="AK53" s="13">
        <v>-6854</v>
      </c>
      <c r="AL53" s="13">
        <v>-2940</v>
      </c>
      <c r="AM53" s="12">
        <v>-5128</v>
      </c>
      <c r="AN53" s="12">
        <v>-3738</v>
      </c>
      <c r="AO53" s="12">
        <v>-3470</v>
      </c>
      <c r="AP53" s="12">
        <v>709</v>
      </c>
      <c r="AQ53" s="13">
        <v>2765</v>
      </c>
      <c r="AR53" s="13">
        <v>10618</v>
      </c>
      <c r="AS53" s="13">
        <v>31099</v>
      </c>
      <c r="AT53" s="13">
        <v>116666</v>
      </c>
      <c r="AU53" s="12">
        <v>68936</v>
      </c>
      <c r="AV53" s="12">
        <v>-47294</v>
      </c>
      <c r="AW53" s="12">
        <v>39362</v>
      </c>
      <c r="AX53" s="12">
        <v>72991</v>
      </c>
      <c r="AY53" s="13">
        <v>31698</v>
      </c>
      <c r="AZ53" s="13">
        <v>39351</v>
      </c>
      <c r="BA53" s="13">
        <v>21809</v>
      </c>
      <c r="BB53" s="13">
        <v>52591</v>
      </c>
      <c r="BC53" s="12">
        <v>51821</v>
      </c>
      <c r="BD53" s="12">
        <v>76976</v>
      </c>
      <c r="BE53" s="12">
        <v>114812</v>
      </c>
      <c r="BF53" s="12">
        <v>153753</v>
      </c>
      <c r="BG53" s="13">
        <v>146873</v>
      </c>
      <c r="BH53" s="13">
        <v>157191</v>
      </c>
      <c r="BI53" s="13">
        <v>113953</v>
      </c>
      <c r="BJ53" s="13">
        <v>20919</v>
      </c>
      <c r="BK53" s="12">
        <v>-16097</v>
      </c>
      <c r="BL53" s="12">
        <v>10833</v>
      </c>
    </row>
    <row r="54" spans="1:64" ht="15" thickBot="1" x14ac:dyDescent="0.35">
      <c r="A54" s="15" t="s">
        <v>186</v>
      </c>
      <c r="B54" s="14" t="s">
        <v>185</v>
      </c>
      <c r="C54" s="13">
        <v>39291</v>
      </c>
      <c r="D54" s="13">
        <v>39291</v>
      </c>
      <c r="E54" s="13">
        <v>39291</v>
      </c>
      <c r="F54" s="13">
        <v>39291</v>
      </c>
      <c r="G54" s="12">
        <v>39291</v>
      </c>
      <c r="H54" s="12">
        <v>39291</v>
      </c>
      <c r="I54" s="12">
        <v>39291</v>
      </c>
      <c r="J54" s="12">
        <v>39291</v>
      </c>
      <c r="K54" s="13">
        <v>39291</v>
      </c>
      <c r="L54" s="13">
        <v>39291</v>
      </c>
      <c r="M54" s="13">
        <v>39291</v>
      </c>
      <c r="N54" s="13">
        <v>39291</v>
      </c>
      <c r="O54" s="12">
        <v>39291</v>
      </c>
      <c r="P54" s="12">
        <v>39461</v>
      </c>
      <c r="Q54" s="12">
        <v>40755</v>
      </c>
      <c r="R54" s="12">
        <v>40819</v>
      </c>
      <c r="S54" s="13">
        <v>41149</v>
      </c>
      <c r="T54" s="13">
        <v>41617</v>
      </c>
      <c r="U54" s="13">
        <v>41777</v>
      </c>
      <c r="V54" s="13">
        <v>42037</v>
      </c>
      <c r="W54" s="12">
        <v>42205</v>
      </c>
      <c r="X54" s="12">
        <v>42648</v>
      </c>
      <c r="Y54" s="12">
        <v>43128</v>
      </c>
      <c r="Z54" s="12">
        <v>43620</v>
      </c>
      <c r="AA54" s="13">
        <v>43950</v>
      </c>
      <c r="AB54" s="13">
        <v>44319</v>
      </c>
      <c r="AC54" s="13">
        <v>44734</v>
      </c>
      <c r="AD54" s="13">
        <v>45511</v>
      </c>
      <c r="AE54" s="12">
        <v>46209</v>
      </c>
      <c r="AF54" s="12">
        <v>46620</v>
      </c>
      <c r="AG54" s="12">
        <v>47278</v>
      </c>
      <c r="AH54" s="12">
        <v>61964</v>
      </c>
      <c r="AI54" s="13">
        <v>76651</v>
      </c>
      <c r="AJ54" s="13">
        <v>84434</v>
      </c>
      <c r="AK54" s="13">
        <v>84862</v>
      </c>
      <c r="AL54" s="13">
        <v>85777</v>
      </c>
      <c r="AM54" s="12">
        <v>91422</v>
      </c>
      <c r="AN54" s="12">
        <v>97321</v>
      </c>
      <c r="AO54" s="12">
        <v>102798</v>
      </c>
      <c r="AP54" s="12">
        <v>106705</v>
      </c>
      <c r="AQ54" s="13">
        <v>108195</v>
      </c>
      <c r="AR54" s="13">
        <v>113677</v>
      </c>
      <c r="AS54" s="13">
        <v>122123</v>
      </c>
      <c r="AT54" s="13">
        <v>122692</v>
      </c>
      <c r="AU54" s="12">
        <v>123531</v>
      </c>
      <c r="AV54" s="12">
        <v>125603</v>
      </c>
      <c r="AW54" s="12">
        <v>126109</v>
      </c>
      <c r="AX54" s="12">
        <v>126992</v>
      </c>
      <c r="AY54" s="13">
        <v>131303</v>
      </c>
      <c r="AZ54" s="13">
        <v>135094</v>
      </c>
      <c r="BA54" s="13">
        <v>134721</v>
      </c>
      <c r="BB54" s="13">
        <v>134943</v>
      </c>
      <c r="BC54" s="12">
        <v>134327</v>
      </c>
      <c r="BD54" s="12">
        <v>135196</v>
      </c>
      <c r="BE54" s="12">
        <v>135633</v>
      </c>
      <c r="BF54" s="12">
        <v>136228</v>
      </c>
      <c r="BG54" s="13">
        <v>136689</v>
      </c>
      <c r="BH54" s="13">
        <v>136607</v>
      </c>
      <c r="BI54" s="13">
        <v>136165</v>
      </c>
      <c r="BJ54" s="13">
        <v>136031</v>
      </c>
      <c r="BK54" s="12">
        <v>135891</v>
      </c>
      <c r="BL54" s="12">
        <v>135646</v>
      </c>
    </row>
    <row r="55" spans="1:64" ht="15" thickBot="1" x14ac:dyDescent="0.35">
      <c r="A55" s="15" t="s">
        <v>184</v>
      </c>
      <c r="B55" s="14" t="s">
        <v>183</v>
      </c>
      <c r="C55" s="18">
        <v>-0.11</v>
      </c>
      <c r="D55" s="18">
        <v>-0.14000000000000001</v>
      </c>
      <c r="E55" s="18">
        <v>-0.09</v>
      </c>
      <c r="F55" s="18">
        <v>-0.09</v>
      </c>
      <c r="G55" s="17">
        <v>-0.1</v>
      </c>
      <c r="H55" s="17">
        <v>-0.12</v>
      </c>
      <c r="I55" s="17">
        <v>-0.16</v>
      </c>
      <c r="J55" s="17">
        <v>-0.18</v>
      </c>
      <c r="K55" s="18">
        <v>-0.24</v>
      </c>
      <c r="L55" s="18">
        <v>-0.26</v>
      </c>
      <c r="M55" s="18">
        <v>-0.18</v>
      </c>
      <c r="N55" s="18">
        <v>-0.14000000000000001</v>
      </c>
      <c r="O55" s="17">
        <v>-0.26</v>
      </c>
      <c r="P55" s="17">
        <v>-0.28999999999999998</v>
      </c>
      <c r="Q55" s="17">
        <v>-0.22</v>
      </c>
      <c r="R55" s="17">
        <v>-0.19</v>
      </c>
      <c r="S55" s="18">
        <v>-0.25</v>
      </c>
      <c r="T55" s="18">
        <v>-0.15</v>
      </c>
      <c r="U55" s="18">
        <v>-0.15</v>
      </c>
      <c r="V55" s="18">
        <v>-7.0000000000000007E-2</v>
      </c>
      <c r="W55" s="17">
        <v>-0.15</v>
      </c>
      <c r="X55" s="17">
        <v>-7.0000000000000007E-2</v>
      </c>
      <c r="Y55" s="17">
        <v>0.02</v>
      </c>
      <c r="Z55" s="17">
        <v>0.01</v>
      </c>
      <c r="AA55" s="18">
        <v>-0.14000000000000001</v>
      </c>
      <c r="AB55" s="18">
        <v>-0.01</v>
      </c>
      <c r="AC55" s="18">
        <v>0.01</v>
      </c>
      <c r="AD55" s="18">
        <v>-0.35</v>
      </c>
      <c r="AE55" s="17">
        <v>-0.41</v>
      </c>
      <c r="AF55" s="17">
        <v>-0.36</v>
      </c>
      <c r="AG55" s="17">
        <v>-0.4</v>
      </c>
      <c r="AH55" s="17">
        <v>-0.21</v>
      </c>
      <c r="AI55" s="18">
        <v>-0.3</v>
      </c>
      <c r="AJ55" s="18">
        <v>-0.14000000000000001</v>
      </c>
      <c r="AK55" s="18">
        <v>-0.08</v>
      </c>
      <c r="AL55" s="18">
        <v>0.36</v>
      </c>
      <c r="AM55" s="17">
        <v>-0.06</v>
      </c>
      <c r="AN55" s="17">
        <v>-0.04</v>
      </c>
      <c r="AO55" s="17">
        <v>-0.03</v>
      </c>
      <c r="AP55" s="17">
        <v>0.01</v>
      </c>
      <c r="AQ55" s="18">
        <v>0.03</v>
      </c>
      <c r="AR55" s="18">
        <v>0.09</v>
      </c>
      <c r="AS55" s="18">
        <v>0.25</v>
      </c>
      <c r="AT55" s="18">
        <v>0.95</v>
      </c>
      <c r="AU55" s="17">
        <v>0.56000000000000005</v>
      </c>
      <c r="AV55" s="17">
        <v>-0.38</v>
      </c>
      <c r="AW55" s="17">
        <v>0.31</v>
      </c>
      <c r="AX55" s="17">
        <v>0.56999999999999995</v>
      </c>
      <c r="AY55" s="18">
        <v>0.24</v>
      </c>
      <c r="AZ55" s="18">
        <v>0.28999999999999998</v>
      </c>
      <c r="BA55" s="18">
        <v>0.16</v>
      </c>
      <c r="BB55" s="18">
        <v>0.39</v>
      </c>
      <c r="BC55" s="17">
        <v>0.39</v>
      </c>
      <c r="BD55" s="17">
        <v>0.56999999999999995</v>
      </c>
      <c r="BE55" s="17">
        <v>0.85</v>
      </c>
      <c r="BF55" s="17">
        <v>1.1299999999999999</v>
      </c>
      <c r="BG55" s="18">
        <v>1.07</v>
      </c>
      <c r="BH55" s="18">
        <v>1.1499999999999999</v>
      </c>
      <c r="BI55" s="18">
        <v>0.84</v>
      </c>
      <c r="BJ55" s="18">
        <v>0.15</v>
      </c>
      <c r="BK55" s="17">
        <v>-0.12</v>
      </c>
      <c r="BL55" s="17">
        <v>0.08</v>
      </c>
    </row>
    <row r="56" spans="1:64" ht="15" thickBot="1" x14ac:dyDescent="0.35">
      <c r="A56" s="15" t="s">
        <v>182</v>
      </c>
      <c r="B56" s="14" t="s">
        <v>181</v>
      </c>
      <c r="C56" s="18">
        <v>-0.11</v>
      </c>
      <c r="D56" s="18">
        <v>-0.14000000000000001</v>
      </c>
      <c r="E56" s="18">
        <v>-0.09</v>
      </c>
      <c r="F56" s="18">
        <v>-0.09</v>
      </c>
      <c r="G56" s="17">
        <v>-0.1</v>
      </c>
      <c r="H56" s="17">
        <v>-0.12</v>
      </c>
      <c r="I56" s="17">
        <v>-0.16</v>
      </c>
      <c r="J56" s="17">
        <v>-0.18</v>
      </c>
      <c r="K56" s="18">
        <v>-0.24</v>
      </c>
      <c r="L56" s="18">
        <v>-0.26</v>
      </c>
      <c r="M56" s="18">
        <v>-0.18</v>
      </c>
      <c r="N56" s="18">
        <v>-0.14000000000000001</v>
      </c>
      <c r="O56" s="17">
        <v>-0.26</v>
      </c>
      <c r="P56" s="17">
        <v>-0.28999999999999998</v>
      </c>
      <c r="Q56" s="17">
        <v>-0.22</v>
      </c>
      <c r="R56" s="17">
        <v>-0.19</v>
      </c>
      <c r="S56" s="18">
        <v>-0.25</v>
      </c>
      <c r="T56" s="18">
        <v>-0.15</v>
      </c>
      <c r="U56" s="18">
        <v>-0.15</v>
      </c>
      <c r="V56" s="18">
        <v>-7.0000000000000007E-2</v>
      </c>
      <c r="W56" s="17">
        <v>-0.15</v>
      </c>
      <c r="X56" s="17">
        <v>-7.0000000000000007E-2</v>
      </c>
      <c r="Y56" s="17">
        <v>0.02</v>
      </c>
      <c r="Z56" s="17">
        <v>0.01</v>
      </c>
      <c r="AA56" s="18">
        <v>-0.14000000000000001</v>
      </c>
      <c r="AB56" s="18">
        <v>-0.01</v>
      </c>
      <c r="AC56" s="18">
        <v>0.01</v>
      </c>
      <c r="AD56" s="18">
        <v>-0.35</v>
      </c>
      <c r="AE56" s="17">
        <v>-0.41</v>
      </c>
      <c r="AF56" s="17">
        <v>-0.36</v>
      </c>
      <c r="AG56" s="17">
        <v>-0.4</v>
      </c>
      <c r="AH56" s="17">
        <v>-0.21</v>
      </c>
      <c r="AI56" s="18">
        <v>-0.3</v>
      </c>
      <c r="AJ56" s="18">
        <v>-0.14000000000000001</v>
      </c>
      <c r="AK56" s="18">
        <v>-0.08</v>
      </c>
      <c r="AL56" s="18">
        <v>-0.03</v>
      </c>
      <c r="AM56" s="17">
        <v>-0.06</v>
      </c>
      <c r="AN56" s="17">
        <v>-0.04</v>
      </c>
      <c r="AO56" s="17">
        <v>-0.03</v>
      </c>
      <c r="AP56" s="17">
        <v>0.01</v>
      </c>
      <c r="AQ56" s="18">
        <v>0.03</v>
      </c>
      <c r="AR56" s="18">
        <v>0.09</v>
      </c>
      <c r="AS56" s="18">
        <v>0.25</v>
      </c>
      <c r="AT56" s="18">
        <v>0.95</v>
      </c>
      <c r="AU56" s="17">
        <v>0.56000000000000005</v>
      </c>
      <c r="AV56" s="17">
        <v>-0.38</v>
      </c>
      <c r="AW56" s="17">
        <v>0.31</v>
      </c>
      <c r="AX56" s="17">
        <v>0.56999999999999995</v>
      </c>
      <c r="AY56" s="18">
        <v>0.24</v>
      </c>
      <c r="AZ56" s="18">
        <v>0.28999999999999998</v>
      </c>
      <c r="BA56" s="18">
        <v>0.16</v>
      </c>
      <c r="BB56" s="18">
        <v>0.39</v>
      </c>
      <c r="BC56" s="17">
        <v>0.39</v>
      </c>
      <c r="BD56" s="17">
        <v>0.56999999999999995</v>
      </c>
      <c r="BE56" s="17">
        <v>0.85</v>
      </c>
      <c r="BF56" s="17">
        <v>1.1299999999999999</v>
      </c>
      <c r="BG56" s="18">
        <v>1.07</v>
      </c>
      <c r="BH56" s="18">
        <v>1.1499999999999999</v>
      </c>
      <c r="BI56" s="18">
        <v>0.84</v>
      </c>
      <c r="BJ56" s="18">
        <v>0.15</v>
      </c>
      <c r="BK56" s="17">
        <v>-0.12</v>
      </c>
      <c r="BL56" s="17">
        <v>0.08</v>
      </c>
    </row>
    <row r="57" spans="1:64" ht="15" thickBot="1" x14ac:dyDescent="0.35">
      <c r="A57" s="15" t="s">
        <v>180</v>
      </c>
      <c r="B57" s="14" t="s">
        <v>179</v>
      </c>
      <c r="C57" s="13">
        <v>0</v>
      </c>
      <c r="D57" s="13">
        <v>0</v>
      </c>
      <c r="E57" s="13">
        <v>0</v>
      </c>
      <c r="F57" s="13">
        <v>0</v>
      </c>
      <c r="G57" s="12">
        <v>0</v>
      </c>
      <c r="H57" s="12">
        <v>0</v>
      </c>
      <c r="I57" s="12">
        <v>0</v>
      </c>
      <c r="J57" s="12">
        <v>0</v>
      </c>
      <c r="K57" s="13">
        <v>0</v>
      </c>
      <c r="L57" s="13">
        <v>0</v>
      </c>
      <c r="M57" s="13">
        <v>0</v>
      </c>
      <c r="N57" s="13">
        <v>0</v>
      </c>
      <c r="O57" s="12">
        <v>0</v>
      </c>
      <c r="P57" s="12">
        <v>0</v>
      </c>
      <c r="Q57" s="12">
        <v>0</v>
      </c>
      <c r="R57" s="12">
        <v>0</v>
      </c>
      <c r="S57" s="13">
        <v>0</v>
      </c>
      <c r="T57" s="13">
        <v>0</v>
      </c>
      <c r="U57" s="13">
        <v>0</v>
      </c>
      <c r="V57" s="13">
        <v>0</v>
      </c>
      <c r="W57" s="12">
        <v>0</v>
      </c>
      <c r="X57" s="12" t="s">
        <v>86</v>
      </c>
      <c r="Y57" s="12">
        <v>0</v>
      </c>
      <c r="Z57" s="12" t="s">
        <v>86</v>
      </c>
      <c r="AA57" s="13" t="s">
        <v>86</v>
      </c>
      <c r="AB57" s="13" t="s">
        <v>86</v>
      </c>
      <c r="AC57" s="13" t="s">
        <v>86</v>
      </c>
      <c r="AD57" s="13" t="s">
        <v>86</v>
      </c>
      <c r="AE57" s="12" t="s">
        <v>86</v>
      </c>
      <c r="AF57" s="12" t="s">
        <v>86</v>
      </c>
      <c r="AG57" s="12" t="s">
        <v>86</v>
      </c>
      <c r="AH57" s="12" t="s">
        <v>86</v>
      </c>
      <c r="AI57" s="13" t="s">
        <v>86</v>
      </c>
      <c r="AJ57" s="13" t="s">
        <v>86</v>
      </c>
      <c r="AK57" s="13" t="s">
        <v>86</v>
      </c>
      <c r="AL57" s="13" t="s">
        <v>86</v>
      </c>
      <c r="AM57" s="12" t="s">
        <v>86</v>
      </c>
      <c r="AN57" s="12" t="s">
        <v>86</v>
      </c>
      <c r="AO57" s="12" t="s">
        <v>86</v>
      </c>
      <c r="AP57" s="12" t="s">
        <v>86</v>
      </c>
      <c r="AQ57" s="13" t="s">
        <v>86</v>
      </c>
      <c r="AR57" s="13" t="s">
        <v>86</v>
      </c>
      <c r="AS57" s="13" t="s">
        <v>86</v>
      </c>
      <c r="AT57" s="13" t="s">
        <v>86</v>
      </c>
      <c r="AU57" s="12" t="s">
        <v>86</v>
      </c>
      <c r="AV57" s="12" t="s">
        <v>86</v>
      </c>
      <c r="AW57" s="12" t="s">
        <v>86</v>
      </c>
      <c r="AX57" s="12" t="s">
        <v>86</v>
      </c>
      <c r="AY57" s="13" t="s">
        <v>86</v>
      </c>
      <c r="AZ57" s="13" t="s">
        <v>86</v>
      </c>
      <c r="BA57" s="13" t="s">
        <v>86</v>
      </c>
      <c r="BB57" s="13" t="s">
        <v>86</v>
      </c>
      <c r="BC57" s="12" t="s">
        <v>86</v>
      </c>
      <c r="BD57" s="12" t="s">
        <v>86</v>
      </c>
      <c r="BE57" s="12" t="s">
        <v>86</v>
      </c>
      <c r="BF57" s="12" t="s">
        <v>86</v>
      </c>
      <c r="BG57" s="13" t="s">
        <v>86</v>
      </c>
      <c r="BH57" s="13" t="s">
        <v>86</v>
      </c>
      <c r="BI57" s="13" t="s">
        <v>86</v>
      </c>
      <c r="BJ57" s="13" t="s">
        <v>86</v>
      </c>
      <c r="BK57" s="12" t="s">
        <v>86</v>
      </c>
      <c r="BL57" s="12" t="s">
        <v>86</v>
      </c>
    </row>
    <row r="58" spans="1:64" ht="15" thickBot="1" x14ac:dyDescent="0.35">
      <c r="A58" s="15" t="s">
        <v>178</v>
      </c>
      <c r="B58" s="14" t="s">
        <v>177</v>
      </c>
      <c r="C58" s="13">
        <v>-4321</v>
      </c>
      <c r="D58" s="13">
        <v>-5382</v>
      </c>
      <c r="E58" s="13">
        <v>-3689</v>
      </c>
      <c r="F58" s="13">
        <v>-3533</v>
      </c>
      <c r="G58" s="12">
        <v>-3799</v>
      </c>
      <c r="H58" s="12">
        <v>-4851</v>
      </c>
      <c r="I58" s="12">
        <v>-6241</v>
      </c>
      <c r="J58" s="12">
        <v>-6886</v>
      </c>
      <c r="K58" s="13">
        <v>-9289</v>
      </c>
      <c r="L58" s="13">
        <v>-10288</v>
      </c>
      <c r="M58" s="13">
        <v>-7176</v>
      </c>
      <c r="N58" s="13">
        <v>-5537</v>
      </c>
      <c r="O58" s="12">
        <v>-10184</v>
      </c>
      <c r="P58" s="12">
        <v>-11385</v>
      </c>
      <c r="Q58" s="12">
        <v>-8907</v>
      </c>
      <c r="R58" s="12">
        <v>-7742</v>
      </c>
      <c r="S58" s="13">
        <v>-10406</v>
      </c>
      <c r="T58" s="13">
        <v>-6396</v>
      </c>
      <c r="U58" s="13">
        <v>-6301</v>
      </c>
      <c r="V58" s="13">
        <v>-2810</v>
      </c>
      <c r="W58" s="12">
        <v>-6236</v>
      </c>
      <c r="X58" s="12">
        <v>-3031</v>
      </c>
      <c r="Y58" s="12">
        <v>813</v>
      </c>
      <c r="Z58" s="12">
        <v>402</v>
      </c>
      <c r="AA58" s="13">
        <v>-6320</v>
      </c>
      <c r="AB58" s="13">
        <v>-603</v>
      </c>
      <c r="AC58" s="13">
        <v>624</v>
      </c>
      <c r="AD58" s="13">
        <v>-15783</v>
      </c>
      <c r="AE58" s="12">
        <v>-18795</v>
      </c>
      <c r="AF58" s="12">
        <v>-16723</v>
      </c>
      <c r="AG58" s="12">
        <v>-18756</v>
      </c>
      <c r="AH58" s="12">
        <v>-13188</v>
      </c>
      <c r="AI58" s="13">
        <v>-23305</v>
      </c>
      <c r="AJ58" s="13">
        <v>-12093</v>
      </c>
      <c r="AK58" s="13">
        <v>-6854</v>
      </c>
      <c r="AL58" s="13">
        <v>-2940</v>
      </c>
      <c r="AM58" s="12">
        <v>-5128</v>
      </c>
      <c r="AN58" s="12">
        <v>-3738</v>
      </c>
      <c r="AO58" s="12">
        <v>-3470</v>
      </c>
      <c r="AP58" s="12">
        <v>709</v>
      </c>
      <c r="AQ58" s="13">
        <v>2765</v>
      </c>
      <c r="AR58" s="13">
        <v>10618</v>
      </c>
      <c r="AS58" s="13">
        <v>31099</v>
      </c>
      <c r="AT58" s="13">
        <v>116666</v>
      </c>
      <c r="AU58" s="12">
        <v>68936</v>
      </c>
      <c r="AV58" s="12">
        <v>-47294</v>
      </c>
      <c r="AW58" s="12">
        <v>39362</v>
      </c>
      <c r="AX58" s="12">
        <v>72991</v>
      </c>
      <c r="AY58" s="13">
        <v>31698</v>
      </c>
      <c r="AZ58" s="13">
        <v>39351</v>
      </c>
      <c r="BA58" s="13">
        <v>21809</v>
      </c>
      <c r="BB58" s="13">
        <v>52591</v>
      </c>
      <c r="BC58" s="12">
        <v>51821</v>
      </c>
      <c r="BD58" s="12">
        <v>76976</v>
      </c>
      <c r="BE58" s="12">
        <v>114812</v>
      </c>
      <c r="BF58" s="12">
        <v>153753</v>
      </c>
      <c r="BG58" s="13">
        <v>146873</v>
      </c>
      <c r="BH58" s="13">
        <v>157191</v>
      </c>
      <c r="BI58" s="13">
        <v>113953</v>
      </c>
      <c r="BJ58" s="13">
        <v>20919</v>
      </c>
      <c r="BK58" s="12">
        <v>-16097</v>
      </c>
      <c r="BL58" s="12">
        <v>10833</v>
      </c>
    </row>
    <row r="59" spans="1:64" ht="15" thickBot="1" x14ac:dyDescent="0.35">
      <c r="A59" s="15" t="s">
        <v>176</v>
      </c>
      <c r="B59" s="14" t="s">
        <v>175</v>
      </c>
      <c r="C59" s="13">
        <v>39291</v>
      </c>
      <c r="D59" s="13">
        <v>39291</v>
      </c>
      <c r="E59" s="13">
        <v>39291</v>
      </c>
      <c r="F59" s="13">
        <v>39291</v>
      </c>
      <c r="G59" s="12">
        <v>39291</v>
      </c>
      <c r="H59" s="12">
        <v>39291</v>
      </c>
      <c r="I59" s="12">
        <v>39291</v>
      </c>
      <c r="J59" s="12">
        <v>39291</v>
      </c>
      <c r="K59" s="13">
        <v>39291</v>
      </c>
      <c r="L59" s="13">
        <v>39291</v>
      </c>
      <c r="M59" s="13">
        <v>39291</v>
      </c>
      <c r="N59" s="13">
        <v>39291</v>
      </c>
      <c r="O59" s="12">
        <v>39291</v>
      </c>
      <c r="P59" s="12">
        <v>39461</v>
      </c>
      <c r="Q59" s="12">
        <v>40755</v>
      </c>
      <c r="R59" s="12">
        <v>40819</v>
      </c>
      <c r="S59" s="13">
        <v>41149</v>
      </c>
      <c r="T59" s="13">
        <v>41617</v>
      </c>
      <c r="U59" s="13">
        <v>41777</v>
      </c>
      <c r="V59" s="13">
        <v>42037</v>
      </c>
      <c r="W59" s="12">
        <v>42205</v>
      </c>
      <c r="X59" s="12">
        <v>42648</v>
      </c>
      <c r="Y59" s="12">
        <v>48786</v>
      </c>
      <c r="Z59" s="12">
        <v>43620</v>
      </c>
      <c r="AA59" s="13">
        <v>43950</v>
      </c>
      <c r="AB59" s="13">
        <v>44319</v>
      </c>
      <c r="AC59" s="13">
        <v>47996</v>
      </c>
      <c r="AD59" s="13">
        <v>45511</v>
      </c>
      <c r="AE59" s="12">
        <v>46209</v>
      </c>
      <c r="AF59" s="12">
        <v>46620</v>
      </c>
      <c r="AG59" s="12">
        <v>47278</v>
      </c>
      <c r="AH59" s="12">
        <v>61964</v>
      </c>
      <c r="AI59" s="13">
        <v>76651</v>
      </c>
      <c r="AJ59" s="13">
        <v>84434</v>
      </c>
      <c r="AK59" s="13">
        <v>84862</v>
      </c>
      <c r="AL59" s="13">
        <v>85777</v>
      </c>
      <c r="AM59" s="12">
        <v>91422</v>
      </c>
      <c r="AN59" s="12">
        <v>97321</v>
      </c>
      <c r="AO59" s="12">
        <v>102798</v>
      </c>
      <c r="AP59" s="12">
        <v>106705</v>
      </c>
      <c r="AQ59" s="13">
        <v>108195</v>
      </c>
      <c r="AR59" s="13">
        <v>130737</v>
      </c>
      <c r="AS59" s="13">
        <v>133611</v>
      </c>
      <c r="AT59" s="13">
        <v>133234</v>
      </c>
      <c r="AU59" s="12">
        <v>138104</v>
      </c>
      <c r="AV59" s="12">
        <v>125603</v>
      </c>
      <c r="AW59" s="12">
        <v>141820</v>
      </c>
      <c r="AX59" s="12">
        <v>147051</v>
      </c>
      <c r="AY59" s="13">
        <v>146442</v>
      </c>
      <c r="AZ59" s="13">
        <v>141533</v>
      </c>
      <c r="BA59" s="13">
        <v>141220</v>
      </c>
      <c r="BB59" s="13">
        <v>142239</v>
      </c>
      <c r="BC59" s="12">
        <v>144617</v>
      </c>
      <c r="BD59" s="12">
        <v>143725</v>
      </c>
      <c r="BE59" s="12">
        <v>145962</v>
      </c>
      <c r="BF59" s="12">
        <v>145386</v>
      </c>
      <c r="BG59" s="13">
        <v>145986</v>
      </c>
      <c r="BH59" s="13">
        <v>145098</v>
      </c>
      <c r="BI59" s="13">
        <v>143863</v>
      </c>
      <c r="BJ59" s="13">
        <v>137917</v>
      </c>
      <c r="BK59" s="12">
        <v>135891</v>
      </c>
      <c r="BL59" s="12">
        <v>136123</v>
      </c>
    </row>
    <row r="60" spans="1:64" ht="15" thickBot="1" x14ac:dyDescent="0.35">
      <c r="A60" s="15" t="s">
        <v>174</v>
      </c>
      <c r="B60" s="14" t="s">
        <v>173</v>
      </c>
      <c r="C60" s="18">
        <v>-0.11</v>
      </c>
      <c r="D60" s="18">
        <v>-0.14000000000000001</v>
      </c>
      <c r="E60" s="18">
        <v>-0.09</v>
      </c>
      <c r="F60" s="18">
        <v>-0.09</v>
      </c>
      <c r="G60" s="17">
        <v>-0.1</v>
      </c>
      <c r="H60" s="17">
        <v>-0.12</v>
      </c>
      <c r="I60" s="17">
        <v>-0.16</v>
      </c>
      <c r="J60" s="17">
        <v>-0.18</v>
      </c>
      <c r="K60" s="18">
        <v>-0.24</v>
      </c>
      <c r="L60" s="18">
        <v>-0.26</v>
      </c>
      <c r="M60" s="18">
        <v>-0.18</v>
      </c>
      <c r="N60" s="18">
        <v>-0.14000000000000001</v>
      </c>
      <c r="O60" s="17">
        <v>-0.26</v>
      </c>
      <c r="P60" s="17">
        <v>-0.28999999999999998</v>
      </c>
      <c r="Q60" s="17">
        <v>-0.22</v>
      </c>
      <c r="R60" s="17">
        <v>-0.19</v>
      </c>
      <c r="S60" s="18">
        <v>-0.25</v>
      </c>
      <c r="T60" s="18">
        <v>-0.15</v>
      </c>
      <c r="U60" s="18">
        <v>-0.15</v>
      </c>
      <c r="V60" s="18">
        <v>-7.0000000000000007E-2</v>
      </c>
      <c r="W60" s="17">
        <v>-0.15</v>
      </c>
      <c r="X60" s="17">
        <v>-7.0000000000000007E-2</v>
      </c>
      <c r="Y60" s="17">
        <v>0.02</v>
      </c>
      <c r="Z60" s="17">
        <v>0.01</v>
      </c>
      <c r="AA60" s="18">
        <v>-0.14000000000000001</v>
      </c>
      <c r="AB60" s="18">
        <v>-0.01</v>
      </c>
      <c r="AC60" s="18">
        <v>0.01</v>
      </c>
      <c r="AD60" s="18">
        <v>-0.35</v>
      </c>
      <c r="AE60" s="17">
        <v>-0.41</v>
      </c>
      <c r="AF60" s="17">
        <v>-0.36</v>
      </c>
      <c r="AG60" s="17">
        <v>-0.4</v>
      </c>
      <c r="AH60" s="17">
        <v>-0.21</v>
      </c>
      <c r="AI60" s="18">
        <v>-0.3</v>
      </c>
      <c r="AJ60" s="18">
        <v>-0.14000000000000001</v>
      </c>
      <c r="AK60" s="18">
        <v>-0.08</v>
      </c>
      <c r="AL60" s="18">
        <v>0.36</v>
      </c>
      <c r="AM60" s="17">
        <v>-0.06</v>
      </c>
      <c r="AN60" s="17">
        <v>-0.04</v>
      </c>
      <c r="AO60" s="17">
        <v>-0.03</v>
      </c>
      <c r="AP60" s="17">
        <v>0.01</v>
      </c>
      <c r="AQ60" s="18">
        <v>0.03</v>
      </c>
      <c r="AR60" s="18">
        <v>0.08</v>
      </c>
      <c r="AS60" s="18">
        <v>0.23</v>
      </c>
      <c r="AT60" s="18">
        <v>0.88</v>
      </c>
      <c r="AU60" s="17">
        <v>0.5</v>
      </c>
      <c r="AV60" s="17">
        <v>-0.38</v>
      </c>
      <c r="AW60" s="17">
        <v>0.28000000000000003</v>
      </c>
      <c r="AX60" s="17">
        <v>0.5</v>
      </c>
      <c r="AY60" s="18">
        <v>0.22</v>
      </c>
      <c r="AZ60" s="18">
        <v>0.28000000000000003</v>
      </c>
      <c r="BA60" s="18">
        <v>0.15</v>
      </c>
      <c r="BB60" s="18">
        <v>0.37</v>
      </c>
      <c r="BC60" s="17">
        <v>0.36</v>
      </c>
      <c r="BD60" s="17">
        <v>0.54</v>
      </c>
      <c r="BE60" s="17">
        <v>0.79</v>
      </c>
      <c r="BF60" s="17">
        <v>1.06</v>
      </c>
      <c r="BG60" s="18">
        <v>1.01</v>
      </c>
      <c r="BH60" s="18">
        <v>1.08</v>
      </c>
      <c r="BI60" s="18">
        <v>0.79</v>
      </c>
      <c r="BJ60" s="18">
        <v>0.15</v>
      </c>
      <c r="BK60" s="17">
        <v>-0.12</v>
      </c>
      <c r="BL60" s="17">
        <v>0.08</v>
      </c>
    </row>
    <row r="61" spans="1:64" x14ac:dyDescent="0.3">
      <c r="A61" s="15" t="s">
        <v>172</v>
      </c>
      <c r="B61" s="14" t="s">
        <v>171</v>
      </c>
      <c r="C61" s="18">
        <v>-0.11</v>
      </c>
      <c r="D61" s="18">
        <v>-0.14000000000000001</v>
      </c>
      <c r="E61" s="18">
        <v>-0.09</v>
      </c>
      <c r="F61" s="18">
        <v>-0.09</v>
      </c>
      <c r="G61" s="17">
        <v>-0.1</v>
      </c>
      <c r="H61" s="17">
        <v>-0.12</v>
      </c>
      <c r="I61" s="17">
        <v>-0.16</v>
      </c>
      <c r="J61" s="17">
        <v>-0.18</v>
      </c>
      <c r="K61" s="18">
        <v>-0.24</v>
      </c>
      <c r="L61" s="18">
        <v>-0.26</v>
      </c>
      <c r="M61" s="18">
        <v>-0.18</v>
      </c>
      <c r="N61" s="18">
        <v>-0.14000000000000001</v>
      </c>
      <c r="O61" s="17">
        <v>-0.26</v>
      </c>
      <c r="P61" s="17">
        <v>-0.28999999999999998</v>
      </c>
      <c r="Q61" s="17">
        <v>-0.22</v>
      </c>
      <c r="R61" s="17">
        <v>-0.19</v>
      </c>
      <c r="S61" s="18">
        <v>-0.25</v>
      </c>
      <c r="T61" s="18">
        <v>-0.15</v>
      </c>
      <c r="U61" s="18">
        <v>-0.15</v>
      </c>
      <c r="V61" s="18">
        <v>-7.0000000000000007E-2</v>
      </c>
      <c r="W61" s="17">
        <v>-0.15</v>
      </c>
      <c r="X61" s="17">
        <v>-7.0000000000000007E-2</v>
      </c>
      <c r="Y61" s="17">
        <v>0.02</v>
      </c>
      <c r="Z61" s="17">
        <v>0.01</v>
      </c>
      <c r="AA61" s="18">
        <v>-0.14000000000000001</v>
      </c>
      <c r="AB61" s="18">
        <v>-0.01</v>
      </c>
      <c r="AC61" s="18">
        <v>0.01</v>
      </c>
      <c r="AD61" s="18">
        <v>-0.35</v>
      </c>
      <c r="AE61" s="17">
        <v>-0.41</v>
      </c>
      <c r="AF61" s="17">
        <v>-0.36</v>
      </c>
      <c r="AG61" s="17">
        <v>-0.4</v>
      </c>
      <c r="AH61" s="17">
        <v>-0.21</v>
      </c>
      <c r="AI61" s="18">
        <v>-0.3</v>
      </c>
      <c r="AJ61" s="18">
        <v>-0.14000000000000001</v>
      </c>
      <c r="AK61" s="18">
        <v>-0.08</v>
      </c>
      <c r="AL61" s="18">
        <v>-0.03</v>
      </c>
      <c r="AM61" s="17">
        <v>-0.06</v>
      </c>
      <c r="AN61" s="17">
        <v>-0.04</v>
      </c>
      <c r="AO61" s="17">
        <v>-0.03</v>
      </c>
      <c r="AP61" s="17">
        <v>0.01</v>
      </c>
      <c r="AQ61" s="18">
        <v>0.03</v>
      </c>
      <c r="AR61" s="18">
        <v>0.08</v>
      </c>
      <c r="AS61" s="18">
        <v>0.23</v>
      </c>
      <c r="AT61" s="18">
        <v>0.88</v>
      </c>
      <c r="AU61" s="17">
        <v>0.5</v>
      </c>
      <c r="AV61" s="17">
        <v>-0.38</v>
      </c>
      <c r="AW61" s="17">
        <v>0.28000000000000003</v>
      </c>
      <c r="AX61" s="17">
        <v>0.5</v>
      </c>
      <c r="AY61" s="18">
        <v>0.22</v>
      </c>
      <c r="AZ61" s="18">
        <v>0.28000000000000003</v>
      </c>
      <c r="BA61" s="18">
        <v>0.15</v>
      </c>
      <c r="BB61" s="18">
        <v>0.37</v>
      </c>
      <c r="BC61" s="17">
        <v>0.36</v>
      </c>
      <c r="BD61" s="17">
        <v>0.54</v>
      </c>
      <c r="BE61" s="17">
        <v>0.79</v>
      </c>
      <c r="BF61" s="17">
        <v>1.06</v>
      </c>
      <c r="BG61" s="18">
        <v>1.01</v>
      </c>
      <c r="BH61" s="18">
        <v>1.08</v>
      </c>
      <c r="BI61" s="18">
        <v>0.79</v>
      </c>
      <c r="BJ61" s="18">
        <v>0.15</v>
      </c>
      <c r="BK61" s="17">
        <v>-0.12</v>
      </c>
      <c r="BL61" s="17">
        <v>0.08</v>
      </c>
    </row>
    <row r="62" spans="1:64" ht="9.6" customHeight="1" thickBot="1" x14ac:dyDescent="0.35">
      <c r="A62" s="11"/>
      <c r="B62" s="16" t="s">
        <v>170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</row>
    <row r="63" spans="1:64" ht="15" thickBot="1" x14ac:dyDescent="0.35">
      <c r="A63" s="15" t="s">
        <v>169</v>
      </c>
      <c r="B63" s="14" t="s">
        <v>168</v>
      </c>
      <c r="C63" s="18">
        <v>0</v>
      </c>
      <c r="D63" s="18">
        <v>0</v>
      </c>
      <c r="E63" s="18">
        <v>0</v>
      </c>
      <c r="F63" s="18">
        <v>0</v>
      </c>
      <c r="G63" s="17">
        <v>0</v>
      </c>
      <c r="H63" s="17">
        <v>0</v>
      </c>
      <c r="I63" s="17">
        <v>0</v>
      </c>
      <c r="J63" s="17">
        <v>0</v>
      </c>
      <c r="K63" s="18">
        <v>0</v>
      </c>
      <c r="L63" s="18">
        <v>0</v>
      </c>
      <c r="M63" s="18">
        <v>0</v>
      </c>
      <c r="N63" s="18">
        <v>0</v>
      </c>
      <c r="O63" s="17">
        <v>0</v>
      </c>
      <c r="P63" s="17">
        <v>0</v>
      </c>
      <c r="Q63" s="17">
        <v>0</v>
      </c>
      <c r="R63" s="17" t="s">
        <v>86</v>
      </c>
      <c r="S63" s="18">
        <v>0</v>
      </c>
      <c r="T63" s="18">
        <v>0</v>
      </c>
      <c r="U63" s="18">
        <v>0</v>
      </c>
      <c r="V63" s="18" t="s">
        <v>86</v>
      </c>
      <c r="W63" s="17">
        <v>0</v>
      </c>
      <c r="X63" s="17">
        <v>0</v>
      </c>
      <c r="Y63" s="17">
        <v>0</v>
      </c>
      <c r="Z63" s="17">
        <v>0</v>
      </c>
      <c r="AA63" s="18">
        <v>0</v>
      </c>
      <c r="AB63" s="18">
        <v>0</v>
      </c>
      <c r="AC63" s="18">
        <v>0</v>
      </c>
      <c r="AD63" s="18" t="s">
        <v>86</v>
      </c>
      <c r="AE63" s="17">
        <v>0</v>
      </c>
      <c r="AF63" s="17">
        <v>0</v>
      </c>
      <c r="AG63" s="17">
        <v>0</v>
      </c>
      <c r="AH63" s="17" t="s">
        <v>86</v>
      </c>
      <c r="AI63" s="18">
        <v>0</v>
      </c>
      <c r="AJ63" s="18">
        <v>0</v>
      </c>
      <c r="AK63" s="18">
        <v>0</v>
      </c>
      <c r="AL63" s="18" t="s">
        <v>86</v>
      </c>
      <c r="AM63" s="17">
        <v>0</v>
      </c>
      <c r="AN63" s="17">
        <v>0</v>
      </c>
      <c r="AO63" s="17">
        <v>0</v>
      </c>
      <c r="AP63" s="17" t="s">
        <v>86</v>
      </c>
      <c r="AQ63" s="18">
        <v>0</v>
      </c>
      <c r="AR63" s="18">
        <v>0</v>
      </c>
      <c r="AS63" s="18">
        <v>0</v>
      </c>
      <c r="AT63" s="18" t="s">
        <v>86</v>
      </c>
      <c r="AU63" s="17">
        <v>0</v>
      </c>
      <c r="AV63" s="17">
        <v>0</v>
      </c>
      <c r="AW63" s="17">
        <v>0</v>
      </c>
      <c r="AX63" s="17" t="s">
        <v>86</v>
      </c>
      <c r="AY63" s="18">
        <v>0</v>
      </c>
      <c r="AZ63" s="18">
        <v>0</v>
      </c>
      <c r="BA63" s="18">
        <v>0</v>
      </c>
      <c r="BB63" s="18" t="s">
        <v>86</v>
      </c>
      <c r="BC63" s="17">
        <v>0</v>
      </c>
      <c r="BD63" s="17">
        <v>0</v>
      </c>
      <c r="BE63" s="17">
        <v>0</v>
      </c>
      <c r="BF63" s="17" t="s">
        <v>86</v>
      </c>
      <c r="BG63" s="18">
        <v>0</v>
      </c>
      <c r="BH63" s="18">
        <v>0</v>
      </c>
      <c r="BI63" s="18">
        <v>0</v>
      </c>
      <c r="BJ63" s="18" t="s">
        <v>86</v>
      </c>
      <c r="BK63" s="17">
        <v>0</v>
      </c>
      <c r="BL63" s="17">
        <v>0</v>
      </c>
    </row>
    <row r="64" spans="1:64" ht="15" thickBot="1" x14ac:dyDescent="0.35">
      <c r="A64" s="15" t="s">
        <v>167</v>
      </c>
      <c r="B64" s="14" t="s">
        <v>166</v>
      </c>
      <c r="C64" s="13">
        <v>0</v>
      </c>
      <c r="D64" s="13">
        <v>0</v>
      </c>
      <c r="E64" s="13">
        <v>0</v>
      </c>
      <c r="F64" s="13">
        <v>0</v>
      </c>
      <c r="G64" s="12">
        <v>0</v>
      </c>
      <c r="H64" s="12">
        <v>0</v>
      </c>
      <c r="I64" s="12">
        <v>0</v>
      </c>
      <c r="J64" s="12">
        <v>0</v>
      </c>
      <c r="K64" s="13">
        <v>0</v>
      </c>
      <c r="L64" s="13">
        <v>0</v>
      </c>
      <c r="M64" s="13">
        <v>0</v>
      </c>
      <c r="N64" s="13">
        <v>0</v>
      </c>
      <c r="O64" s="12">
        <v>0</v>
      </c>
      <c r="P64" s="12">
        <v>0</v>
      </c>
      <c r="Q64" s="12">
        <v>0</v>
      </c>
      <c r="R64" s="12">
        <v>0</v>
      </c>
      <c r="S64" s="13">
        <v>0</v>
      </c>
      <c r="T64" s="13" t="s">
        <v>86</v>
      </c>
      <c r="U64" s="13">
        <v>0</v>
      </c>
      <c r="V64" s="13">
        <v>0</v>
      </c>
      <c r="W64" s="12">
        <v>0</v>
      </c>
      <c r="X64" s="12">
        <v>0</v>
      </c>
      <c r="Y64" s="12">
        <v>0</v>
      </c>
      <c r="Z64" s="12">
        <v>0</v>
      </c>
      <c r="AA64" s="13">
        <v>0</v>
      </c>
      <c r="AB64" s="13">
        <v>0</v>
      </c>
      <c r="AC64" s="13">
        <v>0</v>
      </c>
      <c r="AD64" s="13" t="s">
        <v>86</v>
      </c>
      <c r="AE64" s="12">
        <v>0</v>
      </c>
      <c r="AF64" s="12">
        <v>0</v>
      </c>
      <c r="AG64" s="12">
        <v>0</v>
      </c>
      <c r="AH64" s="12">
        <v>0</v>
      </c>
      <c r="AI64" s="13">
        <v>0</v>
      </c>
      <c r="AJ64" s="13">
        <v>0</v>
      </c>
      <c r="AK64" s="13">
        <v>0</v>
      </c>
      <c r="AL64" s="13">
        <v>0</v>
      </c>
      <c r="AM64" s="12">
        <v>0</v>
      </c>
      <c r="AN64" s="12">
        <v>0</v>
      </c>
      <c r="AO64" s="12">
        <v>0</v>
      </c>
      <c r="AP64" s="12">
        <v>0</v>
      </c>
      <c r="AQ64" s="13">
        <v>0</v>
      </c>
      <c r="AR64" s="13">
        <v>0</v>
      </c>
      <c r="AS64" s="13">
        <v>0</v>
      </c>
      <c r="AT64" s="13">
        <v>0</v>
      </c>
      <c r="AU64" s="12">
        <v>0</v>
      </c>
      <c r="AV64" s="12">
        <v>0</v>
      </c>
      <c r="AW64" s="12">
        <v>0</v>
      </c>
      <c r="AX64" s="12">
        <v>0</v>
      </c>
      <c r="AY64" s="13">
        <v>0</v>
      </c>
      <c r="AZ64" s="13">
        <v>0</v>
      </c>
      <c r="BA64" s="13">
        <v>0</v>
      </c>
      <c r="BB64" s="13">
        <v>0</v>
      </c>
      <c r="BC64" s="12">
        <v>0</v>
      </c>
      <c r="BD64" s="12">
        <v>0</v>
      </c>
      <c r="BE64" s="12">
        <v>0</v>
      </c>
      <c r="BF64" s="12">
        <v>0</v>
      </c>
      <c r="BG64" s="13" t="s">
        <v>86</v>
      </c>
      <c r="BH64" s="13">
        <v>0</v>
      </c>
      <c r="BI64" s="13" t="s">
        <v>86</v>
      </c>
      <c r="BJ64" s="13">
        <v>0</v>
      </c>
      <c r="BK64" s="12" t="s">
        <v>86</v>
      </c>
      <c r="BL64" s="12" t="s">
        <v>86</v>
      </c>
    </row>
    <row r="65" spans="1:64" ht="15" thickBot="1" x14ac:dyDescent="0.35">
      <c r="A65" s="15" t="s">
        <v>165</v>
      </c>
      <c r="B65" s="14" t="s">
        <v>164</v>
      </c>
      <c r="C65" s="13">
        <v>-4321</v>
      </c>
      <c r="D65" s="13">
        <v>-5382</v>
      </c>
      <c r="E65" s="13">
        <v>-3689</v>
      </c>
      <c r="F65" s="13">
        <v>-3533</v>
      </c>
      <c r="G65" s="12">
        <v>-3799</v>
      </c>
      <c r="H65" s="12">
        <v>-4851</v>
      </c>
      <c r="I65" s="12">
        <v>-6241</v>
      </c>
      <c r="J65" s="12">
        <v>-6886</v>
      </c>
      <c r="K65" s="13">
        <v>-9289</v>
      </c>
      <c r="L65" s="13">
        <v>-10288</v>
      </c>
      <c r="M65" s="13">
        <v>-7176</v>
      </c>
      <c r="N65" s="13">
        <v>-5537</v>
      </c>
      <c r="O65" s="12">
        <v>-10119</v>
      </c>
      <c r="P65" s="12">
        <v>-11234</v>
      </c>
      <c r="Q65" s="12">
        <v>-8777</v>
      </c>
      <c r="R65" s="12">
        <v>-7437</v>
      </c>
      <c r="S65" s="13">
        <v>-10224</v>
      </c>
      <c r="T65" s="13">
        <v>-6272</v>
      </c>
      <c r="U65" s="13">
        <v>-6160</v>
      </c>
      <c r="V65" s="13">
        <v>-2394</v>
      </c>
      <c r="W65" s="12">
        <v>-6127</v>
      </c>
      <c r="X65" s="12">
        <v>-2916</v>
      </c>
      <c r="Y65" s="12">
        <v>940</v>
      </c>
      <c r="Z65" s="12">
        <v>817</v>
      </c>
      <c r="AA65" s="13">
        <v>-6153</v>
      </c>
      <c r="AB65" s="13">
        <v>-377</v>
      </c>
      <c r="AC65" s="13">
        <v>935</v>
      </c>
      <c r="AD65" s="13">
        <v>-15108</v>
      </c>
      <c r="AE65" s="12">
        <v>-18559</v>
      </c>
      <c r="AF65" s="12">
        <v>-16379</v>
      </c>
      <c r="AG65" s="12">
        <v>-15895</v>
      </c>
      <c r="AH65" s="12">
        <v>-11377</v>
      </c>
      <c r="AI65" s="13">
        <v>-15927</v>
      </c>
      <c r="AJ65" s="13">
        <v>-7630</v>
      </c>
      <c r="AK65" s="13">
        <v>-2967</v>
      </c>
      <c r="AL65" s="13">
        <v>-1897</v>
      </c>
      <c r="AM65" s="12">
        <v>-4893</v>
      </c>
      <c r="AN65" s="12">
        <v>-3399</v>
      </c>
      <c r="AO65" s="12">
        <v>-634</v>
      </c>
      <c r="AP65" s="12">
        <v>2827</v>
      </c>
      <c r="AQ65" s="13">
        <v>3481</v>
      </c>
      <c r="AR65" s="13">
        <v>11840</v>
      </c>
      <c r="AS65" s="13">
        <v>31840</v>
      </c>
      <c r="AT65" s="13">
        <v>45552</v>
      </c>
      <c r="AU65" s="12">
        <v>57068</v>
      </c>
      <c r="AV65" s="12">
        <v>-53855</v>
      </c>
      <c r="AW65" s="12">
        <v>44845</v>
      </c>
      <c r="AX65" s="12">
        <v>71352</v>
      </c>
      <c r="AY65" s="13">
        <v>57803</v>
      </c>
      <c r="AZ65" s="13">
        <v>44059</v>
      </c>
      <c r="BA65" s="13">
        <v>28807</v>
      </c>
      <c r="BB65" s="13">
        <v>50656</v>
      </c>
      <c r="BC65" s="12">
        <v>57807</v>
      </c>
      <c r="BD65" s="12">
        <v>92208</v>
      </c>
      <c r="BE65" s="12">
        <v>134849</v>
      </c>
      <c r="BF65" s="12">
        <v>169968</v>
      </c>
      <c r="BG65" s="13">
        <v>179666</v>
      </c>
      <c r="BH65" s="13">
        <v>184771</v>
      </c>
      <c r="BI65" s="13">
        <v>137345</v>
      </c>
      <c r="BJ65" s="13">
        <v>27041</v>
      </c>
      <c r="BK65" s="12">
        <v>-9592</v>
      </c>
      <c r="BL65" s="12">
        <v>12387</v>
      </c>
    </row>
    <row r="66" spans="1:64" ht="15" thickBot="1" x14ac:dyDescent="0.35">
      <c r="A66" s="15" t="s">
        <v>163</v>
      </c>
      <c r="B66" s="14" t="s">
        <v>162</v>
      </c>
      <c r="C66" s="13">
        <v>0</v>
      </c>
      <c r="D66" s="13">
        <v>0</v>
      </c>
      <c r="E66" s="13">
        <v>0</v>
      </c>
      <c r="F66" s="13">
        <v>0</v>
      </c>
      <c r="G66" s="12">
        <v>0</v>
      </c>
      <c r="H66" s="12">
        <v>0</v>
      </c>
      <c r="I66" s="12">
        <v>0</v>
      </c>
      <c r="J66" s="12">
        <v>0</v>
      </c>
      <c r="K66" s="13">
        <v>0</v>
      </c>
      <c r="L66" s="13">
        <v>0</v>
      </c>
      <c r="M66" s="13">
        <v>0</v>
      </c>
      <c r="N66" s="13">
        <v>0</v>
      </c>
      <c r="O66" s="12">
        <v>65</v>
      </c>
      <c r="P66" s="12">
        <v>151</v>
      </c>
      <c r="Q66" s="12">
        <v>130</v>
      </c>
      <c r="R66" s="12">
        <v>305</v>
      </c>
      <c r="S66" s="13">
        <v>182</v>
      </c>
      <c r="T66" s="13">
        <v>124</v>
      </c>
      <c r="U66" s="13">
        <v>141</v>
      </c>
      <c r="V66" s="13">
        <v>416</v>
      </c>
      <c r="W66" s="12">
        <v>109</v>
      </c>
      <c r="X66" s="12">
        <v>115</v>
      </c>
      <c r="Y66" s="12">
        <v>127</v>
      </c>
      <c r="Z66" s="12">
        <v>415</v>
      </c>
      <c r="AA66" s="13">
        <v>167</v>
      </c>
      <c r="AB66" s="13">
        <v>226</v>
      </c>
      <c r="AC66" s="13">
        <v>311</v>
      </c>
      <c r="AD66" s="13">
        <v>675</v>
      </c>
      <c r="AE66" s="12">
        <v>236</v>
      </c>
      <c r="AF66" s="12">
        <v>344</v>
      </c>
      <c r="AG66" s="12">
        <v>1095</v>
      </c>
      <c r="AH66" s="12">
        <v>1122</v>
      </c>
      <c r="AI66" s="13">
        <v>2667</v>
      </c>
      <c r="AJ66" s="13">
        <v>2117</v>
      </c>
      <c r="AK66" s="13">
        <v>1241</v>
      </c>
      <c r="AL66" s="13">
        <v>-34392</v>
      </c>
      <c r="AM66" s="12">
        <v>235</v>
      </c>
      <c r="AN66" s="12">
        <v>339</v>
      </c>
      <c r="AO66" s="12">
        <v>1154</v>
      </c>
      <c r="AP66" s="12">
        <v>1268</v>
      </c>
      <c r="AQ66" s="13">
        <v>389</v>
      </c>
      <c r="AR66" s="13">
        <v>624</v>
      </c>
      <c r="AS66" s="13">
        <v>276</v>
      </c>
      <c r="AT66" s="13">
        <v>-71849</v>
      </c>
      <c r="AU66" s="12">
        <v>-11868</v>
      </c>
      <c r="AV66" s="12">
        <v>-6561</v>
      </c>
      <c r="AW66" s="12">
        <v>5483</v>
      </c>
      <c r="AX66" s="12">
        <v>-1639</v>
      </c>
      <c r="AY66" s="13">
        <v>-12550</v>
      </c>
      <c r="AZ66" s="13">
        <v>6650</v>
      </c>
      <c r="BA66" s="13">
        <v>4368</v>
      </c>
      <c r="BB66" s="13">
        <v>-2010</v>
      </c>
      <c r="BC66" s="12">
        <v>5625</v>
      </c>
      <c r="BD66" s="12">
        <v>15232</v>
      </c>
      <c r="BE66" s="12">
        <v>19529</v>
      </c>
      <c r="BF66" s="12">
        <v>14579</v>
      </c>
      <c r="BG66" s="13">
        <v>32224</v>
      </c>
      <c r="BH66" s="13">
        <v>27429</v>
      </c>
      <c r="BI66" s="13">
        <v>23392</v>
      </c>
      <c r="BJ66" s="13">
        <v>-3507</v>
      </c>
      <c r="BK66" s="12">
        <v>5265</v>
      </c>
      <c r="BL66" s="12">
        <v>423</v>
      </c>
    </row>
    <row r="67" spans="1:64" ht="15" thickBot="1" x14ac:dyDescent="0.35">
      <c r="A67" s="15" t="s">
        <v>161</v>
      </c>
      <c r="B67" s="14" t="s">
        <v>160</v>
      </c>
      <c r="C67" s="13">
        <v>-4321</v>
      </c>
      <c r="D67" s="13">
        <v>-5382</v>
      </c>
      <c r="E67" s="13">
        <v>-3689</v>
      </c>
      <c r="F67" s="13">
        <v>-3533</v>
      </c>
      <c r="G67" s="12">
        <v>-3799</v>
      </c>
      <c r="H67" s="12">
        <v>-4851</v>
      </c>
      <c r="I67" s="12">
        <v>-6241</v>
      </c>
      <c r="J67" s="12">
        <v>-6886</v>
      </c>
      <c r="K67" s="13">
        <v>-9289</v>
      </c>
      <c r="L67" s="13">
        <v>-10288</v>
      </c>
      <c r="M67" s="13">
        <v>-7176</v>
      </c>
      <c r="N67" s="13">
        <v>-5537</v>
      </c>
      <c r="O67" s="12">
        <v>-10184</v>
      </c>
      <c r="P67" s="12">
        <v>-11385</v>
      </c>
      <c r="Q67" s="12">
        <v>-8907</v>
      </c>
      <c r="R67" s="12">
        <v>-7742</v>
      </c>
      <c r="S67" s="13">
        <v>-10406</v>
      </c>
      <c r="T67" s="13">
        <v>-6396</v>
      </c>
      <c r="U67" s="13">
        <v>-6301</v>
      </c>
      <c r="V67" s="13">
        <v>-2810</v>
      </c>
      <c r="W67" s="12">
        <v>-6236</v>
      </c>
      <c r="X67" s="12">
        <v>-3031</v>
      </c>
      <c r="Y67" s="12">
        <v>813</v>
      </c>
      <c r="Z67" s="12">
        <v>402</v>
      </c>
      <c r="AA67" s="13">
        <v>-6320</v>
      </c>
      <c r="AB67" s="13">
        <v>-603</v>
      </c>
      <c r="AC67" s="13">
        <v>624</v>
      </c>
      <c r="AD67" s="13">
        <v>-15783</v>
      </c>
      <c r="AE67" s="12">
        <v>-18795</v>
      </c>
      <c r="AF67" s="12">
        <v>-16723</v>
      </c>
      <c r="AG67" s="12">
        <v>-16990</v>
      </c>
      <c r="AH67" s="12">
        <v>-12499</v>
      </c>
      <c r="AI67" s="13">
        <v>-18594</v>
      </c>
      <c r="AJ67" s="13">
        <v>-9747</v>
      </c>
      <c r="AK67" s="13">
        <v>-4208</v>
      </c>
      <c r="AL67" s="13">
        <v>32495</v>
      </c>
      <c r="AM67" s="12">
        <v>-5128</v>
      </c>
      <c r="AN67" s="12">
        <v>-3738</v>
      </c>
      <c r="AO67" s="12">
        <v>-1788</v>
      </c>
      <c r="AP67" s="12">
        <v>1559</v>
      </c>
      <c r="AQ67" s="13">
        <v>3092</v>
      </c>
      <c r="AR67" s="13">
        <v>11216</v>
      </c>
      <c r="AS67" s="13">
        <v>31564</v>
      </c>
      <c r="AT67" s="13">
        <v>117401</v>
      </c>
      <c r="AU67" s="12">
        <v>68936</v>
      </c>
      <c r="AV67" s="12">
        <v>-47294</v>
      </c>
      <c r="AW67" s="12">
        <v>39362</v>
      </c>
      <c r="AX67" s="12">
        <v>72991</v>
      </c>
      <c r="AY67" s="13">
        <v>70353</v>
      </c>
      <c r="AZ67" s="13">
        <v>37409</v>
      </c>
      <c r="BA67" s="13">
        <v>24439</v>
      </c>
      <c r="BB67" s="13">
        <v>52666</v>
      </c>
      <c r="BC67" s="12">
        <v>52182</v>
      </c>
      <c r="BD67" s="12">
        <v>76976</v>
      </c>
      <c r="BE67" s="12">
        <v>115320</v>
      </c>
      <c r="BF67" s="12">
        <v>155389</v>
      </c>
      <c r="BG67" s="13">
        <v>147442</v>
      </c>
      <c r="BH67" s="13">
        <v>157342</v>
      </c>
      <c r="BI67" s="13">
        <v>113953</v>
      </c>
      <c r="BJ67" s="13">
        <v>30548</v>
      </c>
      <c r="BK67" s="12">
        <v>-14857</v>
      </c>
      <c r="BL67" s="12">
        <v>11964</v>
      </c>
    </row>
    <row r="68" spans="1:64" ht="15" thickBot="1" x14ac:dyDescent="0.35">
      <c r="A68" s="15" t="s">
        <v>159</v>
      </c>
      <c r="B68" s="14" t="s">
        <v>158</v>
      </c>
      <c r="C68" s="13">
        <v>-4321</v>
      </c>
      <c r="D68" s="13">
        <v>-5382</v>
      </c>
      <c r="E68" s="13">
        <v>-3689</v>
      </c>
      <c r="F68" s="13">
        <v>-3533</v>
      </c>
      <c r="G68" s="12">
        <v>-3799</v>
      </c>
      <c r="H68" s="12">
        <v>-4851</v>
      </c>
      <c r="I68" s="12">
        <v>-6241</v>
      </c>
      <c r="J68" s="12">
        <v>-6886</v>
      </c>
      <c r="K68" s="13">
        <v>-9289</v>
      </c>
      <c r="L68" s="13">
        <v>-10288</v>
      </c>
      <c r="M68" s="13">
        <v>-7176</v>
      </c>
      <c r="N68" s="13">
        <v>-5537</v>
      </c>
      <c r="O68" s="12">
        <v>-10184</v>
      </c>
      <c r="P68" s="12">
        <v>-11385</v>
      </c>
      <c r="Q68" s="12">
        <v>-8907</v>
      </c>
      <c r="R68" s="12">
        <v>-7742</v>
      </c>
      <c r="S68" s="13">
        <v>-10406</v>
      </c>
      <c r="T68" s="13">
        <v>-6396</v>
      </c>
      <c r="U68" s="13">
        <v>-6301</v>
      </c>
      <c r="V68" s="13">
        <v>-2810</v>
      </c>
      <c r="W68" s="12">
        <v>-6236</v>
      </c>
      <c r="X68" s="12">
        <v>-3031</v>
      </c>
      <c r="Y68" s="12">
        <v>813</v>
      </c>
      <c r="Z68" s="12">
        <v>402</v>
      </c>
      <c r="AA68" s="13">
        <v>-6320</v>
      </c>
      <c r="AB68" s="13">
        <v>-603</v>
      </c>
      <c r="AC68" s="13">
        <v>624</v>
      </c>
      <c r="AD68" s="13">
        <v>-15783</v>
      </c>
      <c r="AE68" s="12">
        <v>-18795</v>
      </c>
      <c r="AF68" s="12">
        <v>-16723</v>
      </c>
      <c r="AG68" s="12">
        <v>-16990</v>
      </c>
      <c r="AH68" s="12">
        <v>-12499</v>
      </c>
      <c r="AI68" s="13">
        <v>-18594</v>
      </c>
      <c r="AJ68" s="13">
        <v>-9747</v>
      </c>
      <c r="AK68" s="13">
        <v>-4208</v>
      </c>
      <c r="AL68" s="13">
        <v>32495</v>
      </c>
      <c r="AM68" s="12">
        <v>-5128</v>
      </c>
      <c r="AN68" s="12">
        <v>-3738</v>
      </c>
      <c r="AO68" s="12">
        <v>-1788</v>
      </c>
      <c r="AP68" s="12">
        <v>1559</v>
      </c>
      <c r="AQ68" s="13">
        <v>3092</v>
      </c>
      <c r="AR68" s="13">
        <v>11216</v>
      </c>
      <c r="AS68" s="13">
        <v>31564</v>
      </c>
      <c r="AT68" s="13">
        <v>117401</v>
      </c>
      <c r="AU68" s="12">
        <v>68936</v>
      </c>
      <c r="AV68" s="12">
        <v>-47294</v>
      </c>
      <c r="AW68" s="12">
        <v>39362</v>
      </c>
      <c r="AX68" s="12">
        <v>72991</v>
      </c>
      <c r="AY68" s="13">
        <v>70353</v>
      </c>
      <c r="AZ68" s="13">
        <v>37409</v>
      </c>
      <c r="BA68" s="13">
        <v>24439</v>
      </c>
      <c r="BB68" s="13">
        <v>52666</v>
      </c>
      <c r="BC68" s="12">
        <v>52182</v>
      </c>
      <c r="BD68" s="12">
        <v>76976</v>
      </c>
      <c r="BE68" s="12">
        <v>115320</v>
      </c>
      <c r="BF68" s="12">
        <v>155389</v>
      </c>
      <c r="BG68" s="13">
        <v>147442</v>
      </c>
      <c r="BH68" s="13">
        <v>157342</v>
      </c>
      <c r="BI68" s="13">
        <v>113953</v>
      </c>
      <c r="BJ68" s="13">
        <v>30548</v>
      </c>
      <c r="BK68" s="12">
        <v>-14857</v>
      </c>
      <c r="BL68" s="12">
        <v>11964</v>
      </c>
    </row>
    <row r="69" spans="1:64" ht="15" thickBot="1" x14ac:dyDescent="0.35">
      <c r="A69" s="15" t="s">
        <v>157</v>
      </c>
      <c r="B69" s="14" t="s">
        <v>156</v>
      </c>
      <c r="C69" s="18">
        <v>-0.11</v>
      </c>
      <c r="D69" s="18">
        <v>-0.14000000000000001</v>
      </c>
      <c r="E69" s="18">
        <v>-0.09</v>
      </c>
      <c r="F69" s="18">
        <v>-0.09</v>
      </c>
      <c r="G69" s="17">
        <v>-0.1</v>
      </c>
      <c r="H69" s="17">
        <v>-0.12</v>
      </c>
      <c r="I69" s="17">
        <v>-0.16</v>
      </c>
      <c r="J69" s="17">
        <v>-0.18</v>
      </c>
      <c r="K69" s="18">
        <v>-0.24</v>
      </c>
      <c r="L69" s="18">
        <v>-0.26</v>
      </c>
      <c r="M69" s="18">
        <v>-0.18</v>
      </c>
      <c r="N69" s="18">
        <v>-0.14000000000000001</v>
      </c>
      <c r="O69" s="17">
        <v>-0.26</v>
      </c>
      <c r="P69" s="17">
        <v>-0.28999999999999998</v>
      </c>
      <c r="Q69" s="17">
        <v>-0.22</v>
      </c>
      <c r="R69" s="17">
        <v>-0.19</v>
      </c>
      <c r="S69" s="18">
        <v>-0.25</v>
      </c>
      <c r="T69" s="18">
        <v>-0.15</v>
      </c>
      <c r="U69" s="18">
        <v>-0.15</v>
      </c>
      <c r="V69" s="18">
        <v>-7.0000000000000007E-2</v>
      </c>
      <c r="W69" s="17">
        <v>-0.15</v>
      </c>
      <c r="X69" s="17">
        <v>-7.0000000000000007E-2</v>
      </c>
      <c r="Y69" s="17">
        <v>0.02</v>
      </c>
      <c r="Z69" s="17">
        <v>0.01</v>
      </c>
      <c r="AA69" s="18">
        <v>-0.14000000000000001</v>
      </c>
      <c r="AB69" s="18">
        <v>-0.01</v>
      </c>
      <c r="AC69" s="18">
        <v>0.01</v>
      </c>
      <c r="AD69" s="18">
        <v>-0.35</v>
      </c>
      <c r="AE69" s="17">
        <v>-0.41</v>
      </c>
      <c r="AF69" s="17">
        <v>-0.36</v>
      </c>
      <c r="AG69" s="17">
        <v>-0.36</v>
      </c>
      <c r="AH69" s="17">
        <v>-0.2</v>
      </c>
      <c r="AI69" s="18">
        <v>-0.24</v>
      </c>
      <c r="AJ69" s="18">
        <v>-0.12</v>
      </c>
      <c r="AK69" s="18">
        <v>-0.05</v>
      </c>
      <c r="AL69" s="18">
        <v>0.38</v>
      </c>
      <c r="AM69" s="17">
        <v>-0.06</v>
      </c>
      <c r="AN69" s="17">
        <v>-0.04</v>
      </c>
      <c r="AO69" s="17">
        <v>-0.02</v>
      </c>
      <c r="AP69" s="17">
        <v>0.01</v>
      </c>
      <c r="AQ69" s="18">
        <v>0.03</v>
      </c>
      <c r="AR69" s="18">
        <v>0.1</v>
      </c>
      <c r="AS69" s="18">
        <v>0.26</v>
      </c>
      <c r="AT69" s="18">
        <v>0.96</v>
      </c>
      <c r="AU69" s="17">
        <v>0.56000000000000005</v>
      </c>
      <c r="AV69" s="17">
        <v>-0.38</v>
      </c>
      <c r="AW69" s="17">
        <v>0.31</v>
      </c>
      <c r="AX69" s="17">
        <v>0.56999999999999995</v>
      </c>
      <c r="AY69" s="18">
        <v>0.54</v>
      </c>
      <c r="AZ69" s="18">
        <v>0.28000000000000003</v>
      </c>
      <c r="BA69" s="18">
        <v>0.18</v>
      </c>
      <c r="BB69" s="18">
        <v>0.39</v>
      </c>
      <c r="BC69" s="17">
        <v>0.39</v>
      </c>
      <c r="BD69" s="17">
        <v>0.56999999999999995</v>
      </c>
      <c r="BE69" s="17">
        <v>0.85</v>
      </c>
      <c r="BF69" s="17">
        <v>1.1399999999999999</v>
      </c>
      <c r="BG69" s="18">
        <v>1.08</v>
      </c>
      <c r="BH69" s="18">
        <v>1.1499999999999999</v>
      </c>
      <c r="BI69" s="18">
        <v>0.84</v>
      </c>
      <c r="BJ69" s="18">
        <v>0.22</v>
      </c>
      <c r="BK69" s="17">
        <v>-0.11</v>
      </c>
      <c r="BL69" s="17">
        <v>0.09</v>
      </c>
    </row>
    <row r="70" spans="1:64" ht="15" thickBot="1" x14ac:dyDescent="0.35">
      <c r="A70" s="15" t="s">
        <v>155</v>
      </c>
      <c r="B70" s="14" t="s">
        <v>154</v>
      </c>
      <c r="C70" s="18">
        <v>-0.11</v>
      </c>
      <c r="D70" s="18">
        <v>-0.14000000000000001</v>
      </c>
      <c r="E70" s="18">
        <v>-0.09</v>
      </c>
      <c r="F70" s="18">
        <v>-0.09</v>
      </c>
      <c r="G70" s="17">
        <v>-0.1</v>
      </c>
      <c r="H70" s="17">
        <v>-0.12</v>
      </c>
      <c r="I70" s="17">
        <v>-0.16</v>
      </c>
      <c r="J70" s="17">
        <v>-0.18</v>
      </c>
      <c r="K70" s="18">
        <v>-0.24</v>
      </c>
      <c r="L70" s="18">
        <v>-0.26</v>
      </c>
      <c r="M70" s="18">
        <v>-0.18</v>
      </c>
      <c r="N70" s="18">
        <v>-0.14000000000000001</v>
      </c>
      <c r="O70" s="17">
        <v>-0.26</v>
      </c>
      <c r="P70" s="17">
        <v>-0.28999999999999998</v>
      </c>
      <c r="Q70" s="17">
        <v>-0.22</v>
      </c>
      <c r="R70" s="17">
        <v>-0.19</v>
      </c>
      <c r="S70" s="18">
        <v>-0.25</v>
      </c>
      <c r="T70" s="18">
        <v>-0.15</v>
      </c>
      <c r="U70" s="18">
        <v>-0.15</v>
      </c>
      <c r="V70" s="18">
        <v>-7.0000000000000007E-2</v>
      </c>
      <c r="W70" s="17">
        <v>-0.15</v>
      </c>
      <c r="X70" s="17">
        <v>-7.0000000000000007E-2</v>
      </c>
      <c r="Y70" s="17">
        <v>0.02</v>
      </c>
      <c r="Z70" s="17">
        <v>0.01</v>
      </c>
      <c r="AA70" s="18">
        <v>-0.14000000000000001</v>
      </c>
      <c r="AB70" s="18">
        <v>-0.01</v>
      </c>
      <c r="AC70" s="18">
        <v>0.01</v>
      </c>
      <c r="AD70" s="18">
        <v>-0.35</v>
      </c>
      <c r="AE70" s="17">
        <v>-0.41</v>
      </c>
      <c r="AF70" s="17">
        <v>-0.36</v>
      </c>
      <c r="AG70" s="17">
        <v>-0.36</v>
      </c>
      <c r="AH70" s="17">
        <v>-0.2</v>
      </c>
      <c r="AI70" s="18">
        <v>-0.24</v>
      </c>
      <c r="AJ70" s="18">
        <v>-0.12</v>
      </c>
      <c r="AK70" s="18">
        <v>-0.05</v>
      </c>
      <c r="AL70" s="18">
        <v>0.38</v>
      </c>
      <c r="AM70" s="17">
        <v>-0.06</v>
      </c>
      <c r="AN70" s="17">
        <v>-0.04</v>
      </c>
      <c r="AO70" s="17">
        <v>-0.02</v>
      </c>
      <c r="AP70" s="17">
        <v>0.01</v>
      </c>
      <c r="AQ70" s="18">
        <v>0.03</v>
      </c>
      <c r="AR70" s="18">
        <v>0.09</v>
      </c>
      <c r="AS70" s="18">
        <v>0.24</v>
      </c>
      <c r="AT70" s="18">
        <v>0.88</v>
      </c>
      <c r="AU70" s="17">
        <v>0.5</v>
      </c>
      <c r="AV70" s="17">
        <v>-0.38</v>
      </c>
      <c r="AW70" s="17">
        <v>0.28000000000000003</v>
      </c>
      <c r="AX70" s="17">
        <v>0.5</v>
      </c>
      <c r="AY70" s="18">
        <v>0.48</v>
      </c>
      <c r="AZ70" s="18">
        <v>0.26</v>
      </c>
      <c r="BA70" s="18">
        <v>0.17</v>
      </c>
      <c r="BB70" s="18">
        <v>0.37</v>
      </c>
      <c r="BC70" s="17">
        <v>0.36</v>
      </c>
      <c r="BD70" s="17">
        <v>0.54</v>
      </c>
      <c r="BE70" s="17">
        <v>0.79</v>
      </c>
      <c r="BF70" s="17">
        <v>1.07</v>
      </c>
      <c r="BG70" s="18">
        <v>1.01</v>
      </c>
      <c r="BH70" s="18">
        <v>1.08</v>
      </c>
      <c r="BI70" s="18">
        <v>0.79</v>
      </c>
      <c r="BJ70" s="18">
        <v>0.22</v>
      </c>
      <c r="BK70" s="17">
        <v>-0.11</v>
      </c>
      <c r="BL70" s="17">
        <v>0.09</v>
      </c>
    </row>
    <row r="71" spans="1:64" ht="15" thickBot="1" x14ac:dyDescent="0.35">
      <c r="A71" s="15" t="s">
        <v>153</v>
      </c>
      <c r="B71" s="14" t="s">
        <v>152</v>
      </c>
      <c r="C71" s="13" t="s">
        <v>86</v>
      </c>
      <c r="D71" s="13" t="s">
        <v>86</v>
      </c>
      <c r="E71" s="13" t="s">
        <v>86</v>
      </c>
      <c r="F71" s="13" t="s">
        <v>86</v>
      </c>
      <c r="G71" s="12" t="s">
        <v>86</v>
      </c>
      <c r="H71" s="12" t="s">
        <v>86</v>
      </c>
      <c r="I71" s="12" t="s">
        <v>86</v>
      </c>
      <c r="J71" s="12" t="s">
        <v>86</v>
      </c>
      <c r="K71" s="13" t="s">
        <v>86</v>
      </c>
      <c r="L71" s="13" t="s">
        <v>86</v>
      </c>
      <c r="M71" s="13" t="s">
        <v>86</v>
      </c>
      <c r="N71" s="13" t="s">
        <v>86</v>
      </c>
      <c r="O71" s="12" t="s">
        <v>86</v>
      </c>
      <c r="P71" s="12" t="s">
        <v>86</v>
      </c>
      <c r="Q71" s="12" t="s">
        <v>86</v>
      </c>
      <c r="R71" s="12" t="s">
        <v>86</v>
      </c>
      <c r="S71" s="13" t="s">
        <v>86</v>
      </c>
      <c r="T71" s="13" t="s">
        <v>86</v>
      </c>
      <c r="U71" s="13" t="s">
        <v>86</v>
      </c>
      <c r="V71" s="13" t="s">
        <v>86</v>
      </c>
      <c r="W71" s="12" t="s">
        <v>86</v>
      </c>
      <c r="X71" s="12" t="s">
        <v>86</v>
      </c>
      <c r="Y71" s="12" t="s">
        <v>86</v>
      </c>
      <c r="Z71" s="12" t="s">
        <v>86</v>
      </c>
      <c r="AA71" s="13" t="s">
        <v>86</v>
      </c>
      <c r="AB71" s="13" t="s">
        <v>86</v>
      </c>
      <c r="AC71" s="13" t="s">
        <v>86</v>
      </c>
      <c r="AD71" s="13" t="s">
        <v>86</v>
      </c>
      <c r="AE71" s="12" t="s">
        <v>86</v>
      </c>
      <c r="AF71" s="12" t="s">
        <v>86</v>
      </c>
      <c r="AG71" s="12" t="s">
        <v>86</v>
      </c>
      <c r="AH71" s="12" t="s">
        <v>86</v>
      </c>
      <c r="AI71" s="13" t="s">
        <v>86</v>
      </c>
      <c r="AJ71" s="13" t="s">
        <v>86</v>
      </c>
      <c r="AK71" s="13" t="s">
        <v>86</v>
      </c>
      <c r="AL71" s="13" t="s">
        <v>86</v>
      </c>
      <c r="AM71" s="12" t="s">
        <v>86</v>
      </c>
      <c r="AN71" s="12" t="s">
        <v>86</v>
      </c>
      <c r="AO71" s="12" t="s">
        <v>86</v>
      </c>
      <c r="AP71" s="12" t="s">
        <v>86</v>
      </c>
      <c r="AQ71" s="13" t="s">
        <v>86</v>
      </c>
      <c r="AR71" s="13" t="s">
        <v>86</v>
      </c>
      <c r="AS71" s="13" t="s">
        <v>86</v>
      </c>
      <c r="AT71" s="13" t="s">
        <v>86</v>
      </c>
      <c r="AU71" s="12" t="s">
        <v>86</v>
      </c>
      <c r="AV71" s="12" t="s">
        <v>86</v>
      </c>
      <c r="AW71" s="12" t="s">
        <v>86</v>
      </c>
      <c r="AX71" s="12" t="s">
        <v>86</v>
      </c>
      <c r="AY71" s="13" t="s">
        <v>86</v>
      </c>
      <c r="AZ71" s="13" t="s">
        <v>86</v>
      </c>
      <c r="BA71" s="13" t="s">
        <v>86</v>
      </c>
      <c r="BB71" s="13" t="s">
        <v>86</v>
      </c>
      <c r="BC71" s="12" t="s">
        <v>86</v>
      </c>
      <c r="BD71" s="12" t="s">
        <v>86</v>
      </c>
      <c r="BE71" s="12" t="s">
        <v>86</v>
      </c>
      <c r="BF71" s="12" t="s">
        <v>86</v>
      </c>
      <c r="BG71" s="13" t="s">
        <v>86</v>
      </c>
      <c r="BH71" s="13" t="s">
        <v>86</v>
      </c>
      <c r="BI71" s="13" t="s">
        <v>86</v>
      </c>
      <c r="BJ71" s="13" t="s">
        <v>86</v>
      </c>
      <c r="BK71" s="12" t="s">
        <v>86</v>
      </c>
      <c r="BL71" s="12" t="s">
        <v>86</v>
      </c>
    </row>
    <row r="72" spans="1:64" ht="15" thickBot="1" x14ac:dyDescent="0.35">
      <c r="A72" s="15" t="s">
        <v>151</v>
      </c>
      <c r="B72" s="14" t="s">
        <v>150</v>
      </c>
      <c r="C72" s="13" t="s">
        <v>86</v>
      </c>
      <c r="D72" s="13" t="s">
        <v>86</v>
      </c>
      <c r="E72" s="13" t="s">
        <v>86</v>
      </c>
      <c r="F72" s="13" t="s">
        <v>86</v>
      </c>
      <c r="G72" s="12" t="s">
        <v>86</v>
      </c>
      <c r="H72" s="12" t="s">
        <v>86</v>
      </c>
      <c r="I72" s="12" t="s">
        <v>86</v>
      </c>
      <c r="J72" s="12" t="s">
        <v>86</v>
      </c>
      <c r="K72" s="13" t="s">
        <v>86</v>
      </c>
      <c r="L72" s="13" t="s">
        <v>86</v>
      </c>
      <c r="M72" s="13" t="s">
        <v>86</v>
      </c>
      <c r="N72" s="13" t="s">
        <v>86</v>
      </c>
      <c r="O72" s="12" t="s">
        <v>86</v>
      </c>
      <c r="P72" s="12" t="s">
        <v>86</v>
      </c>
      <c r="Q72" s="12" t="s">
        <v>86</v>
      </c>
      <c r="R72" s="12" t="s">
        <v>86</v>
      </c>
      <c r="S72" s="13" t="s">
        <v>86</v>
      </c>
      <c r="T72" s="13" t="s">
        <v>86</v>
      </c>
      <c r="U72" s="13" t="s">
        <v>86</v>
      </c>
      <c r="V72" s="13" t="s">
        <v>86</v>
      </c>
      <c r="W72" s="12" t="s">
        <v>86</v>
      </c>
      <c r="X72" s="12" t="s">
        <v>86</v>
      </c>
      <c r="Y72" s="12" t="s">
        <v>86</v>
      </c>
      <c r="Z72" s="12" t="s">
        <v>86</v>
      </c>
      <c r="AA72" s="13" t="s">
        <v>86</v>
      </c>
      <c r="AB72" s="13" t="s">
        <v>86</v>
      </c>
      <c r="AC72" s="13" t="s">
        <v>86</v>
      </c>
      <c r="AD72" s="13" t="s">
        <v>86</v>
      </c>
      <c r="AE72" s="12" t="s">
        <v>86</v>
      </c>
      <c r="AF72" s="12" t="s">
        <v>86</v>
      </c>
      <c r="AG72" s="12" t="s">
        <v>86</v>
      </c>
      <c r="AH72" s="12" t="s">
        <v>86</v>
      </c>
      <c r="AI72" s="13" t="s">
        <v>86</v>
      </c>
      <c r="AJ72" s="13" t="s">
        <v>86</v>
      </c>
      <c r="AK72" s="13" t="s">
        <v>86</v>
      </c>
      <c r="AL72" s="13" t="s">
        <v>86</v>
      </c>
      <c r="AM72" s="12" t="s">
        <v>86</v>
      </c>
      <c r="AN72" s="12" t="s">
        <v>86</v>
      </c>
      <c r="AO72" s="12" t="s">
        <v>86</v>
      </c>
      <c r="AP72" s="12" t="s">
        <v>86</v>
      </c>
      <c r="AQ72" s="13" t="s">
        <v>86</v>
      </c>
      <c r="AR72" s="13" t="s">
        <v>86</v>
      </c>
      <c r="AS72" s="13" t="s">
        <v>86</v>
      </c>
      <c r="AT72" s="13" t="s">
        <v>86</v>
      </c>
      <c r="AU72" s="12" t="s">
        <v>86</v>
      </c>
      <c r="AV72" s="12" t="s">
        <v>86</v>
      </c>
      <c r="AW72" s="12" t="s">
        <v>86</v>
      </c>
      <c r="AX72" s="12" t="s">
        <v>86</v>
      </c>
      <c r="AY72" s="13" t="s">
        <v>86</v>
      </c>
      <c r="AZ72" s="13" t="s">
        <v>86</v>
      </c>
      <c r="BA72" s="13" t="s">
        <v>86</v>
      </c>
      <c r="BB72" s="13" t="s">
        <v>86</v>
      </c>
      <c r="BC72" s="12" t="s">
        <v>86</v>
      </c>
      <c r="BD72" s="12" t="s">
        <v>86</v>
      </c>
      <c r="BE72" s="12" t="s">
        <v>86</v>
      </c>
      <c r="BF72" s="12" t="s">
        <v>86</v>
      </c>
      <c r="BG72" s="13" t="s">
        <v>86</v>
      </c>
      <c r="BH72" s="13" t="s">
        <v>86</v>
      </c>
      <c r="BI72" s="13" t="s">
        <v>86</v>
      </c>
      <c r="BJ72" s="13" t="s">
        <v>86</v>
      </c>
      <c r="BK72" s="12" t="s">
        <v>86</v>
      </c>
      <c r="BL72" s="12" t="s">
        <v>86</v>
      </c>
    </row>
    <row r="73" spans="1:64" ht="15" thickBot="1" x14ac:dyDescent="0.35">
      <c r="A73" s="15" t="s">
        <v>149</v>
      </c>
      <c r="B73" s="14" t="s">
        <v>148</v>
      </c>
      <c r="C73" s="13" t="s">
        <v>86</v>
      </c>
      <c r="D73" s="13" t="s">
        <v>86</v>
      </c>
      <c r="E73" s="13" t="s">
        <v>86</v>
      </c>
      <c r="F73" s="13" t="s">
        <v>86</v>
      </c>
      <c r="G73" s="12" t="s">
        <v>86</v>
      </c>
      <c r="H73" s="12" t="s">
        <v>86</v>
      </c>
      <c r="I73" s="12" t="s">
        <v>86</v>
      </c>
      <c r="J73" s="12" t="s">
        <v>86</v>
      </c>
      <c r="K73" s="13" t="s">
        <v>86</v>
      </c>
      <c r="L73" s="13" t="s">
        <v>86</v>
      </c>
      <c r="M73" s="13" t="s">
        <v>86</v>
      </c>
      <c r="N73" s="13" t="s">
        <v>86</v>
      </c>
      <c r="O73" s="12" t="s">
        <v>86</v>
      </c>
      <c r="P73" s="12" t="s">
        <v>86</v>
      </c>
      <c r="Q73" s="12" t="s">
        <v>86</v>
      </c>
      <c r="R73" s="12" t="s">
        <v>86</v>
      </c>
      <c r="S73" s="13" t="s">
        <v>86</v>
      </c>
      <c r="T73" s="13" t="s">
        <v>86</v>
      </c>
      <c r="U73" s="13" t="s">
        <v>86</v>
      </c>
      <c r="V73" s="13" t="s">
        <v>86</v>
      </c>
      <c r="W73" s="12" t="s">
        <v>86</v>
      </c>
      <c r="X73" s="12" t="s">
        <v>86</v>
      </c>
      <c r="Y73" s="12" t="s">
        <v>86</v>
      </c>
      <c r="Z73" s="12" t="s">
        <v>86</v>
      </c>
      <c r="AA73" s="13" t="s">
        <v>86</v>
      </c>
      <c r="AB73" s="13" t="s">
        <v>86</v>
      </c>
      <c r="AC73" s="13" t="s">
        <v>86</v>
      </c>
      <c r="AD73" s="13" t="s">
        <v>86</v>
      </c>
      <c r="AE73" s="12" t="s">
        <v>86</v>
      </c>
      <c r="AF73" s="12" t="s">
        <v>86</v>
      </c>
      <c r="AG73" s="12" t="s">
        <v>86</v>
      </c>
      <c r="AH73" s="12" t="s">
        <v>86</v>
      </c>
      <c r="AI73" s="13" t="s">
        <v>86</v>
      </c>
      <c r="AJ73" s="13" t="s">
        <v>86</v>
      </c>
      <c r="AK73" s="13" t="s">
        <v>86</v>
      </c>
      <c r="AL73" s="13" t="s">
        <v>86</v>
      </c>
      <c r="AM73" s="12" t="s">
        <v>86</v>
      </c>
      <c r="AN73" s="12" t="s">
        <v>86</v>
      </c>
      <c r="AO73" s="12" t="s">
        <v>86</v>
      </c>
      <c r="AP73" s="12" t="s">
        <v>86</v>
      </c>
      <c r="AQ73" s="13" t="s">
        <v>86</v>
      </c>
      <c r="AR73" s="13" t="s">
        <v>86</v>
      </c>
      <c r="AS73" s="13" t="s">
        <v>86</v>
      </c>
      <c r="AT73" s="13" t="s">
        <v>86</v>
      </c>
      <c r="AU73" s="12" t="s">
        <v>86</v>
      </c>
      <c r="AV73" s="12" t="s">
        <v>86</v>
      </c>
      <c r="AW73" s="12" t="s">
        <v>86</v>
      </c>
      <c r="AX73" s="12" t="s">
        <v>86</v>
      </c>
      <c r="AY73" s="13" t="s">
        <v>86</v>
      </c>
      <c r="AZ73" s="13" t="s">
        <v>86</v>
      </c>
      <c r="BA73" s="13" t="s">
        <v>86</v>
      </c>
      <c r="BB73" s="13" t="s">
        <v>86</v>
      </c>
      <c r="BC73" s="12" t="s">
        <v>86</v>
      </c>
      <c r="BD73" s="12" t="s">
        <v>86</v>
      </c>
      <c r="BE73" s="12" t="s">
        <v>86</v>
      </c>
      <c r="BF73" s="12" t="s">
        <v>86</v>
      </c>
      <c r="BG73" s="13" t="s">
        <v>86</v>
      </c>
      <c r="BH73" s="13" t="s">
        <v>86</v>
      </c>
      <c r="BI73" s="13" t="s">
        <v>86</v>
      </c>
      <c r="BJ73" s="13" t="s">
        <v>86</v>
      </c>
      <c r="BK73" s="12" t="s">
        <v>86</v>
      </c>
      <c r="BL73" s="12" t="s">
        <v>86</v>
      </c>
    </row>
    <row r="74" spans="1:64" ht="15" thickBot="1" x14ac:dyDescent="0.35">
      <c r="A74" s="15" t="s">
        <v>147</v>
      </c>
      <c r="B74" s="14" t="s">
        <v>146</v>
      </c>
      <c r="C74" s="13" t="s">
        <v>86</v>
      </c>
      <c r="D74" s="13" t="s">
        <v>86</v>
      </c>
      <c r="E74" s="13" t="s">
        <v>86</v>
      </c>
      <c r="F74" s="13" t="s">
        <v>86</v>
      </c>
      <c r="G74" s="12" t="s">
        <v>86</v>
      </c>
      <c r="H74" s="12" t="s">
        <v>86</v>
      </c>
      <c r="I74" s="12" t="s">
        <v>86</v>
      </c>
      <c r="J74" s="12" t="s">
        <v>86</v>
      </c>
      <c r="K74" s="13" t="s">
        <v>86</v>
      </c>
      <c r="L74" s="13" t="s">
        <v>86</v>
      </c>
      <c r="M74" s="13" t="s">
        <v>86</v>
      </c>
      <c r="N74" s="13" t="s">
        <v>86</v>
      </c>
      <c r="O74" s="12" t="s">
        <v>86</v>
      </c>
      <c r="P74" s="12" t="s">
        <v>86</v>
      </c>
      <c r="Q74" s="12" t="s">
        <v>86</v>
      </c>
      <c r="R74" s="12" t="s">
        <v>86</v>
      </c>
      <c r="S74" s="13" t="s">
        <v>86</v>
      </c>
      <c r="T74" s="13" t="s">
        <v>86</v>
      </c>
      <c r="U74" s="13" t="s">
        <v>86</v>
      </c>
      <c r="V74" s="13" t="s">
        <v>86</v>
      </c>
      <c r="W74" s="12" t="s">
        <v>86</v>
      </c>
      <c r="X74" s="12" t="s">
        <v>86</v>
      </c>
      <c r="Y74" s="12" t="s">
        <v>86</v>
      </c>
      <c r="Z74" s="12" t="s">
        <v>86</v>
      </c>
      <c r="AA74" s="13" t="s">
        <v>86</v>
      </c>
      <c r="AB74" s="13" t="s">
        <v>86</v>
      </c>
      <c r="AC74" s="13" t="s">
        <v>86</v>
      </c>
      <c r="AD74" s="13" t="s">
        <v>86</v>
      </c>
      <c r="AE74" s="12" t="s">
        <v>86</v>
      </c>
      <c r="AF74" s="12" t="s">
        <v>86</v>
      </c>
      <c r="AG74" s="12" t="s">
        <v>86</v>
      </c>
      <c r="AH74" s="12" t="s">
        <v>86</v>
      </c>
      <c r="AI74" s="13" t="s">
        <v>86</v>
      </c>
      <c r="AJ74" s="13" t="s">
        <v>86</v>
      </c>
      <c r="AK74" s="13" t="s">
        <v>86</v>
      </c>
      <c r="AL74" s="13" t="s">
        <v>86</v>
      </c>
      <c r="AM74" s="12" t="s">
        <v>86</v>
      </c>
      <c r="AN74" s="12" t="s">
        <v>86</v>
      </c>
      <c r="AO74" s="12" t="s">
        <v>86</v>
      </c>
      <c r="AP74" s="12" t="s">
        <v>86</v>
      </c>
      <c r="AQ74" s="13" t="s">
        <v>86</v>
      </c>
      <c r="AR74" s="13" t="s">
        <v>86</v>
      </c>
      <c r="AS74" s="13" t="s">
        <v>86</v>
      </c>
      <c r="AT74" s="13" t="s">
        <v>86</v>
      </c>
      <c r="AU74" s="12" t="s">
        <v>86</v>
      </c>
      <c r="AV74" s="12" t="s">
        <v>86</v>
      </c>
      <c r="AW74" s="12" t="s">
        <v>86</v>
      </c>
      <c r="AX74" s="12" t="s">
        <v>86</v>
      </c>
      <c r="AY74" s="13" t="s">
        <v>86</v>
      </c>
      <c r="AZ74" s="13" t="s">
        <v>86</v>
      </c>
      <c r="BA74" s="13" t="s">
        <v>86</v>
      </c>
      <c r="BB74" s="13" t="s">
        <v>86</v>
      </c>
      <c r="BC74" s="12" t="s">
        <v>86</v>
      </c>
      <c r="BD74" s="12" t="s">
        <v>86</v>
      </c>
      <c r="BE74" s="12" t="s">
        <v>86</v>
      </c>
      <c r="BF74" s="12" t="s">
        <v>86</v>
      </c>
      <c r="BG74" s="13" t="s">
        <v>86</v>
      </c>
      <c r="BH74" s="13" t="s">
        <v>86</v>
      </c>
      <c r="BI74" s="13" t="s">
        <v>86</v>
      </c>
      <c r="BJ74" s="13" t="s">
        <v>86</v>
      </c>
      <c r="BK74" s="12" t="s">
        <v>86</v>
      </c>
      <c r="BL74" s="12" t="s">
        <v>86</v>
      </c>
    </row>
    <row r="75" spans="1:64" ht="15" thickBot="1" x14ac:dyDescent="0.35">
      <c r="A75" s="15" t="s">
        <v>145</v>
      </c>
      <c r="B75" s="14" t="s">
        <v>144</v>
      </c>
      <c r="C75" s="13" t="s">
        <v>86</v>
      </c>
      <c r="D75" s="13" t="s">
        <v>86</v>
      </c>
      <c r="E75" s="13" t="s">
        <v>86</v>
      </c>
      <c r="F75" s="13" t="s">
        <v>86</v>
      </c>
      <c r="G75" s="12" t="s">
        <v>86</v>
      </c>
      <c r="H75" s="12" t="s">
        <v>86</v>
      </c>
      <c r="I75" s="12" t="s">
        <v>86</v>
      </c>
      <c r="J75" s="12" t="s">
        <v>86</v>
      </c>
      <c r="K75" s="13" t="s">
        <v>86</v>
      </c>
      <c r="L75" s="13" t="s">
        <v>86</v>
      </c>
      <c r="M75" s="13" t="s">
        <v>86</v>
      </c>
      <c r="N75" s="13" t="s">
        <v>86</v>
      </c>
      <c r="O75" s="12" t="s">
        <v>86</v>
      </c>
      <c r="P75" s="12" t="s">
        <v>86</v>
      </c>
      <c r="Q75" s="12" t="s">
        <v>86</v>
      </c>
      <c r="R75" s="12" t="s">
        <v>86</v>
      </c>
      <c r="S75" s="13" t="s">
        <v>86</v>
      </c>
      <c r="T75" s="13" t="s">
        <v>86</v>
      </c>
      <c r="U75" s="13" t="s">
        <v>86</v>
      </c>
      <c r="V75" s="13" t="s">
        <v>86</v>
      </c>
      <c r="W75" s="12" t="s">
        <v>86</v>
      </c>
      <c r="X75" s="12" t="s">
        <v>86</v>
      </c>
      <c r="Y75" s="12" t="s">
        <v>86</v>
      </c>
      <c r="Z75" s="12" t="s">
        <v>86</v>
      </c>
      <c r="AA75" s="13" t="s">
        <v>86</v>
      </c>
      <c r="AB75" s="13" t="s">
        <v>86</v>
      </c>
      <c r="AC75" s="13" t="s">
        <v>86</v>
      </c>
      <c r="AD75" s="13" t="s">
        <v>86</v>
      </c>
      <c r="AE75" s="12" t="s">
        <v>86</v>
      </c>
      <c r="AF75" s="12" t="s">
        <v>86</v>
      </c>
      <c r="AG75" s="12" t="s">
        <v>86</v>
      </c>
      <c r="AH75" s="12" t="s">
        <v>86</v>
      </c>
      <c r="AI75" s="13" t="s">
        <v>86</v>
      </c>
      <c r="AJ75" s="13" t="s">
        <v>86</v>
      </c>
      <c r="AK75" s="13" t="s">
        <v>86</v>
      </c>
      <c r="AL75" s="13" t="s">
        <v>86</v>
      </c>
      <c r="AM75" s="12" t="s">
        <v>86</v>
      </c>
      <c r="AN75" s="12" t="s">
        <v>86</v>
      </c>
      <c r="AO75" s="12" t="s">
        <v>86</v>
      </c>
      <c r="AP75" s="12" t="s">
        <v>86</v>
      </c>
      <c r="AQ75" s="13" t="s">
        <v>86</v>
      </c>
      <c r="AR75" s="13" t="s">
        <v>86</v>
      </c>
      <c r="AS75" s="13" t="s">
        <v>86</v>
      </c>
      <c r="AT75" s="13" t="s">
        <v>86</v>
      </c>
      <c r="AU75" s="12" t="s">
        <v>86</v>
      </c>
      <c r="AV75" s="12" t="s">
        <v>86</v>
      </c>
      <c r="AW75" s="12" t="s">
        <v>86</v>
      </c>
      <c r="AX75" s="12" t="s">
        <v>86</v>
      </c>
      <c r="AY75" s="13" t="s">
        <v>86</v>
      </c>
      <c r="AZ75" s="13" t="s">
        <v>86</v>
      </c>
      <c r="BA75" s="13" t="s">
        <v>86</v>
      </c>
      <c r="BB75" s="13" t="s">
        <v>86</v>
      </c>
      <c r="BC75" s="12" t="s">
        <v>86</v>
      </c>
      <c r="BD75" s="12" t="s">
        <v>86</v>
      </c>
      <c r="BE75" s="12" t="s">
        <v>86</v>
      </c>
      <c r="BF75" s="12" t="s">
        <v>86</v>
      </c>
      <c r="BG75" s="13" t="s">
        <v>86</v>
      </c>
      <c r="BH75" s="13" t="s">
        <v>86</v>
      </c>
      <c r="BI75" s="13" t="s">
        <v>86</v>
      </c>
      <c r="BJ75" s="13" t="s">
        <v>86</v>
      </c>
      <c r="BK75" s="12" t="s">
        <v>86</v>
      </c>
      <c r="BL75" s="12" t="s">
        <v>86</v>
      </c>
    </row>
    <row r="76" spans="1:64" ht="15" thickBot="1" x14ac:dyDescent="0.35">
      <c r="A76" s="15" t="s">
        <v>143</v>
      </c>
      <c r="B76" s="14" t="s">
        <v>142</v>
      </c>
      <c r="C76" s="13" t="s">
        <v>86</v>
      </c>
      <c r="D76" s="13" t="s">
        <v>86</v>
      </c>
      <c r="E76" s="13" t="s">
        <v>86</v>
      </c>
      <c r="F76" s="13" t="s">
        <v>86</v>
      </c>
      <c r="G76" s="12" t="s">
        <v>86</v>
      </c>
      <c r="H76" s="12" t="s">
        <v>86</v>
      </c>
      <c r="I76" s="12" t="s">
        <v>86</v>
      </c>
      <c r="J76" s="12" t="s">
        <v>86</v>
      </c>
      <c r="K76" s="13" t="s">
        <v>86</v>
      </c>
      <c r="L76" s="13" t="s">
        <v>86</v>
      </c>
      <c r="M76" s="13" t="s">
        <v>86</v>
      </c>
      <c r="N76" s="13" t="s">
        <v>86</v>
      </c>
      <c r="O76" s="12" t="s">
        <v>86</v>
      </c>
      <c r="P76" s="12" t="s">
        <v>86</v>
      </c>
      <c r="Q76" s="12" t="s">
        <v>86</v>
      </c>
      <c r="R76" s="12" t="s">
        <v>86</v>
      </c>
      <c r="S76" s="13" t="s">
        <v>86</v>
      </c>
      <c r="T76" s="13" t="s">
        <v>86</v>
      </c>
      <c r="U76" s="13" t="s">
        <v>86</v>
      </c>
      <c r="V76" s="13" t="s">
        <v>86</v>
      </c>
      <c r="W76" s="12" t="s">
        <v>86</v>
      </c>
      <c r="X76" s="12" t="s">
        <v>86</v>
      </c>
      <c r="Y76" s="12" t="s">
        <v>86</v>
      </c>
      <c r="Z76" s="12" t="s">
        <v>86</v>
      </c>
      <c r="AA76" s="13" t="s">
        <v>86</v>
      </c>
      <c r="AB76" s="13" t="s">
        <v>86</v>
      </c>
      <c r="AC76" s="13" t="s">
        <v>86</v>
      </c>
      <c r="AD76" s="13" t="s">
        <v>86</v>
      </c>
      <c r="AE76" s="12" t="s">
        <v>86</v>
      </c>
      <c r="AF76" s="12" t="s">
        <v>86</v>
      </c>
      <c r="AG76" s="12" t="s">
        <v>86</v>
      </c>
      <c r="AH76" s="12" t="s">
        <v>86</v>
      </c>
      <c r="AI76" s="13" t="s">
        <v>86</v>
      </c>
      <c r="AJ76" s="13" t="s">
        <v>86</v>
      </c>
      <c r="AK76" s="13" t="s">
        <v>86</v>
      </c>
      <c r="AL76" s="13">
        <v>34141</v>
      </c>
      <c r="AM76" s="12" t="s">
        <v>86</v>
      </c>
      <c r="AN76" s="12" t="s">
        <v>86</v>
      </c>
      <c r="AO76" s="12" t="s">
        <v>86</v>
      </c>
      <c r="AP76" s="12" t="s">
        <v>86</v>
      </c>
      <c r="AQ76" s="13" t="s">
        <v>86</v>
      </c>
      <c r="AR76" s="13" t="s">
        <v>86</v>
      </c>
      <c r="AS76" s="13" t="s">
        <v>86</v>
      </c>
      <c r="AT76" s="13">
        <v>0</v>
      </c>
      <c r="AU76" s="12" t="s">
        <v>86</v>
      </c>
      <c r="AV76" s="12" t="s">
        <v>86</v>
      </c>
      <c r="AW76" s="12" t="s">
        <v>86</v>
      </c>
      <c r="AX76" s="12" t="s">
        <v>86</v>
      </c>
      <c r="AY76" s="13" t="s">
        <v>86</v>
      </c>
      <c r="AZ76" s="13" t="s">
        <v>86</v>
      </c>
      <c r="BA76" s="13" t="s">
        <v>86</v>
      </c>
      <c r="BB76" s="13" t="s">
        <v>86</v>
      </c>
      <c r="BC76" s="12" t="s">
        <v>86</v>
      </c>
      <c r="BD76" s="12" t="s">
        <v>86</v>
      </c>
      <c r="BE76" s="12" t="s">
        <v>86</v>
      </c>
      <c r="BF76" s="12" t="s">
        <v>86</v>
      </c>
      <c r="BG76" s="13" t="s">
        <v>86</v>
      </c>
      <c r="BH76" s="13" t="s">
        <v>86</v>
      </c>
      <c r="BI76" s="13" t="s">
        <v>86</v>
      </c>
      <c r="BJ76" s="13" t="s">
        <v>86</v>
      </c>
      <c r="BK76" s="12" t="s">
        <v>86</v>
      </c>
      <c r="BL76" s="12" t="s">
        <v>86</v>
      </c>
    </row>
    <row r="77" spans="1:64" ht="15" thickBot="1" x14ac:dyDescent="0.35">
      <c r="A77" s="15" t="s">
        <v>141</v>
      </c>
      <c r="B77" s="14" t="s">
        <v>140</v>
      </c>
      <c r="C77" s="13" t="s">
        <v>86</v>
      </c>
      <c r="D77" s="13" t="s">
        <v>86</v>
      </c>
      <c r="E77" s="13" t="s">
        <v>86</v>
      </c>
      <c r="F77" s="13" t="s">
        <v>86</v>
      </c>
      <c r="G77" s="12" t="s">
        <v>86</v>
      </c>
      <c r="H77" s="12" t="s">
        <v>86</v>
      </c>
      <c r="I77" s="12" t="s">
        <v>86</v>
      </c>
      <c r="J77" s="12" t="s">
        <v>86</v>
      </c>
      <c r="K77" s="13" t="s">
        <v>86</v>
      </c>
      <c r="L77" s="13" t="s">
        <v>86</v>
      </c>
      <c r="M77" s="13" t="s">
        <v>86</v>
      </c>
      <c r="N77" s="13" t="s">
        <v>86</v>
      </c>
      <c r="O77" s="12" t="s">
        <v>86</v>
      </c>
      <c r="P77" s="12" t="s">
        <v>86</v>
      </c>
      <c r="Q77" s="12" t="s">
        <v>86</v>
      </c>
      <c r="R77" s="12" t="s">
        <v>86</v>
      </c>
      <c r="S77" s="13" t="s">
        <v>86</v>
      </c>
      <c r="T77" s="13" t="s">
        <v>86</v>
      </c>
      <c r="U77" s="13" t="s">
        <v>86</v>
      </c>
      <c r="V77" s="13" t="s">
        <v>86</v>
      </c>
      <c r="W77" s="12" t="s">
        <v>86</v>
      </c>
      <c r="X77" s="12" t="s">
        <v>86</v>
      </c>
      <c r="Y77" s="12" t="s">
        <v>86</v>
      </c>
      <c r="Z77" s="12" t="s">
        <v>86</v>
      </c>
      <c r="AA77" s="13">
        <v>100</v>
      </c>
      <c r="AB77" s="13">
        <v>100</v>
      </c>
      <c r="AC77" s="13">
        <v>100</v>
      </c>
      <c r="AD77" s="13">
        <v>200</v>
      </c>
      <c r="AE77" s="12">
        <v>200</v>
      </c>
      <c r="AF77" s="12">
        <v>200</v>
      </c>
      <c r="AG77" s="12">
        <v>200</v>
      </c>
      <c r="AH77" s="12">
        <v>100</v>
      </c>
      <c r="AI77" s="13">
        <v>100</v>
      </c>
      <c r="AJ77" s="13">
        <v>200</v>
      </c>
      <c r="AK77" s="13">
        <v>100</v>
      </c>
      <c r="AL77" s="13">
        <v>0</v>
      </c>
      <c r="AM77" s="12">
        <v>100</v>
      </c>
      <c r="AN77" s="12">
        <v>0</v>
      </c>
      <c r="AO77" s="12">
        <v>500</v>
      </c>
      <c r="AP77" s="12">
        <v>800</v>
      </c>
      <c r="AQ77" s="13">
        <v>1182</v>
      </c>
      <c r="AR77" s="13">
        <v>1181</v>
      </c>
      <c r="AS77" s="13">
        <v>1182</v>
      </c>
      <c r="AT77" s="13">
        <v>1182</v>
      </c>
      <c r="AU77" s="12">
        <v>1247</v>
      </c>
      <c r="AV77" s="12">
        <v>1246</v>
      </c>
      <c r="AW77" s="12">
        <v>1247</v>
      </c>
      <c r="AX77" s="12">
        <v>1352</v>
      </c>
      <c r="AY77" s="13">
        <v>1791</v>
      </c>
      <c r="AZ77" s="13">
        <v>2508</v>
      </c>
      <c r="BA77" s="13">
        <v>2513</v>
      </c>
      <c r="BB77" s="13">
        <v>2688</v>
      </c>
      <c r="BC77" s="12">
        <v>5786</v>
      </c>
      <c r="BD77" s="12">
        <v>6285</v>
      </c>
      <c r="BE77" s="12">
        <v>5963</v>
      </c>
      <c r="BF77" s="12">
        <v>6662</v>
      </c>
      <c r="BG77" s="13">
        <v>6794</v>
      </c>
      <c r="BH77" s="13">
        <v>6794</v>
      </c>
      <c r="BI77" s="13">
        <v>6797</v>
      </c>
      <c r="BJ77" s="13">
        <v>6813</v>
      </c>
      <c r="BK77" s="12">
        <v>5928</v>
      </c>
      <c r="BL77" s="12">
        <v>5910</v>
      </c>
    </row>
    <row r="78" spans="1:64" ht="15" thickBot="1" x14ac:dyDescent="0.35">
      <c r="A78" s="15" t="s">
        <v>126</v>
      </c>
      <c r="B78" s="14" t="s">
        <v>122</v>
      </c>
      <c r="C78" s="13" t="s">
        <v>86</v>
      </c>
      <c r="D78" s="13" t="s">
        <v>86</v>
      </c>
      <c r="E78" s="13" t="s">
        <v>86</v>
      </c>
      <c r="F78" s="13" t="s">
        <v>86</v>
      </c>
      <c r="G78" s="12" t="s">
        <v>86</v>
      </c>
      <c r="H78" s="12" t="s">
        <v>86</v>
      </c>
      <c r="I78" s="12" t="s">
        <v>86</v>
      </c>
      <c r="J78" s="12" t="s">
        <v>86</v>
      </c>
      <c r="K78" s="13" t="s">
        <v>86</v>
      </c>
      <c r="L78" s="13" t="s">
        <v>86</v>
      </c>
      <c r="M78" s="13" t="s">
        <v>86</v>
      </c>
      <c r="N78" s="13" t="s">
        <v>86</v>
      </c>
      <c r="O78" s="12" t="s">
        <v>86</v>
      </c>
      <c r="P78" s="12" t="s">
        <v>86</v>
      </c>
      <c r="Q78" s="12" t="s">
        <v>86</v>
      </c>
      <c r="R78" s="12" t="s">
        <v>86</v>
      </c>
      <c r="S78" s="13" t="s">
        <v>86</v>
      </c>
      <c r="T78" s="13" t="s">
        <v>86</v>
      </c>
      <c r="U78" s="13" t="s">
        <v>86</v>
      </c>
      <c r="V78" s="13" t="s">
        <v>86</v>
      </c>
      <c r="W78" s="12" t="s">
        <v>86</v>
      </c>
      <c r="X78" s="12" t="s">
        <v>86</v>
      </c>
      <c r="Y78" s="12" t="s">
        <v>86</v>
      </c>
      <c r="Z78" s="12" t="s">
        <v>86</v>
      </c>
      <c r="AA78" s="13">
        <v>1079</v>
      </c>
      <c r="AB78" s="13">
        <v>1158</v>
      </c>
      <c r="AC78" s="13">
        <v>1141</v>
      </c>
      <c r="AD78" s="13">
        <v>1180</v>
      </c>
      <c r="AE78" s="12">
        <v>1126</v>
      </c>
      <c r="AF78" s="12">
        <v>980</v>
      </c>
      <c r="AG78" s="12">
        <v>941</v>
      </c>
      <c r="AH78" s="12">
        <v>832</v>
      </c>
      <c r="AI78" s="13">
        <v>751</v>
      </c>
      <c r="AJ78" s="13">
        <v>636</v>
      </c>
      <c r="AK78" s="13">
        <v>607</v>
      </c>
      <c r="AL78" s="13" t="s">
        <v>86</v>
      </c>
      <c r="AM78" s="12">
        <v>618</v>
      </c>
      <c r="AN78" s="12">
        <v>1149</v>
      </c>
      <c r="AO78" s="12" t="s">
        <v>86</v>
      </c>
      <c r="AP78" s="12" t="s">
        <v>86</v>
      </c>
      <c r="AQ78" s="13" t="s">
        <v>86</v>
      </c>
      <c r="AR78" s="13" t="s">
        <v>86</v>
      </c>
      <c r="AS78" s="13" t="s">
        <v>86</v>
      </c>
      <c r="AT78" s="13" t="s">
        <v>86</v>
      </c>
      <c r="AU78" s="12" t="s">
        <v>86</v>
      </c>
      <c r="AV78" s="12" t="s">
        <v>86</v>
      </c>
      <c r="AW78" s="12" t="s">
        <v>86</v>
      </c>
      <c r="AX78" s="12" t="s">
        <v>86</v>
      </c>
      <c r="AY78" s="13" t="s">
        <v>86</v>
      </c>
      <c r="AZ78" s="13" t="s">
        <v>86</v>
      </c>
      <c r="BA78" s="13" t="s">
        <v>86</v>
      </c>
      <c r="BB78" s="13" t="s">
        <v>86</v>
      </c>
      <c r="BC78" s="12" t="s">
        <v>86</v>
      </c>
      <c r="BD78" s="12" t="s">
        <v>86</v>
      </c>
      <c r="BE78" s="12" t="s">
        <v>86</v>
      </c>
      <c r="BF78" s="12" t="s">
        <v>86</v>
      </c>
      <c r="BG78" s="13" t="s">
        <v>86</v>
      </c>
      <c r="BH78" s="13" t="s">
        <v>86</v>
      </c>
      <c r="BI78" s="13" t="s">
        <v>86</v>
      </c>
      <c r="BJ78" s="13" t="s">
        <v>86</v>
      </c>
      <c r="BK78" s="12" t="s">
        <v>86</v>
      </c>
      <c r="BL78" s="12" t="s">
        <v>86</v>
      </c>
    </row>
    <row r="79" spans="1:64" ht="15" thickBot="1" x14ac:dyDescent="0.35">
      <c r="A79" s="15" t="s">
        <v>126</v>
      </c>
      <c r="B79" s="14" t="s">
        <v>122</v>
      </c>
      <c r="C79" s="13" t="s">
        <v>86</v>
      </c>
      <c r="D79" s="13" t="s">
        <v>86</v>
      </c>
      <c r="E79" s="13" t="s">
        <v>86</v>
      </c>
      <c r="F79" s="13" t="s">
        <v>86</v>
      </c>
      <c r="G79" s="12" t="s">
        <v>86</v>
      </c>
      <c r="H79" s="12" t="s">
        <v>86</v>
      </c>
      <c r="I79" s="12" t="s">
        <v>86</v>
      </c>
      <c r="J79" s="12" t="s">
        <v>86</v>
      </c>
      <c r="K79" s="13" t="s">
        <v>86</v>
      </c>
      <c r="L79" s="13" t="s">
        <v>86</v>
      </c>
      <c r="M79" s="13" t="s">
        <v>86</v>
      </c>
      <c r="N79" s="13" t="s">
        <v>86</v>
      </c>
      <c r="O79" s="12" t="s">
        <v>86</v>
      </c>
      <c r="P79" s="12" t="s">
        <v>86</v>
      </c>
      <c r="Q79" s="12" t="s">
        <v>86</v>
      </c>
      <c r="R79" s="12" t="s">
        <v>86</v>
      </c>
      <c r="S79" s="13" t="s">
        <v>86</v>
      </c>
      <c r="T79" s="13">
        <v>438</v>
      </c>
      <c r="U79" s="13">
        <v>625</v>
      </c>
      <c r="V79" s="13">
        <v>569</v>
      </c>
      <c r="W79" s="12">
        <v>613</v>
      </c>
      <c r="X79" s="12">
        <v>778</v>
      </c>
      <c r="Y79" s="12">
        <v>824</v>
      </c>
      <c r="Z79" s="12">
        <v>912</v>
      </c>
      <c r="AA79" s="13" t="s">
        <v>86</v>
      </c>
      <c r="AB79" s="13" t="s">
        <v>86</v>
      </c>
      <c r="AC79" s="13" t="s">
        <v>86</v>
      </c>
      <c r="AD79" s="13" t="s">
        <v>86</v>
      </c>
      <c r="AE79" s="12" t="s">
        <v>86</v>
      </c>
      <c r="AF79" s="12" t="s">
        <v>86</v>
      </c>
      <c r="AG79" s="12" t="s">
        <v>86</v>
      </c>
      <c r="AH79" s="12" t="s">
        <v>86</v>
      </c>
      <c r="AI79" s="13" t="s">
        <v>86</v>
      </c>
      <c r="AJ79" s="13" t="s">
        <v>86</v>
      </c>
      <c r="AK79" s="13" t="s">
        <v>86</v>
      </c>
      <c r="AL79" s="13" t="s">
        <v>86</v>
      </c>
      <c r="AM79" s="12" t="s">
        <v>86</v>
      </c>
      <c r="AN79" s="12" t="s">
        <v>86</v>
      </c>
      <c r="AO79" s="12" t="s">
        <v>86</v>
      </c>
      <c r="AP79" s="12" t="s">
        <v>86</v>
      </c>
      <c r="AQ79" s="13" t="s">
        <v>86</v>
      </c>
      <c r="AR79" s="13" t="s">
        <v>86</v>
      </c>
      <c r="AS79" s="13" t="s">
        <v>86</v>
      </c>
      <c r="AT79" s="13" t="s">
        <v>86</v>
      </c>
      <c r="AU79" s="12" t="s">
        <v>86</v>
      </c>
      <c r="AV79" s="12" t="s">
        <v>86</v>
      </c>
      <c r="AW79" s="12" t="s">
        <v>86</v>
      </c>
      <c r="AX79" s="12" t="s">
        <v>86</v>
      </c>
      <c r="AY79" s="13" t="s">
        <v>86</v>
      </c>
      <c r="AZ79" s="13" t="s">
        <v>86</v>
      </c>
      <c r="BA79" s="13" t="s">
        <v>86</v>
      </c>
      <c r="BB79" s="13" t="s">
        <v>86</v>
      </c>
      <c r="BC79" s="12" t="s">
        <v>86</v>
      </c>
      <c r="BD79" s="12" t="s">
        <v>86</v>
      </c>
      <c r="BE79" s="12" t="s">
        <v>86</v>
      </c>
      <c r="BF79" s="12" t="s">
        <v>86</v>
      </c>
      <c r="BG79" s="13" t="s">
        <v>86</v>
      </c>
      <c r="BH79" s="13" t="s">
        <v>86</v>
      </c>
      <c r="BI79" s="13" t="s">
        <v>86</v>
      </c>
      <c r="BJ79" s="13" t="s">
        <v>86</v>
      </c>
      <c r="BK79" s="12" t="s">
        <v>86</v>
      </c>
      <c r="BL79" s="12" t="s">
        <v>86</v>
      </c>
    </row>
    <row r="80" spans="1:64" ht="15" thickBot="1" x14ac:dyDescent="0.35">
      <c r="A80" s="15" t="s">
        <v>137</v>
      </c>
      <c r="B80" s="14" t="s">
        <v>122</v>
      </c>
      <c r="C80" s="13" t="s">
        <v>86</v>
      </c>
      <c r="D80" s="13" t="s">
        <v>86</v>
      </c>
      <c r="E80" s="13" t="s">
        <v>86</v>
      </c>
      <c r="F80" s="13" t="s">
        <v>86</v>
      </c>
      <c r="G80" s="12" t="s">
        <v>86</v>
      </c>
      <c r="H80" s="12" t="s">
        <v>86</v>
      </c>
      <c r="I80" s="12" t="s">
        <v>86</v>
      </c>
      <c r="J80" s="12" t="s">
        <v>86</v>
      </c>
      <c r="K80" s="13" t="s">
        <v>86</v>
      </c>
      <c r="L80" s="13" t="s">
        <v>86</v>
      </c>
      <c r="M80" s="13" t="s">
        <v>86</v>
      </c>
      <c r="N80" s="13" t="s">
        <v>86</v>
      </c>
      <c r="O80" s="12" t="s">
        <v>86</v>
      </c>
      <c r="P80" s="12" t="s">
        <v>86</v>
      </c>
      <c r="Q80" s="12" t="s">
        <v>86</v>
      </c>
      <c r="R80" s="12" t="s">
        <v>86</v>
      </c>
      <c r="S80" s="13" t="s">
        <v>86</v>
      </c>
      <c r="T80" s="13" t="s">
        <v>86</v>
      </c>
      <c r="U80" s="13" t="s">
        <v>86</v>
      </c>
      <c r="V80" s="13" t="s">
        <v>86</v>
      </c>
      <c r="W80" s="12" t="s">
        <v>86</v>
      </c>
      <c r="X80" s="12" t="s">
        <v>86</v>
      </c>
      <c r="Y80" s="12" t="s">
        <v>86</v>
      </c>
      <c r="Z80" s="12" t="s">
        <v>86</v>
      </c>
      <c r="AA80" s="13">
        <v>1079</v>
      </c>
      <c r="AB80" s="13">
        <v>1158</v>
      </c>
      <c r="AC80" s="13">
        <v>1141</v>
      </c>
      <c r="AD80" s="13">
        <v>1180</v>
      </c>
      <c r="AE80" s="12">
        <v>1126</v>
      </c>
      <c r="AF80" s="12">
        <v>980</v>
      </c>
      <c r="AG80" s="12">
        <v>941</v>
      </c>
      <c r="AH80" s="12">
        <v>832</v>
      </c>
      <c r="AI80" s="13">
        <v>751</v>
      </c>
      <c r="AJ80" s="13">
        <v>636</v>
      </c>
      <c r="AK80" s="13">
        <v>607</v>
      </c>
      <c r="AL80" s="13">
        <v>579</v>
      </c>
      <c r="AM80" s="12">
        <v>618</v>
      </c>
      <c r="AN80" s="12">
        <v>1149</v>
      </c>
      <c r="AO80" s="12">
        <v>878</v>
      </c>
      <c r="AP80" s="12">
        <v>295</v>
      </c>
      <c r="AQ80" s="13">
        <v>716</v>
      </c>
      <c r="AR80" s="13">
        <v>1128</v>
      </c>
      <c r="AS80" s="13">
        <v>1411</v>
      </c>
      <c r="AT80" s="13">
        <v>1642</v>
      </c>
      <c r="AU80" s="12">
        <v>1919</v>
      </c>
      <c r="AV80" s="12">
        <v>3263</v>
      </c>
      <c r="AW80" s="12">
        <v>4248</v>
      </c>
      <c r="AX80" s="12">
        <v>3271</v>
      </c>
      <c r="AY80" s="13">
        <v>5749</v>
      </c>
      <c r="AZ80" s="13">
        <v>5467</v>
      </c>
      <c r="BA80" s="13">
        <v>10999</v>
      </c>
      <c r="BB80" s="13">
        <v>11712</v>
      </c>
      <c r="BC80" s="12">
        <v>13729</v>
      </c>
      <c r="BD80" s="12">
        <v>16266</v>
      </c>
      <c r="BE80" s="12">
        <v>17400</v>
      </c>
      <c r="BF80" s="12">
        <v>21687</v>
      </c>
      <c r="BG80" s="13">
        <v>21478</v>
      </c>
      <c r="BH80" s="13">
        <v>23765</v>
      </c>
      <c r="BI80" s="13">
        <v>19285</v>
      </c>
      <c r="BJ80" s="13">
        <v>23839</v>
      </c>
      <c r="BK80" s="12">
        <v>24550</v>
      </c>
      <c r="BL80" s="12">
        <v>20210</v>
      </c>
    </row>
    <row r="81" spans="1:64" ht="15" thickBot="1" x14ac:dyDescent="0.35">
      <c r="A81" s="15" t="s">
        <v>137</v>
      </c>
      <c r="B81" s="14" t="s">
        <v>139</v>
      </c>
      <c r="C81" s="13" t="s">
        <v>86</v>
      </c>
      <c r="D81" s="13" t="s">
        <v>86</v>
      </c>
      <c r="E81" s="13" t="s">
        <v>86</v>
      </c>
      <c r="F81" s="13" t="s">
        <v>86</v>
      </c>
      <c r="G81" s="12" t="s">
        <v>86</v>
      </c>
      <c r="H81" s="12" t="s">
        <v>86</v>
      </c>
      <c r="I81" s="12" t="s">
        <v>86</v>
      </c>
      <c r="J81" s="12" t="s">
        <v>86</v>
      </c>
      <c r="K81" s="13" t="s">
        <v>86</v>
      </c>
      <c r="L81" s="13" t="s">
        <v>86</v>
      </c>
      <c r="M81" s="13" t="s">
        <v>86</v>
      </c>
      <c r="N81" s="13" t="s">
        <v>86</v>
      </c>
      <c r="O81" s="12" t="s">
        <v>86</v>
      </c>
      <c r="P81" s="12" t="s">
        <v>86</v>
      </c>
      <c r="Q81" s="12" t="s">
        <v>86</v>
      </c>
      <c r="R81" s="12" t="s">
        <v>86</v>
      </c>
      <c r="S81" s="13" t="s">
        <v>86</v>
      </c>
      <c r="T81" s="13">
        <v>8046</v>
      </c>
      <c r="U81" s="13">
        <v>7668</v>
      </c>
      <c r="V81" s="13">
        <v>8152</v>
      </c>
      <c r="W81" s="12">
        <v>8473</v>
      </c>
      <c r="X81" s="12">
        <v>10370</v>
      </c>
      <c r="Y81" s="12">
        <v>11288</v>
      </c>
      <c r="Z81" s="12">
        <v>12128</v>
      </c>
      <c r="AA81" s="13">
        <v>12351</v>
      </c>
      <c r="AB81" s="13">
        <v>11628</v>
      </c>
      <c r="AC81" s="13">
        <v>10918</v>
      </c>
      <c r="AD81" s="13">
        <v>11364</v>
      </c>
      <c r="AE81" s="12">
        <v>11940</v>
      </c>
      <c r="AF81" s="12">
        <v>12111</v>
      </c>
      <c r="AG81" s="12">
        <v>12228</v>
      </c>
      <c r="AH81" s="12">
        <v>10545</v>
      </c>
      <c r="AI81" s="13">
        <v>8854</v>
      </c>
      <c r="AJ81" s="13">
        <v>7311</v>
      </c>
      <c r="AK81" s="13">
        <v>6790</v>
      </c>
      <c r="AL81" s="13">
        <v>7629</v>
      </c>
      <c r="AM81" s="12">
        <v>7002</v>
      </c>
      <c r="AN81" s="12">
        <v>8313</v>
      </c>
      <c r="AO81" s="12">
        <v>7287</v>
      </c>
      <c r="AP81" s="12">
        <v>7045</v>
      </c>
      <c r="AQ81" s="13">
        <v>7808</v>
      </c>
      <c r="AR81" s="13">
        <v>8476</v>
      </c>
      <c r="AS81" s="13">
        <v>9674</v>
      </c>
      <c r="AT81" s="13">
        <v>9526</v>
      </c>
      <c r="AU81" s="12">
        <v>9957</v>
      </c>
      <c r="AV81" s="12">
        <v>9929</v>
      </c>
      <c r="AW81" s="12">
        <v>10804</v>
      </c>
      <c r="AX81" s="12">
        <v>12530</v>
      </c>
      <c r="AY81" s="13">
        <v>16069</v>
      </c>
      <c r="AZ81" s="13">
        <v>17241</v>
      </c>
      <c r="BA81" s="13">
        <v>18412</v>
      </c>
      <c r="BB81" s="13">
        <v>19877</v>
      </c>
      <c r="BC81" s="12">
        <v>21990</v>
      </c>
      <c r="BD81" s="12">
        <v>22990</v>
      </c>
      <c r="BE81" s="12">
        <v>26788</v>
      </c>
      <c r="BF81" s="12">
        <v>27996</v>
      </c>
      <c r="BG81" s="13">
        <v>35651</v>
      </c>
      <c r="BH81" s="13">
        <v>36278</v>
      </c>
      <c r="BI81" s="13">
        <v>35588</v>
      </c>
      <c r="BJ81" s="13">
        <v>31452</v>
      </c>
      <c r="BK81" s="12">
        <v>29661</v>
      </c>
      <c r="BL81" s="12">
        <v>28661</v>
      </c>
    </row>
    <row r="82" spans="1:64" ht="15" thickBot="1" x14ac:dyDescent="0.35">
      <c r="A82" s="15" t="s">
        <v>137</v>
      </c>
      <c r="B82" s="14" t="s">
        <v>138</v>
      </c>
      <c r="C82" s="13" t="s">
        <v>86</v>
      </c>
      <c r="D82" s="13" t="s">
        <v>86</v>
      </c>
      <c r="E82" s="13" t="s">
        <v>86</v>
      </c>
      <c r="F82" s="13" t="s">
        <v>86</v>
      </c>
      <c r="G82" s="12" t="s">
        <v>86</v>
      </c>
      <c r="H82" s="12" t="s">
        <v>86</v>
      </c>
      <c r="I82" s="12" t="s">
        <v>86</v>
      </c>
      <c r="J82" s="12" t="s">
        <v>86</v>
      </c>
      <c r="K82" s="13" t="s">
        <v>86</v>
      </c>
      <c r="L82" s="13" t="s">
        <v>86</v>
      </c>
      <c r="M82" s="13" t="s">
        <v>86</v>
      </c>
      <c r="N82" s="13" t="s">
        <v>86</v>
      </c>
      <c r="O82" s="12" t="s">
        <v>86</v>
      </c>
      <c r="P82" s="12" t="s">
        <v>86</v>
      </c>
      <c r="Q82" s="12" t="s">
        <v>86</v>
      </c>
      <c r="R82" s="12">
        <v>8533</v>
      </c>
      <c r="S82" s="13">
        <v>9026</v>
      </c>
      <c r="T82" s="13" t="s">
        <v>86</v>
      </c>
      <c r="U82" s="13" t="s">
        <v>86</v>
      </c>
      <c r="V82" s="13" t="s">
        <v>86</v>
      </c>
      <c r="W82" s="12" t="s">
        <v>86</v>
      </c>
      <c r="X82" s="12" t="s">
        <v>86</v>
      </c>
      <c r="Y82" s="12" t="s">
        <v>86</v>
      </c>
      <c r="Z82" s="12" t="s">
        <v>86</v>
      </c>
      <c r="AA82" s="13" t="s">
        <v>86</v>
      </c>
      <c r="AB82" s="13" t="s">
        <v>86</v>
      </c>
      <c r="AC82" s="13" t="s">
        <v>86</v>
      </c>
      <c r="AD82" s="13" t="s">
        <v>86</v>
      </c>
      <c r="AE82" s="12" t="s">
        <v>86</v>
      </c>
      <c r="AF82" s="12" t="s">
        <v>86</v>
      </c>
      <c r="AG82" s="12" t="s">
        <v>86</v>
      </c>
      <c r="AH82" s="12" t="s">
        <v>86</v>
      </c>
      <c r="AI82" s="13" t="s">
        <v>86</v>
      </c>
      <c r="AJ82" s="13" t="s">
        <v>86</v>
      </c>
      <c r="AK82" s="13" t="s">
        <v>86</v>
      </c>
      <c r="AL82" s="13" t="s">
        <v>86</v>
      </c>
      <c r="AM82" s="12" t="s">
        <v>86</v>
      </c>
      <c r="AN82" s="12" t="s">
        <v>86</v>
      </c>
      <c r="AO82" s="12" t="s">
        <v>86</v>
      </c>
      <c r="AP82" s="12" t="s">
        <v>86</v>
      </c>
      <c r="AQ82" s="13" t="s">
        <v>86</v>
      </c>
      <c r="AR82" s="13" t="s">
        <v>86</v>
      </c>
      <c r="AS82" s="13" t="s">
        <v>86</v>
      </c>
      <c r="AT82" s="13" t="s">
        <v>86</v>
      </c>
      <c r="AU82" s="12" t="s">
        <v>86</v>
      </c>
      <c r="AV82" s="12" t="s">
        <v>86</v>
      </c>
      <c r="AW82" s="12" t="s">
        <v>86</v>
      </c>
      <c r="AX82" s="12" t="s">
        <v>86</v>
      </c>
      <c r="AY82" s="13" t="s">
        <v>86</v>
      </c>
      <c r="AZ82" s="13" t="s">
        <v>86</v>
      </c>
      <c r="BA82" s="13" t="s">
        <v>86</v>
      </c>
      <c r="BB82" s="13" t="s">
        <v>86</v>
      </c>
      <c r="BC82" s="12" t="s">
        <v>86</v>
      </c>
      <c r="BD82" s="12" t="s">
        <v>86</v>
      </c>
      <c r="BE82" s="12" t="s">
        <v>86</v>
      </c>
      <c r="BF82" s="12" t="s">
        <v>86</v>
      </c>
      <c r="BG82" s="13" t="s">
        <v>86</v>
      </c>
      <c r="BH82" s="13" t="s">
        <v>86</v>
      </c>
      <c r="BI82" s="13" t="s">
        <v>86</v>
      </c>
      <c r="BJ82" s="13" t="s">
        <v>86</v>
      </c>
      <c r="BK82" s="12" t="s">
        <v>86</v>
      </c>
      <c r="BL82" s="12" t="s">
        <v>86</v>
      </c>
    </row>
    <row r="83" spans="1:64" ht="15" thickBot="1" x14ac:dyDescent="0.35">
      <c r="A83" s="15" t="s">
        <v>137</v>
      </c>
      <c r="B83" s="14" t="s">
        <v>136</v>
      </c>
      <c r="C83" s="13">
        <v>1752</v>
      </c>
      <c r="D83" s="13">
        <v>2061</v>
      </c>
      <c r="E83" s="13">
        <v>2249</v>
      </c>
      <c r="F83" s="13">
        <v>2349</v>
      </c>
      <c r="G83" s="12">
        <v>2735</v>
      </c>
      <c r="H83" s="12">
        <v>3160</v>
      </c>
      <c r="I83" s="12">
        <v>3968</v>
      </c>
      <c r="J83" s="12">
        <v>4433</v>
      </c>
      <c r="K83" s="13">
        <v>5345</v>
      </c>
      <c r="L83" s="13">
        <v>6143</v>
      </c>
      <c r="M83" s="13">
        <v>6431</v>
      </c>
      <c r="N83" s="13">
        <v>7180</v>
      </c>
      <c r="O83" s="12">
        <v>7842</v>
      </c>
      <c r="P83" s="12">
        <v>8655</v>
      </c>
      <c r="Q83" s="12">
        <v>10571</v>
      </c>
      <c r="R83" s="12" t="s">
        <v>86</v>
      </c>
      <c r="S83" s="13" t="s">
        <v>86</v>
      </c>
      <c r="T83" s="13" t="s">
        <v>86</v>
      </c>
      <c r="U83" s="13" t="s">
        <v>86</v>
      </c>
      <c r="V83" s="13" t="s">
        <v>86</v>
      </c>
      <c r="W83" s="12" t="s">
        <v>86</v>
      </c>
      <c r="X83" s="12" t="s">
        <v>86</v>
      </c>
      <c r="Y83" s="12" t="s">
        <v>86</v>
      </c>
      <c r="Z83" s="12" t="s">
        <v>86</v>
      </c>
      <c r="AA83" s="13" t="s">
        <v>86</v>
      </c>
      <c r="AB83" s="13" t="s">
        <v>86</v>
      </c>
      <c r="AC83" s="13" t="s">
        <v>86</v>
      </c>
      <c r="AD83" s="13" t="s">
        <v>86</v>
      </c>
      <c r="AE83" s="12" t="s">
        <v>86</v>
      </c>
      <c r="AF83" s="12" t="s">
        <v>86</v>
      </c>
      <c r="AG83" s="12" t="s">
        <v>86</v>
      </c>
      <c r="AH83" s="12" t="s">
        <v>86</v>
      </c>
      <c r="AI83" s="13" t="s">
        <v>86</v>
      </c>
      <c r="AJ83" s="13" t="s">
        <v>86</v>
      </c>
      <c r="AK83" s="13" t="s">
        <v>86</v>
      </c>
      <c r="AL83" s="13" t="s">
        <v>86</v>
      </c>
      <c r="AM83" s="12" t="s">
        <v>86</v>
      </c>
      <c r="AN83" s="12" t="s">
        <v>86</v>
      </c>
      <c r="AO83" s="12" t="s">
        <v>86</v>
      </c>
      <c r="AP83" s="12" t="s">
        <v>86</v>
      </c>
      <c r="AQ83" s="13" t="s">
        <v>86</v>
      </c>
      <c r="AR83" s="13" t="s">
        <v>86</v>
      </c>
      <c r="AS83" s="13" t="s">
        <v>86</v>
      </c>
      <c r="AT83" s="13" t="s">
        <v>86</v>
      </c>
      <c r="AU83" s="12" t="s">
        <v>86</v>
      </c>
      <c r="AV83" s="12" t="s">
        <v>86</v>
      </c>
      <c r="AW83" s="12" t="s">
        <v>86</v>
      </c>
      <c r="AX83" s="12" t="s">
        <v>86</v>
      </c>
      <c r="AY83" s="13" t="s">
        <v>86</v>
      </c>
      <c r="AZ83" s="13" t="s">
        <v>86</v>
      </c>
      <c r="BA83" s="13" t="s">
        <v>86</v>
      </c>
      <c r="BB83" s="13" t="s">
        <v>86</v>
      </c>
      <c r="BC83" s="12" t="s">
        <v>86</v>
      </c>
      <c r="BD83" s="12" t="s">
        <v>86</v>
      </c>
      <c r="BE83" s="12" t="s">
        <v>86</v>
      </c>
      <c r="BF83" s="12" t="s">
        <v>86</v>
      </c>
      <c r="BG83" s="13" t="s">
        <v>86</v>
      </c>
      <c r="BH83" s="13" t="s">
        <v>86</v>
      </c>
      <c r="BI83" s="13" t="s">
        <v>86</v>
      </c>
      <c r="BJ83" s="13" t="s">
        <v>86</v>
      </c>
      <c r="BK83" s="12" t="s">
        <v>86</v>
      </c>
      <c r="BL83" s="12" t="s">
        <v>86</v>
      </c>
    </row>
    <row r="84" spans="1:64" ht="15" thickBot="1" x14ac:dyDescent="0.35">
      <c r="A84" s="15" t="s">
        <v>134</v>
      </c>
      <c r="B84" s="14" t="s">
        <v>135</v>
      </c>
      <c r="C84" s="13" t="s">
        <v>86</v>
      </c>
      <c r="D84" s="13" t="s">
        <v>86</v>
      </c>
      <c r="E84" s="13" t="s">
        <v>86</v>
      </c>
      <c r="F84" s="13" t="s">
        <v>86</v>
      </c>
      <c r="G84" s="12" t="s">
        <v>86</v>
      </c>
      <c r="H84" s="12" t="s">
        <v>86</v>
      </c>
      <c r="I84" s="12" t="s">
        <v>86</v>
      </c>
      <c r="J84" s="12" t="s">
        <v>86</v>
      </c>
      <c r="K84" s="13" t="s">
        <v>86</v>
      </c>
      <c r="L84" s="13" t="s">
        <v>86</v>
      </c>
      <c r="M84" s="13" t="s">
        <v>86</v>
      </c>
      <c r="N84" s="13" t="s">
        <v>86</v>
      </c>
      <c r="O84" s="12" t="s">
        <v>86</v>
      </c>
      <c r="P84" s="12" t="s">
        <v>86</v>
      </c>
      <c r="Q84" s="12" t="s">
        <v>86</v>
      </c>
      <c r="R84" s="12">
        <v>1025</v>
      </c>
      <c r="S84" s="13">
        <v>464</v>
      </c>
      <c r="T84" s="13">
        <v>484</v>
      </c>
      <c r="U84" s="13">
        <v>437</v>
      </c>
      <c r="V84" s="13">
        <v>670</v>
      </c>
      <c r="W84" s="12">
        <v>449</v>
      </c>
      <c r="X84" s="12">
        <v>486</v>
      </c>
      <c r="Y84" s="12">
        <v>356</v>
      </c>
      <c r="Z84" s="12">
        <v>572</v>
      </c>
      <c r="AA84" s="13">
        <v>78</v>
      </c>
      <c r="AB84" s="13">
        <v>87</v>
      </c>
      <c r="AC84" s="13">
        <v>140</v>
      </c>
      <c r="AD84" s="13">
        <v>196</v>
      </c>
      <c r="AE84" s="12">
        <v>152</v>
      </c>
      <c r="AF84" s="12">
        <v>212</v>
      </c>
      <c r="AG84" s="12">
        <v>1234</v>
      </c>
      <c r="AH84" s="12">
        <v>1175</v>
      </c>
      <c r="AI84" s="13">
        <v>2139</v>
      </c>
      <c r="AJ84" s="13">
        <v>2080</v>
      </c>
      <c r="AK84" s="13">
        <v>1760</v>
      </c>
      <c r="AL84" s="13">
        <v>1957</v>
      </c>
      <c r="AM84" s="12">
        <v>2292</v>
      </c>
      <c r="AN84" s="12">
        <v>2269</v>
      </c>
      <c r="AO84" s="12">
        <v>2469</v>
      </c>
      <c r="AP84" s="12">
        <v>3662</v>
      </c>
      <c r="AQ84" s="13">
        <v>3540</v>
      </c>
      <c r="AR84" s="13">
        <v>1351</v>
      </c>
      <c r="AS84" s="13">
        <v>2286</v>
      </c>
      <c r="AT84" s="13">
        <v>2303</v>
      </c>
      <c r="AU84" s="12">
        <v>3155</v>
      </c>
      <c r="AV84" s="12">
        <v>5952</v>
      </c>
      <c r="AW84" s="12">
        <v>5993</v>
      </c>
      <c r="AX84" s="12">
        <v>5901</v>
      </c>
      <c r="AY84" s="13">
        <v>7329</v>
      </c>
      <c r="AZ84" s="13">
        <v>12506</v>
      </c>
      <c r="BA84" s="13">
        <v>12628</v>
      </c>
      <c r="BB84" s="13">
        <v>12689</v>
      </c>
      <c r="BC84" s="12">
        <v>2736</v>
      </c>
      <c r="BD84" s="12">
        <v>2168</v>
      </c>
      <c r="BE84" s="12">
        <v>2255</v>
      </c>
      <c r="BF84" s="12">
        <v>2279</v>
      </c>
      <c r="BG84" s="13">
        <v>2156</v>
      </c>
      <c r="BH84" s="13">
        <v>2219</v>
      </c>
      <c r="BI84" s="13">
        <v>2196</v>
      </c>
      <c r="BJ84" s="13">
        <v>2268</v>
      </c>
      <c r="BK84" s="12">
        <v>2196</v>
      </c>
      <c r="BL84" s="12">
        <v>2220</v>
      </c>
    </row>
    <row r="85" spans="1:64" ht="15" thickBot="1" x14ac:dyDescent="0.35">
      <c r="A85" s="15" t="s">
        <v>134</v>
      </c>
      <c r="B85" s="14" t="s">
        <v>133</v>
      </c>
      <c r="C85" s="13" t="s">
        <v>86</v>
      </c>
      <c r="D85" s="13" t="s">
        <v>86</v>
      </c>
      <c r="E85" s="13" t="s">
        <v>86</v>
      </c>
      <c r="F85" s="13" t="s">
        <v>86</v>
      </c>
      <c r="G85" s="12">
        <v>75</v>
      </c>
      <c r="H85" s="12" t="s">
        <v>86</v>
      </c>
      <c r="I85" s="12" t="s">
        <v>86</v>
      </c>
      <c r="J85" s="12" t="s">
        <v>86</v>
      </c>
      <c r="K85" s="13">
        <v>280</v>
      </c>
      <c r="L85" s="13">
        <v>460</v>
      </c>
      <c r="M85" s="13">
        <v>886</v>
      </c>
      <c r="N85" s="13">
        <v>1380</v>
      </c>
      <c r="O85" s="12">
        <v>1479</v>
      </c>
      <c r="P85" s="12">
        <v>3405</v>
      </c>
      <c r="Q85" s="12">
        <v>527</v>
      </c>
      <c r="R85" s="12" t="s">
        <v>86</v>
      </c>
      <c r="S85" s="13" t="s">
        <v>86</v>
      </c>
      <c r="T85" s="13" t="s">
        <v>86</v>
      </c>
      <c r="U85" s="13" t="s">
        <v>86</v>
      </c>
      <c r="V85" s="13" t="s">
        <v>86</v>
      </c>
      <c r="W85" s="12" t="s">
        <v>86</v>
      </c>
      <c r="X85" s="12" t="s">
        <v>86</v>
      </c>
      <c r="Y85" s="12" t="s">
        <v>86</v>
      </c>
      <c r="Z85" s="12" t="s">
        <v>86</v>
      </c>
      <c r="AA85" s="13" t="s">
        <v>86</v>
      </c>
      <c r="AB85" s="13" t="s">
        <v>86</v>
      </c>
      <c r="AC85" s="13" t="s">
        <v>86</v>
      </c>
      <c r="AD85" s="13" t="s">
        <v>86</v>
      </c>
      <c r="AE85" s="12" t="s">
        <v>86</v>
      </c>
      <c r="AF85" s="12" t="s">
        <v>86</v>
      </c>
      <c r="AG85" s="12" t="s">
        <v>86</v>
      </c>
      <c r="AH85" s="12" t="s">
        <v>86</v>
      </c>
      <c r="AI85" s="13" t="s">
        <v>86</v>
      </c>
      <c r="AJ85" s="13" t="s">
        <v>86</v>
      </c>
      <c r="AK85" s="13" t="s">
        <v>86</v>
      </c>
      <c r="AL85" s="13" t="s">
        <v>86</v>
      </c>
      <c r="AM85" s="12" t="s">
        <v>86</v>
      </c>
      <c r="AN85" s="12" t="s">
        <v>86</v>
      </c>
      <c r="AO85" s="12" t="s">
        <v>86</v>
      </c>
      <c r="AP85" s="12" t="s">
        <v>86</v>
      </c>
      <c r="AQ85" s="13" t="s">
        <v>86</v>
      </c>
      <c r="AR85" s="13" t="s">
        <v>86</v>
      </c>
      <c r="AS85" s="13" t="s">
        <v>86</v>
      </c>
      <c r="AT85" s="13" t="s">
        <v>86</v>
      </c>
      <c r="AU85" s="12" t="s">
        <v>86</v>
      </c>
      <c r="AV85" s="12" t="s">
        <v>86</v>
      </c>
      <c r="AW85" s="12" t="s">
        <v>86</v>
      </c>
      <c r="AX85" s="12" t="s">
        <v>86</v>
      </c>
      <c r="AY85" s="13" t="s">
        <v>86</v>
      </c>
      <c r="AZ85" s="13" t="s">
        <v>86</v>
      </c>
      <c r="BA85" s="13" t="s">
        <v>86</v>
      </c>
      <c r="BB85" s="13" t="s">
        <v>86</v>
      </c>
      <c r="BC85" s="12" t="s">
        <v>86</v>
      </c>
      <c r="BD85" s="12" t="s">
        <v>86</v>
      </c>
      <c r="BE85" s="12" t="s">
        <v>86</v>
      </c>
      <c r="BF85" s="12" t="s">
        <v>86</v>
      </c>
      <c r="BG85" s="13" t="s">
        <v>86</v>
      </c>
      <c r="BH85" s="13" t="s">
        <v>86</v>
      </c>
      <c r="BI85" s="13" t="s">
        <v>86</v>
      </c>
      <c r="BJ85" s="13" t="s">
        <v>86</v>
      </c>
      <c r="BK85" s="12" t="s">
        <v>86</v>
      </c>
      <c r="BL85" s="12" t="s">
        <v>86</v>
      </c>
    </row>
    <row r="86" spans="1:64" ht="15" thickBot="1" x14ac:dyDescent="0.35">
      <c r="A86" s="15" t="s">
        <v>130</v>
      </c>
      <c r="B86" s="14" t="s">
        <v>132</v>
      </c>
      <c r="C86" s="13" t="s">
        <v>86</v>
      </c>
      <c r="D86" s="13" t="s">
        <v>86</v>
      </c>
      <c r="E86" s="13" t="s">
        <v>86</v>
      </c>
      <c r="F86" s="13" t="s">
        <v>86</v>
      </c>
      <c r="G86" s="12" t="s">
        <v>86</v>
      </c>
      <c r="H86" s="12" t="s">
        <v>86</v>
      </c>
      <c r="I86" s="12" t="s">
        <v>86</v>
      </c>
      <c r="J86" s="12" t="s">
        <v>86</v>
      </c>
      <c r="K86" s="13" t="s">
        <v>86</v>
      </c>
      <c r="L86" s="13" t="s">
        <v>86</v>
      </c>
      <c r="M86" s="13" t="s">
        <v>86</v>
      </c>
      <c r="N86" s="13" t="s">
        <v>86</v>
      </c>
      <c r="O86" s="12" t="s">
        <v>86</v>
      </c>
      <c r="P86" s="12" t="s">
        <v>86</v>
      </c>
      <c r="Q86" s="12" t="s">
        <v>86</v>
      </c>
      <c r="R86" s="12" t="s">
        <v>86</v>
      </c>
      <c r="S86" s="13" t="s">
        <v>86</v>
      </c>
      <c r="T86" s="13" t="s">
        <v>86</v>
      </c>
      <c r="U86" s="13" t="s">
        <v>86</v>
      </c>
      <c r="V86" s="13" t="s">
        <v>86</v>
      </c>
      <c r="W86" s="12" t="s">
        <v>86</v>
      </c>
      <c r="X86" s="12" t="s">
        <v>86</v>
      </c>
      <c r="Y86" s="12" t="s">
        <v>86</v>
      </c>
      <c r="Z86" s="12" t="s">
        <v>86</v>
      </c>
      <c r="AA86" s="13" t="s">
        <v>86</v>
      </c>
      <c r="AB86" s="13" t="s">
        <v>86</v>
      </c>
      <c r="AC86" s="13" t="s">
        <v>86</v>
      </c>
      <c r="AD86" s="13" t="s">
        <v>86</v>
      </c>
      <c r="AE86" s="12" t="s">
        <v>86</v>
      </c>
      <c r="AF86" s="12" t="s">
        <v>86</v>
      </c>
      <c r="AG86" s="12" t="s">
        <v>86</v>
      </c>
      <c r="AH86" s="12" t="s">
        <v>86</v>
      </c>
      <c r="AI86" s="13" t="s">
        <v>86</v>
      </c>
      <c r="AJ86" s="13" t="s">
        <v>86</v>
      </c>
      <c r="AK86" s="13" t="s">
        <v>86</v>
      </c>
      <c r="AL86" s="13" t="s">
        <v>86</v>
      </c>
      <c r="AM86" s="12" t="s">
        <v>86</v>
      </c>
      <c r="AN86" s="12" t="s">
        <v>86</v>
      </c>
      <c r="AO86" s="12" t="s">
        <v>86</v>
      </c>
      <c r="AP86" s="12" t="s">
        <v>86</v>
      </c>
      <c r="AQ86" s="13" t="s">
        <v>86</v>
      </c>
      <c r="AR86" s="13" t="s">
        <v>86</v>
      </c>
      <c r="AS86" s="13" t="s">
        <v>86</v>
      </c>
      <c r="AT86" s="13" t="s">
        <v>86</v>
      </c>
      <c r="AU86" s="12" t="s">
        <v>86</v>
      </c>
      <c r="AV86" s="12" t="s">
        <v>86</v>
      </c>
      <c r="AW86" s="12" t="s">
        <v>86</v>
      </c>
      <c r="AX86" s="12" t="s">
        <v>86</v>
      </c>
      <c r="AY86" s="13" t="s">
        <v>86</v>
      </c>
      <c r="AZ86" s="13" t="s">
        <v>86</v>
      </c>
      <c r="BA86" s="13" t="s">
        <v>86</v>
      </c>
      <c r="BB86" s="13" t="s">
        <v>86</v>
      </c>
      <c r="BC86" s="12" t="s">
        <v>86</v>
      </c>
      <c r="BD86" s="12" t="s">
        <v>86</v>
      </c>
      <c r="BE86" s="12" t="s">
        <v>86</v>
      </c>
      <c r="BF86" s="12" t="s">
        <v>86</v>
      </c>
      <c r="BG86" s="13" t="s">
        <v>86</v>
      </c>
      <c r="BH86" s="13" t="s">
        <v>86</v>
      </c>
      <c r="BI86" s="13" t="s">
        <v>86</v>
      </c>
      <c r="BJ86" s="13" t="s">
        <v>86</v>
      </c>
      <c r="BK86" s="12" t="s">
        <v>86</v>
      </c>
      <c r="BL86" s="12" t="s">
        <v>86</v>
      </c>
    </row>
    <row r="87" spans="1:64" ht="15" thickBot="1" x14ac:dyDescent="0.35">
      <c r="A87" s="15" t="s">
        <v>130</v>
      </c>
      <c r="B87" s="14" t="s">
        <v>131</v>
      </c>
      <c r="C87" s="13" t="s">
        <v>86</v>
      </c>
      <c r="D87" s="13" t="s">
        <v>86</v>
      </c>
      <c r="E87" s="13" t="s">
        <v>86</v>
      </c>
      <c r="F87" s="13" t="s">
        <v>86</v>
      </c>
      <c r="G87" s="12" t="s">
        <v>86</v>
      </c>
      <c r="H87" s="12" t="s">
        <v>86</v>
      </c>
      <c r="I87" s="12" t="s">
        <v>86</v>
      </c>
      <c r="J87" s="12" t="s">
        <v>86</v>
      </c>
      <c r="K87" s="13" t="s">
        <v>86</v>
      </c>
      <c r="L87" s="13" t="s">
        <v>86</v>
      </c>
      <c r="M87" s="13" t="s">
        <v>86</v>
      </c>
      <c r="N87" s="13" t="s">
        <v>86</v>
      </c>
      <c r="O87" s="12" t="s">
        <v>86</v>
      </c>
      <c r="P87" s="12" t="s">
        <v>86</v>
      </c>
      <c r="Q87" s="12" t="s">
        <v>86</v>
      </c>
      <c r="R87" s="12">
        <v>1630</v>
      </c>
      <c r="S87" s="13">
        <v>1660</v>
      </c>
      <c r="T87" s="13">
        <v>1709</v>
      </c>
      <c r="U87" s="13">
        <v>1753</v>
      </c>
      <c r="V87" s="13">
        <v>1859</v>
      </c>
      <c r="W87" s="12">
        <v>1910</v>
      </c>
      <c r="X87" s="12">
        <v>1992</v>
      </c>
      <c r="Y87" s="12">
        <v>2102</v>
      </c>
      <c r="Z87" s="12">
        <v>2255</v>
      </c>
      <c r="AA87" s="13">
        <v>2432</v>
      </c>
      <c r="AB87" s="13">
        <v>2422</v>
      </c>
      <c r="AC87" s="13">
        <v>2550</v>
      </c>
      <c r="AD87" s="13">
        <v>2635</v>
      </c>
      <c r="AE87" s="12">
        <v>2480</v>
      </c>
      <c r="AF87" s="12">
        <v>2508</v>
      </c>
      <c r="AG87" s="12">
        <v>2451</v>
      </c>
      <c r="AH87" s="12">
        <v>2499</v>
      </c>
      <c r="AI87" s="13">
        <v>2228</v>
      </c>
      <c r="AJ87" s="13">
        <v>2055</v>
      </c>
      <c r="AK87" s="13">
        <v>2080</v>
      </c>
      <c r="AL87" s="13">
        <v>2241</v>
      </c>
      <c r="AM87" s="12">
        <v>2176</v>
      </c>
      <c r="AN87" s="12">
        <v>2193</v>
      </c>
      <c r="AO87" s="12">
        <v>1981</v>
      </c>
      <c r="AP87" s="12">
        <v>1917</v>
      </c>
      <c r="AQ87" s="13">
        <v>2390</v>
      </c>
      <c r="AR87" s="13">
        <v>2941</v>
      </c>
      <c r="AS87" s="13">
        <v>2675</v>
      </c>
      <c r="AT87" s="13">
        <v>1386</v>
      </c>
      <c r="AU87" s="12">
        <v>2597</v>
      </c>
      <c r="AV87" s="12">
        <v>2895</v>
      </c>
      <c r="AW87" s="12">
        <v>3518</v>
      </c>
      <c r="AX87" s="12">
        <v>4001</v>
      </c>
      <c r="AY87" s="13">
        <v>3767</v>
      </c>
      <c r="AZ87" s="13">
        <v>5088</v>
      </c>
      <c r="BA87" s="13">
        <v>5800</v>
      </c>
      <c r="BB87" s="13">
        <v>8284</v>
      </c>
      <c r="BC87" s="12">
        <v>9772</v>
      </c>
      <c r="BD87" s="12">
        <v>8962</v>
      </c>
      <c r="BE87" s="12">
        <v>5998</v>
      </c>
      <c r="BF87" s="12">
        <v>9347</v>
      </c>
      <c r="BG87" s="13">
        <v>9797</v>
      </c>
      <c r="BH87" s="13">
        <v>11034</v>
      </c>
      <c r="BI87" s="13">
        <v>12651</v>
      </c>
      <c r="BJ87" s="13">
        <v>14028</v>
      </c>
      <c r="BK87" s="12">
        <v>14209</v>
      </c>
      <c r="BL87" s="12">
        <v>14574</v>
      </c>
    </row>
    <row r="88" spans="1:64" ht="15" thickBot="1" x14ac:dyDescent="0.35">
      <c r="A88" s="15" t="s">
        <v>130</v>
      </c>
      <c r="B88" s="14" t="s">
        <v>129</v>
      </c>
      <c r="C88" s="13" t="s">
        <v>86</v>
      </c>
      <c r="D88" s="13" t="s">
        <v>86</v>
      </c>
      <c r="E88" s="13" t="s">
        <v>86</v>
      </c>
      <c r="F88" s="13" t="s">
        <v>86</v>
      </c>
      <c r="G88" s="12">
        <v>291</v>
      </c>
      <c r="H88" s="12" t="s">
        <v>86</v>
      </c>
      <c r="I88" s="12" t="s">
        <v>86</v>
      </c>
      <c r="J88" s="12" t="s">
        <v>86</v>
      </c>
      <c r="K88" s="13">
        <v>544</v>
      </c>
      <c r="L88" s="13">
        <v>668</v>
      </c>
      <c r="M88" s="13">
        <v>808</v>
      </c>
      <c r="N88" s="13">
        <v>1012</v>
      </c>
      <c r="O88" s="12">
        <v>1085</v>
      </c>
      <c r="P88" s="12">
        <v>1366</v>
      </c>
      <c r="Q88" s="12">
        <v>1487</v>
      </c>
      <c r="R88" s="12" t="s">
        <v>86</v>
      </c>
      <c r="S88" s="13" t="s">
        <v>86</v>
      </c>
      <c r="T88" s="13" t="s">
        <v>86</v>
      </c>
      <c r="U88" s="13" t="s">
        <v>86</v>
      </c>
      <c r="V88" s="13" t="s">
        <v>86</v>
      </c>
      <c r="W88" s="12" t="s">
        <v>86</v>
      </c>
      <c r="X88" s="12" t="s">
        <v>86</v>
      </c>
      <c r="Y88" s="12" t="s">
        <v>86</v>
      </c>
      <c r="Z88" s="12" t="s">
        <v>86</v>
      </c>
      <c r="AA88" s="13" t="s">
        <v>86</v>
      </c>
      <c r="AB88" s="13" t="s">
        <v>86</v>
      </c>
      <c r="AC88" s="13" t="s">
        <v>86</v>
      </c>
      <c r="AD88" s="13" t="s">
        <v>86</v>
      </c>
      <c r="AE88" s="12" t="s">
        <v>86</v>
      </c>
      <c r="AF88" s="12" t="s">
        <v>86</v>
      </c>
      <c r="AG88" s="12" t="s">
        <v>86</v>
      </c>
      <c r="AH88" s="12" t="s">
        <v>86</v>
      </c>
      <c r="AI88" s="13" t="s">
        <v>86</v>
      </c>
      <c r="AJ88" s="13" t="s">
        <v>86</v>
      </c>
      <c r="AK88" s="13" t="s">
        <v>86</v>
      </c>
      <c r="AL88" s="13" t="s">
        <v>86</v>
      </c>
      <c r="AM88" s="12" t="s">
        <v>86</v>
      </c>
      <c r="AN88" s="12" t="s">
        <v>86</v>
      </c>
      <c r="AO88" s="12" t="s">
        <v>86</v>
      </c>
      <c r="AP88" s="12" t="s">
        <v>86</v>
      </c>
      <c r="AQ88" s="13" t="s">
        <v>86</v>
      </c>
      <c r="AR88" s="13" t="s">
        <v>86</v>
      </c>
      <c r="AS88" s="13" t="s">
        <v>86</v>
      </c>
      <c r="AT88" s="13" t="s">
        <v>86</v>
      </c>
      <c r="AU88" s="12" t="s">
        <v>86</v>
      </c>
      <c r="AV88" s="12" t="s">
        <v>86</v>
      </c>
      <c r="AW88" s="12" t="s">
        <v>86</v>
      </c>
      <c r="AX88" s="12" t="s">
        <v>86</v>
      </c>
      <c r="AY88" s="13" t="s">
        <v>86</v>
      </c>
      <c r="AZ88" s="13" t="s">
        <v>86</v>
      </c>
      <c r="BA88" s="13" t="s">
        <v>86</v>
      </c>
      <c r="BB88" s="13" t="s">
        <v>86</v>
      </c>
      <c r="BC88" s="12" t="s">
        <v>86</v>
      </c>
      <c r="BD88" s="12" t="s">
        <v>86</v>
      </c>
      <c r="BE88" s="12" t="s">
        <v>86</v>
      </c>
      <c r="BF88" s="12" t="s">
        <v>86</v>
      </c>
      <c r="BG88" s="13" t="s">
        <v>86</v>
      </c>
      <c r="BH88" s="13" t="s">
        <v>86</v>
      </c>
      <c r="BI88" s="13" t="s">
        <v>86</v>
      </c>
      <c r="BJ88" s="13" t="s">
        <v>86</v>
      </c>
      <c r="BK88" s="12" t="s">
        <v>86</v>
      </c>
      <c r="BL88" s="12" t="s">
        <v>86</v>
      </c>
    </row>
    <row r="89" spans="1:64" ht="15" thickBot="1" x14ac:dyDescent="0.35">
      <c r="A89" s="15" t="s">
        <v>128</v>
      </c>
      <c r="B89" s="14" t="s">
        <v>127</v>
      </c>
      <c r="C89" s="13" t="s">
        <v>86</v>
      </c>
      <c r="D89" s="13" t="s">
        <v>86</v>
      </c>
      <c r="E89" s="13" t="s">
        <v>86</v>
      </c>
      <c r="F89" s="13" t="s">
        <v>86</v>
      </c>
      <c r="G89" s="12">
        <v>127</v>
      </c>
      <c r="H89" s="12" t="s">
        <v>86</v>
      </c>
      <c r="I89" s="12" t="s">
        <v>86</v>
      </c>
      <c r="J89" s="12" t="s">
        <v>86</v>
      </c>
      <c r="K89" s="13">
        <v>208</v>
      </c>
      <c r="L89" s="13" t="s">
        <v>86</v>
      </c>
      <c r="M89" s="13" t="s">
        <v>86</v>
      </c>
      <c r="N89" s="13">
        <v>365</v>
      </c>
      <c r="O89" s="12" t="s">
        <v>86</v>
      </c>
      <c r="P89" s="12" t="s">
        <v>86</v>
      </c>
      <c r="Q89" s="12" t="s">
        <v>86</v>
      </c>
      <c r="R89" s="12" t="s">
        <v>86</v>
      </c>
      <c r="S89" s="13" t="s">
        <v>86</v>
      </c>
      <c r="T89" s="13" t="s">
        <v>86</v>
      </c>
      <c r="U89" s="13" t="s">
        <v>86</v>
      </c>
      <c r="V89" s="13" t="s">
        <v>86</v>
      </c>
      <c r="W89" s="12" t="s">
        <v>86</v>
      </c>
      <c r="X89" s="12" t="s">
        <v>86</v>
      </c>
      <c r="Y89" s="12" t="s">
        <v>86</v>
      </c>
      <c r="Z89" s="12" t="s">
        <v>86</v>
      </c>
      <c r="AA89" s="13" t="s">
        <v>86</v>
      </c>
      <c r="AB89" s="13" t="s">
        <v>86</v>
      </c>
      <c r="AC89" s="13" t="s">
        <v>86</v>
      </c>
      <c r="AD89" s="13" t="s">
        <v>86</v>
      </c>
      <c r="AE89" s="12" t="s">
        <v>86</v>
      </c>
      <c r="AF89" s="12" t="s">
        <v>86</v>
      </c>
      <c r="AG89" s="12" t="s">
        <v>86</v>
      </c>
      <c r="AH89" s="12" t="s">
        <v>86</v>
      </c>
      <c r="AI89" s="13" t="s">
        <v>86</v>
      </c>
      <c r="AJ89" s="13" t="s">
        <v>86</v>
      </c>
      <c r="AK89" s="13" t="s">
        <v>86</v>
      </c>
      <c r="AL89" s="13" t="s">
        <v>86</v>
      </c>
      <c r="AM89" s="12" t="s">
        <v>86</v>
      </c>
      <c r="AN89" s="12" t="s">
        <v>86</v>
      </c>
      <c r="AO89" s="12" t="s">
        <v>86</v>
      </c>
      <c r="AP89" s="12" t="s">
        <v>86</v>
      </c>
      <c r="AQ89" s="13">
        <v>499</v>
      </c>
      <c r="AR89" s="13">
        <v>564</v>
      </c>
      <c r="AS89" s="13">
        <v>1161</v>
      </c>
      <c r="AT89" s="13">
        <v>1132</v>
      </c>
      <c r="AU89" s="12">
        <v>1222</v>
      </c>
      <c r="AV89" s="12">
        <v>1280</v>
      </c>
      <c r="AW89" s="12">
        <v>1274</v>
      </c>
      <c r="AX89" s="12">
        <v>1556</v>
      </c>
      <c r="AY89" s="13">
        <v>1631</v>
      </c>
      <c r="AZ89" s="13">
        <v>1815</v>
      </c>
      <c r="BA89" s="13">
        <v>1684</v>
      </c>
      <c r="BB89" s="13">
        <v>1919</v>
      </c>
      <c r="BC89" s="12">
        <v>1937</v>
      </c>
      <c r="BD89" s="12">
        <v>2052</v>
      </c>
      <c r="BE89" s="12">
        <v>2006</v>
      </c>
      <c r="BF89" s="12">
        <v>2227</v>
      </c>
      <c r="BG89" s="13">
        <v>2592</v>
      </c>
      <c r="BH89" s="13">
        <v>2416</v>
      </c>
      <c r="BI89" s="13">
        <v>2699</v>
      </c>
      <c r="BJ89" s="13">
        <v>2699</v>
      </c>
      <c r="BK89" s="12">
        <v>2647</v>
      </c>
      <c r="BL89" s="12">
        <v>2675</v>
      </c>
    </row>
    <row r="90" spans="1:64" ht="15" thickBot="1" x14ac:dyDescent="0.35">
      <c r="A90" s="15" t="s">
        <v>126</v>
      </c>
      <c r="B90" s="14" t="s">
        <v>125</v>
      </c>
      <c r="C90" s="13" t="s">
        <v>86</v>
      </c>
      <c r="D90" s="13" t="s">
        <v>86</v>
      </c>
      <c r="E90" s="13" t="s">
        <v>86</v>
      </c>
      <c r="F90" s="13" t="s">
        <v>86</v>
      </c>
      <c r="G90" s="12" t="s">
        <v>86</v>
      </c>
      <c r="H90" s="12" t="s">
        <v>86</v>
      </c>
      <c r="I90" s="12" t="s">
        <v>86</v>
      </c>
      <c r="J90" s="12" t="s">
        <v>86</v>
      </c>
      <c r="K90" s="13" t="s">
        <v>86</v>
      </c>
      <c r="L90" s="13" t="s">
        <v>86</v>
      </c>
      <c r="M90" s="13" t="s">
        <v>86</v>
      </c>
      <c r="N90" s="13" t="s">
        <v>86</v>
      </c>
      <c r="O90" s="12" t="s">
        <v>86</v>
      </c>
      <c r="P90" s="12" t="s">
        <v>86</v>
      </c>
      <c r="Q90" s="12" t="s">
        <v>86</v>
      </c>
      <c r="R90" s="12">
        <v>77</v>
      </c>
      <c r="S90" s="13" t="s">
        <v>86</v>
      </c>
      <c r="T90" s="13">
        <v>64</v>
      </c>
      <c r="U90" s="13">
        <v>137</v>
      </c>
      <c r="V90" s="13">
        <v>129</v>
      </c>
      <c r="W90" s="12">
        <v>149</v>
      </c>
      <c r="X90" s="12">
        <v>194</v>
      </c>
      <c r="Y90" s="12">
        <v>229</v>
      </c>
      <c r="Z90" s="12">
        <v>244</v>
      </c>
      <c r="AA90" s="13">
        <v>264</v>
      </c>
      <c r="AB90" s="13">
        <v>318</v>
      </c>
      <c r="AC90" s="13">
        <v>331</v>
      </c>
      <c r="AD90" s="13">
        <v>304</v>
      </c>
      <c r="AE90" s="12">
        <v>307</v>
      </c>
      <c r="AF90" s="12">
        <v>305</v>
      </c>
      <c r="AG90" s="12">
        <v>295</v>
      </c>
      <c r="AH90" s="12">
        <v>281</v>
      </c>
      <c r="AI90" s="13">
        <v>239</v>
      </c>
      <c r="AJ90" s="13">
        <v>211</v>
      </c>
      <c r="AK90" s="13">
        <v>347</v>
      </c>
      <c r="AL90" s="13" t="s">
        <v>86</v>
      </c>
      <c r="AM90" s="12">
        <v>198</v>
      </c>
      <c r="AN90" s="12">
        <v>417</v>
      </c>
      <c r="AO90" s="12" t="s">
        <v>86</v>
      </c>
      <c r="AP90" s="12" t="s">
        <v>86</v>
      </c>
      <c r="AQ90" s="13" t="s">
        <v>86</v>
      </c>
      <c r="AR90" s="13" t="s">
        <v>86</v>
      </c>
      <c r="AS90" s="13" t="s">
        <v>86</v>
      </c>
      <c r="AT90" s="13" t="s">
        <v>86</v>
      </c>
      <c r="AU90" s="12" t="s">
        <v>86</v>
      </c>
      <c r="AV90" s="12" t="s">
        <v>86</v>
      </c>
      <c r="AW90" s="12" t="s">
        <v>86</v>
      </c>
      <c r="AX90" s="12" t="s">
        <v>86</v>
      </c>
      <c r="AY90" s="13" t="s">
        <v>86</v>
      </c>
      <c r="AZ90" s="13" t="s">
        <v>86</v>
      </c>
      <c r="BA90" s="13" t="s">
        <v>86</v>
      </c>
      <c r="BB90" s="13" t="s">
        <v>86</v>
      </c>
      <c r="BC90" s="12" t="s">
        <v>86</v>
      </c>
      <c r="BD90" s="12" t="s">
        <v>86</v>
      </c>
      <c r="BE90" s="12" t="s">
        <v>86</v>
      </c>
      <c r="BF90" s="12" t="s">
        <v>86</v>
      </c>
      <c r="BG90" s="13" t="s">
        <v>86</v>
      </c>
      <c r="BH90" s="13" t="s">
        <v>86</v>
      </c>
      <c r="BI90" s="13" t="s">
        <v>86</v>
      </c>
      <c r="BJ90" s="13" t="s">
        <v>86</v>
      </c>
      <c r="BK90" s="12" t="s">
        <v>86</v>
      </c>
      <c r="BL90" s="12" t="s">
        <v>86</v>
      </c>
    </row>
    <row r="91" spans="1:64" ht="15" thickBot="1" x14ac:dyDescent="0.35">
      <c r="A91" s="15" t="s">
        <v>126</v>
      </c>
      <c r="B91" s="14" t="s">
        <v>124</v>
      </c>
      <c r="C91" s="13" t="s">
        <v>86</v>
      </c>
      <c r="D91" s="13" t="s">
        <v>86</v>
      </c>
      <c r="E91" s="13" t="s">
        <v>86</v>
      </c>
      <c r="F91" s="13" t="s">
        <v>86</v>
      </c>
      <c r="G91" s="12" t="s">
        <v>86</v>
      </c>
      <c r="H91" s="12" t="s">
        <v>86</v>
      </c>
      <c r="I91" s="12" t="s">
        <v>86</v>
      </c>
      <c r="J91" s="12" t="s">
        <v>86</v>
      </c>
      <c r="K91" s="13" t="s">
        <v>86</v>
      </c>
      <c r="L91" s="13" t="s">
        <v>86</v>
      </c>
      <c r="M91" s="13" t="s">
        <v>86</v>
      </c>
      <c r="N91" s="13" t="s">
        <v>86</v>
      </c>
      <c r="O91" s="12" t="s">
        <v>86</v>
      </c>
      <c r="P91" s="12" t="s">
        <v>86</v>
      </c>
      <c r="Q91" s="12" t="s">
        <v>86</v>
      </c>
      <c r="R91" s="12">
        <v>428</v>
      </c>
      <c r="S91" s="13" t="s">
        <v>86</v>
      </c>
      <c r="T91" s="13">
        <v>397</v>
      </c>
      <c r="U91" s="13">
        <v>542</v>
      </c>
      <c r="V91" s="13">
        <v>495</v>
      </c>
      <c r="W91" s="12">
        <v>532</v>
      </c>
      <c r="X91" s="12">
        <v>649</v>
      </c>
      <c r="Y91" s="12">
        <v>635</v>
      </c>
      <c r="Z91" s="12">
        <v>671</v>
      </c>
      <c r="AA91" s="13">
        <v>765</v>
      </c>
      <c r="AB91" s="13">
        <v>942</v>
      </c>
      <c r="AC91" s="13">
        <v>803</v>
      </c>
      <c r="AD91" s="13">
        <v>652</v>
      </c>
      <c r="AE91" s="12">
        <v>612</v>
      </c>
      <c r="AF91" s="12">
        <v>588</v>
      </c>
      <c r="AG91" s="12">
        <v>560</v>
      </c>
      <c r="AH91" s="12">
        <v>384</v>
      </c>
      <c r="AI91" s="13">
        <v>378</v>
      </c>
      <c r="AJ91" s="13">
        <v>285</v>
      </c>
      <c r="AK91" s="13">
        <v>226</v>
      </c>
      <c r="AL91" s="13" t="s">
        <v>86</v>
      </c>
      <c r="AM91" s="12">
        <v>361</v>
      </c>
      <c r="AN91" s="12">
        <v>997</v>
      </c>
      <c r="AO91" s="12" t="s">
        <v>86</v>
      </c>
      <c r="AP91" s="12" t="s">
        <v>86</v>
      </c>
      <c r="AQ91" s="13" t="s">
        <v>86</v>
      </c>
      <c r="AR91" s="13" t="s">
        <v>86</v>
      </c>
      <c r="AS91" s="13" t="s">
        <v>86</v>
      </c>
      <c r="AT91" s="13" t="s">
        <v>86</v>
      </c>
      <c r="AU91" s="12" t="s">
        <v>86</v>
      </c>
      <c r="AV91" s="12" t="s">
        <v>86</v>
      </c>
      <c r="AW91" s="12" t="s">
        <v>86</v>
      </c>
      <c r="AX91" s="12" t="s">
        <v>86</v>
      </c>
      <c r="AY91" s="13" t="s">
        <v>86</v>
      </c>
      <c r="AZ91" s="13" t="s">
        <v>86</v>
      </c>
      <c r="BA91" s="13" t="s">
        <v>86</v>
      </c>
      <c r="BB91" s="13" t="s">
        <v>86</v>
      </c>
      <c r="BC91" s="12" t="s">
        <v>86</v>
      </c>
      <c r="BD91" s="12" t="s">
        <v>86</v>
      </c>
      <c r="BE91" s="12" t="s">
        <v>86</v>
      </c>
      <c r="BF91" s="12" t="s">
        <v>86</v>
      </c>
      <c r="BG91" s="13" t="s">
        <v>86</v>
      </c>
      <c r="BH91" s="13" t="s">
        <v>86</v>
      </c>
      <c r="BI91" s="13" t="s">
        <v>86</v>
      </c>
      <c r="BJ91" s="13" t="s">
        <v>86</v>
      </c>
      <c r="BK91" s="12" t="s">
        <v>86</v>
      </c>
      <c r="BL91" s="12" t="s">
        <v>86</v>
      </c>
    </row>
    <row r="92" spans="1:64" ht="15" thickBot="1" x14ac:dyDescent="0.35">
      <c r="A92" s="15" t="s">
        <v>126</v>
      </c>
      <c r="B92" s="14" t="s">
        <v>123</v>
      </c>
      <c r="C92" s="13" t="s">
        <v>86</v>
      </c>
      <c r="D92" s="13" t="s">
        <v>86</v>
      </c>
      <c r="E92" s="13" t="s">
        <v>86</v>
      </c>
      <c r="F92" s="13" t="s">
        <v>86</v>
      </c>
      <c r="G92" s="12" t="s">
        <v>86</v>
      </c>
      <c r="H92" s="12" t="s">
        <v>86</v>
      </c>
      <c r="I92" s="12" t="s">
        <v>86</v>
      </c>
      <c r="J92" s="12" t="s">
        <v>86</v>
      </c>
      <c r="K92" s="13" t="s">
        <v>86</v>
      </c>
      <c r="L92" s="13" t="s">
        <v>86</v>
      </c>
      <c r="M92" s="13" t="s">
        <v>86</v>
      </c>
      <c r="N92" s="13" t="s">
        <v>86</v>
      </c>
      <c r="O92" s="12" t="s">
        <v>86</v>
      </c>
      <c r="P92" s="12" t="s">
        <v>86</v>
      </c>
      <c r="Q92" s="12" t="s">
        <v>86</v>
      </c>
      <c r="R92" s="12">
        <v>545</v>
      </c>
      <c r="S92" s="13" t="s">
        <v>86</v>
      </c>
      <c r="T92" s="13">
        <v>576</v>
      </c>
      <c r="U92" s="13">
        <v>741</v>
      </c>
      <c r="V92" s="13">
        <v>701</v>
      </c>
      <c r="W92" s="12">
        <v>719</v>
      </c>
      <c r="X92" s="12">
        <v>873</v>
      </c>
      <c r="Y92" s="12">
        <v>842</v>
      </c>
      <c r="Z92" s="12">
        <v>876</v>
      </c>
      <c r="AA92" s="13">
        <v>880</v>
      </c>
      <c r="AB92" s="13">
        <v>889</v>
      </c>
      <c r="AC92" s="13">
        <v>1008</v>
      </c>
      <c r="AD92" s="13">
        <v>981</v>
      </c>
      <c r="AE92" s="12">
        <v>954</v>
      </c>
      <c r="AF92" s="12">
        <v>835</v>
      </c>
      <c r="AG92" s="12">
        <v>736</v>
      </c>
      <c r="AH92" s="12">
        <v>590</v>
      </c>
      <c r="AI92" s="13">
        <v>561</v>
      </c>
      <c r="AJ92" s="13">
        <v>489</v>
      </c>
      <c r="AK92" s="13">
        <v>547</v>
      </c>
      <c r="AL92" s="13" t="s">
        <v>86</v>
      </c>
      <c r="AM92" s="12">
        <v>394</v>
      </c>
      <c r="AN92" s="12">
        <v>1725</v>
      </c>
      <c r="AO92" s="12" t="s">
        <v>86</v>
      </c>
      <c r="AP92" s="12" t="s">
        <v>86</v>
      </c>
      <c r="AQ92" s="13" t="s">
        <v>86</v>
      </c>
      <c r="AR92" s="13" t="s">
        <v>86</v>
      </c>
      <c r="AS92" s="13" t="s">
        <v>86</v>
      </c>
      <c r="AT92" s="13" t="s">
        <v>86</v>
      </c>
      <c r="AU92" s="12" t="s">
        <v>86</v>
      </c>
      <c r="AV92" s="12" t="s">
        <v>86</v>
      </c>
      <c r="AW92" s="12" t="s">
        <v>86</v>
      </c>
      <c r="AX92" s="12" t="s">
        <v>86</v>
      </c>
      <c r="AY92" s="13" t="s">
        <v>86</v>
      </c>
      <c r="AZ92" s="13" t="s">
        <v>86</v>
      </c>
      <c r="BA92" s="13" t="s">
        <v>86</v>
      </c>
      <c r="BB92" s="13" t="s">
        <v>86</v>
      </c>
      <c r="BC92" s="12" t="s">
        <v>86</v>
      </c>
      <c r="BD92" s="12" t="s">
        <v>86</v>
      </c>
      <c r="BE92" s="12" t="s">
        <v>86</v>
      </c>
      <c r="BF92" s="12" t="s">
        <v>86</v>
      </c>
      <c r="BG92" s="13" t="s">
        <v>86</v>
      </c>
      <c r="BH92" s="13" t="s">
        <v>86</v>
      </c>
      <c r="BI92" s="13" t="s">
        <v>86</v>
      </c>
      <c r="BJ92" s="13" t="s">
        <v>86</v>
      </c>
      <c r="BK92" s="12" t="s">
        <v>86</v>
      </c>
      <c r="BL92" s="12" t="s">
        <v>86</v>
      </c>
    </row>
    <row r="93" spans="1:64" ht="15" thickBot="1" x14ac:dyDescent="0.35">
      <c r="A93" s="15" t="s">
        <v>121</v>
      </c>
      <c r="B93" s="14" t="s">
        <v>125</v>
      </c>
      <c r="C93" s="13" t="s">
        <v>86</v>
      </c>
      <c r="D93" s="13" t="s">
        <v>86</v>
      </c>
      <c r="E93" s="13" t="s">
        <v>86</v>
      </c>
      <c r="F93" s="13" t="s">
        <v>86</v>
      </c>
      <c r="G93" s="12" t="s">
        <v>86</v>
      </c>
      <c r="H93" s="12" t="s">
        <v>86</v>
      </c>
      <c r="I93" s="12" t="s">
        <v>86</v>
      </c>
      <c r="J93" s="12" t="s">
        <v>86</v>
      </c>
      <c r="K93" s="13" t="s">
        <v>86</v>
      </c>
      <c r="L93" s="13" t="s">
        <v>86</v>
      </c>
      <c r="M93" s="13" t="s">
        <v>86</v>
      </c>
      <c r="N93" s="13" t="s">
        <v>86</v>
      </c>
      <c r="O93" s="12" t="s">
        <v>86</v>
      </c>
      <c r="P93" s="12" t="s">
        <v>86</v>
      </c>
      <c r="Q93" s="12" t="s">
        <v>86</v>
      </c>
      <c r="R93" s="12" t="s">
        <v>86</v>
      </c>
      <c r="S93" s="13" t="s">
        <v>86</v>
      </c>
      <c r="T93" s="13" t="s">
        <v>86</v>
      </c>
      <c r="U93" s="13" t="s">
        <v>86</v>
      </c>
      <c r="V93" s="13" t="s">
        <v>86</v>
      </c>
      <c r="W93" s="12" t="s">
        <v>86</v>
      </c>
      <c r="X93" s="12" t="s">
        <v>86</v>
      </c>
      <c r="Y93" s="12" t="s">
        <v>86</v>
      </c>
      <c r="Z93" s="12" t="s">
        <v>86</v>
      </c>
      <c r="AA93" s="13">
        <v>264</v>
      </c>
      <c r="AB93" s="13">
        <v>318</v>
      </c>
      <c r="AC93" s="13">
        <v>331</v>
      </c>
      <c r="AD93" s="13">
        <v>304</v>
      </c>
      <c r="AE93" s="12">
        <v>307</v>
      </c>
      <c r="AF93" s="12">
        <v>305</v>
      </c>
      <c r="AG93" s="12">
        <v>295</v>
      </c>
      <c r="AH93" s="12">
        <v>281</v>
      </c>
      <c r="AI93" s="13">
        <v>239</v>
      </c>
      <c r="AJ93" s="13">
        <v>211</v>
      </c>
      <c r="AK93" s="13">
        <v>347</v>
      </c>
      <c r="AL93" s="13">
        <v>276</v>
      </c>
      <c r="AM93" s="12">
        <v>198</v>
      </c>
      <c r="AN93" s="12">
        <v>417</v>
      </c>
      <c r="AO93" s="12">
        <v>330</v>
      </c>
      <c r="AP93" s="12">
        <v>126</v>
      </c>
      <c r="AQ93" s="13" t="s">
        <v>86</v>
      </c>
      <c r="AR93" s="13" t="s">
        <v>86</v>
      </c>
      <c r="AS93" s="13" t="s">
        <v>86</v>
      </c>
      <c r="AT93" s="13" t="s">
        <v>86</v>
      </c>
      <c r="AU93" s="12">
        <v>606</v>
      </c>
      <c r="AV93" s="12">
        <v>1337</v>
      </c>
      <c r="AW93" s="12">
        <v>1294</v>
      </c>
      <c r="AX93" s="12">
        <v>522</v>
      </c>
      <c r="AY93" s="13">
        <v>982</v>
      </c>
      <c r="AZ93" s="13">
        <v>1060</v>
      </c>
      <c r="BA93" s="13">
        <v>2915</v>
      </c>
      <c r="BB93" s="13">
        <v>2409</v>
      </c>
      <c r="BC93" s="12">
        <v>2507</v>
      </c>
      <c r="BD93" s="12">
        <v>3131</v>
      </c>
      <c r="BE93" s="12">
        <v>3188</v>
      </c>
      <c r="BF93" s="12">
        <v>4271</v>
      </c>
      <c r="BG93" s="13">
        <v>3669</v>
      </c>
      <c r="BH93" s="13">
        <v>3398</v>
      </c>
      <c r="BI93" s="13">
        <v>2708</v>
      </c>
      <c r="BJ93" s="13">
        <v>3582</v>
      </c>
      <c r="BK93" s="12">
        <v>4182</v>
      </c>
      <c r="BL93" s="12">
        <v>3730</v>
      </c>
    </row>
    <row r="94" spans="1:64" ht="15" thickBot="1" x14ac:dyDescent="0.35">
      <c r="A94" s="15" t="s">
        <v>121</v>
      </c>
      <c r="B94" s="14" t="s">
        <v>124</v>
      </c>
      <c r="C94" s="13" t="s">
        <v>86</v>
      </c>
      <c r="D94" s="13" t="s">
        <v>86</v>
      </c>
      <c r="E94" s="13" t="s">
        <v>86</v>
      </c>
      <c r="F94" s="13" t="s">
        <v>86</v>
      </c>
      <c r="G94" s="12" t="s">
        <v>86</v>
      </c>
      <c r="H94" s="12" t="s">
        <v>86</v>
      </c>
      <c r="I94" s="12" t="s">
        <v>86</v>
      </c>
      <c r="J94" s="12" t="s">
        <v>86</v>
      </c>
      <c r="K94" s="13" t="s">
        <v>86</v>
      </c>
      <c r="L94" s="13" t="s">
        <v>86</v>
      </c>
      <c r="M94" s="13" t="s">
        <v>86</v>
      </c>
      <c r="N94" s="13" t="s">
        <v>86</v>
      </c>
      <c r="O94" s="12" t="s">
        <v>86</v>
      </c>
      <c r="P94" s="12" t="s">
        <v>86</v>
      </c>
      <c r="Q94" s="12" t="s">
        <v>86</v>
      </c>
      <c r="R94" s="12" t="s">
        <v>86</v>
      </c>
      <c r="S94" s="13" t="s">
        <v>86</v>
      </c>
      <c r="T94" s="13" t="s">
        <v>86</v>
      </c>
      <c r="U94" s="13" t="s">
        <v>86</v>
      </c>
      <c r="V94" s="13" t="s">
        <v>86</v>
      </c>
      <c r="W94" s="12" t="s">
        <v>86</v>
      </c>
      <c r="X94" s="12" t="s">
        <v>86</v>
      </c>
      <c r="Y94" s="12" t="s">
        <v>86</v>
      </c>
      <c r="Z94" s="12" t="s">
        <v>86</v>
      </c>
      <c r="AA94" s="13">
        <v>765</v>
      </c>
      <c r="AB94" s="13">
        <v>942</v>
      </c>
      <c r="AC94" s="13">
        <v>803</v>
      </c>
      <c r="AD94" s="13">
        <v>652</v>
      </c>
      <c r="AE94" s="12">
        <v>612</v>
      </c>
      <c r="AF94" s="12">
        <v>588</v>
      </c>
      <c r="AG94" s="12">
        <v>560</v>
      </c>
      <c r="AH94" s="12">
        <v>384</v>
      </c>
      <c r="AI94" s="13">
        <v>378</v>
      </c>
      <c r="AJ94" s="13">
        <v>285</v>
      </c>
      <c r="AK94" s="13">
        <v>226</v>
      </c>
      <c r="AL94" s="13">
        <v>268</v>
      </c>
      <c r="AM94" s="12">
        <v>361</v>
      </c>
      <c r="AN94" s="12">
        <v>997</v>
      </c>
      <c r="AO94" s="12">
        <v>1151</v>
      </c>
      <c r="AP94" s="12">
        <v>565</v>
      </c>
      <c r="AQ94" s="13" t="s">
        <v>86</v>
      </c>
      <c r="AR94" s="13" t="s">
        <v>86</v>
      </c>
      <c r="AS94" s="13" t="s">
        <v>86</v>
      </c>
      <c r="AT94" s="13" t="s">
        <v>86</v>
      </c>
      <c r="AU94" s="12">
        <v>1942</v>
      </c>
      <c r="AV94" s="12">
        <v>3610</v>
      </c>
      <c r="AW94" s="12">
        <v>3952</v>
      </c>
      <c r="AX94" s="12">
        <v>2044</v>
      </c>
      <c r="AY94" s="13">
        <v>3537</v>
      </c>
      <c r="AZ94" s="13">
        <v>5335</v>
      </c>
      <c r="BA94" s="13">
        <v>15472</v>
      </c>
      <c r="BB94" s="13">
        <v>13090</v>
      </c>
      <c r="BC94" s="12">
        <v>13057</v>
      </c>
      <c r="BD94" s="12">
        <v>22176</v>
      </c>
      <c r="BE94" s="12">
        <v>20069</v>
      </c>
      <c r="BF94" s="12">
        <v>23517</v>
      </c>
      <c r="BG94" s="13">
        <v>21419</v>
      </c>
      <c r="BH94" s="13">
        <v>14515</v>
      </c>
      <c r="BI94" s="13">
        <v>13297</v>
      </c>
      <c r="BJ94" s="13">
        <v>16472</v>
      </c>
      <c r="BK94" s="12">
        <v>18178</v>
      </c>
      <c r="BL94" s="12">
        <v>16784</v>
      </c>
    </row>
    <row r="95" spans="1:64" ht="15" thickBot="1" x14ac:dyDescent="0.35">
      <c r="A95" s="15" t="s">
        <v>121</v>
      </c>
      <c r="B95" s="14" t="s">
        <v>123</v>
      </c>
      <c r="C95" s="13" t="s">
        <v>86</v>
      </c>
      <c r="D95" s="13" t="s">
        <v>86</v>
      </c>
      <c r="E95" s="13" t="s">
        <v>86</v>
      </c>
      <c r="F95" s="13" t="s">
        <v>86</v>
      </c>
      <c r="G95" s="12" t="s">
        <v>86</v>
      </c>
      <c r="H95" s="12" t="s">
        <v>86</v>
      </c>
      <c r="I95" s="12" t="s">
        <v>86</v>
      </c>
      <c r="J95" s="12" t="s">
        <v>86</v>
      </c>
      <c r="K95" s="13" t="s">
        <v>86</v>
      </c>
      <c r="L95" s="13" t="s">
        <v>86</v>
      </c>
      <c r="M95" s="13" t="s">
        <v>86</v>
      </c>
      <c r="N95" s="13" t="s">
        <v>86</v>
      </c>
      <c r="O95" s="12" t="s">
        <v>86</v>
      </c>
      <c r="P95" s="12" t="s">
        <v>86</v>
      </c>
      <c r="Q95" s="12" t="s">
        <v>86</v>
      </c>
      <c r="R95" s="12" t="s">
        <v>86</v>
      </c>
      <c r="S95" s="13" t="s">
        <v>86</v>
      </c>
      <c r="T95" s="13" t="s">
        <v>86</v>
      </c>
      <c r="U95" s="13" t="s">
        <v>86</v>
      </c>
      <c r="V95" s="13" t="s">
        <v>86</v>
      </c>
      <c r="W95" s="12" t="s">
        <v>86</v>
      </c>
      <c r="X95" s="12" t="s">
        <v>86</v>
      </c>
      <c r="Y95" s="12" t="s">
        <v>86</v>
      </c>
      <c r="Z95" s="12" t="s">
        <v>86</v>
      </c>
      <c r="AA95" s="13">
        <v>880</v>
      </c>
      <c r="AB95" s="13">
        <v>889</v>
      </c>
      <c r="AC95" s="13">
        <v>1008</v>
      </c>
      <c r="AD95" s="13">
        <v>981</v>
      </c>
      <c r="AE95" s="12">
        <v>954</v>
      </c>
      <c r="AF95" s="12">
        <v>835</v>
      </c>
      <c r="AG95" s="12">
        <v>736</v>
      </c>
      <c r="AH95" s="12">
        <v>590</v>
      </c>
      <c r="AI95" s="13">
        <v>561</v>
      </c>
      <c r="AJ95" s="13">
        <v>489</v>
      </c>
      <c r="AK95" s="13">
        <v>547</v>
      </c>
      <c r="AL95" s="13">
        <v>327</v>
      </c>
      <c r="AM95" s="12">
        <v>394</v>
      </c>
      <c r="AN95" s="12">
        <v>1725</v>
      </c>
      <c r="AO95" s="12">
        <v>1692</v>
      </c>
      <c r="AP95" s="12">
        <v>535</v>
      </c>
      <c r="AQ95" s="13" t="s">
        <v>86</v>
      </c>
      <c r="AR95" s="13" t="s">
        <v>86</v>
      </c>
      <c r="AS95" s="13" t="s">
        <v>86</v>
      </c>
      <c r="AT95" s="13" t="s">
        <v>86</v>
      </c>
      <c r="AU95" s="12">
        <v>3048</v>
      </c>
      <c r="AV95" s="12">
        <v>4090</v>
      </c>
      <c r="AW95" s="12">
        <v>4905</v>
      </c>
      <c r="AX95" s="12">
        <v>2452</v>
      </c>
      <c r="AY95" s="13">
        <v>4576</v>
      </c>
      <c r="AZ95" s="13">
        <v>3450</v>
      </c>
      <c r="BA95" s="13">
        <v>17568</v>
      </c>
      <c r="BB95" s="13">
        <v>9965</v>
      </c>
      <c r="BC95" s="12">
        <v>18504</v>
      </c>
      <c r="BD95" s="12">
        <v>11491</v>
      </c>
      <c r="BE95" s="12">
        <v>11639</v>
      </c>
      <c r="BF95" s="12">
        <v>14170</v>
      </c>
      <c r="BG95" s="13">
        <v>13089</v>
      </c>
      <c r="BH95" s="13">
        <v>12488</v>
      </c>
      <c r="BI95" s="13">
        <v>8524</v>
      </c>
      <c r="BJ95" s="13">
        <v>11329</v>
      </c>
      <c r="BK95" s="12">
        <v>13923</v>
      </c>
      <c r="BL95" s="12">
        <v>12033</v>
      </c>
    </row>
    <row r="96" spans="1:64" ht="15" thickBot="1" x14ac:dyDescent="0.35">
      <c r="A96" s="15" t="s">
        <v>121</v>
      </c>
      <c r="B96" s="14" t="s">
        <v>122</v>
      </c>
      <c r="C96" s="13" t="s">
        <v>86</v>
      </c>
      <c r="D96" s="13" t="s">
        <v>86</v>
      </c>
      <c r="E96" s="13" t="s">
        <v>86</v>
      </c>
      <c r="F96" s="13" t="s">
        <v>86</v>
      </c>
      <c r="G96" s="12" t="s">
        <v>86</v>
      </c>
      <c r="H96" s="12" t="s">
        <v>86</v>
      </c>
      <c r="I96" s="12" t="s">
        <v>86</v>
      </c>
      <c r="J96" s="12" t="s">
        <v>86</v>
      </c>
      <c r="K96" s="13" t="s">
        <v>86</v>
      </c>
      <c r="L96" s="13" t="s">
        <v>86</v>
      </c>
      <c r="M96" s="13" t="s">
        <v>86</v>
      </c>
      <c r="N96" s="13" t="s">
        <v>86</v>
      </c>
      <c r="O96" s="12" t="s">
        <v>86</v>
      </c>
      <c r="P96" s="12" t="s">
        <v>86</v>
      </c>
      <c r="Q96" s="12" t="s">
        <v>86</v>
      </c>
      <c r="R96" s="12" t="s">
        <v>86</v>
      </c>
      <c r="S96" s="13" t="s">
        <v>86</v>
      </c>
      <c r="T96" s="13" t="s">
        <v>86</v>
      </c>
      <c r="U96" s="13" t="s">
        <v>86</v>
      </c>
      <c r="V96" s="13" t="s">
        <v>86</v>
      </c>
      <c r="W96" s="12" t="s">
        <v>86</v>
      </c>
      <c r="X96" s="12" t="s">
        <v>86</v>
      </c>
      <c r="Y96" s="12" t="s">
        <v>86</v>
      </c>
      <c r="Z96" s="12" t="s">
        <v>86</v>
      </c>
      <c r="AA96" s="13">
        <v>1079</v>
      </c>
      <c r="AB96" s="13">
        <v>1158</v>
      </c>
      <c r="AC96" s="13">
        <v>1141</v>
      </c>
      <c r="AD96" s="13">
        <v>1180</v>
      </c>
      <c r="AE96" s="12">
        <v>1126</v>
      </c>
      <c r="AF96" s="12">
        <v>980</v>
      </c>
      <c r="AG96" s="12">
        <v>941</v>
      </c>
      <c r="AH96" s="12">
        <v>832</v>
      </c>
      <c r="AI96" s="13">
        <v>751</v>
      </c>
      <c r="AJ96" s="13">
        <v>636</v>
      </c>
      <c r="AK96" s="13">
        <v>607</v>
      </c>
      <c r="AL96" s="13">
        <v>579</v>
      </c>
      <c r="AM96" s="12">
        <v>618</v>
      </c>
      <c r="AN96" s="12">
        <v>1149</v>
      </c>
      <c r="AO96" s="12">
        <v>878</v>
      </c>
      <c r="AP96" s="12">
        <v>295</v>
      </c>
      <c r="AQ96" s="13" t="s">
        <v>86</v>
      </c>
      <c r="AR96" s="13" t="s">
        <v>86</v>
      </c>
      <c r="AS96" s="13" t="s">
        <v>86</v>
      </c>
      <c r="AT96" s="13" t="s">
        <v>86</v>
      </c>
      <c r="AU96" s="12">
        <v>1919</v>
      </c>
      <c r="AV96" s="12">
        <v>3263</v>
      </c>
      <c r="AW96" s="12">
        <v>4248</v>
      </c>
      <c r="AX96" s="12">
        <v>3271</v>
      </c>
      <c r="AY96" s="13">
        <v>5749</v>
      </c>
      <c r="AZ96" s="13">
        <v>5467</v>
      </c>
      <c r="BA96" s="13">
        <v>10999</v>
      </c>
      <c r="BB96" s="13">
        <v>11712</v>
      </c>
      <c r="BC96" s="12">
        <v>13729</v>
      </c>
      <c r="BD96" s="12">
        <v>16266</v>
      </c>
      <c r="BE96" s="12">
        <v>17400</v>
      </c>
      <c r="BF96" s="12">
        <v>21687</v>
      </c>
      <c r="BG96" s="13">
        <v>21478</v>
      </c>
      <c r="BH96" s="13">
        <v>23765</v>
      </c>
      <c r="BI96" s="13">
        <v>19285</v>
      </c>
      <c r="BJ96" s="13">
        <v>23839</v>
      </c>
      <c r="BK96" s="12">
        <v>24550</v>
      </c>
      <c r="BL96" s="12">
        <v>20210</v>
      </c>
    </row>
    <row r="97" spans="1:64" x14ac:dyDescent="0.3">
      <c r="A97" s="15" t="s">
        <v>121</v>
      </c>
      <c r="B97" s="14" t="s">
        <v>120</v>
      </c>
      <c r="C97" s="13" t="s">
        <v>86</v>
      </c>
      <c r="D97" s="13" t="s">
        <v>86</v>
      </c>
      <c r="E97" s="13" t="s">
        <v>86</v>
      </c>
      <c r="F97" s="13" t="s">
        <v>86</v>
      </c>
      <c r="G97" s="12">
        <v>64</v>
      </c>
      <c r="H97" s="12" t="s">
        <v>86</v>
      </c>
      <c r="I97" s="12" t="s">
        <v>86</v>
      </c>
      <c r="J97" s="12" t="s">
        <v>86</v>
      </c>
      <c r="K97" s="13">
        <v>375</v>
      </c>
      <c r="L97" s="13">
        <v>481</v>
      </c>
      <c r="M97" s="13">
        <v>583</v>
      </c>
      <c r="N97" s="13">
        <v>681</v>
      </c>
      <c r="O97" s="12">
        <v>706</v>
      </c>
      <c r="P97" s="12">
        <v>1002</v>
      </c>
      <c r="Q97" s="12">
        <v>1451</v>
      </c>
      <c r="R97" s="12">
        <v>1607</v>
      </c>
      <c r="S97" s="13">
        <v>1435</v>
      </c>
      <c r="T97" s="13">
        <v>1475</v>
      </c>
      <c r="U97" s="13">
        <v>2045</v>
      </c>
      <c r="V97" s="13">
        <v>1894</v>
      </c>
      <c r="W97" s="12">
        <v>2013</v>
      </c>
      <c r="X97" s="12">
        <v>2494</v>
      </c>
      <c r="Y97" s="12">
        <v>2530</v>
      </c>
      <c r="Z97" s="12">
        <v>2703</v>
      </c>
      <c r="AA97" s="13" t="s">
        <v>86</v>
      </c>
      <c r="AB97" s="13" t="s">
        <v>86</v>
      </c>
      <c r="AC97" s="13" t="s">
        <v>86</v>
      </c>
      <c r="AD97" s="13" t="s">
        <v>86</v>
      </c>
      <c r="AE97" s="12" t="s">
        <v>86</v>
      </c>
      <c r="AF97" s="12" t="s">
        <v>86</v>
      </c>
      <c r="AG97" s="12" t="s">
        <v>86</v>
      </c>
      <c r="AH97" s="12" t="s">
        <v>86</v>
      </c>
      <c r="AI97" s="13" t="s">
        <v>86</v>
      </c>
      <c r="AJ97" s="13" t="s">
        <v>86</v>
      </c>
      <c r="AK97" s="13" t="s">
        <v>86</v>
      </c>
      <c r="AL97" s="13" t="s">
        <v>86</v>
      </c>
      <c r="AM97" s="12" t="s">
        <v>86</v>
      </c>
      <c r="AN97" s="12" t="s">
        <v>86</v>
      </c>
      <c r="AO97" s="12" t="s">
        <v>86</v>
      </c>
      <c r="AP97" s="12" t="s">
        <v>86</v>
      </c>
      <c r="AQ97" s="13">
        <v>3289</v>
      </c>
      <c r="AR97" s="13">
        <v>4935</v>
      </c>
      <c r="AS97" s="13">
        <v>5776</v>
      </c>
      <c r="AT97" s="13">
        <v>6176</v>
      </c>
      <c r="AU97" s="12" t="s">
        <v>86</v>
      </c>
      <c r="AV97" s="12" t="s">
        <v>86</v>
      </c>
      <c r="AW97" s="12" t="s">
        <v>86</v>
      </c>
      <c r="AX97" s="12" t="s">
        <v>86</v>
      </c>
      <c r="AY97" s="13" t="s">
        <v>86</v>
      </c>
      <c r="AZ97" s="13" t="s">
        <v>86</v>
      </c>
      <c r="BA97" s="13" t="s">
        <v>86</v>
      </c>
      <c r="BB97" s="13" t="s">
        <v>86</v>
      </c>
      <c r="BC97" s="12" t="s">
        <v>86</v>
      </c>
      <c r="BD97" s="12" t="s">
        <v>86</v>
      </c>
      <c r="BE97" s="12" t="s">
        <v>86</v>
      </c>
      <c r="BF97" s="12" t="s">
        <v>86</v>
      </c>
      <c r="BG97" s="13" t="s">
        <v>86</v>
      </c>
      <c r="BH97" s="13" t="s">
        <v>86</v>
      </c>
      <c r="BI97" s="13" t="s">
        <v>86</v>
      </c>
      <c r="BJ97" s="13" t="s">
        <v>86</v>
      </c>
      <c r="BK97" s="12" t="s">
        <v>86</v>
      </c>
      <c r="BL97" s="12" t="s">
        <v>86</v>
      </c>
    </row>
    <row r="98" spans="1:64" ht="9.6" customHeight="1" thickBot="1" x14ac:dyDescent="0.35">
      <c r="A98" s="11"/>
      <c r="B98" s="16" t="s">
        <v>119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</row>
    <row r="99" spans="1:64" ht="15" thickBot="1" x14ac:dyDescent="0.35">
      <c r="A99" s="15" t="s">
        <v>118</v>
      </c>
      <c r="B99" s="14" t="s">
        <v>117</v>
      </c>
      <c r="C99" s="13" t="s">
        <v>86</v>
      </c>
      <c r="D99" s="13" t="s">
        <v>86</v>
      </c>
      <c r="E99" s="13" t="s">
        <v>86</v>
      </c>
      <c r="F99" s="13" t="s">
        <v>86</v>
      </c>
      <c r="G99" s="12" t="s">
        <v>86</v>
      </c>
      <c r="H99" s="12" t="s">
        <v>86</v>
      </c>
      <c r="I99" s="12" t="s">
        <v>86</v>
      </c>
      <c r="J99" s="12" t="s">
        <v>86</v>
      </c>
      <c r="K99" s="13" t="s">
        <v>86</v>
      </c>
      <c r="L99" s="13" t="s">
        <v>86</v>
      </c>
      <c r="M99" s="13" t="s">
        <v>86</v>
      </c>
      <c r="N99" s="13" t="s">
        <v>86</v>
      </c>
      <c r="O99" s="12" t="s">
        <v>86</v>
      </c>
      <c r="P99" s="12" t="s">
        <v>86</v>
      </c>
      <c r="Q99" s="12" t="s">
        <v>86</v>
      </c>
      <c r="R99" s="12" t="s">
        <v>86</v>
      </c>
      <c r="S99" s="13" t="s">
        <v>86</v>
      </c>
      <c r="T99" s="13" t="s">
        <v>86</v>
      </c>
      <c r="U99" s="13" t="s">
        <v>86</v>
      </c>
      <c r="V99" s="13" t="s">
        <v>86</v>
      </c>
      <c r="W99" s="12" t="s">
        <v>86</v>
      </c>
      <c r="X99" s="12" t="s">
        <v>86</v>
      </c>
      <c r="Y99" s="12" t="s">
        <v>86</v>
      </c>
      <c r="Z99" s="12" t="s">
        <v>86</v>
      </c>
      <c r="AA99" s="13" t="s">
        <v>86</v>
      </c>
      <c r="AB99" s="13" t="s">
        <v>86</v>
      </c>
      <c r="AC99" s="13" t="s">
        <v>86</v>
      </c>
      <c r="AD99" s="13" t="s">
        <v>86</v>
      </c>
      <c r="AE99" s="12" t="s">
        <v>86</v>
      </c>
      <c r="AF99" s="12" t="s">
        <v>86</v>
      </c>
      <c r="AG99" s="12" t="s">
        <v>86</v>
      </c>
      <c r="AH99" s="12" t="s">
        <v>86</v>
      </c>
      <c r="AI99" s="13" t="s">
        <v>86</v>
      </c>
      <c r="AJ99" s="13" t="s">
        <v>86</v>
      </c>
      <c r="AK99" s="13" t="s">
        <v>86</v>
      </c>
      <c r="AL99" s="13" t="s">
        <v>86</v>
      </c>
      <c r="AM99" s="12" t="s">
        <v>86</v>
      </c>
      <c r="AN99" s="12" t="s">
        <v>86</v>
      </c>
      <c r="AO99" s="12" t="s">
        <v>86</v>
      </c>
      <c r="AP99" s="12" t="s">
        <v>86</v>
      </c>
      <c r="AQ99" s="13" t="s">
        <v>86</v>
      </c>
      <c r="AR99" s="13" t="s">
        <v>86</v>
      </c>
      <c r="AS99" s="13" t="s">
        <v>86</v>
      </c>
      <c r="AT99" s="13" t="s">
        <v>86</v>
      </c>
      <c r="AU99" s="12" t="s">
        <v>86</v>
      </c>
      <c r="AV99" s="12" t="s">
        <v>86</v>
      </c>
      <c r="AW99" s="12" t="s">
        <v>86</v>
      </c>
      <c r="AX99" s="12" t="s">
        <v>86</v>
      </c>
      <c r="AY99" s="13" t="s">
        <v>86</v>
      </c>
      <c r="AZ99" s="13" t="s">
        <v>86</v>
      </c>
      <c r="BA99" s="13" t="s">
        <v>86</v>
      </c>
      <c r="BB99" s="13" t="s">
        <v>86</v>
      </c>
      <c r="BC99" s="12" t="s">
        <v>86</v>
      </c>
      <c r="BD99" s="12" t="s">
        <v>86</v>
      </c>
      <c r="BE99" s="12" t="s">
        <v>86</v>
      </c>
      <c r="BF99" s="12" t="s">
        <v>86</v>
      </c>
      <c r="BG99" s="13" t="s">
        <v>86</v>
      </c>
      <c r="BH99" s="13" t="s">
        <v>86</v>
      </c>
      <c r="BI99" s="13" t="s">
        <v>86</v>
      </c>
      <c r="BJ99" s="13" t="s">
        <v>86</v>
      </c>
      <c r="BK99" s="12" t="s">
        <v>86</v>
      </c>
      <c r="BL99" s="12" t="s">
        <v>86</v>
      </c>
    </row>
    <row r="100" spans="1:64" ht="15" thickBot="1" x14ac:dyDescent="0.35">
      <c r="A100" s="15" t="s">
        <v>116</v>
      </c>
      <c r="B100" s="14" t="s">
        <v>115</v>
      </c>
      <c r="C100" s="13" t="s">
        <v>86</v>
      </c>
      <c r="D100" s="13" t="s">
        <v>86</v>
      </c>
      <c r="E100" s="13" t="s">
        <v>86</v>
      </c>
      <c r="F100" s="13" t="s">
        <v>86</v>
      </c>
      <c r="G100" s="12" t="s">
        <v>86</v>
      </c>
      <c r="H100" s="12" t="s">
        <v>86</v>
      </c>
      <c r="I100" s="12" t="s">
        <v>86</v>
      </c>
      <c r="J100" s="12" t="s">
        <v>86</v>
      </c>
      <c r="K100" s="13" t="s">
        <v>86</v>
      </c>
      <c r="L100" s="13" t="s">
        <v>86</v>
      </c>
      <c r="M100" s="13" t="s">
        <v>86</v>
      </c>
      <c r="N100" s="13" t="s">
        <v>86</v>
      </c>
      <c r="O100" s="12" t="s">
        <v>86</v>
      </c>
      <c r="P100" s="12" t="s">
        <v>86</v>
      </c>
      <c r="Q100" s="12" t="s">
        <v>86</v>
      </c>
      <c r="R100" s="12" t="s">
        <v>86</v>
      </c>
      <c r="S100" s="13" t="s">
        <v>86</v>
      </c>
      <c r="T100" s="13" t="s">
        <v>86</v>
      </c>
      <c r="U100" s="13" t="s">
        <v>86</v>
      </c>
      <c r="V100" s="13" t="s">
        <v>86</v>
      </c>
      <c r="W100" s="12" t="s">
        <v>86</v>
      </c>
      <c r="X100" s="12" t="s">
        <v>86</v>
      </c>
      <c r="Y100" s="12" t="s">
        <v>86</v>
      </c>
      <c r="Z100" s="12" t="s">
        <v>86</v>
      </c>
      <c r="AA100" s="13" t="s">
        <v>86</v>
      </c>
      <c r="AB100" s="13" t="s">
        <v>86</v>
      </c>
      <c r="AC100" s="13" t="s">
        <v>86</v>
      </c>
      <c r="AD100" s="13" t="s">
        <v>86</v>
      </c>
      <c r="AE100" s="12" t="s">
        <v>86</v>
      </c>
      <c r="AF100" s="12" t="s">
        <v>86</v>
      </c>
      <c r="AG100" s="12" t="s">
        <v>86</v>
      </c>
      <c r="AH100" s="12" t="s">
        <v>86</v>
      </c>
      <c r="AI100" s="13" t="s">
        <v>86</v>
      </c>
      <c r="AJ100" s="13" t="s">
        <v>86</v>
      </c>
      <c r="AK100" s="13" t="s">
        <v>86</v>
      </c>
      <c r="AL100" s="13" t="s">
        <v>86</v>
      </c>
      <c r="AM100" s="12" t="s">
        <v>86</v>
      </c>
      <c r="AN100" s="12" t="s">
        <v>86</v>
      </c>
      <c r="AO100" s="12" t="s">
        <v>86</v>
      </c>
      <c r="AP100" s="12" t="s">
        <v>86</v>
      </c>
      <c r="AQ100" s="13" t="s">
        <v>86</v>
      </c>
      <c r="AR100" s="13" t="s">
        <v>86</v>
      </c>
      <c r="AS100" s="13" t="s">
        <v>86</v>
      </c>
      <c r="AT100" s="13" t="s">
        <v>86</v>
      </c>
      <c r="AU100" s="12" t="s">
        <v>86</v>
      </c>
      <c r="AV100" s="12" t="s">
        <v>86</v>
      </c>
      <c r="AW100" s="12" t="s">
        <v>86</v>
      </c>
      <c r="AX100" s="12" t="s">
        <v>86</v>
      </c>
      <c r="AY100" s="13" t="s">
        <v>86</v>
      </c>
      <c r="AZ100" s="13" t="s">
        <v>86</v>
      </c>
      <c r="BA100" s="13" t="s">
        <v>86</v>
      </c>
      <c r="BB100" s="13" t="s">
        <v>86</v>
      </c>
      <c r="BC100" s="12" t="s">
        <v>86</v>
      </c>
      <c r="BD100" s="12" t="s">
        <v>86</v>
      </c>
      <c r="BE100" s="12" t="s">
        <v>86</v>
      </c>
      <c r="BF100" s="12" t="s">
        <v>86</v>
      </c>
      <c r="BG100" s="13" t="s">
        <v>86</v>
      </c>
      <c r="BH100" s="13" t="s">
        <v>86</v>
      </c>
      <c r="BI100" s="13" t="s">
        <v>86</v>
      </c>
      <c r="BJ100" s="13" t="s">
        <v>86</v>
      </c>
      <c r="BK100" s="12" t="s">
        <v>86</v>
      </c>
      <c r="BL100" s="12" t="s">
        <v>86</v>
      </c>
    </row>
    <row r="101" spans="1:64" ht="15" thickBot="1" x14ac:dyDescent="0.35">
      <c r="A101" s="15" t="s">
        <v>114</v>
      </c>
      <c r="B101" s="14" t="s">
        <v>113</v>
      </c>
      <c r="C101" s="13" t="s">
        <v>86</v>
      </c>
      <c r="D101" s="13" t="s">
        <v>86</v>
      </c>
      <c r="E101" s="13" t="s">
        <v>86</v>
      </c>
      <c r="F101" s="13" t="s">
        <v>86</v>
      </c>
      <c r="G101" s="12" t="s">
        <v>86</v>
      </c>
      <c r="H101" s="12" t="s">
        <v>86</v>
      </c>
      <c r="I101" s="12" t="s">
        <v>86</v>
      </c>
      <c r="J101" s="12" t="s">
        <v>86</v>
      </c>
      <c r="K101" s="13" t="s">
        <v>86</v>
      </c>
      <c r="L101" s="13" t="s">
        <v>86</v>
      </c>
      <c r="M101" s="13" t="s">
        <v>86</v>
      </c>
      <c r="N101" s="13" t="s">
        <v>86</v>
      </c>
      <c r="O101" s="12" t="s">
        <v>86</v>
      </c>
      <c r="P101" s="12" t="s">
        <v>86</v>
      </c>
      <c r="Q101" s="12" t="s">
        <v>86</v>
      </c>
      <c r="R101" s="12" t="s">
        <v>86</v>
      </c>
      <c r="S101" s="13" t="s">
        <v>86</v>
      </c>
      <c r="T101" s="13" t="s">
        <v>86</v>
      </c>
      <c r="U101" s="13" t="s">
        <v>86</v>
      </c>
      <c r="V101" s="13" t="s">
        <v>86</v>
      </c>
      <c r="W101" s="12" t="s">
        <v>86</v>
      </c>
      <c r="X101" s="12" t="s">
        <v>86</v>
      </c>
      <c r="Y101" s="12" t="s">
        <v>86</v>
      </c>
      <c r="Z101" s="12" t="s">
        <v>86</v>
      </c>
      <c r="AA101" s="13" t="s">
        <v>86</v>
      </c>
      <c r="AB101" s="13" t="s">
        <v>86</v>
      </c>
      <c r="AC101" s="13" t="s">
        <v>86</v>
      </c>
      <c r="AD101" s="13" t="s">
        <v>86</v>
      </c>
      <c r="AE101" s="12" t="s">
        <v>86</v>
      </c>
      <c r="AF101" s="12" t="s">
        <v>86</v>
      </c>
      <c r="AG101" s="12" t="s">
        <v>86</v>
      </c>
      <c r="AH101" s="12" t="s">
        <v>86</v>
      </c>
      <c r="AI101" s="13" t="s">
        <v>86</v>
      </c>
      <c r="AJ101" s="13" t="s">
        <v>86</v>
      </c>
      <c r="AK101" s="13" t="s">
        <v>86</v>
      </c>
      <c r="AL101" s="13" t="s">
        <v>86</v>
      </c>
      <c r="AM101" s="12" t="s">
        <v>86</v>
      </c>
      <c r="AN101" s="12" t="s">
        <v>86</v>
      </c>
      <c r="AO101" s="12" t="s">
        <v>86</v>
      </c>
      <c r="AP101" s="12" t="s">
        <v>86</v>
      </c>
      <c r="AQ101" s="13" t="s">
        <v>86</v>
      </c>
      <c r="AR101" s="13" t="s">
        <v>86</v>
      </c>
      <c r="AS101" s="13" t="s">
        <v>86</v>
      </c>
      <c r="AT101" s="13" t="s">
        <v>86</v>
      </c>
      <c r="AU101" s="12" t="s">
        <v>86</v>
      </c>
      <c r="AV101" s="12" t="s">
        <v>86</v>
      </c>
      <c r="AW101" s="12" t="s">
        <v>86</v>
      </c>
      <c r="AX101" s="12" t="s">
        <v>86</v>
      </c>
      <c r="AY101" s="13" t="s">
        <v>86</v>
      </c>
      <c r="AZ101" s="13" t="s">
        <v>86</v>
      </c>
      <c r="BA101" s="13" t="s">
        <v>86</v>
      </c>
      <c r="BB101" s="13" t="s">
        <v>86</v>
      </c>
      <c r="BC101" s="12" t="s">
        <v>86</v>
      </c>
      <c r="BD101" s="12" t="s">
        <v>86</v>
      </c>
      <c r="BE101" s="12" t="s">
        <v>86</v>
      </c>
      <c r="BF101" s="12" t="s">
        <v>86</v>
      </c>
      <c r="BG101" s="13" t="s">
        <v>86</v>
      </c>
      <c r="BH101" s="13" t="s">
        <v>86</v>
      </c>
      <c r="BI101" s="13" t="s">
        <v>86</v>
      </c>
      <c r="BJ101" s="13" t="s">
        <v>86</v>
      </c>
      <c r="BK101" s="12" t="s">
        <v>86</v>
      </c>
      <c r="BL101" s="12" t="s">
        <v>86</v>
      </c>
    </row>
    <row r="102" spans="1:64" ht="15" thickBot="1" x14ac:dyDescent="0.35">
      <c r="A102" s="15" t="s">
        <v>112</v>
      </c>
      <c r="B102" s="14" t="s">
        <v>111</v>
      </c>
      <c r="C102" s="13" t="s">
        <v>86</v>
      </c>
      <c r="D102" s="13" t="s">
        <v>86</v>
      </c>
      <c r="E102" s="13" t="s">
        <v>86</v>
      </c>
      <c r="F102" s="13" t="s">
        <v>86</v>
      </c>
      <c r="G102" s="12" t="s">
        <v>86</v>
      </c>
      <c r="H102" s="12" t="s">
        <v>86</v>
      </c>
      <c r="I102" s="12" t="s">
        <v>86</v>
      </c>
      <c r="J102" s="12" t="s">
        <v>86</v>
      </c>
      <c r="K102" s="13" t="s">
        <v>86</v>
      </c>
      <c r="L102" s="13" t="s">
        <v>86</v>
      </c>
      <c r="M102" s="13" t="s">
        <v>86</v>
      </c>
      <c r="N102" s="13" t="s">
        <v>86</v>
      </c>
      <c r="O102" s="12" t="s">
        <v>86</v>
      </c>
      <c r="P102" s="12" t="s">
        <v>86</v>
      </c>
      <c r="Q102" s="12" t="s">
        <v>86</v>
      </c>
      <c r="R102" s="12" t="s">
        <v>86</v>
      </c>
      <c r="S102" s="13" t="s">
        <v>86</v>
      </c>
      <c r="T102" s="13" t="s">
        <v>86</v>
      </c>
      <c r="U102" s="13" t="s">
        <v>86</v>
      </c>
      <c r="V102" s="13" t="s">
        <v>86</v>
      </c>
      <c r="W102" s="12" t="s">
        <v>86</v>
      </c>
      <c r="X102" s="12" t="s">
        <v>86</v>
      </c>
      <c r="Y102" s="12" t="s">
        <v>86</v>
      </c>
      <c r="Z102" s="12" t="s">
        <v>86</v>
      </c>
      <c r="AA102" s="13" t="s">
        <v>86</v>
      </c>
      <c r="AB102" s="13" t="s">
        <v>86</v>
      </c>
      <c r="AC102" s="13" t="s">
        <v>86</v>
      </c>
      <c r="AD102" s="13" t="s">
        <v>86</v>
      </c>
      <c r="AE102" s="12" t="s">
        <v>86</v>
      </c>
      <c r="AF102" s="12" t="s">
        <v>86</v>
      </c>
      <c r="AG102" s="12" t="s">
        <v>86</v>
      </c>
      <c r="AH102" s="12" t="s">
        <v>86</v>
      </c>
      <c r="AI102" s="13" t="s">
        <v>86</v>
      </c>
      <c r="AJ102" s="13" t="s">
        <v>86</v>
      </c>
      <c r="AK102" s="13" t="s">
        <v>86</v>
      </c>
      <c r="AL102" s="13" t="s">
        <v>86</v>
      </c>
      <c r="AM102" s="12" t="s">
        <v>86</v>
      </c>
      <c r="AN102" s="12" t="s">
        <v>86</v>
      </c>
      <c r="AO102" s="12" t="s">
        <v>86</v>
      </c>
      <c r="AP102" s="12" t="s">
        <v>86</v>
      </c>
      <c r="AQ102" s="13" t="s">
        <v>86</v>
      </c>
      <c r="AR102" s="13" t="s">
        <v>86</v>
      </c>
      <c r="AS102" s="13" t="s">
        <v>86</v>
      </c>
      <c r="AT102" s="13" t="s">
        <v>86</v>
      </c>
      <c r="AU102" s="12" t="s">
        <v>86</v>
      </c>
      <c r="AV102" s="12" t="s">
        <v>86</v>
      </c>
      <c r="AW102" s="12" t="s">
        <v>86</v>
      </c>
      <c r="AX102" s="12" t="s">
        <v>86</v>
      </c>
      <c r="AY102" s="13" t="s">
        <v>86</v>
      </c>
      <c r="AZ102" s="13" t="s">
        <v>86</v>
      </c>
      <c r="BA102" s="13" t="s">
        <v>86</v>
      </c>
      <c r="BB102" s="13" t="s">
        <v>86</v>
      </c>
      <c r="BC102" s="12" t="s">
        <v>86</v>
      </c>
      <c r="BD102" s="12" t="s">
        <v>86</v>
      </c>
      <c r="BE102" s="12" t="s">
        <v>86</v>
      </c>
      <c r="BF102" s="12" t="s">
        <v>86</v>
      </c>
      <c r="BG102" s="13" t="s">
        <v>86</v>
      </c>
      <c r="BH102" s="13" t="s">
        <v>86</v>
      </c>
      <c r="BI102" s="13" t="s">
        <v>86</v>
      </c>
      <c r="BJ102" s="13" t="s">
        <v>86</v>
      </c>
      <c r="BK102" s="12" t="s">
        <v>86</v>
      </c>
      <c r="BL102" s="12" t="s">
        <v>86</v>
      </c>
    </row>
    <row r="103" spans="1:64" ht="15" thickBot="1" x14ac:dyDescent="0.35">
      <c r="A103" s="15" t="s">
        <v>110</v>
      </c>
      <c r="B103" s="14" t="s">
        <v>109</v>
      </c>
      <c r="C103" s="13" t="s">
        <v>86</v>
      </c>
      <c r="D103" s="13" t="s">
        <v>86</v>
      </c>
      <c r="E103" s="13" t="s">
        <v>86</v>
      </c>
      <c r="F103" s="13" t="s">
        <v>86</v>
      </c>
      <c r="G103" s="12" t="s">
        <v>86</v>
      </c>
      <c r="H103" s="12" t="s">
        <v>86</v>
      </c>
      <c r="I103" s="12" t="s">
        <v>86</v>
      </c>
      <c r="J103" s="12" t="s">
        <v>86</v>
      </c>
      <c r="K103" s="13" t="s">
        <v>86</v>
      </c>
      <c r="L103" s="13" t="s">
        <v>86</v>
      </c>
      <c r="M103" s="13" t="s">
        <v>86</v>
      </c>
      <c r="N103" s="13" t="s">
        <v>86</v>
      </c>
      <c r="O103" s="12" t="s">
        <v>86</v>
      </c>
      <c r="P103" s="12" t="s">
        <v>86</v>
      </c>
      <c r="Q103" s="12" t="s">
        <v>86</v>
      </c>
      <c r="R103" s="12" t="s">
        <v>86</v>
      </c>
      <c r="S103" s="13" t="s">
        <v>86</v>
      </c>
      <c r="T103" s="13" t="s">
        <v>86</v>
      </c>
      <c r="U103" s="13" t="s">
        <v>86</v>
      </c>
      <c r="V103" s="13" t="s">
        <v>86</v>
      </c>
      <c r="W103" s="12" t="s">
        <v>86</v>
      </c>
      <c r="X103" s="12" t="s">
        <v>86</v>
      </c>
      <c r="Y103" s="12" t="s">
        <v>86</v>
      </c>
      <c r="Z103" s="12" t="s">
        <v>86</v>
      </c>
      <c r="AA103" s="13" t="s">
        <v>86</v>
      </c>
      <c r="AB103" s="13" t="s">
        <v>86</v>
      </c>
      <c r="AC103" s="13" t="s">
        <v>86</v>
      </c>
      <c r="AD103" s="13" t="s">
        <v>86</v>
      </c>
      <c r="AE103" s="12" t="s">
        <v>86</v>
      </c>
      <c r="AF103" s="12" t="s">
        <v>86</v>
      </c>
      <c r="AG103" s="12" t="s">
        <v>86</v>
      </c>
      <c r="AH103" s="12" t="s">
        <v>86</v>
      </c>
      <c r="AI103" s="13" t="s">
        <v>86</v>
      </c>
      <c r="AJ103" s="13" t="s">
        <v>86</v>
      </c>
      <c r="AK103" s="13" t="s">
        <v>86</v>
      </c>
      <c r="AL103" s="13" t="s">
        <v>86</v>
      </c>
      <c r="AM103" s="12" t="s">
        <v>86</v>
      </c>
      <c r="AN103" s="12" t="s">
        <v>86</v>
      </c>
      <c r="AO103" s="12" t="s">
        <v>86</v>
      </c>
      <c r="AP103" s="12" t="s">
        <v>86</v>
      </c>
      <c r="AQ103" s="13" t="s">
        <v>86</v>
      </c>
      <c r="AR103" s="13" t="s">
        <v>86</v>
      </c>
      <c r="AS103" s="13" t="s">
        <v>86</v>
      </c>
      <c r="AT103" s="13" t="s">
        <v>86</v>
      </c>
      <c r="AU103" s="12" t="s">
        <v>86</v>
      </c>
      <c r="AV103" s="12" t="s">
        <v>86</v>
      </c>
      <c r="AW103" s="12" t="s">
        <v>86</v>
      </c>
      <c r="AX103" s="12" t="s">
        <v>86</v>
      </c>
      <c r="AY103" s="13" t="s">
        <v>86</v>
      </c>
      <c r="AZ103" s="13" t="s">
        <v>86</v>
      </c>
      <c r="BA103" s="13" t="s">
        <v>86</v>
      </c>
      <c r="BB103" s="13" t="s">
        <v>86</v>
      </c>
      <c r="BC103" s="12" t="s">
        <v>86</v>
      </c>
      <c r="BD103" s="12" t="s">
        <v>86</v>
      </c>
      <c r="BE103" s="12" t="s">
        <v>86</v>
      </c>
      <c r="BF103" s="12" t="s">
        <v>86</v>
      </c>
      <c r="BG103" s="13" t="s">
        <v>86</v>
      </c>
      <c r="BH103" s="13" t="s">
        <v>86</v>
      </c>
      <c r="BI103" s="13" t="s">
        <v>86</v>
      </c>
      <c r="BJ103" s="13" t="s">
        <v>86</v>
      </c>
      <c r="BK103" s="12" t="s">
        <v>86</v>
      </c>
      <c r="BL103" s="12" t="s">
        <v>86</v>
      </c>
    </row>
    <row r="104" spans="1:64" ht="15" thickBot="1" x14ac:dyDescent="0.35">
      <c r="A104" s="15" t="s">
        <v>108</v>
      </c>
      <c r="B104" s="14" t="s">
        <v>107</v>
      </c>
      <c r="C104" s="13" t="s">
        <v>86</v>
      </c>
      <c r="D104" s="13" t="s">
        <v>86</v>
      </c>
      <c r="E104" s="13" t="s">
        <v>86</v>
      </c>
      <c r="F104" s="13" t="s">
        <v>86</v>
      </c>
      <c r="G104" s="12" t="s">
        <v>86</v>
      </c>
      <c r="H104" s="12" t="s">
        <v>86</v>
      </c>
      <c r="I104" s="12" t="s">
        <v>86</v>
      </c>
      <c r="J104" s="12" t="s">
        <v>86</v>
      </c>
      <c r="K104" s="13" t="s">
        <v>86</v>
      </c>
      <c r="L104" s="13" t="s">
        <v>86</v>
      </c>
      <c r="M104" s="13" t="s">
        <v>86</v>
      </c>
      <c r="N104" s="13" t="s">
        <v>86</v>
      </c>
      <c r="O104" s="12" t="s">
        <v>86</v>
      </c>
      <c r="P104" s="12" t="s">
        <v>86</v>
      </c>
      <c r="Q104" s="12" t="s">
        <v>86</v>
      </c>
      <c r="R104" s="12" t="s">
        <v>86</v>
      </c>
      <c r="S104" s="13" t="s">
        <v>86</v>
      </c>
      <c r="T104" s="13" t="s">
        <v>86</v>
      </c>
      <c r="U104" s="13" t="s">
        <v>86</v>
      </c>
      <c r="V104" s="13" t="s">
        <v>86</v>
      </c>
      <c r="W104" s="12" t="s">
        <v>86</v>
      </c>
      <c r="X104" s="12" t="s">
        <v>86</v>
      </c>
      <c r="Y104" s="12" t="s">
        <v>86</v>
      </c>
      <c r="Z104" s="12" t="s">
        <v>86</v>
      </c>
      <c r="AA104" s="13" t="s">
        <v>86</v>
      </c>
      <c r="AB104" s="13" t="s">
        <v>86</v>
      </c>
      <c r="AC104" s="13" t="s">
        <v>86</v>
      </c>
      <c r="AD104" s="13" t="s">
        <v>86</v>
      </c>
      <c r="AE104" s="12" t="s">
        <v>86</v>
      </c>
      <c r="AF104" s="12" t="s">
        <v>86</v>
      </c>
      <c r="AG104" s="12" t="s">
        <v>86</v>
      </c>
      <c r="AH104" s="12" t="s">
        <v>86</v>
      </c>
      <c r="AI104" s="13" t="s">
        <v>86</v>
      </c>
      <c r="AJ104" s="13" t="s">
        <v>86</v>
      </c>
      <c r="AK104" s="13" t="s">
        <v>86</v>
      </c>
      <c r="AL104" s="13" t="s">
        <v>86</v>
      </c>
      <c r="AM104" s="12" t="s">
        <v>86</v>
      </c>
      <c r="AN104" s="12" t="s">
        <v>86</v>
      </c>
      <c r="AO104" s="12" t="s">
        <v>86</v>
      </c>
      <c r="AP104" s="12" t="s">
        <v>86</v>
      </c>
      <c r="AQ104" s="13" t="s">
        <v>86</v>
      </c>
      <c r="AR104" s="13" t="s">
        <v>86</v>
      </c>
      <c r="AS104" s="13" t="s">
        <v>86</v>
      </c>
      <c r="AT104" s="13" t="s">
        <v>86</v>
      </c>
      <c r="AU104" s="12" t="s">
        <v>86</v>
      </c>
      <c r="AV104" s="12" t="s">
        <v>86</v>
      </c>
      <c r="AW104" s="12" t="s">
        <v>86</v>
      </c>
      <c r="AX104" s="12" t="s">
        <v>86</v>
      </c>
      <c r="AY104" s="13" t="s">
        <v>86</v>
      </c>
      <c r="AZ104" s="13" t="s">
        <v>86</v>
      </c>
      <c r="BA104" s="13" t="s">
        <v>86</v>
      </c>
      <c r="BB104" s="13" t="s">
        <v>86</v>
      </c>
      <c r="BC104" s="12" t="s">
        <v>86</v>
      </c>
      <c r="BD104" s="12" t="s">
        <v>86</v>
      </c>
      <c r="BE104" s="12" t="s">
        <v>86</v>
      </c>
      <c r="BF104" s="12" t="s">
        <v>86</v>
      </c>
      <c r="BG104" s="13" t="s">
        <v>86</v>
      </c>
      <c r="BH104" s="13" t="s">
        <v>86</v>
      </c>
      <c r="BI104" s="13" t="s">
        <v>86</v>
      </c>
      <c r="BJ104" s="13" t="s">
        <v>86</v>
      </c>
      <c r="BK104" s="12" t="s">
        <v>86</v>
      </c>
      <c r="BL104" s="12" t="s">
        <v>86</v>
      </c>
    </row>
    <row r="105" spans="1:64" ht="15" thickBot="1" x14ac:dyDescent="0.35">
      <c r="A105" s="15" t="s">
        <v>106</v>
      </c>
      <c r="B105" s="14" t="s">
        <v>105</v>
      </c>
      <c r="C105" s="13" t="s">
        <v>86</v>
      </c>
      <c r="D105" s="13" t="s">
        <v>86</v>
      </c>
      <c r="E105" s="13" t="s">
        <v>86</v>
      </c>
      <c r="F105" s="13" t="s">
        <v>86</v>
      </c>
      <c r="G105" s="12" t="s">
        <v>86</v>
      </c>
      <c r="H105" s="12" t="s">
        <v>86</v>
      </c>
      <c r="I105" s="12" t="s">
        <v>86</v>
      </c>
      <c r="J105" s="12" t="s">
        <v>86</v>
      </c>
      <c r="K105" s="13" t="s">
        <v>86</v>
      </c>
      <c r="L105" s="13" t="s">
        <v>86</v>
      </c>
      <c r="M105" s="13" t="s">
        <v>86</v>
      </c>
      <c r="N105" s="13" t="s">
        <v>86</v>
      </c>
      <c r="O105" s="12" t="s">
        <v>86</v>
      </c>
      <c r="P105" s="12" t="s">
        <v>86</v>
      </c>
      <c r="Q105" s="12" t="s">
        <v>86</v>
      </c>
      <c r="R105" s="12" t="s">
        <v>86</v>
      </c>
      <c r="S105" s="13" t="s">
        <v>86</v>
      </c>
      <c r="T105" s="13" t="s">
        <v>86</v>
      </c>
      <c r="U105" s="13" t="s">
        <v>86</v>
      </c>
      <c r="V105" s="13" t="s">
        <v>86</v>
      </c>
      <c r="W105" s="12" t="s">
        <v>86</v>
      </c>
      <c r="X105" s="12" t="s">
        <v>86</v>
      </c>
      <c r="Y105" s="12" t="s">
        <v>86</v>
      </c>
      <c r="Z105" s="12" t="s">
        <v>86</v>
      </c>
      <c r="AA105" s="13" t="s">
        <v>86</v>
      </c>
      <c r="AB105" s="13" t="s">
        <v>86</v>
      </c>
      <c r="AC105" s="13" t="s">
        <v>86</v>
      </c>
      <c r="AD105" s="13" t="s">
        <v>86</v>
      </c>
      <c r="AE105" s="12" t="s">
        <v>86</v>
      </c>
      <c r="AF105" s="12" t="s">
        <v>86</v>
      </c>
      <c r="AG105" s="12" t="s">
        <v>86</v>
      </c>
      <c r="AH105" s="12" t="s">
        <v>86</v>
      </c>
      <c r="AI105" s="13" t="s">
        <v>86</v>
      </c>
      <c r="AJ105" s="13" t="s">
        <v>86</v>
      </c>
      <c r="AK105" s="13" t="s">
        <v>86</v>
      </c>
      <c r="AL105" s="13" t="s">
        <v>86</v>
      </c>
      <c r="AM105" s="12" t="s">
        <v>86</v>
      </c>
      <c r="AN105" s="12" t="s">
        <v>86</v>
      </c>
      <c r="AO105" s="12" t="s">
        <v>86</v>
      </c>
      <c r="AP105" s="12" t="s">
        <v>86</v>
      </c>
      <c r="AQ105" s="13" t="s">
        <v>86</v>
      </c>
      <c r="AR105" s="13" t="s">
        <v>86</v>
      </c>
      <c r="AS105" s="13" t="s">
        <v>86</v>
      </c>
      <c r="AT105" s="13" t="s">
        <v>86</v>
      </c>
      <c r="AU105" s="12" t="s">
        <v>86</v>
      </c>
      <c r="AV105" s="12" t="s">
        <v>86</v>
      </c>
      <c r="AW105" s="12" t="s">
        <v>86</v>
      </c>
      <c r="AX105" s="12" t="s">
        <v>86</v>
      </c>
      <c r="AY105" s="13" t="s">
        <v>86</v>
      </c>
      <c r="AZ105" s="13" t="s">
        <v>86</v>
      </c>
      <c r="BA105" s="13" t="s">
        <v>86</v>
      </c>
      <c r="BB105" s="13" t="s">
        <v>86</v>
      </c>
      <c r="BC105" s="12" t="s">
        <v>86</v>
      </c>
      <c r="BD105" s="12" t="s">
        <v>86</v>
      </c>
      <c r="BE105" s="12" t="s">
        <v>86</v>
      </c>
      <c r="BF105" s="12" t="s">
        <v>86</v>
      </c>
      <c r="BG105" s="13" t="s">
        <v>86</v>
      </c>
      <c r="BH105" s="13" t="s">
        <v>86</v>
      </c>
      <c r="BI105" s="13" t="s">
        <v>86</v>
      </c>
      <c r="BJ105" s="13" t="s">
        <v>86</v>
      </c>
      <c r="BK105" s="12" t="s">
        <v>86</v>
      </c>
      <c r="BL105" s="12" t="s">
        <v>86</v>
      </c>
    </row>
    <row r="106" spans="1:64" ht="15" thickBot="1" x14ac:dyDescent="0.35">
      <c r="A106" s="15" t="s">
        <v>104</v>
      </c>
      <c r="B106" s="14" t="s">
        <v>103</v>
      </c>
      <c r="C106" s="13" t="s">
        <v>86</v>
      </c>
      <c r="D106" s="13" t="s">
        <v>86</v>
      </c>
      <c r="E106" s="13" t="s">
        <v>86</v>
      </c>
      <c r="F106" s="13" t="s">
        <v>86</v>
      </c>
      <c r="G106" s="12" t="s">
        <v>86</v>
      </c>
      <c r="H106" s="12" t="s">
        <v>86</v>
      </c>
      <c r="I106" s="12" t="s">
        <v>86</v>
      </c>
      <c r="J106" s="12" t="s">
        <v>86</v>
      </c>
      <c r="K106" s="13" t="s">
        <v>86</v>
      </c>
      <c r="L106" s="13" t="s">
        <v>86</v>
      </c>
      <c r="M106" s="13" t="s">
        <v>86</v>
      </c>
      <c r="N106" s="13" t="s">
        <v>86</v>
      </c>
      <c r="O106" s="12" t="s">
        <v>86</v>
      </c>
      <c r="P106" s="12" t="s">
        <v>86</v>
      </c>
      <c r="Q106" s="12" t="s">
        <v>86</v>
      </c>
      <c r="R106" s="12" t="s">
        <v>86</v>
      </c>
      <c r="S106" s="13" t="s">
        <v>86</v>
      </c>
      <c r="T106" s="13" t="s">
        <v>86</v>
      </c>
      <c r="U106" s="13" t="s">
        <v>86</v>
      </c>
      <c r="V106" s="13" t="s">
        <v>86</v>
      </c>
      <c r="W106" s="12" t="s">
        <v>86</v>
      </c>
      <c r="X106" s="12" t="s">
        <v>86</v>
      </c>
      <c r="Y106" s="12" t="s">
        <v>86</v>
      </c>
      <c r="Z106" s="12" t="s">
        <v>86</v>
      </c>
      <c r="AA106" s="13" t="s">
        <v>86</v>
      </c>
      <c r="AB106" s="13" t="s">
        <v>86</v>
      </c>
      <c r="AC106" s="13" t="s">
        <v>86</v>
      </c>
      <c r="AD106" s="13" t="s">
        <v>86</v>
      </c>
      <c r="AE106" s="12" t="s">
        <v>86</v>
      </c>
      <c r="AF106" s="12" t="s">
        <v>86</v>
      </c>
      <c r="AG106" s="12" t="s">
        <v>86</v>
      </c>
      <c r="AH106" s="12" t="s">
        <v>86</v>
      </c>
      <c r="AI106" s="13" t="s">
        <v>86</v>
      </c>
      <c r="AJ106" s="13" t="s">
        <v>86</v>
      </c>
      <c r="AK106" s="13" t="s">
        <v>86</v>
      </c>
      <c r="AL106" s="13" t="s">
        <v>86</v>
      </c>
      <c r="AM106" s="12" t="s">
        <v>86</v>
      </c>
      <c r="AN106" s="12" t="s">
        <v>86</v>
      </c>
      <c r="AO106" s="12" t="s">
        <v>86</v>
      </c>
      <c r="AP106" s="12" t="s">
        <v>86</v>
      </c>
      <c r="AQ106" s="13" t="s">
        <v>86</v>
      </c>
      <c r="AR106" s="13" t="s">
        <v>86</v>
      </c>
      <c r="AS106" s="13" t="s">
        <v>86</v>
      </c>
      <c r="AT106" s="13" t="s">
        <v>86</v>
      </c>
      <c r="AU106" s="12" t="s">
        <v>86</v>
      </c>
      <c r="AV106" s="12" t="s">
        <v>86</v>
      </c>
      <c r="AW106" s="12" t="s">
        <v>86</v>
      </c>
      <c r="AX106" s="12" t="s">
        <v>86</v>
      </c>
      <c r="AY106" s="13" t="s">
        <v>86</v>
      </c>
      <c r="AZ106" s="13" t="s">
        <v>86</v>
      </c>
      <c r="BA106" s="13" t="s">
        <v>86</v>
      </c>
      <c r="BB106" s="13" t="s">
        <v>86</v>
      </c>
      <c r="BC106" s="12" t="s">
        <v>86</v>
      </c>
      <c r="BD106" s="12" t="s">
        <v>86</v>
      </c>
      <c r="BE106" s="12" t="s">
        <v>86</v>
      </c>
      <c r="BF106" s="12" t="s">
        <v>86</v>
      </c>
      <c r="BG106" s="13" t="s">
        <v>86</v>
      </c>
      <c r="BH106" s="13" t="s">
        <v>86</v>
      </c>
      <c r="BI106" s="13" t="s">
        <v>86</v>
      </c>
      <c r="BJ106" s="13" t="s">
        <v>86</v>
      </c>
      <c r="BK106" s="12" t="s">
        <v>86</v>
      </c>
      <c r="BL106" s="12" t="s">
        <v>86</v>
      </c>
    </row>
    <row r="107" spans="1:64" ht="15" thickBot="1" x14ac:dyDescent="0.35">
      <c r="A107" s="15" t="s">
        <v>102</v>
      </c>
      <c r="B107" s="14" t="s">
        <v>101</v>
      </c>
      <c r="C107" s="13" t="s">
        <v>86</v>
      </c>
      <c r="D107" s="13" t="s">
        <v>86</v>
      </c>
      <c r="E107" s="13" t="s">
        <v>86</v>
      </c>
      <c r="F107" s="13" t="s">
        <v>86</v>
      </c>
      <c r="G107" s="12" t="s">
        <v>86</v>
      </c>
      <c r="H107" s="12" t="s">
        <v>86</v>
      </c>
      <c r="I107" s="12" t="s">
        <v>86</v>
      </c>
      <c r="J107" s="12" t="s">
        <v>86</v>
      </c>
      <c r="K107" s="13" t="s">
        <v>86</v>
      </c>
      <c r="L107" s="13" t="s">
        <v>86</v>
      </c>
      <c r="M107" s="13" t="s">
        <v>86</v>
      </c>
      <c r="N107" s="13" t="s">
        <v>86</v>
      </c>
      <c r="O107" s="12" t="s">
        <v>86</v>
      </c>
      <c r="P107" s="12" t="s">
        <v>86</v>
      </c>
      <c r="Q107" s="12" t="s">
        <v>86</v>
      </c>
      <c r="R107" s="12" t="s">
        <v>86</v>
      </c>
      <c r="S107" s="13" t="s">
        <v>86</v>
      </c>
      <c r="T107" s="13" t="s">
        <v>86</v>
      </c>
      <c r="U107" s="13" t="s">
        <v>86</v>
      </c>
      <c r="V107" s="13" t="s">
        <v>86</v>
      </c>
      <c r="W107" s="12" t="s">
        <v>86</v>
      </c>
      <c r="X107" s="12" t="s">
        <v>86</v>
      </c>
      <c r="Y107" s="12" t="s">
        <v>86</v>
      </c>
      <c r="Z107" s="12" t="s">
        <v>86</v>
      </c>
      <c r="AA107" s="13" t="s">
        <v>86</v>
      </c>
      <c r="AB107" s="13" t="s">
        <v>86</v>
      </c>
      <c r="AC107" s="13" t="s">
        <v>86</v>
      </c>
      <c r="AD107" s="13" t="s">
        <v>86</v>
      </c>
      <c r="AE107" s="12" t="s">
        <v>86</v>
      </c>
      <c r="AF107" s="12" t="s">
        <v>86</v>
      </c>
      <c r="AG107" s="12" t="s">
        <v>86</v>
      </c>
      <c r="AH107" s="12" t="s">
        <v>86</v>
      </c>
      <c r="AI107" s="13" t="s">
        <v>86</v>
      </c>
      <c r="AJ107" s="13" t="s">
        <v>86</v>
      </c>
      <c r="AK107" s="13" t="s">
        <v>86</v>
      </c>
      <c r="AL107" s="13" t="s">
        <v>86</v>
      </c>
      <c r="AM107" s="12" t="s">
        <v>86</v>
      </c>
      <c r="AN107" s="12" t="s">
        <v>86</v>
      </c>
      <c r="AO107" s="12" t="s">
        <v>86</v>
      </c>
      <c r="AP107" s="12" t="s">
        <v>86</v>
      </c>
      <c r="AQ107" s="13" t="s">
        <v>86</v>
      </c>
      <c r="AR107" s="13" t="s">
        <v>86</v>
      </c>
      <c r="AS107" s="13" t="s">
        <v>86</v>
      </c>
      <c r="AT107" s="13" t="s">
        <v>86</v>
      </c>
      <c r="AU107" s="12" t="s">
        <v>86</v>
      </c>
      <c r="AV107" s="12" t="s">
        <v>86</v>
      </c>
      <c r="AW107" s="12" t="s">
        <v>86</v>
      </c>
      <c r="AX107" s="12" t="s">
        <v>86</v>
      </c>
      <c r="AY107" s="13" t="s">
        <v>86</v>
      </c>
      <c r="AZ107" s="13" t="s">
        <v>86</v>
      </c>
      <c r="BA107" s="13" t="s">
        <v>86</v>
      </c>
      <c r="BB107" s="13" t="s">
        <v>86</v>
      </c>
      <c r="BC107" s="12" t="s">
        <v>86</v>
      </c>
      <c r="BD107" s="12" t="s">
        <v>86</v>
      </c>
      <c r="BE107" s="12" t="s">
        <v>86</v>
      </c>
      <c r="BF107" s="12" t="s">
        <v>86</v>
      </c>
      <c r="BG107" s="13" t="s">
        <v>86</v>
      </c>
      <c r="BH107" s="13" t="s">
        <v>86</v>
      </c>
      <c r="BI107" s="13" t="s">
        <v>86</v>
      </c>
      <c r="BJ107" s="13" t="s">
        <v>86</v>
      </c>
      <c r="BK107" s="12" t="s">
        <v>86</v>
      </c>
      <c r="BL107" s="12" t="s">
        <v>86</v>
      </c>
    </row>
    <row r="108" spans="1:64" ht="15" thickBot="1" x14ac:dyDescent="0.35">
      <c r="A108" s="15" t="s">
        <v>100</v>
      </c>
      <c r="B108" s="14" t="s">
        <v>99</v>
      </c>
      <c r="C108" s="13" t="s">
        <v>86</v>
      </c>
      <c r="D108" s="13" t="s">
        <v>86</v>
      </c>
      <c r="E108" s="13" t="s">
        <v>86</v>
      </c>
      <c r="F108" s="13" t="s">
        <v>86</v>
      </c>
      <c r="G108" s="12" t="s">
        <v>86</v>
      </c>
      <c r="H108" s="12" t="s">
        <v>86</v>
      </c>
      <c r="I108" s="12" t="s">
        <v>86</v>
      </c>
      <c r="J108" s="12" t="s">
        <v>86</v>
      </c>
      <c r="K108" s="13" t="s">
        <v>86</v>
      </c>
      <c r="L108" s="13" t="s">
        <v>86</v>
      </c>
      <c r="M108" s="13" t="s">
        <v>86</v>
      </c>
      <c r="N108" s="13" t="s">
        <v>86</v>
      </c>
      <c r="O108" s="12" t="s">
        <v>86</v>
      </c>
      <c r="P108" s="12" t="s">
        <v>86</v>
      </c>
      <c r="Q108" s="12" t="s">
        <v>86</v>
      </c>
      <c r="R108" s="12" t="s">
        <v>86</v>
      </c>
      <c r="S108" s="13" t="s">
        <v>86</v>
      </c>
      <c r="T108" s="13" t="s">
        <v>86</v>
      </c>
      <c r="U108" s="13" t="s">
        <v>86</v>
      </c>
      <c r="V108" s="13" t="s">
        <v>86</v>
      </c>
      <c r="W108" s="12" t="s">
        <v>86</v>
      </c>
      <c r="X108" s="12" t="s">
        <v>86</v>
      </c>
      <c r="Y108" s="12" t="s">
        <v>86</v>
      </c>
      <c r="Z108" s="12" t="s">
        <v>86</v>
      </c>
      <c r="AA108" s="13" t="s">
        <v>86</v>
      </c>
      <c r="AB108" s="13" t="s">
        <v>86</v>
      </c>
      <c r="AC108" s="13" t="s">
        <v>86</v>
      </c>
      <c r="AD108" s="13" t="s">
        <v>86</v>
      </c>
      <c r="AE108" s="12" t="s">
        <v>86</v>
      </c>
      <c r="AF108" s="12" t="s">
        <v>86</v>
      </c>
      <c r="AG108" s="12" t="s">
        <v>86</v>
      </c>
      <c r="AH108" s="12" t="s">
        <v>86</v>
      </c>
      <c r="AI108" s="13" t="s">
        <v>86</v>
      </c>
      <c r="AJ108" s="13" t="s">
        <v>86</v>
      </c>
      <c r="AK108" s="13" t="s">
        <v>86</v>
      </c>
      <c r="AL108" s="13" t="s">
        <v>86</v>
      </c>
      <c r="AM108" s="12" t="s">
        <v>86</v>
      </c>
      <c r="AN108" s="12" t="s">
        <v>86</v>
      </c>
      <c r="AO108" s="12" t="s">
        <v>86</v>
      </c>
      <c r="AP108" s="12" t="s">
        <v>86</v>
      </c>
      <c r="AQ108" s="13" t="s">
        <v>86</v>
      </c>
      <c r="AR108" s="13" t="s">
        <v>86</v>
      </c>
      <c r="AS108" s="13" t="s">
        <v>86</v>
      </c>
      <c r="AT108" s="13" t="s">
        <v>86</v>
      </c>
      <c r="AU108" s="12" t="s">
        <v>86</v>
      </c>
      <c r="AV108" s="12" t="s">
        <v>86</v>
      </c>
      <c r="AW108" s="12" t="s">
        <v>86</v>
      </c>
      <c r="AX108" s="12" t="s">
        <v>86</v>
      </c>
      <c r="AY108" s="13" t="s">
        <v>86</v>
      </c>
      <c r="AZ108" s="13" t="s">
        <v>86</v>
      </c>
      <c r="BA108" s="13" t="s">
        <v>86</v>
      </c>
      <c r="BB108" s="13" t="s">
        <v>86</v>
      </c>
      <c r="BC108" s="12" t="s">
        <v>86</v>
      </c>
      <c r="BD108" s="12" t="s">
        <v>86</v>
      </c>
      <c r="BE108" s="12" t="s">
        <v>86</v>
      </c>
      <c r="BF108" s="12" t="s">
        <v>86</v>
      </c>
      <c r="BG108" s="13" t="s">
        <v>86</v>
      </c>
      <c r="BH108" s="13" t="s">
        <v>86</v>
      </c>
      <c r="BI108" s="13" t="s">
        <v>86</v>
      </c>
      <c r="BJ108" s="13" t="s">
        <v>86</v>
      </c>
      <c r="BK108" s="12" t="s">
        <v>86</v>
      </c>
      <c r="BL108" s="12" t="s">
        <v>86</v>
      </c>
    </row>
    <row r="109" spans="1:64" ht="15" thickBot="1" x14ac:dyDescent="0.35">
      <c r="A109" s="15" t="s">
        <v>98</v>
      </c>
      <c r="B109" s="14" t="s">
        <v>97</v>
      </c>
      <c r="C109" s="13" t="s">
        <v>86</v>
      </c>
      <c r="D109" s="13" t="s">
        <v>86</v>
      </c>
      <c r="E109" s="13" t="s">
        <v>86</v>
      </c>
      <c r="F109" s="13" t="s">
        <v>86</v>
      </c>
      <c r="G109" s="12" t="s">
        <v>86</v>
      </c>
      <c r="H109" s="12" t="s">
        <v>86</v>
      </c>
      <c r="I109" s="12" t="s">
        <v>86</v>
      </c>
      <c r="J109" s="12" t="s">
        <v>86</v>
      </c>
      <c r="K109" s="13" t="s">
        <v>86</v>
      </c>
      <c r="L109" s="13" t="s">
        <v>86</v>
      </c>
      <c r="M109" s="13" t="s">
        <v>86</v>
      </c>
      <c r="N109" s="13" t="s">
        <v>86</v>
      </c>
      <c r="O109" s="12" t="s">
        <v>86</v>
      </c>
      <c r="P109" s="12" t="s">
        <v>86</v>
      </c>
      <c r="Q109" s="12" t="s">
        <v>86</v>
      </c>
      <c r="R109" s="12" t="s">
        <v>86</v>
      </c>
      <c r="S109" s="13" t="s">
        <v>86</v>
      </c>
      <c r="T109" s="13" t="s">
        <v>86</v>
      </c>
      <c r="U109" s="13" t="s">
        <v>86</v>
      </c>
      <c r="V109" s="13" t="s">
        <v>86</v>
      </c>
      <c r="W109" s="12" t="s">
        <v>86</v>
      </c>
      <c r="X109" s="12" t="s">
        <v>86</v>
      </c>
      <c r="Y109" s="12" t="s">
        <v>86</v>
      </c>
      <c r="Z109" s="12" t="s">
        <v>86</v>
      </c>
      <c r="AA109" s="13" t="s">
        <v>86</v>
      </c>
      <c r="AB109" s="13" t="s">
        <v>86</v>
      </c>
      <c r="AC109" s="13" t="s">
        <v>86</v>
      </c>
      <c r="AD109" s="13" t="s">
        <v>86</v>
      </c>
      <c r="AE109" s="12" t="s">
        <v>86</v>
      </c>
      <c r="AF109" s="12" t="s">
        <v>86</v>
      </c>
      <c r="AG109" s="12" t="s">
        <v>86</v>
      </c>
      <c r="AH109" s="12" t="s">
        <v>86</v>
      </c>
      <c r="AI109" s="13" t="s">
        <v>86</v>
      </c>
      <c r="AJ109" s="13" t="s">
        <v>86</v>
      </c>
      <c r="AK109" s="13" t="s">
        <v>86</v>
      </c>
      <c r="AL109" s="13" t="s">
        <v>86</v>
      </c>
      <c r="AM109" s="12" t="s">
        <v>86</v>
      </c>
      <c r="AN109" s="12" t="s">
        <v>86</v>
      </c>
      <c r="AO109" s="12" t="s">
        <v>86</v>
      </c>
      <c r="AP109" s="12" t="s">
        <v>86</v>
      </c>
      <c r="AQ109" s="13" t="s">
        <v>86</v>
      </c>
      <c r="AR109" s="13" t="s">
        <v>86</v>
      </c>
      <c r="AS109" s="13" t="s">
        <v>86</v>
      </c>
      <c r="AT109" s="13" t="s">
        <v>86</v>
      </c>
      <c r="AU109" s="12" t="s">
        <v>86</v>
      </c>
      <c r="AV109" s="12" t="s">
        <v>86</v>
      </c>
      <c r="AW109" s="12" t="s">
        <v>86</v>
      </c>
      <c r="AX109" s="12" t="s">
        <v>86</v>
      </c>
      <c r="AY109" s="13" t="s">
        <v>86</v>
      </c>
      <c r="AZ109" s="13" t="s">
        <v>86</v>
      </c>
      <c r="BA109" s="13" t="s">
        <v>86</v>
      </c>
      <c r="BB109" s="13" t="s">
        <v>86</v>
      </c>
      <c r="BC109" s="12" t="s">
        <v>86</v>
      </c>
      <c r="BD109" s="12" t="s">
        <v>86</v>
      </c>
      <c r="BE109" s="12" t="s">
        <v>86</v>
      </c>
      <c r="BF109" s="12" t="s">
        <v>86</v>
      </c>
      <c r="BG109" s="13" t="s">
        <v>86</v>
      </c>
      <c r="BH109" s="13" t="s">
        <v>86</v>
      </c>
      <c r="BI109" s="13" t="s">
        <v>86</v>
      </c>
      <c r="BJ109" s="13" t="s">
        <v>86</v>
      </c>
      <c r="BK109" s="12" t="s">
        <v>86</v>
      </c>
      <c r="BL109" s="12" t="s">
        <v>86</v>
      </c>
    </row>
    <row r="110" spans="1:64" ht="15" thickBot="1" x14ac:dyDescent="0.35">
      <c r="A110" s="15" t="s">
        <v>96</v>
      </c>
      <c r="B110" s="14" t="s">
        <v>95</v>
      </c>
      <c r="C110" s="13" t="s">
        <v>86</v>
      </c>
      <c r="D110" s="13" t="s">
        <v>86</v>
      </c>
      <c r="E110" s="13" t="s">
        <v>86</v>
      </c>
      <c r="F110" s="13" t="s">
        <v>86</v>
      </c>
      <c r="G110" s="12" t="s">
        <v>86</v>
      </c>
      <c r="H110" s="12" t="s">
        <v>86</v>
      </c>
      <c r="I110" s="12" t="s">
        <v>86</v>
      </c>
      <c r="J110" s="12" t="s">
        <v>86</v>
      </c>
      <c r="K110" s="13" t="s">
        <v>86</v>
      </c>
      <c r="L110" s="13" t="s">
        <v>86</v>
      </c>
      <c r="M110" s="13" t="s">
        <v>86</v>
      </c>
      <c r="N110" s="13" t="s">
        <v>86</v>
      </c>
      <c r="O110" s="12" t="s">
        <v>86</v>
      </c>
      <c r="P110" s="12" t="s">
        <v>86</v>
      </c>
      <c r="Q110" s="12" t="s">
        <v>86</v>
      </c>
      <c r="R110" s="12" t="s">
        <v>86</v>
      </c>
      <c r="S110" s="13" t="s">
        <v>86</v>
      </c>
      <c r="T110" s="13" t="s">
        <v>86</v>
      </c>
      <c r="U110" s="13" t="s">
        <v>86</v>
      </c>
      <c r="V110" s="13" t="s">
        <v>86</v>
      </c>
      <c r="W110" s="12" t="s">
        <v>86</v>
      </c>
      <c r="X110" s="12" t="s">
        <v>86</v>
      </c>
      <c r="Y110" s="12" t="s">
        <v>86</v>
      </c>
      <c r="Z110" s="12" t="s">
        <v>86</v>
      </c>
      <c r="AA110" s="13" t="s">
        <v>86</v>
      </c>
      <c r="AB110" s="13" t="s">
        <v>86</v>
      </c>
      <c r="AC110" s="13" t="s">
        <v>86</v>
      </c>
      <c r="AD110" s="13" t="s">
        <v>86</v>
      </c>
      <c r="AE110" s="12" t="s">
        <v>86</v>
      </c>
      <c r="AF110" s="12" t="s">
        <v>86</v>
      </c>
      <c r="AG110" s="12" t="s">
        <v>86</v>
      </c>
      <c r="AH110" s="12" t="s">
        <v>86</v>
      </c>
      <c r="AI110" s="13" t="s">
        <v>86</v>
      </c>
      <c r="AJ110" s="13" t="s">
        <v>86</v>
      </c>
      <c r="AK110" s="13" t="s">
        <v>86</v>
      </c>
      <c r="AL110" s="13" t="s">
        <v>86</v>
      </c>
      <c r="AM110" s="12" t="s">
        <v>86</v>
      </c>
      <c r="AN110" s="12" t="s">
        <v>86</v>
      </c>
      <c r="AO110" s="12" t="s">
        <v>86</v>
      </c>
      <c r="AP110" s="12" t="s">
        <v>86</v>
      </c>
      <c r="AQ110" s="13" t="s">
        <v>86</v>
      </c>
      <c r="AR110" s="13" t="s">
        <v>86</v>
      </c>
      <c r="AS110" s="13" t="s">
        <v>86</v>
      </c>
      <c r="AT110" s="13" t="s">
        <v>86</v>
      </c>
      <c r="AU110" s="12" t="s">
        <v>86</v>
      </c>
      <c r="AV110" s="12" t="s">
        <v>86</v>
      </c>
      <c r="AW110" s="12" t="s">
        <v>86</v>
      </c>
      <c r="AX110" s="12" t="s">
        <v>86</v>
      </c>
      <c r="AY110" s="13" t="s">
        <v>86</v>
      </c>
      <c r="AZ110" s="13" t="s">
        <v>86</v>
      </c>
      <c r="BA110" s="13" t="s">
        <v>86</v>
      </c>
      <c r="BB110" s="13" t="s">
        <v>86</v>
      </c>
      <c r="BC110" s="12" t="s">
        <v>86</v>
      </c>
      <c r="BD110" s="12" t="s">
        <v>86</v>
      </c>
      <c r="BE110" s="12" t="s">
        <v>86</v>
      </c>
      <c r="BF110" s="12" t="s">
        <v>86</v>
      </c>
      <c r="BG110" s="13" t="s">
        <v>86</v>
      </c>
      <c r="BH110" s="13" t="s">
        <v>86</v>
      </c>
      <c r="BI110" s="13" t="s">
        <v>86</v>
      </c>
      <c r="BJ110" s="13" t="s">
        <v>86</v>
      </c>
      <c r="BK110" s="12" t="s">
        <v>86</v>
      </c>
      <c r="BL110" s="12" t="s">
        <v>86</v>
      </c>
    </row>
    <row r="111" spans="1:64" ht="15" thickBot="1" x14ac:dyDescent="0.35">
      <c r="A111" s="15" t="s">
        <v>94</v>
      </c>
      <c r="B111" s="14" t="s">
        <v>93</v>
      </c>
      <c r="C111" s="13" t="s">
        <v>86</v>
      </c>
      <c r="D111" s="13" t="s">
        <v>86</v>
      </c>
      <c r="E111" s="13" t="s">
        <v>86</v>
      </c>
      <c r="F111" s="13" t="s">
        <v>86</v>
      </c>
      <c r="G111" s="12" t="s">
        <v>86</v>
      </c>
      <c r="H111" s="12" t="s">
        <v>86</v>
      </c>
      <c r="I111" s="12" t="s">
        <v>86</v>
      </c>
      <c r="J111" s="12" t="s">
        <v>86</v>
      </c>
      <c r="K111" s="13" t="s">
        <v>86</v>
      </c>
      <c r="L111" s="13" t="s">
        <v>86</v>
      </c>
      <c r="M111" s="13" t="s">
        <v>86</v>
      </c>
      <c r="N111" s="13" t="s">
        <v>86</v>
      </c>
      <c r="O111" s="12" t="s">
        <v>86</v>
      </c>
      <c r="P111" s="12" t="s">
        <v>86</v>
      </c>
      <c r="Q111" s="12" t="s">
        <v>86</v>
      </c>
      <c r="R111" s="12" t="s">
        <v>86</v>
      </c>
      <c r="S111" s="13" t="s">
        <v>86</v>
      </c>
      <c r="T111" s="13" t="s">
        <v>86</v>
      </c>
      <c r="U111" s="13" t="s">
        <v>86</v>
      </c>
      <c r="V111" s="13" t="s">
        <v>86</v>
      </c>
      <c r="W111" s="12" t="s">
        <v>86</v>
      </c>
      <c r="X111" s="12" t="s">
        <v>86</v>
      </c>
      <c r="Y111" s="12" t="s">
        <v>86</v>
      </c>
      <c r="Z111" s="12" t="s">
        <v>86</v>
      </c>
      <c r="AA111" s="13" t="s">
        <v>86</v>
      </c>
      <c r="AB111" s="13" t="s">
        <v>86</v>
      </c>
      <c r="AC111" s="13" t="s">
        <v>86</v>
      </c>
      <c r="AD111" s="13" t="s">
        <v>86</v>
      </c>
      <c r="AE111" s="12" t="s">
        <v>86</v>
      </c>
      <c r="AF111" s="12" t="s">
        <v>86</v>
      </c>
      <c r="AG111" s="12" t="s">
        <v>86</v>
      </c>
      <c r="AH111" s="12" t="s">
        <v>86</v>
      </c>
      <c r="AI111" s="13" t="s">
        <v>86</v>
      </c>
      <c r="AJ111" s="13" t="s">
        <v>86</v>
      </c>
      <c r="AK111" s="13" t="s">
        <v>86</v>
      </c>
      <c r="AL111" s="13" t="s">
        <v>86</v>
      </c>
      <c r="AM111" s="12" t="s">
        <v>86</v>
      </c>
      <c r="AN111" s="12" t="s">
        <v>86</v>
      </c>
      <c r="AO111" s="12" t="s">
        <v>86</v>
      </c>
      <c r="AP111" s="12" t="s">
        <v>86</v>
      </c>
      <c r="AQ111" s="13" t="s">
        <v>86</v>
      </c>
      <c r="AR111" s="13" t="s">
        <v>86</v>
      </c>
      <c r="AS111" s="13" t="s">
        <v>86</v>
      </c>
      <c r="AT111" s="13" t="s">
        <v>86</v>
      </c>
      <c r="AU111" s="12" t="s">
        <v>86</v>
      </c>
      <c r="AV111" s="12" t="s">
        <v>86</v>
      </c>
      <c r="AW111" s="12" t="s">
        <v>86</v>
      </c>
      <c r="AX111" s="12" t="s">
        <v>86</v>
      </c>
      <c r="AY111" s="13" t="s">
        <v>86</v>
      </c>
      <c r="AZ111" s="13" t="s">
        <v>86</v>
      </c>
      <c r="BA111" s="13" t="s">
        <v>86</v>
      </c>
      <c r="BB111" s="13" t="s">
        <v>86</v>
      </c>
      <c r="BC111" s="12" t="s">
        <v>86</v>
      </c>
      <c r="BD111" s="12" t="s">
        <v>86</v>
      </c>
      <c r="BE111" s="12" t="s">
        <v>86</v>
      </c>
      <c r="BF111" s="12" t="s">
        <v>86</v>
      </c>
      <c r="BG111" s="13" t="s">
        <v>86</v>
      </c>
      <c r="BH111" s="13" t="s">
        <v>86</v>
      </c>
      <c r="BI111" s="13" t="s">
        <v>86</v>
      </c>
      <c r="BJ111" s="13" t="s">
        <v>86</v>
      </c>
      <c r="BK111" s="12" t="s">
        <v>86</v>
      </c>
      <c r="BL111" s="12" t="s">
        <v>86</v>
      </c>
    </row>
    <row r="112" spans="1:64" ht="15" thickBot="1" x14ac:dyDescent="0.35">
      <c r="A112" s="15" t="s">
        <v>92</v>
      </c>
      <c r="B112" s="14" t="s">
        <v>91</v>
      </c>
      <c r="C112" s="13" t="s">
        <v>86</v>
      </c>
      <c r="D112" s="13" t="s">
        <v>86</v>
      </c>
      <c r="E112" s="13" t="s">
        <v>86</v>
      </c>
      <c r="F112" s="13" t="s">
        <v>86</v>
      </c>
      <c r="G112" s="12">
        <v>74</v>
      </c>
      <c r="H112" s="12" t="s">
        <v>86</v>
      </c>
      <c r="I112" s="12" t="s">
        <v>86</v>
      </c>
      <c r="J112" s="12" t="s">
        <v>86</v>
      </c>
      <c r="K112" s="13">
        <v>130</v>
      </c>
      <c r="L112" s="13" t="s">
        <v>86</v>
      </c>
      <c r="M112" s="13" t="s">
        <v>86</v>
      </c>
      <c r="N112" s="13">
        <v>196</v>
      </c>
      <c r="O112" s="12" t="s">
        <v>86</v>
      </c>
      <c r="P112" s="12" t="s">
        <v>86</v>
      </c>
      <c r="Q112" s="12" t="s">
        <v>86</v>
      </c>
      <c r="R112" s="12" t="s">
        <v>86</v>
      </c>
      <c r="S112" s="13" t="s">
        <v>86</v>
      </c>
      <c r="T112" s="13" t="s">
        <v>86</v>
      </c>
      <c r="U112" s="13" t="s">
        <v>86</v>
      </c>
      <c r="V112" s="13" t="s">
        <v>86</v>
      </c>
      <c r="W112" s="12" t="s">
        <v>86</v>
      </c>
      <c r="X112" s="12" t="s">
        <v>86</v>
      </c>
      <c r="Y112" s="12" t="s">
        <v>86</v>
      </c>
      <c r="Z112" s="12" t="s">
        <v>86</v>
      </c>
      <c r="AA112" s="13" t="s">
        <v>86</v>
      </c>
      <c r="AB112" s="13" t="s">
        <v>86</v>
      </c>
      <c r="AC112" s="13" t="s">
        <v>86</v>
      </c>
      <c r="AD112" s="13" t="s">
        <v>86</v>
      </c>
      <c r="AE112" s="12" t="s">
        <v>86</v>
      </c>
      <c r="AF112" s="12" t="s">
        <v>86</v>
      </c>
      <c r="AG112" s="12" t="s">
        <v>86</v>
      </c>
      <c r="AH112" s="12" t="s">
        <v>86</v>
      </c>
      <c r="AI112" s="13" t="s">
        <v>86</v>
      </c>
      <c r="AJ112" s="13" t="s">
        <v>86</v>
      </c>
      <c r="AK112" s="13" t="s">
        <v>86</v>
      </c>
      <c r="AL112" s="13" t="s">
        <v>86</v>
      </c>
      <c r="AM112" s="12" t="s">
        <v>86</v>
      </c>
      <c r="AN112" s="12" t="s">
        <v>86</v>
      </c>
      <c r="AO112" s="12" t="s">
        <v>86</v>
      </c>
      <c r="AP112" s="12" t="s">
        <v>86</v>
      </c>
      <c r="AQ112" s="13" t="s">
        <v>86</v>
      </c>
      <c r="AR112" s="13" t="s">
        <v>86</v>
      </c>
      <c r="AS112" s="13" t="s">
        <v>86</v>
      </c>
      <c r="AT112" s="13" t="s">
        <v>86</v>
      </c>
      <c r="AU112" s="12" t="s">
        <v>86</v>
      </c>
      <c r="AV112" s="12" t="s">
        <v>86</v>
      </c>
      <c r="AW112" s="12" t="s">
        <v>86</v>
      </c>
      <c r="AX112" s="12" t="s">
        <v>86</v>
      </c>
      <c r="AY112" s="13" t="s">
        <v>86</v>
      </c>
      <c r="AZ112" s="13" t="s">
        <v>86</v>
      </c>
      <c r="BA112" s="13" t="s">
        <v>86</v>
      </c>
      <c r="BB112" s="13" t="s">
        <v>86</v>
      </c>
      <c r="BC112" s="12" t="s">
        <v>86</v>
      </c>
      <c r="BD112" s="12" t="s">
        <v>86</v>
      </c>
      <c r="BE112" s="12" t="s">
        <v>86</v>
      </c>
      <c r="BF112" s="12" t="s">
        <v>86</v>
      </c>
      <c r="BG112" s="13" t="s">
        <v>86</v>
      </c>
      <c r="BH112" s="13" t="s">
        <v>86</v>
      </c>
      <c r="BI112" s="13" t="s">
        <v>86</v>
      </c>
      <c r="BJ112" s="13" t="s">
        <v>86</v>
      </c>
      <c r="BK112" s="12" t="s">
        <v>86</v>
      </c>
      <c r="BL112" s="12" t="s">
        <v>86</v>
      </c>
    </row>
    <row r="113" spans="1:64" ht="15" thickBot="1" x14ac:dyDescent="0.35">
      <c r="A113" s="15" t="s">
        <v>90</v>
      </c>
      <c r="B113" s="14" t="s">
        <v>89</v>
      </c>
      <c r="C113" s="13" t="s">
        <v>86</v>
      </c>
      <c r="D113" s="13" t="s">
        <v>86</v>
      </c>
      <c r="E113" s="13" t="s">
        <v>86</v>
      </c>
      <c r="F113" s="13" t="s">
        <v>86</v>
      </c>
      <c r="G113" s="12">
        <v>74</v>
      </c>
      <c r="H113" s="12" t="s">
        <v>86</v>
      </c>
      <c r="I113" s="12" t="s">
        <v>86</v>
      </c>
      <c r="J113" s="12" t="s">
        <v>86</v>
      </c>
      <c r="K113" s="13">
        <v>130</v>
      </c>
      <c r="L113" s="13" t="s">
        <v>86</v>
      </c>
      <c r="M113" s="13" t="s">
        <v>86</v>
      </c>
      <c r="N113" s="13">
        <v>196</v>
      </c>
      <c r="O113" s="12" t="s">
        <v>86</v>
      </c>
      <c r="P113" s="12" t="s">
        <v>86</v>
      </c>
      <c r="Q113" s="12" t="s">
        <v>86</v>
      </c>
      <c r="R113" s="12" t="s">
        <v>86</v>
      </c>
      <c r="S113" s="13" t="s">
        <v>86</v>
      </c>
      <c r="T113" s="13" t="s">
        <v>86</v>
      </c>
      <c r="U113" s="13" t="s">
        <v>86</v>
      </c>
      <c r="V113" s="13" t="s">
        <v>86</v>
      </c>
      <c r="W113" s="12" t="s">
        <v>86</v>
      </c>
      <c r="X113" s="12" t="s">
        <v>86</v>
      </c>
      <c r="Y113" s="12" t="s">
        <v>86</v>
      </c>
      <c r="Z113" s="12" t="s">
        <v>86</v>
      </c>
      <c r="AA113" s="13" t="s">
        <v>86</v>
      </c>
      <c r="AB113" s="13" t="s">
        <v>86</v>
      </c>
      <c r="AC113" s="13" t="s">
        <v>86</v>
      </c>
      <c r="AD113" s="13" t="s">
        <v>86</v>
      </c>
      <c r="AE113" s="12" t="s">
        <v>86</v>
      </c>
      <c r="AF113" s="12" t="s">
        <v>86</v>
      </c>
      <c r="AG113" s="12" t="s">
        <v>86</v>
      </c>
      <c r="AH113" s="12" t="s">
        <v>86</v>
      </c>
      <c r="AI113" s="13" t="s">
        <v>86</v>
      </c>
      <c r="AJ113" s="13" t="s">
        <v>86</v>
      </c>
      <c r="AK113" s="13" t="s">
        <v>86</v>
      </c>
      <c r="AL113" s="13" t="s">
        <v>86</v>
      </c>
      <c r="AM113" s="12" t="s">
        <v>86</v>
      </c>
      <c r="AN113" s="12" t="s">
        <v>86</v>
      </c>
      <c r="AO113" s="12" t="s">
        <v>86</v>
      </c>
      <c r="AP113" s="12" t="s">
        <v>86</v>
      </c>
      <c r="AQ113" s="13" t="s">
        <v>86</v>
      </c>
      <c r="AR113" s="13" t="s">
        <v>86</v>
      </c>
      <c r="AS113" s="13" t="s">
        <v>86</v>
      </c>
      <c r="AT113" s="13" t="s">
        <v>86</v>
      </c>
      <c r="AU113" s="12" t="s">
        <v>86</v>
      </c>
      <c r="AV113" s="12" t="s">
        <v>86</v>
      </c>
      <c r="AW113" s="12" t="s">
        <v>86</v>
      </c>
      <c r="AX113" s="12" t="s">
        <v>86</v>
      </c>
      <c r="AY113" s="13" t="s">
        <v>86</v>
      </c>
      <c r="AZ113" s="13" t="s">
        <v>86</v>
      </c>
      <c r="BA113" s="13" t="s">
        <v>86</v>
      </c>
      <c r="BB113" s="13" t="s">
        <v>86</v>
      </c>
      <c r="BC113" s="12" t="s">
        <v>86</v>
      </c>
      <c r="BD113" s="12" t="s">
        <v>86</v>
      </c>
      <c r="BE113" s="12" t="s">
        <v>86</v>
      </c>
      <c r="BF113" s="12" t="s">
        <v>86</v>
      </c>
      <c r="BG113" s="13" t="s">
        <v>86</v>
      </c>
      <c r="BH113" s="13" t="s">
        <v>86</v>
      </c>
      <c r="BI113" s="13" t="s">
        <v>86</v>
      </c>
      <c r="BJ113" s="13" t="s">
        <v>86</v>
      </c>
      <c r="BK113" s="12" t="s">
        <v>86</v>
      </c>
      <c r="BL113" s="12" t="s">
        <v>86</v>
      </c>
    </row>
    <row r="114" spans="1:64" x14ac:dyDescent="0.3">
      <c r="A114" s="15" t="s">
        <v>88</v>
      </c>
      <c r="B114" s="14" t="s">
        <v>87</v>
      </c>
      <c r="C114" s="13" t="s">
        <v>86</v>
      </c>
      <c r="D114" s="13" t="s">
        <v>86</v>
      </c>
      <c r="E114" s="13" t="s">
        <v>86</v>
      </c>
      <c r="F114" s="13" t="s">
        <v>86</v>
      </c>
      <c r="G114" s="12" t="s">
        <v>86</v>
      </c>
      <c r="H114" s="12" t="s">
        <v>86</v>
      </c>
      <c r="I114" s="12" t="s">
        <v>86</v>
      </c>
      <c r="J114" s="12" t="s">
        <v>86</v>
      </c>
      <c r="K114" s="13" t="s">
        <v>86</v>
      </c>
      <c r="L114" s="13" t="s">
        <v>86</v>
      </c>
      <c r="M114" s="13" t="s">
        <v>86</v>
      </c>
      <c r="N114" s="13" t="s">
        <v>86</v>
      </c>
      <c r="O114" s="12" t="s">
        <v>86</v>
      </c>
      <c r="P114" s="12" t="s">
        <v>86</v>
      </c>
      <c r="Q114" s="12" t="s">
        <v>86</v>
      </c>
      <c r="R114" s="12" t="s">
        <v>86</v>
      </c>
      <c r="S114" s="13" t="s">
        <v>86</v>
      </c>
      <c r="T114" s="13" t="s">
        <v>86</v>
      </c>
      <c r="U114" s="13" t="s">
        <v>86</v>
      </c>
      <c r="V114" s="13" t="s">
        <v>86</v>
      </c>
      <c r="W114" s="12" t="s">
        <v>86</v>
      </c>
      <c r="X114" s="12" t="s">
        <v>86</v>
      </c>
      <c r="Y114" s="12" t="s">
        <v>86</v>
      </c>
      <c r="Z114" s="12" t="s">
        <v>86</v>
      </c>
      <c r="AA114" s="13" t="s">
        <v>86</v>
      </c>
      <c r="AB114" s="13" t="s">
        <v>86</v>
      </c>
      <c r="AC114" s="13" t="s">
        <v>86</v>
      </c>
      <c r="AD114" s="13" t="s">
        <v>86</v>
      </c>
      <c r="AE114" s="12" t="s">
        <v>86</v>
      </c>
      <c r="AF114" s="12" t="s">
        <v>86</v>
      </c>
      <c r="AG114" s="12" t="s">
        <v>86</v>
      </c>
      <c r="AH114" s="12" t="s">
        <v>86</v>
      </c>
      <c r="AI114" s="13" t="s">
        <v>86</v>
      </c>
      <c r="AJ114" s="13" t="s">
        <v>86</v>
      </c>
      <c r="AK114" s="13" t="s">
        <v>86</v>
      </c>
      <c r="AL114" s="13" t="s">
        <v>86</v>
      </c>
      <c r="AM114" s="12" t="s">
        <v>86</v>
      </c>
      <c r="AN114" s="12" t="s">
        <v>86</v>
      </c>
      <c r="AO114" s="12" t="s">
        <v>86</v>
      </c>
      <c r="AP114" s="12" t="s">
        <v>86</v>
      </c>
      <c r="AQ114" s="13" t="s">
        <v>86</v>
      </c>
      <c r="AR114" s="13" t="s">
        <v>86</v>
      </c>
      <c r="AS114" s="13" t="s">
        <v>86</v>
      </c>
      <c r="AT114" s="13" t="s">
        <v>86</v>
      </c>
      <c r="AU114" s="12" t="s">
        <v>86</v>
      </c>
      <c r="AV114" s="12" t="s">
        <v>86</v>
      </c>
      <c r="AW114" s="12" t="s">
        <v>86</v>
      </c>
      <c r="AX114" s="12" t="s">
        <v>86</v>
      </c>
      <c r="AY114" s="13" t="s">
        <v>86</v>
      </c>
      <c r="AZ114" s="13" t="s">
        <v>86</v>
      </c>
      <c r="BA114" s="13" t="s">
        <v>86</v>
      </c>
      <c r="BB114" s="13" t="s">
        <v>86</v>
      </c>
      <c r="BC114" s="12" t="s">
        <v>86</v>
      </c>
      <c r="BD114" s="12" t="s">
        <v>86</v>
      </c>
      <c r="BE114" s="12" t="s">
        <v>86</v>
      </c>
      <c r="BF114" s="12" t="s">
        <v>86</v>
      </c>
      <c r="BG114" s="13" t="s">
        <v>86</v>
      </c>
      <c r="BH114" s="13" t="s">
        <v>86</v>
      </c>
      <c r="BI114" s="13" t="s">
        <v>86</v>
      </c>
      <c r="BJ114" s="13" t="s">
        <v>86</v>
      </c>
      <c r="BK114" s="12" t="s">
        <v>86</v>
      </c>
      <c r="BL114" s="12" t="s">
        <v>86</v>
      </c>
    </row>
    <row r="115" spans="1:64" x14ac:dyDescent="0.3">
      <c r="A115" s="11" t="s">
        <v>85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</row>
    <row r="116" spans="1:64" x14ac:dyDescent="0.3">
      <c r="A116" s="9" t="s">
        <v>84</v>
      </c>
    </row>
  </sheetData>
  <mergeCells count="18">
    <mergeCell ref="AM5:AP5"/>
    <mergeCell ref="AQ5:AT5"/>
    <mergeCell ref="A5:B5"/>
    <mergeCell ref="C5:F5"/>
    <mergeCell ref="G5:J5"/>
    <mergeCell ref="K5:N5"/>
    <mergeCell ref="O5:R5"/>
    <mergeCell ref="S5:V5"/>
    <mergeCell ref="AU5:AX5"/>
    <mergeCell ref="AY5:BB5"/>
    <mergeCell ref="BC5:BF5"/>
    <mergeCell ref="BG5:BJ5"/>
    <mergeCell ref="BK5:BL5"/>
    <mergeCell ref="A6:B6"/>
    <mergeCell ref="W5:Z5"/>
    <mergeCell ref="AA5:AD5"/>
    <mergeCell ref="AE5:AH5"/>
    <mergeCell ref="AI5:AL5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5DF0C-42D0-41F0-99C7-4116A326F5F0}">
  <dimension ref="A1:BS217"/>
  <sheetViews>
    <sheetView showGridLines="0" workbookViewId="0">
      <pane xSplit="1" ySplit="9" topLeftCell="D92" activePane="bottomRight" state="frozen"/>
      <selection activeCell="BG58" sqref="BG58:BS58"/>
      <selection pane="topRight" activeCell="BG58" sqref="BG58:BS58"/>
      <selection pane="bottomLeft" activeCell="BG58" sqref="BG58:BS58"/>
      <selection pane="bottomRight" activeCell="D105" activeCellId="1" sqref="D88:P88 D105:P105"/>
    </sheetView>
  </sheetViews>
  <sheetFormatPr defaultRowHeight="14.4" x14ac:dyDescent="0.3"/>
  <cols>
    <col min="1" max="1" width="35.5546875" bestFit="1" customWidth="1"/>
    <col min="2" max="16" width="11.44140625" bestFit="1" customWidth="1"/>
  </cols>
  <sheetData>
    <row r="1" spans="1:17" x14ac:dyDescent="0.3">
      <c r="A1" s="39" t="s">
        <v>802</v>
      </c>
    </row>
    <row r="3" spans="1:17" x14ac:dyDescent="0.3">
      <c r="A3" s="38" t="s">
        <v>431</v>
      </c>
    </row>
    <row r="4" spans="1:17" ht="15" thickBot="1" x14ac:dyDescent="0.35">
      <c r="A4" s="38" t="s">
        <v>626</v>
      </c>
    </row>
    <row r="5" spans="1:17" ht="15" thickBot="1" x14ac:dyDescent="0.35">
      <c r="A5" s="69"/>
      <c r="B5" s="59">
        <v>2009</v>
      </c>
      <c r="C5" s="59">
        <v>2010</v>
      </c>
      <c r="D5" s="59">
        <v>2011</v>
      </c>
      <c r="E5" s="59">
        <v>2012</v>
      </c>
      <c r="F5" s="59">
        <v>2013</v>
      </c>
      <c r="G5" s="59">
        <v>2014</v>
      </c>
      <c r="H5" s="59">
        <v>2015</v>
      </c>
      <c r="I5" s="59">
        <v>2016</v>
      </c>
      <c r="J5" s="59">
        <v>2017</v>
      </c>
      <c r="K5" s="59">
        <v>2018</v>
      </c>
      <c r="L5" s="59">
        <v>2019</v>
      </c>
      <c r="M5" s="59">
        <v>2020</v>
      </c>
      <c r="N5" s="59">
        <v>2021</v>
      </c>
      <c r="O5" s="59">
        <v>2022</v>
      </c>
      <c r="P5" s="59">
        <v>2023</v>
      </c>
    </row>
    <row r="6" spans="1:17" ht="11.4" customHeight="1" thickBot="1" x14ac:dyDescent="0.35">
      <c r="A6" s="29" t="s">
        <v>334</v>
      </c>
      <c r="B6" s="28" t="s">
        <v>333</v>
      </c>
      <c r="C6" s="28" t="s">
        <v>333</v>
      </c>
      <c r="D6" s="23" t="s">
        <v>801</v>
      </c>
      <c r="E6" s="27" t="s">
        <v>331</v>
      </c>
      <c r="F6" s="23" t="s">
        <v>800</v>
      </c>
      <c r="G6" s="25" t="s">
        <v>313</v>
      </c>
      <c r="H6" s="27" t="s">
        <v>331</v>
      </c>
      <c r="I6" s="26" t="s">
        <v>330</v>
      </c>
      <c r="J6" s="26" t="s">
        <v>326</v>
      </c>
      <c r="K6" s="25" t="s">
        <v>315</v>
      </c>
      <c r="L6" s="25" t="s">
        <v>312</v>
      </c>
      <c r="M6" s="25" t="s">
        <v>316</v>
      </c>
      <c r="N6" s="25" t="s">
        <v>314</v>
      </c>
      <c r="O6" s="25" t="s">
        <v>312</v>
      </c>
      <c r="P6" s="24" t="s">
        <v>310</v>
      </c>
    </row>
    <row r="7" spans="1:17" ht="15" thickBot="1" x14ac:dyDescent="0.35">
      <c r="A7" s="22" t="s">
        <v>307</v>
      </c>
      <c r="B7" s="21" t="s">
        <v>303</v>
      </c>
      <c r="C7" s="21" t="s">
        <v>299</v>
      </c>
      <c r="D7" s="21" t="s">
        <v>295</v>
      </c>
      <c r="E7" s="21" t="s">
        <v>291</v>
      </c>
      <c r="F7" s="21" t="s">
        <v>287</v>
      </c>
      <c r="G7" s="21" t="s">
        <v>283</v>
      </c>
      <c r="H7" s="21" t="s">
        <v>279</v>
      </c>
      <c r="I7" s="21" t="s">
        <v>275</v>
      </c>
      <c r="J7" s="21" t="s">
        <v>271</v>
      </c>
      <c r="K7" s="21" t="s">
        <v>267</v>
      </c>
      <c r="L7" s="21" t="s">
        <v>263</v>
      </c>
      <c r="M7" s="21" t="s">
        <v>259</v>
      </c>
      <c r="N7" s="21" t="s">
        <v>255</v>
      </c>
      <c r="O7" s="21" t="s">
        <v>251</v>
      </c>
      <c r="P7" s="21" t="s">
        <v>247</v>
      </c>
    </row>
    <row r="8" spans="1:17" x14ac:dyDescent="0.3">
      <c r="A8" s="22" t="s">
        <v>242</v>
      </c>
      <c r="B8" s="21" t="s">
        <v>241</v>
      </c>
      <c r="C8" s="21" t="s">
        <v>241</v>
      </c>
      <c r="D8" s="21" t="s">
        <v>241</v>
      </c>
      <c r="E8" s="21" t="s">
        <v>241</v>
      </c>
      <c r="F8" s="21" t="s">
        <v>241</v>
      </c>
      <c r="G8" s="21" t="s">
        <v>241</v>
      </c>
      <c r="H8" s="21" t="s">
        <v>241</v>
      </c>
      <c r="I8" s="21" t="s">
        <v>241</v>
      </c>
      <c r="J8" s="21" t="s">
        <v>241</v>
      </c>
      <c r="K8" s="21" t="s">
        <v>241</v>
      </c>
      <c r="L8" s="21" t="s">
        <v>241</v>
      </c>
      <c r="M8" s="21" t="s">
        <v>241</v>
      </c>
      <c r="N8" s="21" t="s">
        <v>241</v>
      </c>
      <c r="O8" s="21" t="s">
        <v>241</v>
      </c>
      <c r="P8" s="21" t="s">
        <v>241</v>
      </c>
    </row>
    <row r="9" spans="1:17" ht="9.6" customHeight="1" thickBot="1" x14ac:dyDescent="0.35">
      <c r="A9" s="16" t="s">
        <v>430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ht="15" thickBot="1" x14ac:dyDescent="0.35">
      <c r="A10" s="67" t="s">
        <v>799</v>
      </c>
      <c r="B10" s="41">
        <f>B11+B12</f>
        <v>8.6</v>
      </c>
      <c r="C10" s="41">
        <f t="shared" ref="C10:P10" si="0">C11+C12</f>
        <v>40</v>
      </c>
      <c r="D10" s="41">
        <f t="shared" si="0"/>
        <v>51.5</v>
      </c>
      <c r="E10" s="41">
        <f t="shared" si="0"/>
        <v>45.3</v>
      </c>
      <c r="F10" s="41">
        <f t="shared" si="0"/>
        <v>38.200000000000003</v>
      </c>
      <c r="G10" s="41">
        <f t="shared" si="0"/>
        <v>42</v>
      </c>
      <c r="H10" s="41">
        <f t="shared" si="0"/>
        <v>28.5</v>
      </c>
      <c r="I10" s="41">
        <f t="shared" si="0"/>
        <v>17.8</v>
      </c>
      <c r="J10" s="41">
        <f t="shared" si="0"/>
        <v>29.1</v>
      </c>
      <c r="K10" s="41">
        <f t="shared" si="0"/>
        <v>106.2</v>
      </c>
      <c r="L10" s="41">
        <f t="shared" si="0"/>
        <v>251.4</v>
      </c>
      <c r="M10" s="41">
        <f t="shared" si="0"/>
        <v>679.4</v>
      </c>
      <c r="N10" s="41">
        <f t="shared" si="0"/>
        <v>1016.5999999999999</v>
      </c>
      <c r="O10" s="41">
        <f t="shared" si="0"/>
        <v>1612.8</v>
      </c>
      <c r="P10" s="41">
        <f t="shared" si="0"/>
        <v>1695</v>
      </c>
    </row>
    <row r="11" spans="1:17" ht="15" thickBot="1" x14ac:dyDescent="0.35">
      <c r="A11" s="66" t="s">
        <v>798</v>
      </c>
      <c r="B11" s="65">
        <v>8.6</v>
      </c>
      <c r="C11" s="65">
        <v>40</v>
      </c>
      <c r="D11" s="65">
        <v>51.5</v>
      </c>
      <c r="E11" s="65">
        <v>45.3</v>
      </c>
      <c r="F11" s="65">
        <v>38.200000000000003</v>
      </c>
      <c r="G11" s="65">
        <v>42</v>
      </c>
      <c r="H11" s="65">
        <v>28.5</v>
      </c>
      <c r="I11" s="65">
        <v>17.8</v>
      </c>
      <c r="J11" s="65">
        <v>29.1</v>
      </c>
      <c r="K11" s="65">
        <v>106.2</v>
      </c>
      <c r="L11" s="65">
        <v>251.4</v>
      </c>
      <c r="M11" s="65">
        <v>679.4</v>
      </c>
      <c r="N11" s="65">
        <v>119.3</v>
      </c>
      <c r="O11" s="65">
        <v>473.2</v>
      </c>
      <c r="P11" s="65">
        <v>288.7</v>
      </c>
    </row>
    <row r="12" spans="1:17" ht="15" thickBot="1" x14ac:dyDescent="0.35">
      <c r="A12" s="66" t="s">
        <v>797</v>
      </c>
      <c r="B12" s="65">
        <v>0</v>
      </c>
      <c r="C12" s="65">
        <v>0</v>
      </c>
      <c r="D12" s="65">
        <v>0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  <c r="N12" s="65">
        <v>897.3</v>
      </c>
      <c r="O12" s="65">
        <v>1139.5999999999999</v>
      </c>
      <c r="P12" s="65">
        <v>1406.3</v>
      </c>
    </row>
    <row r="13" spans="1:17" ht="15" thickBot="1" x14ac:dyDescent="0.35">
      <c r="A13" s="67" t="s">
        <v>796</v>
      </c>
      <c r="B13" s="41">
        <v>6.4</v>
      </c>
      <c r="C13" s="41">
        <v>8</v>
      </c>
      <c r="D13" s="41">
        <v>17.8</v>
      </c>
      <c r="E13" s="41">
        <v>27.7</v>
      </c>
      <c r="F13" s="41">
        <v>32.1</v>
      </c>
      <c r="G13" s="41">
        <v>45.1</v>
      </c>
      <c r="H13" s="41">
        <v>46.1</v>
      </c>
      <c r="I13" s="41">
        <v>61</v>
      </c>
      <c r="J13" s="41">
        <v>65.3</v>
      </c>
      <c r="K13" s="41">
        <v>78.900000000000006</v>
      </c>
      <c r="L13" s="41">
        <v>145.4</v>
      </c>
      <c r="M13" s="41">
        <v>182.2</v>
      </c>
      <c r="N13" s="41">
        <v>333.6</v>
      </c>
      <c r="O13" s="41">
        <v>473</v>
      </c>
      <c r="P13" s="41">
        <v>486.2</v>
      </c>
    </row>
    <row r="14" spans="1:17" ht="15" thickBot="1" x14ac:dyDescent="0.35">
      <c r="A14" s="66" t="s">
        <v>795</v>
      </c>
      <c r="B14" s="65">
        <v>6.4</v>
      </c>
      <c r="C14" s="65">
        <v>8</v>
      </c>
      <c r="D14" s="65">
        <v>17.899999999999999</v>
      </c>
      <c r="E14" s="65">
        <v>28.9</v>
      </c>
      <c r="F14" s="65">
        <v>34.1</v>
      </c>
      <c r="G14" s="65">
        <v>45.7</v>
      </c>
      <c r="H14" s="65">
        <v>47.9</v>
      </c>
      <c r="I14" s="65">
        <v>63.9</v>
      </c>
      <c r="J14" s="65">
        <v>67.7</v>
      </c>
      <c r="K14" s="65">
        <v>81.099999999999994</v>
      </c>
      <c r="L14" s="65">
        <v>146</v>
      </c>
      <c r="M14" s="65">
        <v>182.6</v>
      </c>
      <c r="N14" s="65">
        <v>335.2</v>
      </c>
      <c r="O14" s="65">
        <v>474</v>
      </c>
      <c r="P14" s="65">
        <v>488.7</v>
      </c>
    </row>
    <row r="15" spans="1:17" ht="15" thickBot="1" x14ac:dyDescent="0.35">
      <c r="A15" s="66" t="s">
        <v>794</v>
      </c>
      <c r="B15" s="65">
        <v>-0.1</v>
      </c>
      <c r="C15" s="65">
        <v>0</v>
      </c>
      <c r="D15" s="65">
        <v>-0.1</v>
      </c>
      <c r="E15" s="65">
        <v>-1.2</v>
      </c>
      <c r="F15" s="65">
        <v>-2</v>
      </c>
      <c r="G15" s="65">
        <v>-0.6</v>
      </c>
      <c r="H15" s="65">
        <v>-1.8</v>
      </c>
      <c r="I15" s="65">
        <v>-2.9</v>
      </c>
      <c r="J15" s="65">
        <v>-2.4</v>
      </c>
      <c r="K15" s="65">
        <v>-2.1</v>
      </c>
      <c r="L15" s="65">
        <v>-0.6</v>
      </c>
      <c r="M15" s="65">
        <v>-0.5</v>
      </c>
      <c r="N15" s="65">
        <v>-1.6</v>
      </c>
      <c r="O15" s="65">
        <v>-1</v>
      </c>
      <c r="P15" s="65">
        <v>-2.5</v>
      </c>
    </row>
    <row r="16" spans="1:17" ht="15" thickBot="1" x14ac:dyDescent="0.35">
      <c r="A16" s="14" t="s">
        <v>793</v>
      </c>
      <c r="B16" s="40">
        <v>6.4</v>
      </c>
      <c r="C16" s="40">
        <v>8</v>
      </c>
      <c r="D16" s="40">
        <v>17.8</v>
      </c>
      <c r="E16" s="40">
        <v>27.7</v>
      </c>
      <c r="F16" s="40">
        <v>32.1</v>
      </c>
      <c r="G16" s="40">
        <v>45.1</v>
      </c>
      <c r="H16" s="40">
        <v>46.1</v>
      </c>
      <c r="I16" s="40">
        <v>61</v>
      </c>
      <c r="J16" s="40">
        <v>65.3</v>
      </c>
      <c r="K16" s="40">
        <v>78.900000000000006</v>
      </c>
      <c r="L16" s="40">
        <v>145.4</v>
      </c>
      <c r="M16" s="40">
        <v>182.2</v>
      </c>
      <c r="N16" s="40">
        <v>333.6</v>
      </c>
      <c r="O16" s="40">
        <v>473</v>
      </c>
      <c r="P16" s="40">
        <v>486.2</v>
      </c>
      <c r="Q16" s="73"/>
    </row>
    <row r="17" spans="1:17" ht="15" thickBot="1" x14ac:dyDescent="0.35">
      <c r="A17" s="67" t="s">
        <v>792</v>
      </c>
      <c r="B17" s="41">
        <v>1.5</v>
      </c>
      <c r="C17" s="41">
        <v>4.5</v>
      </c>
      <c r="D17" s="41">
        <v>11.2</v>
      </c>
      <c r="E17" s="41">
        <v>19.8</v>
      </c>
      <c r="F17" s="41">
        <v>16.600000000000001</v>
      </c>
      <c r="G17" s="41">
        <v>21.6</v>
      </c>
      <c r="H17" s="41">
        <v>40.799999999999997</v>
      </c>
      <c r="I17" s="41">
        <v>32</v>
      </c>
      <c r="J17" s="41">
        <v>26</v>
      </c>
      <c r="K17" s="41">
        <v>16.3</v>
      </c>
      <c r="L17" s="41">
        <v>32.1</v>
      </c>
      <c r="M17" s="41">
        <v>41.8</v>
      </c>
      <c r="N17" s="41">
        <v>74.400000000000006</v>
      </c>
      <c r="O17" s="41">
        <v>149.69999999999999</v>
      </c>
      <c r="P17" s="41">
        <v>213.6</v>
      </c>
    </row>
    <row r="18" spans="1:17" ht="15" thickBot="1" x14ac:dyDescent="0.35">
      <c r="A18" s="66" t="s">
        <v>791</v>
      </c>
      <c r="B18" s="65">
        <v>1.4</v>
      </c>
      <c r="C18" s="65">
        <v>3.8</v>
      </c>
      <c r="D18" s="65">
        <v>9.4</v>
      </c>
      <c r="E18" s="65">
        <v>17.600000000000001</v>
      </c>
      <c r="F18" s="65">
        <v>15.2</v>
      </c>
      <c r="G18" s="65">
        <v>18.2</v>
      </c>
      <c r="H18" s="65">
        <v>38.6</v>
      </c>
      <c r="I18" s="65">
        <v>26.9</v>
      </c>
      <c r="J18" s="65">
        <v>23.7</v>
      </c>
      <c r="K18" s="65">
        <v>15.3</v>
      </c>
      <c r="L18" s="65">
        <v>27.9</v>
      </c>
      <c r="M18" s="65">
        <v>31.6</v>
      </c>
      <c r="N18" s="65">
        <v>49</v>
      </c>
      <c r="O18" s="65">
        <v>114.7</v>
      </c>
      <c r="P18" s="65">
        <v>182.7</v>
      </c>
    </row>
    <row r="19" spans="1:17" ht="15" thickBot="1" x14ac:dyDescent="0.35">
      <c r="A19" s="66" t="s">
        <v>790</v>
      </c>
      <c r="B19" s="65">
        <v>0</v>
      </c>
      <c r="C19" s="65">
        <v>0.8</v>
      </c>
      <c r="D19" s="65">
        <v>1.8</v>
      </c>
      <c r="E19" s="65">
        <v>2.2000000000000002</v>
      </c>
      <c r="F19" s="65">
        <v>1.4</v>
      </c>
      <c r="G19" s="65">
        <v>3.4</v>
      </c>
      <c r="H19" s="65">
        <v>2.2000000000000002</v>
      </c>
      <c r="I19" s="65">
        <v>5.0999999999999996</v>
      </c>
      <c r="J19" s="65">
        <v>2.2999999999999998</v>
      </c>
      <c r="K19" s="65">
        <v>1</v>
      </c>
      <c r="L19" s="65">
        <v>4.2</v>
      </c>
      <c r="M19" s="65">
        <v>10.1</v>
      </c>
      <c r="N19" s="65">
        <v>25.4</v>
      </c>
      <c r="O19" s="65">
        <v>35</v>
      </c>
      <c r="P19" s="65">
        <v>30.8</v>
      </c>
    </row>
    <row r="20" spans="1:17" ht="15" thickBot="1" x14ac:dyDescent="0.35">
      <c r="A20" s="14" t="s">
        <v>789</v>
      </c>
      <c r="B20" s="40">
        <v>0.2</v>
      </c>
      <c r="C20" s="40">
        <v>0.4</v>
      </c>
      <c r="D20" s="40">
        <v>1.3</v>
      </c>
      <c r="E20" s="40">
        <v>2.1</v>
      </c>
      <c r="F20" s="40">
        <v>3.7</v>
      </c>
      <c r="G20" s="40">
        <v>6.2</v>
      </c>
      <c r="H20" s="40">
        <v>6.4</v>
      </c>
      <c r="I20" s="40">
        <v>7.1</v>
      </c>
      <c r="J20" s="40">
        <v>10</v>
      </c>
      <c r="K20" s="40">
        <v>20.9</v>
      </c>
      <c r="L20" s="40">
        <v>26.1</v>
      </c>
      <c r="M20" s="40">
        <v>29.8</v>
      </c>
      <c r="N20" s="40">
        <v>37.799999999999997</v>
      </c>
      <c r="O20" s="40">
        <v>28.7</v>
      </c>
      <c r="P20" s="40">
        <v>48.7</v>
      </c>
      <c r="Q20" s="73"/>
    </row>
    <row r="21" spans="1:17" ht="15" thickBot="1" x14ac:dyDescent="0.35">
      <c r="A21" s="67" t="s">
        <v>788</v>
      </c>
      <c r="B21" s="41">
        <v>0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44.7</v>
      </c>
      <c r="M21" s="41">
        <v>0</v>
      </c>
      <c r="N21" s="41">
        <v>0</v>
      </c>
      <c r="O21" s="41">
        <v>0</v>
      </c>
      <c r="P21" s="41">
        <v>0</v>
      </c>
    </row>
    <row r="22" spans="1:17" ht="15" thickBot="1" x14ac:dyDescent="0.35">
      <c r="A22" s="66" t="s">
        <v>787</v>
      </c>
      <c r="B22" s="65">
        <v>0</v>
      </c>
      <c r="C22" s="65">
        <v>0</v>
      </c>
      <c r="D22" s="65">
        <v>0</v>
      </c>
      <c r="E22" s="65">
        <v>0</v>
      </c>
      <c r="F22" s="65">
        <v>0</v>
      </c>
      <c r="G22" s="65">
        <v>0</v>
      </c>
      <c r="H22" s="65">
        <v>0</v>
      </c>
      <c r="I22" s="65">
        <v>0</v>
      </c>
      <c r="J22" s="65">
        <v>0</v>
      </c>
      <c r="K22" s="65">
        <v>0</v>
      </c>
      <c r="L22" s="65">
        <v>44.7</v>
      </c>
      <c r="M22" s="65">
        <v>0</v>
      </c>
      <c r="N22" s="65">
        <v>0</v>
      </c>
      <c r="O22" s="65">
        <v>0</v>
      </c>
      <c r="P22" s="65">
        <v>0</v>
      </c>
    </row>
    <row r="23" spans="1:17" ht="15" thickBot="1" x14ac:dyDescent="0.35">
      <c r="A23" s="14" t="s">
        <v>429</v>
      </c>
      <c r="B23" s="40">
        <v>16.7</v>
      </c>
      <c r="C23" s="40">
        <v>53</v>
      </c>
      <c r="D23" s="40">
        <v>81.8</v>
      </c>
      <c r="E23" s="40">
        <v>95</v>
      </c>
      <c r="F23" s="40">
        <v>90.5</v>
      </c>
      <c r="G23" s="40">
        <v>114.9</v>
      </c>
      <c r="H23" s="40">
        <v>121.8</v>
      </c>
      <c r="I23" s="40">
        <v>117.9</v>
      </c>
      <c r="J23" s="40">
        <v>130.4</v>
      </c>
      <c r="K23" s="40">
        <v>222.3</v>
      </c>
      <c r="L23" s="40">
        <v>499.7</v>
      </c>
      <c r="M23" s="40">
        <v>933.1</v>
      </c>
      <c r="N23" s="40">
        <v>1462.5</v>
      </c>
      <c r="O23" s="40">
        <v>2264.3000000000002</v>
      </c>
      <c r="P23" s="40">
        <v>2443.5</v>
      </c>
      <c r="Q23" s="72">
        <f>P10+P13+P17+P20</f>
        <v>2443.4999999999995</v>
      </c>
    </row>
    <row r="24" spans="1:17" ht="15" thickBot="1" x14ac:dyDescent="0.3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7" ht="15" thickBot="1" x14ac:dyDescent="0.35">
      <c r="A25" s="67" t="s">
        <v>786</v>
      </c>
      <c r="B25" s="41">
        <v>5.0999999999999996</v>
      </c>
      <c r="C25" s="41">
        <v>8.8000000000000007</v>
      </c>
      <c r="D25" s="41">
        <v>24.1</v>
      </c>
      <c r="E25" s="41">
        <v>36</v>
      </c>
      <c r="F25" s="41">
        <v>41.5</v>
      </c>
      <c r="G25" s="41">
        <v>54.6</v>
      </c>
      <c r="H25" s="41">
        <v>63.6</v>
      </c>
      <c r="I25" s="41">
        <v>71.099999999999994</v>
      </c>
      <c r="J25" s="41">
        <v>70.900000000000006</v>
      </c>
      <c r="K25" s="41">
        <v>72.900000000000006</v>
      </c>
      <c r="L25" s="41">
        <v>91.1</v>
      </c>
      <c r="M25" s="41">
        <v>122.4</v>
      </c>
      <c r="N25" s="41">
        <v>174</v>
      </c>
      <c r="O25" s="41">
        <v>236.8</v>
      </c>
      <c r="P25" s="41">
        <v>325.5</v>
      </c>
    </row>
    <row r="26" spans="1:17" ht="15" thickBot="1" x14ac:dyDescent="0.35">
      <c r="A26" s="66" t="s">
        <v>785</v>
      </c>
      <c r="B26" s="65">
        <v>0.1</v>
      </c>
      <c r="C26" s="65">
        <v>0.5</v>
      </c>
      <c r="D26" s="65">
        <v>0.7</v>
      </c>
      <c r="E26" s="65">
        <v>5.6</v>
      </c>
      <c r="F26" s="65">
        <v>5.9</v>
      </c>
      <c r="G26" s="65">
        <v>6.6</v>
      </c>
      <c r="H26" s="65">
        <v>8.6</v>
      </c>
      <c r="I26" s="65">
        <v>9.5</v>
      </c>
      <c r="J26" s="65">
        <v>8.5</v>
      </c>
      <c r="K26" s="65">
        <v>8.5</v>
      </c>
      <c r="L26" s="65">
        <v>8.6999999999999993</v>
      </c>
      <c r="M26" s="65">
        <v>9</v>
      </c>
      <c r="N26" s="65">
        <v>12.5</v>
      </c>
      <c r="O26" s="65">
        <v>15.9</v>
      </c>
      <c r="P26" s="65">
        <v>17.100000000000001</v>
      </c>
    </row>
    <row r="27" spans="1:17" ht="15" thickBot="1" x14ac:dyDescent="0.35">
      <c r="A27" s="66" t="s">
        <v>784</v>
      </c>
      <c r="B27" s="65">
        <v>0</v>
      </c>
      <c r="C27" s="65">
        <v>0</v>
      </c>
      <c r="D27" s="65">
        <v>0</v>
      </c>
      <c r="E27" s="65">
        <v>0</v>
      </c>
      <c r="F27" s="65">
        <v>0</v>
      </c>
      <c r="G27" s="65">
        <v>0</v>
      </c>
      <c r="H27" s="65">
        <v>0</v>
      </c>
      <c r="I27" s="65">
        <v>0</v>
      </c>
      <c r="J27" s="65">
        <v>0</v>
      </c>
      <c r="K27" s="65">
        <v>0</v>
      </c>
      <c r="L27" s="65">
        <v>0</v>
      </c>
      <c r="M27" s="65">
        <v>0</v>
      </c>
      <c r="N27" s="65">
        <v>0.1</v>
      </c>
      <c r="O27" s="65">
        <v>0.1</v>
      </c>
      <c r="P27" s="65">
        <v>0</v>
      </c>
    </row>
    <row r="28" spans="1:17" ht="15" thickBot="1" x14ac:dyDescent="0.35">
      <c r="A28" s="66" t="s">
        <v>783</v>
      </c>
      <c r="B28" s="65">
        <v>3.5</v>
      </c>
      <c r="C28" s="65">
        <v>5.5</v>
      </c>
      <c r="D28" s="65">
        <v>12.4</v>
      </c>
      <c r="E28" s="65">
        <v>20.399999999999999</v>
      </c>
      <c r="F28" s="65">
        <v>23.7</v>
      </c>
      <c r="G28" s="65">
        <v>31.1</v>
      </c>
      <c r="H28" s="65">
        <v>37.4</v>
      </c>
      <c r="I28" s="65">
        <v>41.4</v>
      </c>
      <c r="J28" s="65">
        <v>43.8</v>
      </c>
      <c r="K28" s="65">
        <v>46.5</v>
      </c>
      <c r="L28" s="65">
        <v>49.8</v>
      </c>
      <c r="M28" s="65">
        <v>66.400000000000006</v>
      </c>
      <c r="N28" s="65">
        <v>101.2</v>
      </c>
      <c r="O28" s="65">
        <v>121.8</v>
      </c>
      <c r="P28" s="65">
        <v>194</v>
      </c>
    </row>
    <row r="29" spans="1:17" ht="15" thickBot="1" x14ac:dyDescent="0.35">
      <c r="A29" s="66" t="s">
        <v>782</v>
      </c>
      <c r="B29" s="65">
        <v>0.3</v>
      </c>
      <c r="C29" s="65">
        <v>0.6</v>
      </c>
      <c r="D29" s="65">
        <v>7.5</v>
      </c>
      <c r="E29" s="65">
        <v>1.4</v>
      </c>
      <c r="F29" s="65">
        <v>1.7</v>
      </c>
      <c r="G29" s="65">
        <v>4.9000000000000004</v>
      </c>
      <c r="H29" s="65">
        <v>3</v>
      </c>
      <c r="I29" s="65">
        <v>6.3</v>
      </c>
      <c r="J29" s="65">
        <v>4.7</v>
      </c>
      <c r="K29" s="65">
        <v>3.5</v>
      </c>
      <c r="L29" s="65">
        <v>8.4</v>
      </c>
      <c r="M29" s="65">
        <v>9.6999999999999993</v>
      </c>
      <c r="N29" s="65">
        <v>14.3</v>
      </c>
      <c r="O29" s="65">
        <v>31.7</v>
      </c>
      <c r="P29" s="65">
        <v>29.8</v>
      </c>
    </row>
    <row r="30" spans="1:17" ht="15" thickBot="1" x14ac:dyDescent="0.35">
      <c r="A30" s="66" t="s">
        <v>781</v>
      </c>
      <c r="B30" s="65">
        <v>1.2</v>
      </c>
      <c r="C30" s="65">
        <v>2.2000000000000002</v>
      </c>
      <c r="D30" s="65">
        <v>3.5</v>
      </c>
      <c r="E30" s="65">
        <v>8.5</v>
      </c>
      <c r="F30" s="65">
        <v>10.199999999999999</v>
      </c>
      <c r="G30" s="65">
        <v>11.9</v>
      </c>
      <c r="H30" s="65">
        <v>14.6</v>
      </c>
      <c r="I30" s="65">
        <v>14</v>
      </c>
      <c r="J30" s="65">
        <v>13.9</v>
      </c>
      <c r="K30" s="65">
        <v>14.4</v>
      </c>
      <c r="L30" s="65">
        <v>24.2</v>
      </c>
      <c r="M30" s="65">
        <v>37.200000000000003</v>
      </c>
      <c r="N30" s="65">
        <v>45.7</v>
      </c>
      <c r="O30" s="65">
        <v>67.3</v>
      </c>
      <c r="P30" s="65">
        <v>84.7</v>
      </c>
    </row>
    <row r="31" spans="1:17" ht="15" thickBot="1" x14ac:dyDescent="0.35">
      <c r="A31" s="67" t="s">
        <v>780</v>
      </c>
      <c r="B31" s="41">
        <v>3.9</v>
      </c>
      <c r="C31" s="41">
        <v>6.1</v>
      </c>
      <c r="D31" s="41">
        <v>18.399999999999999</v>
      </c>
      <c r="E31" s="41">
        <v>25.5</v>
      </c>
      <c r="F31" s="41">
        <v>24.9</v>
      </c>
      <c r="G31" s="41">
        <v>30.8</v>
      </c>
      <c r="H31" s="41">
        <v>32.1</v>
      </c>
      <c r="I31" s="41">
        <v>31.4</v>
      </c>
      <c r="J31" s="41">
        <v>26.5</v>
      </c>
      <c r="K31" s="41">
        <v>21</v>
      </c>
      <c r="L31" s="41">
        <v>39.1</v>
      </c>
      <c r="M31" s="41">
        <v>60.7</v>
      </c>
      <c r="N31" s="41">
        <v>96.6</v>
      </c>
      <c r="O31" s="41">
        <v>132.69999999999999</v>
      </c>
      <c r="P31" s="41">
        <v>188.1</v>
      </c>
    </row>
    <row r="32" spans="1:17" ht="15" thickBot="1" x14ac:dyDescent="0.35">
      <c r="A32" s="66" t="s">
        <v>779</v>
      </c>
      <c r="B32" s="65">
        <v>-1.2</v>
      </c>
      <c r="C32" s="65">
        <v>-2.7</v>
      </c>
      <c r="D32" s="65">
        <v>-5.7</v>
      </c>
      <c r="E32" s="65">
        <v>-10.5</v>
      </c>
      <c r="F32" s="65">
        <v>-16.600000000000001</v>
      </c>
      <c r="G32" s="65">
        <v>-23.8</v>
      </c>
      <c r="H32" s="65">
        <v>-31.5</v>
      </c>
      <c r="I32" s="65">
        <v>-39.700000000000003</v>
      </c>
      <c r="J32" s="65">
        <v>-44.4</v>
      </c>
      <c r="K32" s="65">
        <v>-51.9</v>
      </c>
      <c r="L32" s="65">
        <v>-52.1</v>
      </c>
      <c r="M32" s="65">
        <v>-61.7</v>
      </c>
      <c r="N32" s="65">
        <v>-77.400000000000006</v>
      </c>
      <c r="O32" s="65">
        <v>-104.1</v>
      </c>
      <c r="P32" s="65">
        <v>-137.4</v>
      </c>
    </row>
    <row r="33" spans="1:17" ht="15" thickBot="1" x14ac:dyDescent="0.35">
      <c r="A33" s="67" t="s">
        <v>778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3.7</v>
      </c>
      <c r="H33" s="41">
        <v>3.7</v>
      </c>
      <c r="I33" s="41">
        <v>3.7</v>
      </c>
      <c r="J33" s="41">
        <v>3.7</v>
      </c>
      <c r="K33" s="41">
        <v>24.8</v>
      </c>
      <c r="L33" s="41">
        <v>24.8</v>
      </c>
      <c r="M33" s="41">
        <v>24.8</v>
      </c>
      <c r="N33" s="41">
        <v>181.3</v>
      </c>
      <c r="O33" s="41">
        <v>213.6</v>
      </c>
      <c r="P33" s="41">
        <v>214.6</v>
      </c>
    </row>
    <row r="34" spans="1:17" ht="15" thickBot="1" x14ac:dyDescent="0.35">
      <c r="A34" s="66" t="s">
        <v>428</v>
      </c>
      <c r="B34" s="65">
        <v>0</v>
      </c>
      <c r="C34" s="65">
        <v>0</v>
      </c>
      <c r="D34" s="65">
        <v>0</v>
      </c>
      <c r="E34" s="65">
        <v>0</v>
      </c>
      <c r="F34" s="65">
        <v>0</v>
      </c>
      <c r="G34" s="65">
        <v>0</v>
      </c>
      <c r="H34" s="65">
        <v>0</v>
      </c>
      <c r="I34" s="65">
        <v>0</v>
      </c>
      <c r="J34" s="65">
        <v>0</v>
      </c>
      <c r="K34" s="65">
        <v>0</v>
      </c>
      <c r="L34" s="65">
        <v>24.8</v>
      </c>
      <c r="M34" s="65">
        <v>24.8</v>
      </c>
      <c r="N34" s="65">
        <v>0</v>
      </c>
      <c r="O34" s="65">
        <v>0</v>
      </c>
      <c r="P34" s="65">
        <v>0</v>
      </c>
    </row>
    <row r="35" spans="1:17" ht="15" thickBot="1" x14ac:dyDescent="0.35">
      <c r="A35" s="66" t="s">
        <v>777</v>
      </c>
      <c r="B35" s="65">
        <v>0</v>
      </c>
      <c r="C35" s="65">
        <v>0</v>
      </c>
      <c r="D35" s="65">
        <v>0</v>
      </c>
      <c r="E35" s="65">
        <v>0</v>
      </c>
      <c r="F35" s="65">
        <v>0</v>
      </c>
      <c r="G35" s="65">
        <v>0</v>
      </c>
      <c r="H35" s="65">
        <v>0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65">
        <v>0</v>
      </c>
      <c r="O35" s="65">
        <v>0</v>
      </c>
      <c r="P35" s="65">
        <v>0</v>
      </c>
    </row>
    <row r="36" spans="1:17" ht="15" thickBot="1" x14ac:dyDescent="0.35">
      <c r="A36" s="67" t="s">
        <v>776</v>
      </c>
      <c r="B36" s="41">
        <v>0</v>
      </c>
      <c r="C36" s="41">
        <v>0</v>
      </c>
      <c r="D36" s="41">
        <v>0</v>
      </c>
      <c r="E36" s="41">
        <v>0</v>
      </c>
      <c r="F36" s="41">
        <v>0.3</v>
      </c>
      <c r="G36" s="41">
        <v>1.8</v>
      </c>
      <c r="H36" s="41">
        <v>2.2000000000000002</v>
      </c>
      <c r="I36" s="41">
        <v>0.9</v>
      </c>
      <c r="J36" s="41">
        <v>0.5</v>
      </c>
      <c r="K36" s="41">
        <v>35.299999999999997</v>
      </c>
      <c r="L36" s="41">
        <v>30.6</v>
      </c>
      <c r="M36" s="41">
        <v>28.8</v>
      </c>
      <c r="N36" s="41">
        <v>97.8</v>
      </c>
      <c r="O36" s="41">
        <v>99.5</v>
      </c>
      <c r="P36" s="41">
        <v>68.5</v>
      </c>
    </row>
    <row r="37" spans="1:17" ht="15" thickBot="1" x14ac:dyDescent="0.35">
      <c r="A37" s="66" t="s">
        <v>775</v>
      </c>
      <c r="B37" s="65">
        <v>0</v>
      </c>
      <c r="C37" s="65">
        <v>0</v>
      </c>
      <c r="D37" s="65">
        <v>0</v>
      </c>
      <c r="E37" s="65">
        <v>0</v>
      </c>
      <c r="F37" s="65">
        <v>0.3</v>
      </c>
      <c r="G37" s="65">
        <v>1.9</v>
      </c>
      <c r="H37" s="65">
        <v>2.9</v>
      </c>
      <c r="I37" s="65">
        <v>2</v>
      </c>
      <c r="J37" s="65">
        <v>2</v>
      </c>
      <c r="K37" s="65">
        <v>38.200000000000003</v>
      </c>
      <c r="L37" s="65">
        <v>36.5</v>
      </c>
      <c r="M37" s="65">
        <v>39.799999999999997</v>
      </c>
      <c r="N37" s="65">
        <v>118.3</v>
      </c>
      <c r="O37" s="65">
        <v>144.69999999999999</v>
      </c>
      <c r="P37" s="65">
        <v>144.69999999999999</v>
      </c>
    </row>
    <row r="38" spans="1:17" ht="15" thickBot="1" x14ac:dyDescent="0.35">
      <c r="A38" s="66" t="s">
        <v>774</v>
      </c>
      <c r="B38" s="65">
        <v>0</v>
      </c>
      <c r="C38" s="65">
        <v>0</v>
      </c>
      <c r="D38" s="65">
        <v>0</v>
      </c>
      <c r="E38" s="65">
        <v>0</v>
      </c>
      <c r="F38" s="65">
        <v>0</v>
      </c>
      <c r="G38" s="65">
        <v>-0.1</v>
      </c>
      <c r="H38" s="65">
        <v>-0.6</v>
      </c>
      <c r="I38" s="65">
        <v>-1</v>
      </c>
      <c r="J38" s="65">
        <v>-1.4</v>
      </c>
      <c r="K38" s="65">
        <v>-2.8</v>
      </c>
      <c r="L38" s="65">
        <v>-5.9</v>
      </c>
      <c r="M38" s="65">
        <v>-11</v>
      </c>
      <c r="N38" s="65">
        <v>-20.5</v>
      </c>
      <c r="O38" s="65">
        <v>-45.2</v>
      </c>
      <c r="P38" s="65">
        <v>-76.2</v>
      </c>
    </row>
    <row r="39" spans="1:17" ht="15" thickBot="1" x14ac:dyDescent="0.35">
      <c r="A39" s="14" t="s">
        <v>773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</row>
    <row r="40" spans="1:17" ht="15" thickBot="1" x14ac:dyDescent="0.35">
      <c r="A40" s="14" t="s">
        <v>772</v>
      </c>
      <c r="B40" s="40">
        <v>0</v>
      </c>
      <c r="C40" s="40">
        <v>0</v>
      </c>
      <c r="D40" s="40">
        <v>0</v>
      </c>
      <c r="E40" s="40">
        <v>0</v>
      </c>
      <c r="F40" s="4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101</v>
      </c>
      <c r="P40" s="40">
        <v>124.2</v>
      </c>
    </row>
    <row r="41" spans="1:17" ht="15" thickBot="1" x14ac:dyDescent="0.35">
      <c r="A41" s="67" t="s">
        <v>771</v>
      </c>
      <c r="B41" s="41">
        <v>0.4</v>
      </c>
      <c r="C41" s="41">
        <v>0.4</v>
      </c>
      <c r="D41" s="41">
        <v>6</v>
      </c>
      <c r="E41" s="41">
        <v>1.8</v>
      </c>
      <c r="F41" s="41">
        <v>1</v>
      </c>
      <c r="G41" s="41">
        <v>0.9</v>
      </c>
      <c r="H41" s="41">
        <v>5.7</v>
      </c>
      <c r="I41" s="41">
        <v>9.6999999999999993</v>
      </c>
      <c r="J41" s="41">
        <v>8</v>
      </c>
      <c r="K41" s="41">
        <v>36.5</v>
      </c>
      <c r="L41" s="41">
        <v>119.2</v>
      </c>
      <c r="M41" s="41">
        <v>152.80000000000001</v>
      </c>
      <c r="N41" s="41">
        <v>241.2</v>
      </c>
      <c r="O41" s="41">
        <v>273.2</v>
      </c>
      <c r="P41" s="41">
        <v>344.1</v>
      </c>
    </row>
    <row r="42" spans="1:17" ht="15" thickBot="1" x14ac:dyDescent="0.35">
      <c r="A42" s="66" t="s">
        <v>770</v>
      </c>
      <c r="B42" s="65">
        <v>0</v>
      </c>
      <c r="C42" s="65">
        <v>0</v>
      </c>
      <c r="D42" s="65">
        <v>0</v>
      </c>
      <c r="E42" s="65">
        <v>0</v>
      </c>
      <c r="F42" s="65">
        <v>0</v>
      </c>
      <c r="G42" s="65">
        <v>0</v>
      </c>
      <c r="H42" s="65">
        <v>0</v>
      </c>
      <c r="I42" s="65">
        <v>0</v>
      </c>
      <c r="J42" s="65">
        <v>0</v>
      </c>
      <c r="K42" s="65">
        <v>0</v>
      </c>
      <c r="L42" s="65">
        <v>74.5</v>
      </c>
      <c r="M42" s="65">
        <v>92.9</v>
      </c>
      <c r="N42" s="65">
        <v>122.5</v>
      </c>
      <c r="O42" s="65">
        <v>204.9</v>
      </c>
      <c r="P42" s="65">
        <v>252.4</v>
      </c>
    </row>
    <row r="43" spans="1:17" ht="15" thickBot="1" x14ac:dyDescent="0.35">
      <c r="A43" s="66" t="s">
        <v>769</v>
      </c>
      <c r="B43" s="65">
        <v>0.4</v>
      </c>
      <c r="C43" s="65">
        <v>0.4</v>
      </c>
      <c r="D43" s="65">
        <v>6</v>
      </c>
      <c r="E43" s="65">
        <v>1.8</v>
      </c>
      <c r="F43" s="65">
        <v>1</v>
      </c>
      <c r="G43" s="65">
        <v>0.9</v>
      </c>
      <c r="H43" s="65">
        <v>5.7</v>
      </c>
      <c r="I43" s="65">
        <v>9.6999999999999993</v>
      </c>
      <c r="J43" s="65">
        <v>8</v>
      </c>
      <c r="K43" s="65">
        <v>36.5</v>
      </c>
      <c r="L43" s="65">
        <v>44.6</v>
      </c>
      <c r="M43" s="65">
        <v>59.9</v>
      </c>
      <c r="N43" s="65">
        <v>118.7</v>
      </c>
      <c r="O43" s="65">
        <v>68.3</v>
      </c>
      <c r="P43" s="65">
        <v>91.7</v>
      </c>
      <c r="Q43" s="72"/>
    </row>
    <row r="44" spans="1:17" ht="15" thickBot="1" x14ac:dyDescent="0.35">
      <c r="A44" s="14" t="s">
        <v>427</v>
      </c>
      <c r="B44" s="40">
        <v>20.9</v>
      </c>
      <c r="C44" s="40">
        <v>59.5</v>
      </c>
      <c r="D44" s="40">
        <v>106.2</v>
      </c>
      <c r="E44" s="40">
        <v>122.3</v>
      </c>
      <c r="F44" s="40">
        <v>116.7</v>
      </c>
      <c r="G44" s="40">
        <v>152.19999999999999</v>
      </c>
      <c r="H44" s="40">
        <v>165.5</v>
      </c>
      <c r="I44" s="40">
        <v>163.6</v>
      </c>
      <c r="J44" s="40">
        <v>169.1</v>
      </c>
      <c r="K44" s="40">
        <v>339.9</v>
      </c>
      <c r="L44" s="40">
        <v>713.2</v>
      </c>
      <c r="M44" s="40">
        <v>1200.0999999999999</v>
      </c>
      <c r="N44" s="40">
        <v>2079.3000000000002</v>
      </c>
      <c r="O44" s="40">
        <v>3084.3</v>
      </c>
      <c r="P44" s="40">
        <v>3383</v>
      </c>
    </row>
    <row r="45" spans="1:17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17" ht="9.6" customHeight="1" thickBot="1" x14ac:dyDescent="0.35">
      <c r="A46" s="16" t="s">
        <v>426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</row>
    <row r="47" spans="1:17" ht="15" thickBot="1" x14ac:dyDescent="0.35">
      <c r="A47" s="14" t="s">
        <v>768</v>
      </c>
      <c r="B47" s="40">
        <v>4.5999999999999996</v>
      </c>
      <c r="C47" s="40">
        <v>6.5</v>
      </c>
      <c r="D47" s="40">
        <v>12.9</v>
      </c>
      <c r="E47" s="40">
        <v>11.3</v>
      </c>
      <c r="F47" s="40">
        <v>7.4</v>
      </c>
      <c r="G47" s="40">
        <v>22.3</v>
      </c>
      <c r="H47" s="40">
        <v>25.6</v>
      </c>
      <c r="I47" s="40">
        <v>31.7</v>
      </c>
      <c r="J47" s="40">
        <v>28.7</v>
      </c>
      <c r="K47" s="40">
        <v>48.8</v>
      </c>
      <c r="L47" s="40">
        <v>57.5</v>
      </c>
      <c r="M47" s="40">
        <v>72.599999999999994</v>
      </c>
      <c r="N47" s="40">
        <v>113.8</v>
      </c>
      <c r="O47" s="40">
        <v>125.1</v>
      </c>
      <c r="P47" s="40">
        <v>116.2</v>
      </c>
    </row>
    <row r="48" spans="1:17" ht="15" thickBot="1" x14ac:dyDescent="0.35">
      <c r="A48" s="14" t="s">
        <v>767</v>
      </c>
      <c r="B48" s="40">
        <v>0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</row>
    <row r="49" spans="1:71" ht="15" thickBot="1" x14ac:dyDescent="0.35">
      <c r="A49" s="14" t="s">
        <v>766</v>
      </c>
      <c r="B49" s="40">
        <v>0.8</v>
      </c>
      <c r="C49" s="40">
        <v>2.9</v>
      </c>
      <c r="D49" s="40">
        <v>10.1</v>
      </c>
      <c r="E49" s="40">
        <v>19.3</v>
      </c>
      <c r="F49" s="40">
        <v>14.8</v>
      </c>
      <c r="G49" s="40">
        <v>26</v>
      </c>
      <c r="H49" s="40">
        <v>19.3</v>
      </c>
      <c r="I49" s="40">
        <v>22.9</v>
      </c>
      <c r="J49" s="40">
        <v>22.4</v>
      </c>
      <c r="K49" s="40">
        <v>29</v>
      </c>
      <c r="L49" s="40">
        <v>47.1</v>
      </c>
      <c r="M49" s="40">
        <v>76.5</v>
      </c>
      <c r="N49" s="40">
        <v>157.9</v>
      </c>
      <c r="O49" s="40">
        <v>279.8</v>
      </c>
      <c r="P49" s="40">
        <v>253.4</v>
      </c>
    </row>
    <row r="50" spans="1:71" ht="15" thickBot="1" x14ac:dyDescent="0.35">
      <c r="A50" s="14" t="s">
        <v>765</v>
      </c>
      <c r="B50" s="40">
        <v>0.2</v>
      </c>
      <c r="C50" s="40">
        <v>2.6</v>
      </c>
      <c r="D50" s="40">
        <v>4.5</v>
      </c>
      <c r="E50" s="40">
        <v>2.4</v>
      </c>
      <c r="F50" s="40">
        <v>0</v>
      </c>
      <c r="G50" s="40">
        <v>0</v>
      </c>
      <c r="H50" s="40">
        <v>17</v>
      </c>
      <c r="I50" s="40">
        <v>10.1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0">
        <v>0</v>
      </c>
      <c r="P50" s="40">
        <v>0</v>
      </c>
    </row>
    <row r="51" spans="1:71" ht="15" thickBot="1" x14ac:dyDescent="0.35">
      <c r="A51" s="14" t="s">
        <v>764</v>
      </c>
      <c r="B51" s="40">
        <v>0</v>
      </c>
      <c r="C51" s="40">
        <v>0</v>
      </c>
      <c r="D51" s="40">
        <v>0</v>
      </c>
      <c r="E51" s="40">
        <v>0</v>
      </c>
      <c r="F51" s="40">
        <v>3.5</v>
      </c>
      <c r="G51" s="40">
        <v>0</v>
      </c>
      <c r="H51" s="40">
        <v>0</v>
      </c>
      <c r="I51" s="40">
        <v>3</v>
      </c>
      <c r="J51" s="40">
        <v>17.399999999999999</v>
      </c>
      <c r="K51" s="40">
        <v>28.2</v>
      </c>
      <c r="L51" s="40">
        <v>2.9</v>
      </c>
      <c r="M51" s="40">
        <v>326</v>
      </c>
      <c r="N51" s="40">
        <v>86.1</v>
      </c>
      <c r="O51" s="40">
        <v>90.9</v>
      </c>
      <c r="P51" s="40">
        <v>0</v>
      </c>
    </row>
    <row r="52" spans="1:71" ht="15" thickBot="1" x14ac:dyDescent="0.35">
      <c r="A52" s="67" t="s">
        <v>763</v>
      </c>
      <c r="B52" s="41">
        <v>0.1</v>
      </c>
      <c r="C52" s="41">
        <v>1.2</v>
      </c>
      <c r="D52" s="41">
        <v>24.8</v>
      </c>
      <c r="E52" s="41">
        <v>0.9</v>
      </c>
      <c r="F52" s="41">
        <v>7.7</v>
      </c>
      <c r="G52" s="41">
        <v>10.4</v>
      </c>
      <c r="H52" s="41">
        <v>11</v>
      </c>
      <c r="I52" s="41">
        <v>15</v>
      </c>
      <c r="J52" s="41">
        <v>23.1</v>
      </c>
      <c r="K52" s="41">
        <v>41.2</v>
      </c>
      <c r="L52" s="41">
        <v>91.9</v>
      </c>
      <c r="M52" s="41">
        <v>58.9</v>
      </c>
      <c r="N52" s="41">
        <v>82.1</v>
      </c>
      <c r="O52" s="41">
        <v>142.4</v>
      </c>
      <c r="P52" s="41">
        <v>162.9</v>
      </c>
    </row>
    <row r="53" spans="1:71" ht="15" thickBot="1" x14ac:dyDescent="0.35">
      <c r="A53" s="66" t="s">
        <v>762</v>
      </c>
      <c r="B53" s="65">
        <v>0.1</v>
      </c>
      <c r="C53" s="65">
        <v>0.6</v>
      </c>
      <c r="D53" s="65">
        <v>23.4</v>
      </c>
      <c r="E53" s="65">
        <v>0.9</v>
      </c>
      <c r="F53" s="65">
        <v>2.8</v>
      </c>
      <c r="G53" s="65">
        <v>2.7</v>
      </c>
      <c r="H53" s="65">
        <v>3.9</v>
      </c>
      <c r="I53" s="65">
        <v>6.4</v>
      </c>
      <c r="J53" s="65">
        <v>15.7</v>
      </c>
      <c r="K53" s="65">
        <v>33.1</v>
      </c>
      <c r="L53" s="65">
        <v>81.8</v>
      </c>
      <c r="M53" s="65">
        <v>47.7</v>
      </c>
      <c r="N53" s="65">
        <v>62.7</v>
      </c>
      <c r="O53" s="65">
        <v>90.7</v>
      </c>
      <c r="P53" s="65">
        <v>118.3</v>
      </c>
    </row>
    <row r="54" spans="1:71" ht="15" thickBot="1" x14ac:dyDescent="0.35">
      <c r="A54" s="66" t="s">
        <v>761</v>
      </c>
      <c r="B54" s="65">
        <v>0</v>
      </c>
      <c r="C54" s="65">
        <v>0</v>
      </c>
      <c r="D54" s="65">
        <v>0</v>
      </c>
      <c r="E54" s="65">
        <v>0</v>
      </c>
      <c r="F54" s="65">
        <v>0</v>
      </c>
      <c r="G54" s="65">
        <v>0</v>
      </c>
      <c r="H54" s="65">
        <v>0</v>
      </c>
      <c r="I54" s="65">
        <v>0</v>
      </c>
      <c r="J54" s="65">
        <v>0</v>
      </c>
      <c r="K54" s="65">
        <v>0</v>
      </c>
      <c r="L54" s="65">
        <v>0</v>
      </c>
      <c r="M54" s="65">
        <v>0</v>
      </c>
      <c r="N54" s="65">
        <v>0</v>
      </c>
      <c r="O54" s="65">
        <v>16.100000000000001</v>
      </c>
      <c r="P54" s="65">
        <v>8.5</v>
      </c>
    </row>
    <row r="55" spans="1:71" ht="15" thickBot="1" x14ac:dyDescent="0.35">
      <c r="A55" s="66" t="s">
        <v>760</v>
      </c>
      <c r="B55" s="65">
        <v>0</v>
      </c>
      <c r="C55" s="65">
        <v>0.6</v>
      </c>
      <c r="D55" s="65">
        <v>1.4</v>
      </c>
      <c r="E55" s="65">
        <v>0</v>
      </c>
      <c r="F55" s="65">
        <v>4.9000000000000004</v>
      </c>
      <c r="G55" s="65">
        <v>7.6</v>
      </c>
      <c r="H55" s="65">
        <v>7.1</v>
      </c>
      <c r="I55" s="65">
        <v>8.6</v>
      </c>
      <c r="J55" s="65">
        <v>7.4</v>
      </c>
      <c r="K55" s="65">
        <v>8.1</v>
      </c>
      <c r="L55" s="65">
        <v>10.1</v>
      </c>
      <c r="M55" s="65">
        <v>11.3</v>
      </c>
      <c r="N55" s="65">
        <v>19.399999999999999</v>
      </c>
      <c r="O55" s="65">
        <v>35.6</v>
      </c>
      <c r="P55" s="65">
        <v>36.1</v>
      </c>
    </row>
    <row r="56" spans="1:71" ht="15" thickBot="1" x14ac:dyDescent="0.35">
      <c r="A56" s="14" t="s">
        <v>425</v>
      </c>
      <c r="B56" s="40">
        <v>5.7</v>
      </c>
      <c r="C56" s="40">
        <v>13.2</v>
      </c>
      <c r="D56" s="40">
        <v>52.4</v>
      </c>
      <c r="E56" s="40">
        <v>33.9</v>
      </c>
      <c r="F56" s="40">
        <v>33.4</v>
      </c>
      <c r="G56" s="40">
        <v>58.7</v>
      </c>
      <c r="H56" s="40">
        <v>72.8</v>
      </c>
      <c r="I56" s="40">
        <v>82.8</v>
      </c>
      <c r="J56" s="40">
        <v>91.7</v>
      </c>
      <c r="K56" s="40">
        <v>147.19999999999999</v>
      </c>
      <c r="L56" s="40">
        <v>199.3</v>
      </c>
      <c r="M56" s="40">
        <v>534</v>
      </c>
      <c r="N56" s="40">
        <v>439.8</v>
      </c>
      <c r="O56" s="40">
        <v>638.20000000000005</v>
      </c>
      <c r="P56" s="40">
        <v>532.4</v>
      </c>
    </row>
    <row r="57" spans="1:71" ht="15" thickBot="1" x14ac:dyDescent="0.3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1:71" ht="15" thickBot="1" x14ac:dyDescent="0.35">
      <c r="A58" s="67" t="s">
        <v>424</v>
      </c>
      <c r="B58" s="41">
        <v>0.2</v>
      </c>
      <c r="C58" s="41">
        <v>4.3</v>
      </c>
      <c r="D58" s="41">
        <v>29.4</v>
      </c>
      <c r="E58" s="41">
        <v>8.6999999999999993</v>
      </c>
      <c r="F58" s="41">
        <v>5.2</v>
      </c>
      <c r="G58" s="41">
        <v>0</v>
      </c>
      <c r="H58" s="41">
        <v>0</v>
      </c>
      <c r="I58" s="41">
        <v>20.8</v>
      </c>
      <c r="J58" s="41">
        <v>32.299999999999997</v>
      </c>
      <c r="K58" s="41">
        <v>81.599999999999994</v>
      </c>
      <c r="L58" s="41">
        <v>102.7</v>
      </c>
      <c r="M58" s="41">
        <v>4.9000000000000004</v>
      </c>
      <c r="N58" s="41">
        <v>951.6</v>
      </c>
      <c r="O58" s="41">
        <v>1199.5</v>
      </c>
      <c r="P58" s="41">
        <v>1293.7</v>
      </c>
      <c r="BG58">
        <f>SUM(BG59:BG62)</f>
        <v>0</v>
      </c>
      <c r="BH58">
        <f t="shared" ref="BH58:BS58" si="1">SUM(BH59:BH62)</f>
        <v>0</v>
      </c>
      <c r="BI58">
        <f t="shared" si="1"/>
        <v>0</v>
      </c>
      <c r="BJ58">
        <f t="shared" si="1"/>
        <v>0</v>
      </c>
      <c r="BK58">
        <f t="shared" si="1"/>
        <v>0</v>
      </c>
      <c r="BL58">
        <f t="shared" si="1"/>
        <v>0</v>
      </c>
      <c r="BM58">
        <f t="shared" si="1"/>
        <v>0</v>
      </c>
      <c r="BN58">
        <f t="shared" si="1"/>
        <v>0</v>
      </c>
      <c r="BO58">
        <f t="shared" si="1"/>
        <v>0</v>
      </c>
      <c r="BP58">
        <f t="shared" si="1"/>
        <v>0</v>
      </c>
      <c r="BQ58">
        <f t="shared" si="1"/>
        <v>0</v>
      </c>
      <c r="BR58">
        <f t="shared" si="1"/>
        <v>0</v>
      </c>
      <c r="BS58">
        <f t="shared" si="1"/>
        <v>0</v>
      </c>
    </row>
    <row r="59" spans="1:71" ht="15" thickBot="1" x14ac:dyDescent="0.35">
      <c r="A59" s="66" t="s">
        <v>759</v>
      </c>
      <c r="B59" s="65">
        <v>0.2</v>
      </c>
      <c r="C59" s="65">
        <v>4.3</v>
      </c>
      <c r="D59" s="65">
        <v>29.4</v>
      </c>
      <c r="E59" s="65">
        <v>8.6999999999999993</v>
      </c>
      <c r="F59" s="65">
        <v>5.2</v>
      </c>
      <c r="G59" s="65">
        <v>0</v>
      </c>
      <c r="H59" s="65">
        <v>0</v>
      </c>
      <c r="I59" s="65">
        <v>20.8</v>
      </c>
      <c r="J59" s="65">
        <v>32.299999999999997</v>
      </c>
      <c r="K59" s="65">
        <v>81.599999999999994</v>
      </c>
      <c r="L59" s="65">
        <v>102.7</v>
      </c>
      <c r="M59" s="65">
        <v>4.9000000000000004</v>
      </c>
      <c r="N59" s="65">
        <v>951.6</v>
      </c>
      <c r="O59" s="65">
        <v>1199.5</v>
      </c>
      <c r="P59" s="65">
        <v>1293.7</v>
      </c>
      <c r="Q59" s="72"/>
    </row>
    <row r="60" spans="1:71" ht="15" thickBot="1" x14ac:dyDescent="0.35">
      <c r="A60" s="14" t="s">
        <v>758</v>
      </c>
      <c r="B60" s="40">
        <v>0.4</v>
      </c>
      <c r="C60" s="40">
        <v>6.9</v>
      </c>
      <c r="D60" s="40">
        <v>33.9</v>
      </c>
      <c r="E60" s="40">
        <v>11.1</v>
      </c>
      <c r="F60" s="40">
        <v>8.6999999999999993</v>
      </c>
      <c r="G60" s="40">
        <v>0</v>
      </c>
      <c r="H60" s="40">
        <v>17</v>
      </c>
      <c r="I60" s="40">
        <v>33.9</v>
      </c>
      <c r="J60" s="40">
        <v>49.8</v>
      </c>
      <c r="K60" s="40">
        <v>109.8</v>
      </c>
      <c r="L60" s="40">
        <v>105.5</v>
      </c>
      <c r="M60" s="40">
        <v>330.9</v>
      </c>
      <c r="N60" s="40">
        <v>1037.5999999999999</v>
      </c>
      <c r="O60" s="40">
        <v>1290.4000000000001</v>
      </c>
      <c r="P60" s="40">
        <v>1293.7</v>
      </c>
    </row>
    <row r="61" spans="1:71" ht="15" thickBot="1" x14ac:dyDescent="0.35">
      <c r="A61" s="14" t="s">
        <v>757</v>
      </c>
      <c r="B61" s="40">
        <v>0</v>
      </c>
      <c r="C61" s="40">
        <v>0</v>
      </c>
      <c r="D61" s="40">
        <v>0</v>
      </c>
      <c r="E61" s="40">
        <v>0</v>
      </c>
      <c r="F61" s="40">
        <v>0</v>
      </c>
      <c r="G61" s="40">
        <v>0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0">
        <v>0</v>
      </c>
    </row>
    <row r="62" spans="1:71" ht="15" thickBot="1" x14ac:dyDescent="0.35">
      <c r="A62" s="14" t="s">
        <v>756</v>
      </c>
      <c r="B62" s="40">
        <v>0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0">
        <v>0</v>
      </c>
    </row>
    <row r="63" spans="1:71" ht="15" thickBot="1" x14ac:dyDescent="0.35">
      <c r="A63" s="67" t="s">
        <v>755</v>
      </c>
      <c r="B63" s="41">
        <v>1.4</v>
      </c>
      <c r="C63" s="41">
        <v>3.5</v>
      </c>
      <c r="D63" s="41">
        <v>10.5</v>
      </c>
      <c r="E63" s="41">
        <v>23.1</v>
      </c>
      <c r="F63" s="41">
        <v>37.9</v>
      </c>
      <c r="G63" s="41">
        <v>46.5</v>
      </c>
      <c r="H63" s="41">
        <v>51.2</v>
      </c>
      <c r="I63" s="41">
        <v>58.7</v>
      </c>
      <c r="J63" s="41">
        <v>54.2</v>
      </c>
      <c r="K63" s="41">
        <v>103.4</v>
      </c>
      <c r="L63" s="41">
        <v>139</v>
      </c>
      <c r="M63" s="41">
        <v>177.2</v>
      </c>
      <c r="N63" s="41">
        <v>257.7</v>
      </c>
      <c r="O63" s="41">
        <v>421</v>
      </c>
      <c r="P63" s="41">
        <v>573.20000000000005</v>
      </c>
      <c r="Q63" s="72"/>
    </row>
    <row r="64" spans="1:71" ht="15" thickBot="1" x14ac:dyDescent="0.35">
      <c r="A64" s="66" t="s">
        <v>754</v>
      </c>
      <c r="B64" s="65">
        <v>1.4</v>
      </c>
      <c r="C64" s="65">
        <v>3.5</v>
      </c>
      <c r="D64" s="65">
        <v>10.5</v>
      </c>
      <c r="E64" s="65">
        <v>23.1</v>
      </c>
      <c r="F64" s="65">
        <v>37.9</v>
      </c>
      <c r="G64" s="65">
        <v>46.5</v>
      </c>
      <c r="H64" s="65">
        <v>51.2</v>
      </c>
      <c r="I64" s="65">
        <v>58.7</v>
      </c>
      <c r="J64" s="65">
        <v>54.2</v>
      </c>
      <c r="K64" s="65">
        <v>103.4</v>
      </c>
      <c r="L64" s="65">
        <v>139</v>
      </c>
      <c r="M64" s="65">
        <v>177.2</v>
      </c>
      <c r="N64" s="65">
        <v>257.7</v>
      </c>
      <c r="O64" s="65">
        <v>421</v>
      </c>
      <c r="P64" s="65">
        <v>573.20000000000005</v>
      </c>
    </row>
    <row r="65" spans="1:16" ht="15" thickBot="1" x14ac:dyDescent="0.35">
      <c r="A65" s="14" t="s">
        <v>423</v>
      </c>
      <c r="B65" s="40">
        <v>7.3</v>
      </c>
      <c r="C65" s="40">
        <v>21</v>
      </c>
      <c r="D65" s="40">
        <v>92.3</v>
      </c>
      <c r="E65" s="40">
        <v>65.599999999999994</v>
      </c>
      <c r="F65" s="40">
        <v>76.5</v>
      </c>
      <c r="G65" s="40">
        <v>105.2</v>
      </c>
      <c r="H65" s="40">
        <v>124.1</v>
      </c>
      <c r="I65" s="40">
        <v>162.30000000000001</v>
      </c>
      <c r="J65" s="40">
        <v>178.3</v>
      </c>
      <c r="K65" s="40">
        <v>332.2</v>
      </c>
      <c r="L65" s="40">
        <v>441</v>
      </c>
      <c r="M65" s="40">
        <v>716.1</v>
      </c>
      <c r="N65" s="40">
        <v>1649.1</v>
      </c>
      <c r="O65" s="40">
        <v>2258.6999999999998</v>
      </c>
      <c r="P65" s="40">
        <v>2399.4</v>
      </c>
    </row>
    <row r="66" spans="1:16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1:16" ht="9.6" customHeight="1" thickBot="1" x14ac:dyDescent="0.35">
      <c r="A67" s="16" t="s">
        <v>422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</row>
    <row r="68" spans="1:16" ht="15" thickBot="1" x14ac:dyDescent="0.35">
      <c r="A68" s="14" t="s">
        <v>753</v>
      </c>
      <c r="B68" s="40">
        <v>0</v>
      </c>
      <c r="C68" s="40">
        <v>0</v>
      </c>
      <c r="D68" s="40">
        <v>0</v>
      </c>
      <c r="E68" s="40">
        <v>0</v>
      </c>
      <c r="F68" s="40">
        <v>0</v>
      </c>
      <c r="G68" s="40">
        <v>0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</row>
    <row r="69" spans="1:16" ht="15" thickBot="1" x14ac:dyDescent="0.35">
      <c r="A69" s="67" t="s">
        <v>752</v>
      </c>
      <c r="B69" s="41">
        <v>47.9</v>
      </c>
      <c r="C69" s="41">
        <v>93.6</v>
      </c>
      <c r="D69" s="41">
        <v>93.6</v>
      </c>
      <c r="E69" s="41">
        <v>0</v>
      </c>
      <c r="F69" s="41">
        <v>0</v>
      </c>
      <c r="G69" s="41">
        <v>0</v>
      </c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1">
        <v>0</v>
      </c>
      <c r="P69" s="41">
        <v>0</v>
      </c>
    </row>
    <row r="70" spans="1:16" ht="15" thickBot="1" x14ac:dyDescent="0.35">
      <c r="A70" s="66" t="s">
        <v>751</v>
      </c>
      <c r="B70" s="65">
        <v>47.9</v>
      </c>
      <c r="C70" s="65">
        <v>93.6</v>
      </c>
      <c r="D70" s="65">
        <v>93.6</v>
      </c>
      <c r="E70" s="65">
        <v>0</v>
      </c>
      <c r="F70" s="65">
        <v>0</v>
      </c>
      <c r="G70" s="65">
        <v>0</v>
      </c>
      <c r="H70" s="65">
        <v>0</v>
      </c>
      <c r="I70" s="65">
        <v>0</v>
      </c>
      <c r="J70" s="65">
        <v>0</v>
      </c>
      <c r="K70" s="65">
        <v>0</v>
      </c>
      <c r="L70" s="65">
        <v>0</v>
      </c>
      <c r="M70" s="65">
        <v>0</v>
      </c>
      <c r="N70" s="65">
        <v>0</v>
      </c>
      <c r="O70" s="65">
        <v>0</v>
      </c>
      <c r="P70" s="65">
        <v>0</v>
      </c>
    </row>
    <row r="71" spans="1:16" ht="15" thickBot="1" x14ac:dyDescent="0.35">
      <c r="A71" s="67" t="s">
        <v>750</v>
      </c>
      <c r="B71" s="41">
        <v>0</v>
      </c>
      <c r="C71" s="41">
        <v>0</v>
      </c>
      <c r="D71" s="41">
        <v>0</v>
      </c>
      <c r="E71" s="41">
        <v>0</v>
      </c>
      <c r="F71" s="41">
        <v>0</v>
      </c>
      <c r="G71" s="41">
        <v>0</v>
      </c>
      <c r="H71" s="41">
        <v>0</v>
      </c>
      <c r="I71" s="41">
        <v>0</v>
      </c>
      <c r="J71" s="41">
        <v>0</v>
      </c>
      <c r="K71" s="41">
        <v>0</v>
      </c>
      <c r="L71" s="41">
        <v>0</v>
      </c>
      <c r="M71" s="41">
        <v>0</v>
      </c>
      <c r="N71" s="41">
        <v>0</v>
      </c>
      <c r="O71" s="41">
        <v>0</v>
      </c>
      <c r="P71" s="41">
        <v>0</v>
      </c>
    </row>
    <row r="72" spans="1:16" ht="15" thickBot="1" x14ac:dyDescent="0.35">
      <c r="A72" s="66" t="s">
        <v>749</v>
      </c>
      <c r="B72" s="65">
        <v>0</v>
      </c>
      <c r="C72" s="65">
        <v>0</v>
      </c>
      <c r="D72" s="65">
        <v>0</v>
      </c>
      <c r="E72" s="65">
        <v>0</v>
      </c>
      <c r="F72" s="65">
        <v>0</v>
      </c>
      <c r="G72" s="65">
        <v>0</v>
      </c>
      <c r="H72" s="65">
        <v>0</v>
      </c>
      <c r="I72" s="65">
        <v>0</v>
      </c>
      <c r="J72" s="65">
        <v>0</v>
      </c>
      <c r="K72" s="65">
        <v>0</v>
      </c>
      <c r="L72" s="65">
        <v>0</v>
      </c>
      <c r="M72" s="65">
        <v>0</v>
      </c>
      <c r="N72" s="65">
        <v>0</v>
      </c>
      <c r="O72" s="65">
        <v>0</v>
      </c>
      <c r="P72" s="65">
        <v>0</v>
      </c>
    </row>
    <row r="73" spans="1:16" ht="15" thickBot="1" x14ac:dyDescent="0.35">
      <c r="A73" s="14" t="s">
        <v>748</v>
      </c>
      <c r="B73" s="40">
        <v>0.5</v>
      </c>
      <c r="C73" s="40">
        <v>1.4</v>
      </c>
      <c r="D73" s="40">
        <v>9.1</v>
      </c>
      <c r="E73" s="40">
        <v>183.6</v>
      </c>
      <c r="F73" s="40">
        <v>192.9</v>
      </c>
      <c r="G73" s="40">
        <v>208</v>
      </c>
      <c r="H73" s="40">
        <v>224.7</v>
      </c>
      <c r="I73" s="40">
        <v>252.1</v>
      </c>
      <c r="J73" s="40">
        <v>287.3</v>
      </c>
      <c r="K73" s="40">
        <v>353.3</v>
      </c>
      <c r="L73" s="40">
        <v>458.3</v>
      </c>
      <c r="M73" s="40">
        <v>534.70000000000005</v>
      </c>
      <c r="N73" s="40">
        <v>837.9</v>
      </c>
      <c r="O73" s="40">
        <v>819.1</v>
      </c>
      <c r="P73" s="40">
        <v>939.3</v>
      </c>
    </row>
    <row r="74" spans="1:16" ht="15" thickBot="1" x14ac:dyDescent="0.35">
      <c r="A74" s="14" t="s">
        <v>747</v>
      </c>
      <c r="B74" s="40">
        <v>-34.700000000000003</v>
      </c>
      <c r="C74" s="40">
        <v>-56.5</v>
      </c>
      <c r="D74" s="40">
        <v>-88.8</v>
      </c>
      <c r="E74" s="40">
        <v>-127</v>
      </c>
      <c r="F74" s="40">
        <v>-152.9</v>
      </c>
      <c r="G74" s="40">
        <v>-161</v>
      </c>
      <c r="H74" s="40">
        <v>-183.1</v>
      </c>
      <c r="I74" s="40">
        <v>-250.5</v>
      </c>
      <c r="J74" s="40">
        <v>-295.7</v>
      </c>
      <c r="K74" s="40">
        <v>-346.3</v>
      </c>
      <c r="L74" s="40">
        <v>-185.2</v>
      </c>
      <c r="M74" s="40">
        <v>-51.2</v>
      </c>
      <c r="N74" s="40">
        <v>-405.7</v>
      </c>
      <c r="O74" s="40">
        <v>17.3</v>
      </c>
      <c r="P74" s="40">
        <v>46.3</v>
      </c>
    </row>
    <row r="75" spans="1:16" ht="15" thickBot="1" x14ac:dyDescent="0.35">
      <c r="A75" s="14" t="s">
        <v>746</v>
      </c>
      <c r="B75" s="40">
        <v>0</v>
      </c>
      <c r="C75" s="40">
        <v>0</v>
      </c>
      <c r="D75" s="40">
        <v>0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</row>
    <row r="76" spans="1:16" ht="15" thickBot="1" x14ac:dyDescent="0.35">
      <c r="A76" s="14" t="s">
        <v>745</v>
      </c>
      <c r="B76" s="40">
        <v>0</v>
      </c>
      <c r="C76" s="40">
        <v>0</v>
      </c>
      <c r="D76" s="40">
        <v>0</v>
      </c>
      <c r="E76" s="40">
        <v>0</v>
      </c>
      <c r="F76" s="40">
        <v>0</v>
      </c>
      <c r="G76" s="40">
        <v>0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</row>
    <row r="77" spans="1:16" ht="15" thickBot="1" x14ac:dyDescent="0.35">
      <c r="A77" s="14" t="s">
        <v>744</v>
      </c>
      <c r="B77" s="40">
        <v>0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</row>
    <row r="78" spans="1:16" ht="15" thickBot="1" x14ac:dyDescent="0.35">
      <c r="A78" s="67" t="s">
        <v>743</v>
      </c>
      <c r="B78" s="41">
        <v>0</v>
      </c>
      <c r="C78" s="41">
        <v>0</v>
      </c>
      <c r="D78" s="41">
        <v>0.1</v>
      </c>
      <c r="E78" s="41">
        <v>0.1</v>
      </c>
      <c r="F78" s="41">
        <v>0.2</v>
      </c>
      <c r="G78" s="41">
        <v>-0.1</v>
      </c>
      <c r="H78" s="41">
        <v>-0.2</v>
      </c>
      <c r="I78" s="41">
        <v>-0.3</v>
      </c>
      <c r="J78" s="41">
        <v>-0.7</v>
      </c>
      <c r="K78" s="41">
        <v>0.7</v>
      </c>
      <c r="L78" s="41">
        <v>-0.9</v>
      </c>
      <c r="M78" s="41">
        <v>0.4</v>
      </c>
      <c r="N78" s="41">
        <v>-2</v>
      </c>
      <c r="O78" s="41">
        <v>-10.9</v>
      </c>
      <c r="P78" s="41">
        <v>-2</v>
      </c>
    </row>
    <row r="79" spans="1:16" ht="15" thickBot="1" x14ac:dyDescent="0.35">
      <c r="A79" s="66" t="s">
        <v>742</v>
      </c>
      <c r="B79" s="65">
        <v>0</v>
      </c>
      <c r="C79" s="65">
        <v>0</v>
      </c>
      <c r="D79" s="65">
        <v>0.1</v>
      </c>
      <c r="E79" s="65">
        <v>0.1</v>
      </c>
      <c r="F79" s="65">
        <v>0.2</v>
      </c>
      <c r="G79" s="65">
        <v>-0.1</v>
      </c>
      <c r="H79" s="65">
        <v>-0.2</v>
      </c>
      <c r="I79" s="65">
        <v>-0.3</v>
      </c>
      <c r="J79" s="65">
        <v>-0.7</v>
      </c>
      <c r="K79" s="65">
        <v>0.7</v>
      </c>
      <c r="L79" s="65">
        <v>-0.9</v>
      </c>
      <c r="M79" s="65">
        <v>0.4</v>
      </c>
      <c r="N79" s="65">
        <v>-2</v>
      </c>
      <c r="O79" s="65">
        <v>-10.9</v>
      </c>
      <c r="P79" s="65">
        <v>-2</v>
      </c>
    </row>
    <row r="80" spans="1:16" ht="15" thickBot="1" x14ac:dyDescent="0.35">
      <c r="A80" s="14" t="s">
        <v>421</v>
      </c>
      <c r="B80" s="40">
        <v>13.6</v>
      </c>
      <c r="C80" s="40">
        <v>38.5</v>
      </c>
      <c r="D80" s="40">
        <v>14</v>
      </c>
      <c r="E80" s="40">
        <v>56.7</v>
      </c>
      <c r="F80" s="40">
        <v>40.200000000000003</v>
      </c>
      <c r="G80" s="40">
        <v>47</v>
      </c>
      <c r="H80" s="40">
        <v>41.4</v>
      </c>
      <c r="I80" s="40">
        <v>1.3</v>
      </c>
      <c r="J80" s="40">
        <v>-9.1</v>
      </c>
      <c r="K80" s="40">
        <v>7.8</v>
      </c>
      <c r="L80" s="40">
        <v>272.2</v>
      </c>
      <c r="M80" s="40">
        <v>484</v>
      </c>
      <c r="N80" s="40">
        <v>430.2</v>
      </c>
      <c r="O80" s="40">
        <v>825.6</v>
      </c>
      <c r="P80" s="40">
        <v>983.6</v>
      </c>
    </row>
    <row r="81" spans="1:16" ht="15" thickBot="1" x14ac:dyDescent="0.3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1:16" ht="15" thickBot="1" x14ac:dyDescent="0.35">
      <c r="A82" s="14" t="s">
        <v>420</v>
      </c>
      <c r="B82" s="40">
        <v>20.9</v>
      </c>
      <c r="C82" s="40">
        <v>59.5</v>
      </c>
      <c r="D82" s="40">
        <v>106.2</v>
      </c>
      <c r="E82" s="40">
        <v>122.3</v>
      </c>
      <c r="F82" s="40">
        <v>116.7</v>
      </c>
      <c r="G82" s="40">
        <v>152.19999999999999</v>
      </c>
      <c r="H82" s="40">
        <v>165.5</v>
      </c>
      <c r="I82" s="40">
        <v>163.6</v>
      </c>
      <c r="J82" s="40">
        <v>169.1</v>
      </c>
      <c r="K82" s="40">
        <v>339.9</v>
      </c>
      <c r="L82" s="40">
        <v>713.2</v>
      </c>
      <c r="M82" s="40">
        <v>1200.0999999999999</v>
      </c>
      <c r="N82" s="40">
        <v>2079.3000000000002</v>
      </c>
      <c r="O82" s="40">
        <v>3084.3</v>
      </c>
      <c r="P82" s="40">
        <v>3383</v>
      </c>
    </row>
    <row r="83" spans="1:16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1:16" ht="9.6" customHeight="1" thickBot="1" x14ac:dyDescent="0.35">
      <c r="A84" s="16" t="s">
        <v>419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</row>
    <row r="85" spans="1:16" ht="15" thickBot="1" x14ac:dyDescent="0.35">
      <c r="A85" s="14" t="s">
        <v>741</v>
      </c>
      <c r="B85" s="40">
        <v>0</v>
      </c>
      <c r="C85" s="40">
        <v>0</v>
      </c>
      <c r="D85" s="40">
        <v>0</v>
      </c>
      <c r="E85" s="40">
        <v>0</v>
      </c>
      <c r="F85" s="40">
        <v>0</v>
      </c>
      <c r="G85" s="40">
        <v>0</v>
      </c>
      <c r="H85" s="40">
        <v>0</v>
      </c>
      <c r="I85" s="40">
        <v>0</v>
      </c>
      <c r="J85" s="40">
        <v>0</v>
      </c>
      <c r="K85" s="40">
        <v>0</v>
      </c>
      <c r="L85" s="40">
        <v>0</v>
      </c>
      <c r="M85" s="40">
        <v>0</v>
      </c>
      <c r="N85" s="40">
        <v>0</v>
      </c>
      <c r="O85" s="40">
        <v>0</v>
      </c>
      <c r="P85" s="40">
        <v>0</v>
      </c>
    </row>
    <row r="86" spans="1:16" ht="15" thickBot="1" x14ac:dyDescent="0.35">
      <c r="A86" s="14" t="s">
        <v>740</v>
      </c>
      <c r="B86" s="40">
        <v>0</v>
      </c>
      <c r="C86" s="40">
        <v>0</v>
      </c>
      <c r="D86" s="40">
        <v>0</v>
      </c>
      <c r="E86" s="40">
        <v>0</v>
      </c>
      <c r="F86" s="40">
        <v>0</v>
      </c>
      <c r="G86" s="40">
        <v>0</v>
      </c>
      <c r="H86" s="40">
        <v>0</v>
      </c>
      <c r="I86" s="40">
        <v>0</v>
      </c>
      <c r="J86" s="40">
        <v>0</v>
      </c>
      <c r="K86" s="40">
        <v>0</v>
      </c>
      <c r="L86" s="40">
        <v>0</v>
      </c>
      <c r="M86" s="40">
        <v>0</v>
      </c>
      <c r="N86" s="40">
        <v>0</v>
      </c>
      <c r="O86" s="40">
        <v>0</v>
      </c>
      <c r="P86" s="40">
        <v>0</v>
      </c>
    </row>
    <row r="87" spans="1:16" ht="15" thickBot="1" x14ac:dyDescent="0.35">
      <c r="A87" s="14" t="s">
        <v>739</v>
      </c>
      <c r="B87" s="40">
        <v>0</v>
      </c>
      <c r="C87" s="40">
        <v>0</v>
      </c>
      <c r="D87" s="40">
        <v>0</v>
      </c>
      <c r="E87" s="40">
        <v>0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40">
        <v>0</v>
      </c>
    </row>
    <row r="88" spans="1:16" ht="15" thickBot="1" x14ac:dyDescent="0.35">
      <c r="A88" s="67" t="s">
        <v>417</v>
      </c>
      <c r="B88" s="41">
        <v>39.299999999999997</v>
      </c>
      <c r="C88" s="41">
        <v>39.299999999999997</v>
      </c>
      <c r="D88" s="41">
        <v>39.299999999999997</v>
      </c>
      <c r="E88" s="41">
        <v>40.9</v>
      </c>
      <c r="F88" s="41">
        <v>42.1</v>
      </c>
      <c r="G88" s="41">
        <v>43.8</v>
      </c>
      <c r="H88" s="41">
        <v>45.8</v>
      </c>
      <c r="I88" s="41">
        <v>62.3</v>
      </c>
      <c r="J88" s="41">
        <v>85.9</v>
      </c>
      <c r="K88" s="41">
        <v>107</v>
      </c>
      <c r="L88" s="41">
        <v>123.1</v>
      </c>
      <c r="M88" s="41">
        <v>129</v>
      </c>
      <c r="N88" s="41">
        <v>133.9</v>
      </c>
      <c r="O88" s="41">
        <v>136.4</v>
      </c>
      <c r="P88" s="41">
        <v>135.69999999999999</v>
      </c>
    </row>
    <row r="89" spans="1:16" ht="15" thickBot="1" x14ac:dyDescent="0.35">
      <c r="A89" s="66" t="s">
        <v>738</v>
      </c>
      <c r="B89" s="65">
        <v>39.299999999999997</v>
      </c>
      <c r="C89" s="65">
        <v>39.299999999999997</v>
      </c>
      <c r="D89" s="65">
        <v>39.299999999999997</v>
      </c>
      <c r="E89" s="65">
        <v>40.9</v>
      </c>
      <c r="F89" s="65">
        <v>42.1</v>
      </c>
      <c r="G89" s="65">
        <v>43.8</v>
      </c>
      <c r="H89" s="65">
        <v>45.8</v>
      </c>
      <c r="I89" s="65">
        <v>62.3</v>
      </c>
      <c r="J89" s="65">
        <v>85.9</v>
      </c>
      <c r="K89" s="65">
        <v>107</v>
      </c>
      <c r="L89" s="65">
        <v>123.1</v>
      </c>
      <c r="M89" s="65">
        <v>129</v>
      </c>
      <c r="N89" s="65">
        <v>133.9</v>
      </c>
      <c r="O89" s="65">
        <v>136.4</v>
      </c>
      <c r="P89" s="65">
        <v>135.69999999999999</v>
      </c>
    </row>
    <row r="90" spans="1:16" ht="15" thickBot="1" x14ac:dyDescent="0.35">
      <c r="A90" s="14" t="s">
        <v>737</v>
      </c>
      <c r="B90" s="40">
        <v>0</v>
      </c>
      <c r="C90" s="40">
        <v>0</v>
      </c>
      <c r="D90" s="40">
        <v>0</v>
      </c>
      <c r="E90" s="40">
        <v>0</v>
      </c>
      <c r="F90" s="40">
        <v>0</v>
      </c>
      <c r="G90" s="40">
        <v>0</v>
      </c>
      <c r="H90" s="40">
        <v>0</v>
      </c>
      <c r="I90" s="40">
        <v>0</v>
      </c>
      <c r="J90" s="40">
        <v>0</v>
      </c>
      <c r="K90" s="40">
        <v>0</v>
      </c>
      <c r="L90" s="40">
        <v>0</v>
      </c>
      <c r="M90" s="40">
        <v>0</v>
      </c>
      <c r="N90" s="40">
        <v>0</v>
      </c>
      <c r="O90" s="40">
        <v>0</v>
      </c>
      <c r="P90" s="40">
        <v>0</v>
      </c>
    </row>
    <row r="91" spans="1:16" ht="15" thickBot="1" x14ac:dyDescent="0.35">
      <c r="A91" s="14" t="s">
        <v>736</v>
      </c>
      <c r="B91" s="40">
        <v>0</v>
      </c>
      <c r="C91" s="40">
        <v>0</v>
      </c>
      <c r="D91" s="40">
        <v>0</v>
      </c>
      <c r="E91" s="40">
        <v>0</v>
      </c>
      <c r="F91" s="40">
        <v>0</v>
      </c>
      <c r="G91" s="40">
        <v>0</v>
      </c>
      <c r="H91" s="40">
        <v>0</v>
      </c>
      <c r="I91" s="40">
        <v>0</v>
      </c>
      <c r="J91" s="40">
        <v>0</v>
      </c>
      <c r="K91" s="40">
        <v>0</v>
      </c>
      <c r="L91" s="40">
        <v>0</v>
      </c>
      <c r="M91" s="40">
        <v>0</v>
      </c>
      <c r="N91" s="40">
        <v>0</v>
      </c>
      <c r="O91" s="40">
        <v>0</v>
      </c>
      <c r="P91" s="40">
        <v>0</v>
      </c>
    </row>
    <row r="92" spans="1:16" ht="15" thickBot="1" x14ac:dyDescent="0.35">
      <c r="A92" s="14" t="s">
        <v>735</v>
      </c>
      <c r="B92" s="40">
        <v>0</v>
      </c>
      <c r="C92" s="40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0">
        <v>0</v>
      </c>
    </row>
    <row r="93" spans="1:16" ht="15" thickBot="1" x14ac:dyDescent="0.35">
      <c r="A93" s="14" t="s">
        <v>734</v>
      </c>
      <c r="B93" s="40">
        <v>0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0</v>
      </c>
      <c r="K93" s="40">
        <v>0</v>
      </c>
      <c r="L93" s="40">
        <v>0</v>
      </c>
      <c r="M93" s="40">
        <v>0</v>
      </c>
      <c r="N93" s="40">
        <v>0</v>
      </c>
      <c r="O93" s="40">
        <v>0</v>
      </c>
      <c r="P93" s="40">
        <v>0</v>
      </c>
    </row>
    <row r="94" spans="1:16" ht="15" thickBot="1" x14ac:dyDescent="0.35">
      <c r="A94" s="67" t="s">
        <v>416</v>
      </c>
      <c r="B94" s="41">
        <v>0</v>
      </c>
      <c r="C94" s="41">
        <v>0</v>
      </c>
      <c r="D94" s="41">
        <v>22.2</v>
      </c>
      <c r="E94" s="41">
        <v>0</v>
      </c>
      <c r="F94" s="41">
        <v>0</v>
      </c>
      <c r="G94" s="41">
        <v>0</v>
      </c>
      <c r="H94" s="41">
        <v>0</v>
      </c>
      <c r="I94" s="41">
        <v>0</v>
      </c>
      <c r="J94" s="41">
        <v>0</v>
      </c>
      <c r="K94" s="41">
        <v>0</v>
      </c>
      <c r="L94" s="41">
        <v>0</v>
      </c>
      <c r="M94" s="41">
        <v>0</v>
      </c>
      <c r="N94" s="41">
        <v>0</v>
      </c>
      <c r="O94" s="41">
        <v>0</v>
      </c>
      <c r="P94" s="41">
        <v>0</v>
      </c>
    </row>
    <row r="95" spans="1:16" ht="15" thickBot="1" x14ac:dyDescent="0.35">
      <c r="A95" s="66" t="s">
        <v>733</v>
      </c>
      <c r="B95" s="65">
        <v>0</v>
      </c>
      <c r="C95" s="65">
        <v>0</v>
      </c>
      <c r="D95" s="65">
        <v>22.2</v>
      </c>
      <c r="E95" s="65">
        <v>0</v>
      </c>
      <c r="F95" s="65">
        <v>0</v>
      </c>
      <c r="G95" s="65">
        <v>0</v>
      </c>
      <c r="H95" s="65">
        <v>0</v>
      </c>
      <c r="I95" s="65">
        <v>0</v>
      </c>
      <c r="J95" s="65">
        <v>0</v>
      </c>
      <c r="K95" s="65">
        <v>0</v>
      </c>
      <c r="L95" s="65">
        <v>0</v>
      </c>
      <c r="M95" s="65">
        <v>0</v>
      </c>
      <c r="N95" s="65">
        <v>0</v>
      </c>
      <c r="O95" s="65">
        <v>0</v>
      </c>
      <c r="P95" s="65">
        <v>0</v>
      </c>
    </row>
    <row r="96" spans="1:16" ht="15" thickBot="1" x14ac:dyDescent="0.35">
      <c r="A96" s="14" t="s">
        <v>732</v>
      </c>
      <c r="B96" s="40">
        <v>0</v>
      </c>
      <c r="C96" s="40">
        <v>0</v>
      </c>
      <c r="D96" s="40">
        <v>0</v>
      </c>
      <c r="E96" s="40">
        <v>0</v>
      </c>
      <c r="F96" s="40">
        <v>0</v>
      </c>
      <c r="G96" s="40">
        <v>0</v>
      </c>
      <c r="H96" s="40">
        <v>0</v>
      </c>
      <c r="I96" s="40">
        <v>0</v>
      </c>
      <c r="J96" s="40">
        <v>0</v>
      </c>
      <c r="K96" s="40">
        <v>0</v>
      </c>
      <c r="L96" s="40">
        <v>0</v>
      </c>
      <c r="M96" s="40">
        <v>0</v>
      </c>
      <c r="N96" s="40">
        <v>0</v>
      </c>
      <c r="O96" s="40">
        <v>0</v>
      </c>
      <c r="P96" s="40">
        <v>0</v>
      </c>
    </row>
    <row r="97" spans="1:16" ht="15" thickBot="1" x14ac:dyDescent="0.35">
      <c r="A97" s="14" t="s">
        <v>731</v>
      </c>
      <c r="B97" s="40">
        <v>0</v>
      </c>
      <c r="C97" s="40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0</v>
      </c>
      <c r="N97" s="40">
        <v>0</v>
      </c>
      <c r="O97" s="40">
        <v>0</v>
      </c>
      <c r="P97" s="40">
        <v>0</v>
      </c>
    </row>
    <row r="98" spans="1:16" ht="15" thickBot="1" x14ac:dyDescent="0.35">
      <c r="A98" s="14" t="s">
        <v>730</v>
      </c>
      <c r="B98" s="40">
        <v>0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40">
        <v>0</v>
      </c>
      <c r="P98" s="40">
        <v>0</v>
      </c>
    </row>
    <row r="99" spans="1:16" ht="15" thickBot="1" x14ac:dyDescent="0.35">
      <c r="A99" s="14" t="s">
        <v>729</v>
      </c>
      <c r="B99" s="40">
        <v>0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40">
        <v>0</v>
      </c>
      <c r="P99" s="40">
        <v>0</v>
      </c>
    </row>
    <row r="100" spans="1:16" ht="15" thickBot="1" x14ac:dyDescent="0.35">
      <c r="A100" s="14" t="s">
        <v>728</v>
      </c>
      <c r="B100" s="40">
        <v>0</v>
      </c>
      <c r="C100" s="40">
        <v>0</v>
      </c>
      <c r="D100" s="40">
        <v>0</v>
      </c>
      <c r="E100" s="40">
        <v>0</v>
      </c>
      <c r="F100" s="40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  <c r="N100" s="40">
        <v>0</v>
      </c>
      <c r="O100" s="40">
        <v>0</v>
      </c>
      <c r="P100" s="40">
        <v>0</v>
      </c>
    </row>
    <row r="101" spans="1:16" ht="15" thickBot="1" x14ac:dyDescent="0.35">
      <c r="A101" s="14" t="s">
        <v>727</v>
      </c>
      <c r="B101" s="40">
        <v>0</v>
      </c>
      <c r="C101" s="40">
        <v>0</v>
      </c>
      <c r="D101" s="40">
        <v>0</v>
      </c>
      <c r="E101" s="40">
        <v>0</v>
      </c>
      <c r="F101" s="40">
        <v>0</v>
      </c>
      <c r="G101" s="40">
        <v>0</v>
      </c>
      <c r="H101" s="40">
        <v>0</v>
      </c>
      <c r="I101" s="40">
        <v>0</v>
      </c>
      <c r="J101" s="40">
        <v>0</v>
      </c>
      <c r="K101" s="40">
        <v>0</v>
      </c>
      <c r="L101" s="40">
        <v>0</v>
      </c>
      <c r="M101" s="40">
        <v>0</v>
      </c>
      <c r="N101" s="40">
        <v>0</v>
      </c>
      <c r="O101" s="40">
        <v>0</v>
      </c>
      <c r="P101" s="40">
        <v>0</v>
      </c>
    </row>
    <row r="102" spans="1:16" ht="15" thickBot="1" x14ac:dyDescent="0.35">
      <c r="A102" s="14" t="s">
        <v>413</v>
      </c>
      <c r="B102" s="40">
        <v>0</v>
      </c>
      <c r="C102" s="40">
        <v>0</v>
      </c>
      <c r="D102" s="40">
        <v>0</v>
      </c>
      <c r="E102" s="40">
        <v>0</v>
      </c>
      <c r="F102" s="40">
        <v>0</v>
      </c>
      <c r="G102" s="40">
        <v>0</v>
      </c>
      <c r="H102" s="40">
        <v>0</v>
      </c>
      <c r="I102" s="40">
        <v>0</v>
      </c>
      <c r="J102" s="40">
        <v>0</v>
      </c>
      <c r="K102" s="40">
        <v>0</v>
      </c>
      <c r="L102" s="40">
        <v>0</v>
      </c>
      <c r="M102" s="40">
        <v>0</v>
      </c>
      <c r="N102" s="40">
        <v>0</v>
      </c>
      <c r="O102" s="40">
        <v>0</v>
      </c>
      <c r="P102" s="40">
        <v>0</v>
      </c>
    </row>
    <row r="103" spans="1:16" ht="15" thickBot="1" x14ac:dyDescent="0.35">
      <c r="A103" s="14" t="s">
        <v>412</v>
      </c>
      <c r="B103" s="40">
        <v>0</v>
      </c>
      <c r="C103" s="40">
        <v>0</v>
      </c>
      <c r="D103" s="40">
        <v>0</v>
      </c>
      <c r="E103" s="40">
        <v>0</v>
      </c>
      <c r="F103" s="40">
        <v>0</v>
      </c>
      <c r="G103" s="40">
        <v>0</v>
      </c>
      <c r="H103" s="40">
        <v>0</v>
      </c>
      <c r="I103" s="40">
        <v>0</v>
      </c>
      <c r="J103" s="40">
        <v>0</v>
      </c>
      <c r="K103" s="40">
        <v>0</v>
      </c>
      <c r="L103" s="40">
        <v>0</v>
      </c>
      <c r="M103" s="40">
        <v>0</v>
      </c>
      <c r="N103" s="40">
        <v>0</v>
      </c>
      <c r="O103" s="40">
        <v>0</v>
      </c>
      <c r="P103" s="40">
        <v>0</v>
      </c>
    </row>
    <row r="104" spans="1:16" ht="15" thickBot="1" x14ac:dyDescent="0.35">
      <c r="A104" s="14" t="s">
        <v>418</v>
      </c>
      <c r="B104" s="40">
        <v>13.6</v>
      </c>
      <c r="C104" s="40">
        <v>38.5</v>
      </c>
      <c r="D104" s="40">
        <v>14</v>
      </c>
      <c r="E104" s="40">
        <v>56.7</v>
      </c>
      <c r="F104" s="40">
        <v>40.200000000000003</v>
      </c>
      <c r="G104" s="40">
        <v>47</v>
      </c>
      <c r="H104" s="40">
        <v>41.4</v>
      </c>
      <c r="I104" s="40">
        <v>1.3</v>
      </c>
      <c r="J104" s="40">
        <v>-9.1</v>
      </c>
      <c r="K104" s="40">
        <v>7.8</v>
      </c>
      <c r="L104" s="40">
        <v>272.2</v>
      </c>
      <c r="M104" s="40">
        <v>484</v>
      </c>
      <c r="N104" s="40">
        <v>430.2</v>
      </c>
      <c r="O104" s="40">
        <v>825.6</v>
      </c>
      <c r="P104" s="40">
        <v>983.6</v>
      </c>
    </row>
    <row r="105" spans="1:16" ht="15" thickBot="1" x14ac:dyDescent="0.35">
      <c r="A105" s="14" t="s">
        <v>726</v>
      </c>
      <c r="B105" s="13">
        <v>0</v>
      </c>
      <c r="C105" s="13">
        <v>0</v>
      </c>
      <c r="D105" s="13">
        <v>298</v>
      </c>
      <c r="E105" s="13">
        <v>384</v>
      </c>
      <c r="F105" s="13">
        <v>398</v>
      </c>
      <c r="G105" s="13">
        <v>539</v>
      </c>
      <c r="H105" s="13">
        <v>543</v>
      </c>
      <c r="I105" s="13">
        <v>430</v>
      </c>
      <c r="J105" s="13">
        <v>336</v>
      </c>
      <c r="K105" s="13">
        <v>427</v>
      </c>
      <c r="L105" s="13">
        <v>577</v>
      </c>
      <c r="M105" s="13">
        <v>850</v>
      </c>
      <c r="N105" s="13">
        <v>2260</v>
      </c>
      <c r="O105" s="13">
        <v>2821</v>
      </c>
      <c r="P105" s="13">
        <v>3157</v>
      </c>
    </row>
    <row r="106" spans="1:16" ht="15" thickBot="1" x14ac:dyDescent="0.35">
      <c r="A106" s="14" t="s">
        <v>725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</row>
    <row r="107" spans="1:16" ht="15" thickBot="1" x14ac:dyDescent="0.35">
      <c r="A107" s="14" t="s">
        <v>411</v>
      </c>
      <c r="B107" s="13">
        <v>0</v>
      </c>
      <c r="C107" s="13">
        <v>0</v>
      </c>
      <c r="D107" s="13">
        <v>118</v>
      </c>
      <c r="E107" s="13">
        <v>80</v>
      </c>
      <c r="F107" s="13">
        <v>57</v>
      </c>
      <c r="G107" s="13">
        <v>44</v>
      </c>
      <c r="H107" s="13">
        <v>43</v>
      </c>
      <c r="I107" s="13">
        <v>38</v>
      </c>
      <c r="J107" s="13">
        <v>35</v>
      </c>
      <c r="K107" s="13">
        <v>26</v>
      </c>
      <c r="L107" s="13">
        <v>22</v>
      </c>
      <c r="M107" s="13">
        <v>19</v>
      </c>
      <c r="N107" s="13">
        <v>18</v>
      </c>
      <c r="O107" s="13">
        <v>17</v>
      </c>
      <c r="P107" s="13">
        <v>18</v>
      </c>
    </row>
    <row r="108" spans="1:16" ht="15" thickBot="1" x14ac:dyDescent="0.35">
      <c r="A108" s="14" t="s">
        <v>724</v>
      </c>
      <c r="B108" s="40">
        <v>0</v>
      </c>
      <c r="C108" s="40">
        <v>0</v>
      </c>
      <c r="D108" s="40">
        <v>0</v>
      </c>
      <c r="E108" s="40">
        <v>0</v>
      </c>
      <c r="F108" s="40">
        <v>0</v>
      </c>
      <c r="G108" s="40">
        <v>0</v>
      </c>
      <c r="H108" s="40">
        <v>0</v>
      </c>
      <c r="I108" s="40">
        <v>0</v>
      </c>
      <c r="J108" s="40">
        <v>0</v>
      </c>
      <c r="K108" s="40">
        <v>0</v>
      </c>
      <c r="L108" s="40">
        <v>0</v>
      </c>
      <c r="M108" s="40">
        <v>0</v>
      </c>
      <c r="N108" s="40">
        <v>0</v>
      </c>
      <c r="O108" s="40">
        <v>0</v>
      </c>
      <c r="P108" s="40">
        <v>0</v>
      </c>
    </row>
    <row r="109" spans="1:16" ht="15" thickBot="1" x14ac:dyDescent="0.35">
      <c r="A109" s="14" t="s">
        <v>723</v>
      </c>
      <c r="B109" s="40">
        <v>0</v>
      </c>
      <c r="C109" s="40">
        <v>0</v>
      </c>
      <c r="D109" s="40">
        <v>0</v>
      </c>
      <c r="E109" s="40">
        <v>0</v>
      </c>
      <c r="F109" s="40">
        <v>0</v>
      </c>
      <c r="G109" s="40">
        <v>0</v>
      </c>
      <c r="H109" s="40">
        <v>0</v>
      </c>
      <c r="I109" s="40">
        <v>0</v>
      </c>
      <c r="J109" s="40">
        <v>0</v>
      </c>
      <c r="K109" s="40">
        <v>0</v>
      </c>
      <c r="L109" s="40">
        <v>0</v>
      </c>
      <c r="M109" s="40">
        <v>0</v>
      </c>
      <c r="N109" s="40">
        <v>0</v>
      </c>
      <c r="O109" s="40">
        <v>0</v>
      </c>
      <c r="P109" s="40">
        <v>0</v>
      </c>
    </row>
    <row r="110" spans="1:16" ht="15" thickBot="1" x14ac:dyDescent="0.35">
      <c r="A110" s="14" t="s">
        <v>722</v>
      </c>
      <c r="B110" s="40">
        <v>0</v>
      </c>
      <c r="C110" s="40">
        <v>0</v>
      </c>
      <c r="D110" s="40">
        <v>0</v>
      </c>
      <c r="E110" s="40">
        <v>0</v>
      </c>
      <c r="F110" s="40">
        <v>0</v>
      </c>
      <c r="G110" s="40">
        <v>3.7</v>
      </c>
      <c r="H110" s="40">
        <v>3.7</v>
      </c>
      <c r="I110" s="40">
        <v>3.7</v>
      </c>
      <c r="J110" s="40">
        <v>3.7</v>
      </c>
      <c r="K110" s="40">
        <v>24.8</v>
      </c>
      <c r="L110" s="40">
        <v>0</v>
      </c>
      <c r="M110" s="40">
        <v>0</v>
      </c>
      <c r="N110" s="40">
        <v>181.3</v>
      </c>
      <c r="O110" s="40">
        <v>213.6</v>
      </c>
      <c r="P110" s="40">
        <v>214.6</v>
      </c>
    </row>
    <row r="111" spans="1:16" ht="15" thickBot="1" x14ac:dyDescent="0.35">
      <c r="A111" s="14" t="s">
        <v>721</v>
      </c>
      <c r="B111" s="40">
        <v>0</v>
      </c>
      <c r="C111" s="40">
        <v>0</v>
      </c>
      <c r="D111" s="40">
        <v>0</v>
      </c>
      <c r="E111" s="40">
        <v>0</v>
      </c>
      <c r="F111" s="40">
        <v>0</v>
      </c>
      <c r="G111" s="40">
        <v>0</v>
      </c>
      <c r="H111" s="40">
        <v>0</v>
      </c>
      <c r="I111" s="40">
        <v>0</v>
      </c>
      <c r="J111" s="40">
        <v>0</v>
      </c>
      <c r="K111" s="40">
        <v>0</v>
      </c>
      <c r="L111" s="40">
        <v>0</v>
      </c>
      <c r="M111" s="40">
        <v>0</v>
      </c>
      <c r="N111" s="40">
        <v>0</v>
      </c>
      <c r="O111" s="40">
        <v>0</v>
      </c>
      <c r="P111" s="40">
        <v>0</v>
      </c>
    </row>
    <row r="112" spans="1:16" ht="15" thickBot="1" x14ac:dyDescent="0.35">
      <c r="A112" s="14" t="s">
        <v>720</v>
      </c>
      <c r="B112" s="40">
        <v>0</v>
      </c>
      <c r="C112" s="40">
        <v>0</v>
      </c>
      <c r="D112" s="40">
        <v>0</v>
      </c>
      <c r="E112" s="40">
        <v>0</v>
      </c>
      <c r="F112" s="40">
        <v>0</v>
      </c>
      <c r="G112" s="40">
        <v>0.1</v>
      </c>
      <c r="H112" s="40">
        <v>0.6</v>
      </c>
      <c r="I112" s="40">
        <v>1</v>
      </c>
      <c r="J112" s="40">
        <v>1.4</v>
      </c>
      <c r="K112" s="40">
        <v>2.8</v>
      </c>
      <c r="L112" s="40">
        <v>5.9</v>
      </c>
      <c r="M112" s="40">
        <v>11</v>
      </c>
      <c r="N112" s="40">
        <v>20.5</v>
      </c>
      <c r="O112" s="40">
        <v>45.2</v>
      </c>
      <c r="P112" s="40">
        <v>76.2</v>
      </c>
    </row>
    <row r="113" spans="1:16" ht="15" thickBot="1" x14ac:dyDescent="0.35">
      <c r="A113" s="14" t="s">
        <v>414</v>
      </c>
      <c r="B113" s="40">
        <v>0</v>
      </c>
      <c r="C113" s="40">
        <v>0</v>
      </c>
      <c r="D113" s="40">
        <v>0</v>
      </c>
      <c r="E113" s="40">
        <v>0</v>
      </c>
      <c r="F113" s="40">
        <v>0</v>
      </c>
      <c r="G113" s="40">
        <v>0</v>
      </c>
      <c r="H113" s="40">
        <v>0</v>
      </c>
      <c r="I113" s="40">
        <v>0</v>
      </c>
      <c r="J113" s="40">
        <v>0</v>
      </c>
      <c r="K113" s="40">
        <v>0</v>
      </c>
      <c r="L113" s="40">
        <v>0</v>
      </c>
      <c r="M113" s="40">
        <v>6.4</v>
      </c>
      <c r="N113" s="40">
        <v>5.9</v>
      </c>
      <c r="O113" s="40">
        <v>5.3</v>
      </c>
      <c r="P113" s="40">
        <v>5.8</v>
      </c>
    </row>
    <row r="114" spans="1:16" ht="15" thickBot="1" x14ac:dyDescent="0.35">
      <c r="A114" s="14" t="s">
        <v>719</v>
      </c>
      <c r="B114" s="40">
        <v>0</v>
      </c>
      <c r="C114" s="40">
        <v>0</v>
      </c>
      <c r="D114" s="40">
        <v>0</v>
      </c>
      <c r="E114" s="40">
        <v>0</v>
      </c>
      <c r="F114" s="40">
        <v>0</v>
      </c>
      <c r="G114" s="40">
        <v>0</v>
      </c>
      <c r="H114" s="40">
        <v>0</v>
      </c>
      <c r="I114" s="40">
        <v>0</v>
      </c>
      <c r="J114" s="40">
        <v>0</v>
      </c>
      <c r="K114" s="40">
        <v>0</v>
      </c>
      <c r="L114" s="40">
        <v>0</v>
      </c>
      <c r="M114" s="40">
        <v>0</v>
      </c>
      <c r="N114" s="40">
        <v>0</v>
      </c>
      <c r="O114" s="40">
        <v>0</v>
      </c>
      <c r="P114" s="40">
        <v>0</v>
      </c>
    </row>
    <row r="115" spans="1:16" ht="15" thickBot="1" x14ac:dyDescent="0.35">
      <c r="A115" s="14" t="s">
        <v>415</v>
      </c>
      <c r="B115" s="40">
        <v>0</v>
      </c>
      <c r="C115" s="40">
        <v>0</v>
      </c>
      <c r="D115" s="40">
        <v>0</v>
      </c>
      <c r="E115" s="40">
        <v>0</v>
      </c>
      <c r="F115" s="40">
        <v>0</v>
      </c>
      <c r="G115" s="40">
        <v>0</v>
      </c>
      <c r="H115" s="40">
        <v>0</v>
      </c>
      <c r="I115" s="40">
        <v>0</v>
      </c>
      <c r="J115" s="40">
        <v>0</v>
      </c>
      <c r="K115" s="40">
        <v>0</v>
      </c>
      <c r="L115" s="40">
        <v>0</v>
      </c>
      <c r="M115" s="40">
        <v>7.7</v>
      </c>
      <c r="N115" s="40">
        <v>7.4</v>
      </c>
      <c r="O115" s="40">
        <v>6.5</v>
      </c>
      <c r="P115" s="40">
        <v>7</v>
      </c>
    </row>
    <row r="116" spans="1:16" ht="15" thickBot="1" x14ac:dyDescent="0.35">
      <c r="A116" s="14" t="s">
        <v>718</v>
      </c>
      <c r="B116" s="40">
        <v>0</v>
      </c>
      <c r="C116" s="40">
        <v>0</v>
      </c>
      <c r="D116" s="40">
        <v>0</v>
      </c>
      <c r="E116" s="40">
        <v>0</v>
      </c>
      <c r="F116" s="40">
        <v>0</v>
      </c>
      <c r="G116" s="40">
        <v>0</v>
      </c>
      <c r="H116" s="40">
        <v>0</v>
      </c>
      <c r="I116" s="40">
        <v>0</v>
      </c>
      <c r="J116" s="40">
        <v>0</v>
      </c>
      <c r="K116" s="40">
        <v>0</v>
      </c>
      <c r="L116" s="40">
        <v>0</v>
      </c>
      <c r="M116" s="40">
        <v>0</v>
      </c>
      <c r="N116" s="40">
        <v>0</v>
      </c>
      <c r="O116" s="40">
        <v>0</v>
      </c>
      <c r="P116" s="40">
        <v>0</v>
      </c>
    </row>
    <row r="117" spans="1:16" ht="15" thickBot="1" x14ac:dyDescent="0.35">
      <c r="A117" s="14" t="s">
        <v>717</v>
      </c>
      <c r="B117" s="40">
        <v>0</v>
      </c>
      <c r="C117" s="40">
        <v>0</v>
      </c>
      <c r="D117" s="40">
        <v>0</v>
      </c>
      <c r="E117" s="40">
        <v>0</v>
      </c>
      <c r="F117" s="40">
        <v>0</v>
      </c>
      <c r="G117" s="40">
        <v>0</v>
      </c>
      <c r="H117" s="40">
        <v>0</v>
      </c>
      <c r="I117" s="40">
        <v>0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0">
        <v>0</v>
      </c>
    </row>
    <row r="118" spans="1:16" ht="15" thickBot="1" x14ac:dyDescent="0.35">
      <c r="A118" s="14" t="s">
        <v>716</v>
      </c>
      <c r="B118" s="40">
        <v>0</v>
      </c>
      <c r="C118" s="40">
        <v>0</v>
      </c>
      <c r="D118" s="40">
        <v>0</v>
      </c>
      <c r="E118" s="40">
        <v>0</v>
      </c>
      <c r="F118" s="40">
        <v>0</v>
      </c>
      <c r="G118" s="40">
        <v>0</v>
      </c>
      <c r="H118" s="40">
        <v>0</v>
      </c>
      <c r="I118" s="40">
        <v>0</v>
      </c>
      <c r="J118" s="40">
        <v>0</v>
      </c>
      <c r="K118" s="40">
        <v>0</v>
      </c>
      <c r="L118" s="40">
        <v>0</v>
      </c>
      <c r="M118" s="40">
        <v>0</v>
      </c>
      <c r="N118" s="40">
        <v>0</v>
      </c>
      <c r="O118" s="40">
        <v>0</v>
      </c>
      <c r="P118" s="40">
        <v>0</v>
      </c>
    </row>
    <row r="119" spans="1:16" ht="15" thickBot="1" x14ac:dyDescent="0.35">
      <c r="A119" s="14" t="s">
        <v>715</v>
      </c>
      <c r="B119" s="40">
        <v>0</v>
      </c>
      <c r="C119" s="40">
        <v>0</v>
      </c>
      <c r="D119" s="40">
        <v>0</v>
      </c>
      <c r="E119" s="40">
        <v>0</v>
      </c>
      <c r="F119" s="40">
        <v>0</v>
      </c>
      <c r="G119" s="40">
        <v>0</v>
      </c>
      <c r="H119" s="40">
        <v>0</v>
      </c>
      <c r="I119" s="40">
        <v>0</v>
      </c>
      <c r="J119" s="40">
        <v>0</v>
      </c>
      <c r="K119" s="40">
        <v>0</v>
      </c>
      <c r="L119" s="40">
        <v>0</v>
      </c>
      <c r="M119" s="40">
        <v>0</v>
      </c>
      <c r="N119" s="40">
        <v>0</v>
      </c>
      <c r="O119" s="40">
        <v>0</v>
      </c>
      <c r="P119" s="40">
        <v>0</v>
      </c>
    </row>
    <row r="120" spans="1:16" ht="15" thickBot="1" x14ac:dyDescent="0.35">
      <c r="A120" s="14" t="s">
        <v>714</v>
      </c>
      <c r="B120" s="40">
        <v>0</v>
      </c>
      <c r="C120" s="40">
        <v>0</v>
      </c>
      <c r="D120" s="40">
        <v>0</v>
      </c>
      <c r="E120" s="40">
        <v>0</v>
      </c>
      <c r="F120" s="40">
        <v>0</v>
      </c>
      <c r="G120" s="40">
        <v>0</v>
      </c>
      <c r="H120" s="40">
        <v>0</v>
      </c>
      <c r="I120" s="40">
        <v>0</v>
      </c>
      <c r="J120" s="40">
        <v>0</v>
      </c>
      <c r="K120" s="40">
        <v>0</v>
      </c>
      <c r="L120" s="40">
        <v>0</v>
      </c>
      <c r="M120" s="40">
        <v>0</v>
      </c>
      <c r="N120" s="40">
        <v>0</v>
      </c>
      <c r="O120" s="40">
        <v>0</v>
      </c>
      <c r="P120" s="40">
        <v>0</v>
      </c>
    </row>
    <row r="121" spans="1:16" ht="15" thickBot="1" x14ac:dyDescent="0.35">
      <c r="A121" s="14" t="s">
        <v>713</v>
      </c>
      <c r="B121" s="40">
        <v>0</v>
      </c>
      <c r="C121" s="40">
        <v>0</v>
      </c>
      <c r="D121" s="40">
        <v>0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0">
        <v>0</v>
      </c>
    </row>
    <row r="122" spans="1:16" ht="15" thickBot="1" x14ac:dyDescent="0.35">
      <c r="A122" s="14" t="s">
        <v>712</v>
      </c>
      <c r="B122" s="40">
        <v>0</v>
      </c>
      <c r="C122" s="40">
        <v>0</v>
      </c>
      <c r="D122" s="40">
        <v>0</v>
      </c>
      <c r="E122" s="40">
        <v>0</v>
      </c>
      <c r="F122" s="40">
        <v>0</v>
      </c>
      <c r="G122" s="40">
        <v>0</v>
      </c>
      <c r="H122" s="40">
        <v>0</v>
      </c>
      <c r="I122" s="40">
        <v>0</v>
      </c>
      <c r="J122" s="40">
        <v>0</v>
      </c>
      <c r="K122" s="40">
        <v>0</v>
      </c>
      <c r="L122" s="40">
        <v>10.1</v>
      </c>
      <c r="M122" s="40">
        <v>17.7</v>
      </c>
      <c r="N122" s="40">
        <v>14.4</v>
      </c>
      <c r="O122" s="40">
        <v>21.4</v>
      </c>
      <c r="P122" s="40">
        <v>19.899999999999999</v>
      </c>
    </row>
    <row r="123" spans="1:16" ht="15" thickBot="1" x14ac:dyDescent="0.35">
      <c r="A123" s="14" t="s">
        <v>711</v>
      </c>
      <c r="B123" s="40">
        <v>0</v>
      </c>
      <c r="C123" s="40">
        <v>0</v>
      </c>
      <c r="D123" s="40">
        <v>0</v>
      </c>
      <c r="E123" s="40">
        <v>0</v>
      </c>
      <c r="F123" s="40">
        <v>0</v>
      </c>
      <c r="G123" s="40">
        <v>0</v>
      </c>
      <c r="H123" s="40">
        <v>0</v>
      </c>
      <c r="I123" s="40">
        <v>0</v>
      </c>
      <c r="J123" s="40">
        <v>0</v>
      </c>
      <c r="K123" s="40">
        <v>0</v>
      </c>
      <c r="L123" s="40">
        <v>0</v>
      </c>
      <c r="M123" s="40">
        <v>0</v>
      </c>
      <c r="N123" s="40">
        <v>0</v>
      </c>
      <c r="O123" s="40">
        <v>0</v>
      </c>
      <c r="P123" s="40">
        <v>0</v>
      </c>
    </row>
    <row r="124" spans="1:16" ht="15" thickBot="1" x14ac:dyDescent="0.35">
      <c r="A124" s="14" t="s">
        <v>710</v>
      </c>
      <c r="B124" s="40">
        <v>0</v>
      </c>
      <c r="C124" s="40">
        <v>0</v>
      </c>
      <c r="D124" s="40">
        <v>0</v>
      </c>
      <c r="E124" s="40">
        <v>0</v>
      </c>
      <c r="F124" s="40">
        <v>0</v>
      </c>
      <c r="G124" s="40">
        <v>0</v>
      </c>
      <c r="H124" s="40">
        <v>0</v>
      </c>
      <c r="I124" s="40">
        <v>0</v>
      </c>
      <c r="J124" s="40">
        <v>0</v>
      </c>
      <c r="K124" s="40">
        <v>0</v>
      </c>
      <c r="L124" s="40">
        <v>0</v>
      </c>
      <c r="M124" s="40">
        <v>0</v>
      </c>
      <c r="N124" s="40">
        <v>0</v>
      </c>
      <c r="O124" s="40">
        <v>0</v>
      </c>
      <c r="P124" s="40">
        <v>0</v>
      </c>
    </row>
    <row r="125" spans="1:16" ht="15" thickBot="1" x14ac:dyDescent="0.35">
      <c r="A125" s="14" t="s">
        <v>709</v>
      </c>
      <c r="B125" s="40">
        <v>0</v>
      </c>
      <c r="C125" s="40">
        <v>0</v>
      </c>
      <c r="D125" s="40">
        <v>0</v>
      </c>
      <c r="E125" s="40">
        <v>0</v>
      </c>
      <c r="F125" s="40">
        <v>0</v>
      </c>
      <c r="G125" s="40">
        <v>0</v>
      </c>
      <c r="H125" s="40">
        <v>0</v>
      </c>
      <c r="I125" s="40">
        <v>0</v>
      </c>
      <c r="J125" s="40">
        <v>0</v>
      </c>
      <c r="K125" s="40">
        <v>0</v>
      </c>
      <c r="L125" s="40">
        <v>0</v>
      </c>
      <c r="M125" s="40">
        <v>0</v>
      </c>
      <c r="N125" s="40">
        <v>0</v>
      </c>
      <c r="O125" s="40">
        <v>32.1</v>
      </c>
      <c r="P125" s="40">
        <v>40.200000000000003</v>
      </c>
    </row>
    <row r="126" spans="1:16" ht="15" thickBot="1" x14ac:dyDescent="0.35">
      <c r="A126" s="14" t="s">
        <v>708</v>
      </c>
      <c r="B126" s="40">
        <v>0</v>
      </c>
      <c r="C126" s="40">
        <v>0</v>
      </c>
      <c r="D126" s="40">
        <v>0</v>
      </c>
      <c r="E126" s="40">
        <v>0</v>
      </c>
      <c r="F126" s="40">
        <v>0</v>
      </c>
      <c r="G126" s="40">
        <v>0</v>
      </c>
      <c r="H126" s="40">
        <v>0</v>
      </c>
      <c r="I126" s="40">
        <v>0</v>
      </c>
      <c r="J126" s="40">
        <v>0</v>
      </c>
      <c r="K126" s="40">
        <v>0</v>
      </c>
      <c r="L126" s="40">
        <v>0</v>
      </c>
      <c r="M126" s="40">
        <v>0</v>
      </c>
      <c r="N126" s="40">
        <v>0</v>
      </c>
      <c r="O126" s="40">
        <v>101</v>
      </c>
      <c r="P126" s="40">
        <v>124.2</v>
      </c>
    </row>
    <row r="127" spans="1:16" ht="15" thickBot="1" x14ac:dyDescent="0.35">
      <c r="A127" s="14" t="s">
        <v>707</v>
      </c>
      <c r="B127" s="40">
        <v>0</v>
      </c>
      <c r="C127" s="40">
        <v>0</v>
      </c>
      <c r="D127" s="40">
        <v>0</v>
      </c>
      <c r="E127" s="40">
        <v>0</v>
      </c>
      <c r="F127" s="40">
        <v>0</v>
      </c>
      <c r="G127" s="40">
        <v>0</v>
      </c>
      <c r="H127" s="40">
        <v>0</v>
      </c>
      <c r="I127" s="40">
        <v>0</v>
      </c>
      <c r="J127" s="40">
        <v>0</v>
      </c>
      <c r="K127" s="40">
        <v>0</v>
      </c>
      <c r="L127" s="40">
        <v>0</v>
      </c>
      <c r="M127" s="40">
        <v>0</v>
      </c>
      <c r="N127" s="40">
        <v>187.2</v>
      </c>
      <c r="O127" s="40">
        <v>281.60000000000002</v>
      </c>
      <c r="P127" s="40">
        <v>369.2</v>
      </c>
    </row>
    <row r="128" spans="1:16" ht="15" thickBot="1" x14ac:dyDescent="0.35">
      <c r="A128" s="14" t="s">
        <v>706</v>
      </c>
      <c r="B128" s="40">
        <v>0</v>
      </c>
      <c r="C128" s="40">
        <v>0</v>
      </c>
      <c r="D128" s="40">
        <v>0</v>
      </c>
      <c r="E128" s="40">
        <v>0</v>
      </c>
      <c r="F128" s="40">
        <v>0</v>
      </c>
      <c r="G128" s="40">
        <v>0</v>
      </c>
      <c r="H128" s="40">
        <v>0</v>
      </c>
      <c r="I128" s="40">
        <v>0</v>
      </c>
      <c r="J128" s="40">
        <v>0</v>
      </c>
      <c r="K128" s="40">
        <v>0</v>
      </c>
      <c r="L128" s="40">
        <v>0</v>
      </c>
      <c r="M128" s="40">
        <v>0</v>
      </c>
      <c r="N128" s="40">
        <v>62.7</v>
      </c>
      <c r="O128" s="40">
        <v>90.7</v>
      </c>
      <c r="P128" s="40">
        <v>118.3</v>
      </c>
    </row>
    <row r="129" spans="1:16" ht="15" thickBot="1" x14ac:dyDescent="0.35">
      <c r="A129" s="14" t="s">
        <v>705</v>
      </c>
      <c r="B129" s="40">
        <v>0.1</v>
      </c>
      <c r="C129" s="40">
        <v>0.6</v>
      </c>
      <c r="D129" s="40">
        <v>23.4</v>
      </c>
      <c r="E129" s="40">
        <v>0.9</v>
      </c>
      <c r="F129" s="40">
        <v>2.8</v>
      </c>
      <c r="G129" s="40">
        <v>2.7</v>
      </c>
      <c r="H129" s="40">
        <v>3.9</v>
      </c>
      <c r="I129" s="40">
        <v>6.4</v>
      </c>
      <c r="J129" s="40">
        <v>15.7</v>
      </c>
      <c r="K129" s="40">
        <v>33.1</v>
      </c>
      <c r="L129" s="40">
        <v>81.8</v>
      </c>
      <c r="M129" s="40">
        <v>47.7</v>
      </c>
      <c r="N129" s="40">
        <v>62.7</v>
      </c>
      <c r="O129" s="40">
        <v>90.7</v>
      </c>
      <c r="P129" s="40">
        <v>118.3</v>
      </c>
    </row>
    <row r="130" spans="1:16" ht="15" thickBot="1" x14ac:dyDescent="0.35">
      <c r="A130" s="14" t="s">
        <v>704</v>
      </c>
      <c r="B130" s="40">
        <v>0.2</v>
      </c>
      <c r="C130" s="40">
        <v>1</v>
      </c>
      <c r="D130" s="40">
        <v>3.7</v>
      </c>
      <c r="E130" s="40">
        <v>7.5</v>
      </c>
      <c r="F130" s="40">
        <v>11.3</v>
      </c>
      <c r="G130" s="40">
        <v>16.600000000000001</v>
      </c>
      <c r="H130" s="40">
        <v>25.1</v>
      </c>
      <c r="I130" s="40">
        <v>33.9</v>
      </c>
      <c r="J130" s="40">
        <v>29.9</v>
      </c>
      <c r="K130" s="40">
        <v>76.900000000000006</v>
      </c>
      <c r="L130" s="40">
        <v>100.2</v>
      </c>
      <c r="M130" s="40">
        <v>125.5</v>
      </c>
      <c r="N130" s="40">
        <v>187.2</v>
      </c>
      <c r="O130" s="40">
        <v>281.60000000000002</v>
      </c>
      <c r="P130" s="40">
        <v>369.2</v>
      </c>
    </row>
    <row r="131" spans="1:16" ht="15" thickBot="1" x14ac:dyDescent="0.35">
      <c r="A131" s="14" t="s">
        <v>703</v>
      </c>
      <c r="B131" s="40">
        <v>0</v>
      </c>
      <c r="C131" s="40">
        <v>0</v>
      </c>
      <c r="D131" s="40">
        <v>0</v>
      </c>
      <c r="E131" s="40">
        <v>0</v>
      </c>
      <c r="F131" s="40">
        <v>0</v>
      </c>
      <c r="G131" s="40">
        <v>0</v>
      </c>
      <c r="H131" s="40">
        <v>0</v>
      </c>
      <c r="I131" s="40">
        <v>0</v>
      </c>
      <c r="J131" s="40">
        <v>0</v>
      </c>
      <c r="K131" s="40">
        <v>0</v>
      </c>
      <c r="L131" s="40">
        <v>0</v>
      </c>
      <c r="M131" s="40">
        <v>0</v>
      </c>
      <c r="N131" s="40">
        <v>0</v>
      </c>
      <c r="O131" s="40">
        <v>0</v>
      </c>
      <c r="P131" s="40">
        <v>0</v>
      </c>
    </row>
    <row r="132" spans="1:16" ht="15" thickBot="1" x14ac:dyDescent="0.35">
      <c r="A132" s="14" t="s">
        <v>702</v>
      </c>
      <c r="B132" s="40">
        <v>0</v>
      </c>
      <c r="C132" s="40">
        <v>0</v>
      </c>
      <c r="D132" s="40">
        <v>0</v>
      </c>
      <c r="E132" s="40">
        <v>0</v>
      </c>
      <c r="F132" s="40">
        <v>0</v>
      </c>
      <c r="G132" s="40">
        <v>0</v>
      </c>
      <c r="H132" s="40">
        <v>0</v>
      </c>
      <c r="I132" s="40">
        <v>0</v>
      </c>
      <c r="J132" s="40">
        <v>0</v>
      </c>
      <c r="K132" s="40">
        <v>0</v>
      </c>
      <c r="L132" s="40">
        <v>0</v>
      </c>
      <c r="M132" s="40">
        <v>0</v>
      </c>
      <c r="N132" s="40">
        <v>0</v>
      </c>
      <c r="O132" s="40">
        <v>0</v>
      </c>
      <c r="P132" s="40">
        <v>0</v>
      </c>
    </row>
    <row r="133" spans="1:16" ht="15" thickBot="1" x14ac:dyDescent="0.35">
      <c r="A133" s="14" t="s">
        <v>701</v>
      </c>
      <c r="B133" s="40">
        <v>0</v>
      </c>
      <c r="C133" s="40">
        <v>0</v>
      </c>
      <c r="D133" s="40">
        <v>0</v>
      </c>
      <c r="E133" s="40">
        <v>0</v>
      </c>
      <c r="F133" s="40">
        <v>0</v>
      </c>
      <c r="G133" s="40">
        <v>0</v>
      </c>
      <c r="H133" s="40">
        <v>0</v>
      </c>
      <c r="I133" s="40">
        <v>0</v>
      </c>
      <c r="J133" s="40">
        <v>0</v>
      </c>
      <c r="K133" s="40">
        <v>0</v>
      </c>
      <c r="L133" s="40">
        <v>0</v>
      </c>
      <c r="M133" s="40">
        <v>0</v>
      </c>
      <c r="N133" s="40">
        <v>0</v>
      </c>
      <c r="O133" s="40">
        <v>0</v>
      </c>
      <c r="P133" s="40">
        <v>0</v>
      </c>
    </row>
    <row r="134" spans="1:16" ht="15" thickBot="1" x14ac:dyDescent="0.35">
      <c r="A134" s="14" t="s">
        <v>700</v>
      </c>
      <c r="B134" s="40">
        <v>0</v>
      </c>
      <c r="C134" s="40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40">
        <v>0</v>
      </c>
      <c r="O134" s="40">
        <v>0</v>
      </c>
      <c r="P134" s="40">
        <v>0</v>
      </c>
    </row>
    <row r="135" spans="1:16" ht="15" thickBot="1" x14ac:dyDescent="0.35">
      <c r="A135" s="14" t="s">
        <v>699</v>
      </c>
      <c r="B135" s="40">
        <v>0</v>
      </c>
      <c r="C135" s="40">
        <v>0</v>
      </c>
      <c r="D135" s="40">
        <v>0</v>
      </c>
      <c r="E135" s="40">
        <v>0</v>
      </c>
      <c r="F135" s="40">
        <v>0</v>
      </c>
      <c r="G135" s="40">
        <v>0</v>
      </c>
      <c r="H135" s="40">
        <v>0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0">
        <v>0</v>
      </c>
    </row>
    <row r="136" spans="1:16" ht="15" thickBot="1" x14ac:dyDescent="0.35">
      <c r="A136" s="14" t="s">
        <v>698</v>
      </c>
      <c r="B136" s="40">
        <v>0</v>
      </c>
      <c r="C136" s="40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0</v>
      </c>
      <c r="K136" s="40">
        <v>0</v>
      </c>
      <c r="L136" s="40">
        <v>3.2</v>
      </c>
      <c r="M136" s="40">
        <v>4.5</v>
      </c>
      <c r="N136" s="40">
        <v>3.8</v>
      </c>
      <c r="O136" s="40">
        <v>5.4</v>
      </c>
      <c r="P136" s="40">
        <v>5.2</v>
      </c>
    </row>
    <row r="137" spans="1:16" ht="15" thickBot="1" x14ac:dyDescent="0.35">
      <c r="A137" s="14" t="s">
        <v>697</v>
      </c>
      <c r="B137" s="40">
        <v>0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9.5</v>
      </c>
      <c r="M137" s="40">
        <v>15.2</v>
      </c>
      <c r="N137" s="40">
        <v>11.9</v>
      </c>
      <c r="O137" s="40">
        <v>19.100000000000001</v>
      </c>
      <c r="P137" s="40">
        <v>18.8</v>
      </c>
    </row>
    <row r="138" spans="1:16" ht="15" thickBot="1" x14ac:dyDescent="0.35">
      <c r="A138" s="14" t="s">
        <v>696</v>
      </c>
      <c r="B138" s="40">
        <v>0</v>
      </c>
      <c r="C138" s="40">
        <v>0</v>
      </c>
      <c r="D138" s="40">
        <v>0</v>
      </c>
      <c r="E138" s="40">
        <v>0</v>
      </c>
      <c r="F138" s="40">
        <v>0</v>
      </c>
      <c r="G138" s="40">
        <v>0</v>
      </c>
      <c r="H138" s="40">
        <v>0</v>
      </c>
      <c r="I138" s="40">
        <v>0</v>
      </c>
      <c r="J138" s="40">
        <v>0</v>
      </c>
      <c r="K138" s="40">
        <v>0</v>
      </c>
      <c r="L138" s="40">
        <v>0</v>
      </c>
      <c r="M138" s="40">
        <v>0</v>
      </c>
      <c r="N138" s="40">
        <v>0</v>
      </c>
      <c r="O138" s="40">
        <v>0</v>
      </c>
      <c r="P138" s="40">
        <v>0</v>
      </c>
    </row>
    <row r="139" spans="1:16" ht="15" thickBot="1" x14ac:dyDescent="0.35">
      <c r="A139" s="14" t="s">
        <v>695</v>
      </c>
      <c r="B139" s="40">
        <v>0</v>
      </c>
      <c r="C139" s="40">
        <v>0</v>
      </c>
      <c r="D139" s="40">
        <v>0</v>
      </c>
      <c r="E139" s="40">
        <v>0</v>
      </c>
      <c r="F139" s="40">
        <v>0</v>
      </c>
      <c r="G139" s="40">
        <v>0</v>
      </c>
      <c r="H139" s="40">
        <v>0</v>
      </c>
      <c r="I139" s="40">
        <v>0</v>
      </c>
      <c r="J139" s="40">
        <v>0</v>
      </c>
      <c r="K139" s="40">
        <v>0</v>
      </c>
      <c r="L139" s="40">
        <v>0</v>
      </c>
      <c r="M139" s="40">
        <v>0</v>
      </c>
      <c r="N139" s="40">
        <v>0</v>
      </c>
      <c r="O139" s="40">
        <v>0</v>
      </c>
      <c r="P139" s="40">
        <v>0</v>
      </c>
    </row>
    <row r="140" spans="1:16" ht="15" thickBot="1" x14ac:dyDescent="0.35">
      <c r="A140" s="14" t="s">
        <v>694</v>
      </c>
      <c r="B140" s="40">
        <v>0</v>
      </c>
      <c r="C140" s="40">
        <v>0</v>
      </c>
      <c r="D140" s="40">
        <v>0</v>
      </c>
      <c r="E140" s="40">
        <v>0</v>
      </c>
      <c r="F140" s="40">
        <v>0</v>
      </c>
      <c r="G140" s="40">
        <v>0</v>
      </c>
      <c r="H140" s="40">
        <v>0</v>
      </c>
      <c r="I140" s="40">
        <v>0</v>
      </c>
      <c r="J140" s="40">
        <v>0</v>
      </c>
      <c r="K140" s="40">
        <v>0</v>
      </c>
      <c r="L140" s="40">
        <v>0</v>
      </c>
      <c r="M140" s="40">
        <v>0</v>
      </c>
      <c r="N140" s="40">
        <v>0</v>
      </c>
      <c r="O140" s="40">
        <v>0</v>
      </c>
      <c r="P140" s="40">
        <v>0</v>
      </c>
    </row>
    <row r="141" spans="1:16" ht="15" thickBot="1" x14ac:dyDescent="0.35">
      <c r="A141" s="14" t="s">
        <v>693</v>
      </c>
      <c r="B141" s="40">
        <v>0</v>
      </c>
      <c r="C141" s="40">
        <v>0</v>
      </c>
      <c r="D141" s="40">
        <v>0</v>
      </c>
      <c r="E141" s="40">
        <v>0</v>
      </c>
      <c r="F141" s="40">
        <v>0</v>
      </c>
      <c r="G141" s="40">
        <v>0</v>
      </c>
      <c r="H141" s="40">
        <v>0</v>
      </c>
      <c r="I141" s="40">
        <v>0</v>
      </c>
      <c r="J141" s="40">
        <v>0</v>
      </c>
      <c r="K141" s="40">
        <v>0</v>
      </c>
      <c r="L141" s="40">
        <v>0</v>
      </c>
      <c r="M141" s="40">
        <v>0</v>
      </c>
      <c r="N141" s="40">
        <v>0</v>
      </c>
      <c r="O141" s="40">
        <v>0</v>
      </c>
      <c r="P141" s="40">
        <v>0</v>
      </c>
    </row>
    <row r="142" spans="1:16" ht="15" thickBot="1" x14ac:dyDescent="0.35">
      <c r="A142" s="14" t="s">
        <v>692</v>
      </c>
      <c r="B142" s="68">
        <v>0</v>
      </c>
      <c r="C142" s="68">
        <v>0</v>
      </c>
      <c r="D142" s="68">
        <v>0</v>
      </c>
      <c r="E142" s="68">
        <v>0</v>
      </c>
      <c r="F142" s="68">
        <v>0</v>
      </c>
      <c r="G142" s="68">
        <v>0</v>
      </c>
      <c r="H142" s="68">
        <v>0</v>
      </c>
      <c r="I142" s="68">
        <v>0</v>
      </c>
      <c r="J142" s="68">
        <v>0</v>
      </c>
      <c r="K142" s="68">
        <v>0</v>
      </c>
      <c r="L142" s="68">
        <v>0</v>
      </c>
      <c r="M142" s="68">
        <v>0</v>
      </c>
      <c r="N142" s="68">
        <v>0</v>
      </c>
      <c r="O142" s="68">
        <v>0</v>
      </c>
      <c r="P142" s="68">
        <v>0</v>
      </c>
    </row>
    <row r="143" spans="1:16" ht="15" thickBot="1" x14ac:dyDescent="0.35">
      <c r="A143" s="14" t="s">
        <v>691</v>
      </c>
      <c r="B143" s="68">
        <v>0</v>
      </c>
      <c r="C143" s="68">
        <v>0</v>
      </c>
      <c r="D143" s="68">
        <v>0</v>
      </c>
      <c r="E143" s="68">
        <v>0</v>
      </c>
      <c r="F143" s="68">
        <v>0</v>
      </c>
      <c r="G143" s="68">
        <v>0</v>
      </c>
      <c r="H143" s="68">
        <v>0</v>
      </c>
      <c r="I143" s="68">
        <v>0</v>
      </c>
      <c r="J143" s="68">
        <v>0</v>
      </c>
      <c r="K143" s="68">
        <v>0</v>
      </c>
      <c r="L143" s="68">
        <v>0</v>
      </c>
      <c r="M143" s="68">
        <v>0</v>
      </c>
      <c r="N143" s="68">
        <v>0</v>
      </c>
      <c r="O143" s="68">
        <v>0</v>
      </c>
      <c r="P143" s="68">
        <v>0</v>
      </c>
    </row>
    <row r="144" spans="1:16" ht="15" thickBot="1" x14ac:dyDescent="0.35">
      <c r="A144" s="14" t="s">
        <v>690</v>
      </c>
      <c r="B144" s="68">
        <v>0</v>
      </c>
      <c r="C144" s="68">
        <v>0</v>
      </c>
      <c r="D144" s="68">
        <v>0</v>
      </c>
      <c r="E144" s="68">
        <v>0</v>
      </c>
      <c r="F144" s="68">
        <v>0</v>
      </c>
      <c r="G144" s="68">
        <v>0</v>
      </c>
      <c r="H144" s="68">
        <v>0</v>
      </c>
      <c r="I144" s="68">
        <v>0</v>
      </c>
      <c r="J144" s="68">
        <v>0</v>
      </c>
      <c r="K144" s="68">
        <v>0</v>
      </c>
      <c r="L144" s="68">
        <v>0</v>
      </c>
      <c r="M144" s="68">
        <v>0</v>
      </c>
      <c r="N144" s="68">
        <v>0</v>
      </c>
      <c r="O144" s="68">
        <v>0</v>
      </c>
      <c r="P144" s="68">
        <v>0</v>
      </c>
    </row>
    <row r="145" spans="1:16" ht="15" thickBot="1" x14ac:dyDescent="0.35">
      <c r="A145" s="14" t="s">
        <v>689</v>
      </c>
      <c r="B145" s="40">
        <v>0</v>
      </c>
      <c r="C145" s="40">
        <v>0</v>
      </c>
      <c r="D145" s="40">
        <v>0</v>
      </c>
      <c r="E145" s="40">
        <v>0</v>
      </c>
      <c r="F145" s="40">
        <v>0</v>
      </c>
      <c r="G145" s="40">
        <v>0</v>
      </c>
      <c r="H145" s="40">
        <v>0</v>
      </c>
      <c r="I145" s="40">
        <v>0</v>
      </c>
      <c r="J145" s="40">
        <v>0</v>
      </c>
      <c r="K145" s="40">
        <v>0</v>
      </c>
      <c r="L145" s="40">
        <v>0</v>
      </c>
      <c r="M145" s="40">
        <v>0</v>
      </c>
      <c r="N145" s="40">
        <v>0</v>
      </c>
      <c r="O145" s="40">
        <v>0</v>
      </c>
      <c r="P145" s="40">
        <v>0</v>
      </c>
    </row>
    <row r="146" spans="1:16" ht="15" thickBot="1" x14ac:dyDescent="0.35">
      <c r="A146" s="14" t="s">
        <v>688</v>
      </c>
      <c r="B146" s="40">
        <v>0</v>
      </c>
      <c r="C146" s="40">
        <v>0</v>
      </c>
      <c r="D146" s="40">
        <v>0</v>
      </c>
      <c r="E146" s="40">
        <v>0</v>
      </c>
      <c r="F146" s="40">
        <v>0</v>
      </c>
      <c r="G146" s="40">
        <v>0</v>
      </c>
      <c r="H146" s="40">
        <v>0</v>
      </c>
      <c r="I146" s="40">
        <v>0</v>
      </c>
      <c r="J146" s="40">
        <v>0</v>
      </c>
      <c r="K146" s="40">
        <v>0</v>
      </c>
      <c r="L146" s="40">
        <v>0</v>
      </c>
      <c r="M146" s="40">
        <v>0</v>
      </c>
      <c r="N146" s="40">
        <v>0</v>
      </c>
      <c r="O146" s="40">
        <v>0</v>
      </c>
      <c r="P146" s="40">
        <v>0</v>
      </c>
    </row>
    <row r="147" spans="1:16" ht="15" thickBot="1" x14ac:dyDescent="0.35">
      <c r="A147" s="14" t="s">
        <v>687</v>
      </c>
      <c r="B147" s="40">
        <v>0</v>
      </c>
      <c r="C147" s="40">
        <v>0</v>
      </c>
      <c r="D147" s="40">
        <v>0</v>
      </c>
      <c r="E147" s="40">
        <v>0</v>
      </c>
      <c r="F147" s="40">
        <v>0</v>
      </c>
      <c r="G147" s="40">
        <v>0</v>
      </c>
      <c r="H147" s="40">
        <v>0</v>
      </c>
      <c r="I147" s="40">
        <v>0</v>
      </c>
      <c r="J147" s="40">
        <v>0</v>
      </c>
      <c r="K147" s="40">
        <v>0</v>
      </c>
      <c r="L147" s="40">
        <v>0</v>
      </c>
      <c r="M147" s="40">
        <v>0</v>
      </c>
      <c r="N147" s="40">
        <v>0</v>
      </c>
      <c r="O147" s="40">
        <v>0</v>
      </c>
      <c r="P147" s="40">
        <v>0</v>
      </c>
    </row>
    <row r="148" spans="1:16" ht="15" thickBot="1" x14ac:dyDescent="0.35">
      <c r="A148" s="14" t="s">
        <v>686</v>
      </c>
      <c r="B148" s="40">
        <v>0</v>
      </c>
      <c r="C148" s="40">
        <v>0</v>
      </c>
      <c r="D148" s="40">
        <v>0</v>
      </c>
      <c r="E148" s="40">
        <v>0</v>
      </c>
      <c r="F148" s="40">
        <v>0</v>
      </c>
      <c r="G148" s="40">
        <v>0</v>
      </c>
      <c r="H148" s="40">
        <v>0</v>
      </c>
      <c r="I148" s="40">
        <v>0</v>
      </c>
      <c r="J148" s="40">
        <v>0</v>
      </c>
      <c r="K148" s="40">
        <v>0</v>
      </c>
      <c r="L148" s="40">
        <v>0</v>
      </c>
      <c r="M148" s="40">
        <v>0</v>
      </c>
      <c r="N148" s="40">
        <v>0</v>
      </c>
      <c r="O148" s="40">
        <v>0</v>
      </c>
      <c r="P148" s="40">
        <v>0</v>
      </c>
    </row>
    <row r="149" spans="1:16" ht="15" thickBot="1" x14ac:dyDescent="0.35">
      <c r="A149" s="14" t="s">
        <v>685</v>
      </c>
      <c r="B149" s="40">
        <v>0</v>
      </c>
      <c r="C149" s="40">
        <v>0</v>
      </c>
      <c r="D149" s="40">
        <v>0</v>
      </c>
      <c r="E149" s="40">
        <v>0</v>
      </c>
      <c r="F149" s="40">
        <v>0</v>
      </c>
      <c r="G149" s="40">
        <v>0</v>
      </c>
      <c r="H149" s="40">
        <v>0</v>
      </c>
      <c r="I149" s="40">
        <v>0</v>
      </c>
      <c r="J149" s="40">
        <v>0</v>
      </c>
      <c r="K149" s="40">
        <v>0</v>
      </c>
      <c r="L149" s="40">
        <v>0</v>
      </c>
      <c r="M149" s="40">
        <v>0</v>
      </c>
      <c r="N149" s="40">
        <v>0</v>
      </c>
      <c r="O149" s="40">
        <v>0</v>
      </c>
      <c r="P149" s="40">
        <v>0</v>
      </c>
    </row>
    <row r="150" spans="1:16" ht="15" thickBot="1" x14ac:dyDescent="0.35">
      <c r="A150" s="14" t="s">
        <v>684</v>
      </c>
      <c r="B150" s="40">
        <v>0</v>
      </c>
      <c r="C150" s="40">
        <v>0</v>
      </c>
      <c r="D150" s="40">
        <v>0</v>
      </c>
      <c r="E150" s="40">
        <v>0</v>
      </c>
      <c r="F150" s="40">
        <v>0</v>
      </c>
      <c r="G150" s="40">
        <v>0</v>
      </c>
      <c r="H150" s="40">
        <v>0</v>
      </c>
      <c r="I150" s="40">
        <v>0</v>
      </c>
      <c r="J150" s="40">
        <v>0</v>
      </c>
      <c r="K150" s="40">
        <v>0</v>
      </c>
      <c r="L150" s="40">
        <v>0</v>
      </c>
      <c r="M150" s="40">
        <v>0</v>
      </c>
      <c r="N150" s="40">
        <v>0</v>
      </c>
      <c r="O150" s="40">
        <v>0</v>
      </c>
      <c r="P150" s="40">
        <v>0</v>
      </c>
    </row>
    <row r="151" spans="1:16" ht="15" thickBot="1" x14ac:dyDescent="0.35">
      <c r="A151" s="14" t="s">
        <v>683</v>
      </c>
      <c r="B151" s="40">
        <v>0</v>
      </c>
      <c r="C151" s="40">
        <v>0</v>
      </c>
      <c r="D151" s="40">
        <v>0</v>
      </c>
      <c r="E151" s="40">
        <v>0</v>
      </c>
      <c r="F151" s="40">
        <v>0</v>
      </c>
      <c r="G151" s="40">
        <v>0</v>
      </c>
      <c r="H151" s="40">
        <v>0</v>
      </c>
      <c r="I151" s="40">
        <v>0</v>
      </c>
      <c r="J151" s="40">
        <v>0</v>
      </c>
      <c r="K151" s="40">
        <v>0</v>
      </c>
      <c r="L151" s="40">
        <v>0</v>
      </c>
      <c r="M151" s="40">
        <v>0</v>
      </c>
      <c r="N151" s="40">
        <v>0</v>
      </c>
      <c r="O151" s="40">
        <v>0</v>
      </c>
      <c r="P151" s="40">
        <v>0</v>
      </c>
    </row>
    <row r="152" spans="1:16" ht="15" thickBot="1" x14ac:dyDescent="0.35">
      <c r="A152" s="14" t="s">
        <v>682</v>
      </c>
      <c r="B152" s="68">
        <v>0</v>
      </c>
      <c r="C152" s="68">
        <v>0</v>
      </c>
      <c r="D152" s="68">
        <v>0</v>
      </c>
      <c r="E152" s="68">
        <v>0</v>
      </c>
      <c r="F152" s="68">
        <v>0</v>
      </c>
      <c r="G152" s="68">
        <v>0</v>
      </c>
      <c r="H152" s="68">
        <v>0</v>
      </c>
      <c r="I152" s="68">
        <v>0</v>
      </c>
      <c r="J152" s="68">
        <v>0</v>
      </c>
      <c r="K152" s="68">
        <v>0</v>
      </c>
      <c r="L152" s="68">
        <v>0</v>
      </c>
      <c r="M152" s="68">
        <v>0</v>
      </c>
      <c r="N152" s="68">
        <v>0</v>
      </c>
      <c r="O152" s="68">
        <v>0</v>
      </c>
      <c r="P152" s="68">
        <v>0</v>
      </c>
    </row>
    <row r="153" spans="1:16" ht="15" thickBot="1" x14ac:dyDescent="0.35">
      <c r="A153" s="14" t="s">
        <v>681</v>
      </c>
      <c r="B153" s="68">
        <v>0</v>
      </c>
      <c r="C153" s="68">
        <v>0</v>
      </c>
      <c r="D153" s="68">
        <v>0</v>
      </c>
      <c r="E153" s="68">
        <v>0</v>
      </c>
      <c r="F153" s="68">
        <v>0</v>
      </c>
      <c r="G153" s="68">
        <v>0</v>
      </c>
      <c r="H153" s="68">
        <v>0</v>
      </c>
      <c r="I153" s="68">
        <v>0</v>
      </c>
      <c r="J153" s="68">
        <v>0</v>
      </c>
      <c r="K153" s="68">
        <v>0</v>
      </c>
      <c r="L153" s="68">
        <v>0</v>
      </c>
      <c r="M153" s="68">
        <v>0</v>
      </c>
      <c r="N153" s="68">
        <v>0</v>
      </c>
      <c r="O153" s="68">
        <v>0</v>
      </c>
      <c r="P153" s="68">
        <v>0</v>
      </c>
    </row>
    <row r="154" spans="1:16" ht="15" thickBot="1" x14ac:dyDescent="0.35">
      <c r="A154" s="14" t="s">
        <v>680</v>
      </c>
      <c r="B154" s="68">
        <v>0</v>
      </c>
      <c r="C154" s="68">
        <v>0</v>
      </c>
      <c r="D154" s="68">
        <v>0</v>
      </c>
      <c r="E154" s="68">
        <v>0</v>
      </c>
      <c r="F154" s="68">
        <v>0</v>
      </c>
      <c r="G154" s="68">
        <v>0</v>
      </c>
      <c r="H154" s="68">
        <v>0</v>
      </c>
      <c r="I154" s="68">
        <v>0</v>
      </c>
      <c r="J154" s="68">
        <v>0</v>
      </c>
      <c r="K154" s="68">
        <v>0</v>
      </c>
      <c r="L154" s="68">
        <v>0</v>
      </c>
      <c r="M154" s="68">
        <v>0</v>
      </c>
      <c r="N154" s="68">
        <v>0</v>
      </c>
      <c r="O154" s="68">
        <v>0</v>
      </c>
      <c r="P154" s="68">
        <v>0</v>
      </c>
    </row>
    <row r="155" spans="1:16" ht="15" thickBot="1" x14ac:dyDescent="0.35">
      <c r="A155" s="14" t="s">
        <v>679</v>
      </c>
      <c r="B155" s="68">
        <v>0</v>
      </c>
      <c r="C155" s="68">
        <v>0</v>
      </c>
      <c r="D155" s="68">
        <v>0</v>
      </c>
      <c r="E155" s="68">
        <v>0</v>
      </c>
      <c r="F155" s="68">
        <v>0</v>
      </c>
      <c r="G155" s="68">
        <v>0</v>
      </c>
      <c r="H155" s="68">
        <v>0</v>
      </c>
      <c r="I155" s="68">
        <v>0</v>
      </c>
      <c r="J155" s="68">
        <v>0</v>
      </c>
      <c r="K155" s="68">
        <v>0</v>
      </c>
      <c r="L155" s="68">
        <v>0</v>
      </c>
      <c r="M155" s="68">
        <v>0</v>
      </c>
      <c r="N155" s="68">
        <v>0</v>
      </c>
      <c r="O155" s="68">
        <v>0</v>
      </c>
      <c r="P155" s="68">
        <v>0</v>
      </c>
    </row>
    <row r="156" spans="1:16" ht="15" thickBot="1" x14ac:dyDescent="0.35">
      <c r="A156" s="14" t="s">
        <v>678</v>
      </c>
      <c r="B156" s="68">
        <v>0</v>
      </c>
      <c r="C156" s="68">
        <v>0</v>
      </c>
      <c r="D156" s="68">
        <v>0</v>
      </c>
      <c r="E156" s="68">
        <v>0</v>
      </c>
      <c r="F156" s="68">
        <v>0</v>
      </c>
      <c r="G156" s="68">
        <v>0</v>
      </c>
      <c r="H156" s="68">
        <v>0</v>
      </c>
      <c r="I156" s="68">
        <v>0</v>
      </c>
      <c r="J156" s="68">
        <v>0</v>
      </c>
      <c r="K156" s="68">
        <v>0</v>
      </c>
      <c r="L156" s="68">
        <v>0</v>
      </c>
      <c r="M156" s="68">
        <v>0</v>
      </c>
      <c r="N156" s="68">
        <v>0</v>
      </c>
      <c r="O156" s="68">
        <v>0</v>
      </c>
      <c r="P156" s="68">
        <v>0</v>
      </c>
    </row>
    <row r="157" spans="1:16" ht="15" thickBot="1" x14ac:dyDescent="0.35">
      <c r="A157" s="14" t="s">
        <v>677</v>
      </c>
      <c r="B157" s="40">
        <v>0</v>
      </c>
      <c r="C157" s="40">
        <v>0</v>
      </c>
      <c r="D157" s="40">
        <v>0</v>
      </c>
      <c r="E157" s="40">
        <v>0</v>
      </c>
      <c r="F157" s="40">
        <v>0</v>
      </c>
      <c r="G157" s="40">
        <v>0</v>
      </c>
      <c r="H157" s="40">
        <v>0</v>
      </c>
      <c r="I157" s="40">
        <v>0</v>
      </c>
      <c r="J157" s="40">
        <v>0</v>
      </c>
      <c r="K157" s="40">
        <v>0</v>
      </c>
      <c r="L157" s="40">
        <v>0</v>
      </c>
      <c r="M157" s="40">
        <v>0</v>
      </c>
      <c r="N157" s="40">
        <v>0</v>
      </c>
      <c r="O157" s="40">
        <v>0</v>
      </c>
      <c r="P157" s="40">
        <v>0</v>
      </c>
    </row>
    <row r="158" spans="1:16" ht="15" thickBot="1" x14ac:dyDescent="0.35">
      <c r="A158" s="14" t="s">
        <v>676</v>
      </c>
      <c r="B158" s="40">
        <v>0</v>
      </c>
      <c r="C158" s="40">
        <v>0</v>
      </c>
      <c r="D158" s="40">
        <v>0</v>
      </c>
      <c r="E158" s="40">
        <v>0</v>
      </c>
      <c r="F158" s="40">
        <v>0</v>
      </c>
      <c r="G158" s="40">
        <v>0</v>
      </c>
      <c r="H158" s="40">
        <v>0</v>
      </c>
      <c r="I158" s="40">
        <v>0</v>
      </c>
      <c r="J158" s="40">
        <v>0</v>
      </c>
      <c r="K158" s="40">
        <v>0</v>
      </c>
      <c r="L158" s="40">
        <v>0</v>
      </c>
      <c r="M158" s="40">
        <v>0</v>
      </c>
      <c r="N158" s="40">
        <v>0</v>
      </c>
      <c r="O158" s="40">
        <v>0</v>
      </c>
      <c r="P158" s="40">
        <v>0</v>
      </c>
    </row>
    <row r="159" spans="1:16" ht="15" thickBot="1" x14ac:dyDescent="0.35">
      <c r="A159" s="14" t="s">
        <v>675</v>
      </c>
      <c r="B159" s="40">
        <v>0</v>
      </c>
      <c r="C159" s="40">
        <v>0</v>
      </c>
      <c r="D159" s="40">
        <v>0</v>
      </c>
      <c r="E159" s="40">
        <v>0</v>
      </c>
      <c r="F159" s="40">
        <v>0</v>
      </c>
      <c r="G159" s="40">
        <v>0</v>
      </c>
      <c r="H159" s="40">
        <v>0</v>
      </c>
      <c r="I159" s="40">
        <v>0</v>
      </c>
      <c r="J159" s="40">
        <v>0</v>
      </c>
      <c r="K159" s="40">
        <v>0</v>
      </c>
      <c r="L159" s="40">
        <v>0</v>
      </c>
      <c r="M159" s="40">
        <v>0</v>
      </c>
      <c r="N159" s="40">
        <v>0</v>
      </c>
      <c r="O159" s="40">
        <v>0</v>
      </c>
      <c r="P159" s="40">
        <v>0</v>
      </c>
    </row>
    <row r="160" spans="1:16" ht="15" thickBot="1" x14ac:dyDescent="0.35">
      <c r="A160" s="14" t="s">
        <v>674</v>
      </c>
      <c r="B160" s="40">
        <v>0</v>
      </c>
      <c r="C160" s="40">
        <v>0</v>
      </c>
      <c r="D160" s="40">
        <v>0</v>
      </c>
      <c r="E160" s="40">
        <v>0</v>
      </c>
      <c r="F160" s="40">
        <v>0</v>
      </c>
      <c r="G160" s="40">
        <v>0</v>
      </c>
      <c r="H160" s="40">
        <v>0</v>
      </c>
      <c r="I160" s="40">
        <v>0</v>
      </c>
      <c r="J160" s="40">
        <v>0</v>
      </c>
      <c r="K160" s="40">
        <v>0</v>
      </c>
      <c r="L160" s="40">
        <v>0</v>
      </c>
      <c r="M160" s="40">
        <v>0</v>
      </c>
      <c r="N160" s="40">
        <v>0</v>
      </c>
      <c r="O160" s="40">
        <v>0</v>
      </c>
      <c r="P160" s="40">
        <v>0</v>
      </c>
    </row>
    <row r="161" spans="1:16" ht="15" thickBot="1" x14ac:dyDescent="0.35">
      <c r="A161" s="14" t="s">
        <v>673</v>
      </c>
      <c r="B161" s="40">
        <v>0</v>
      </c>
      <c r="C161" s="40">
        <v>0</v>
      </c>
      <c r="D161" s="40">
        <v>0</v>
      </c>
      <c r="E161" s="40">
        <v>0</v>
      </c>
      <c r="F161" s="40">
        <v>0</v>
      </c>
      <c r="G161" s="40">
        <v>0</v>
      </c>
      <c r="H161" s="40">
        <v>0</v>
      </c>
      <c r="I161" s="40">
        <v>0</v>
      </c>
      <c r="J161" s="40">
        <v>0</v>
      </c>
      <c r="K161" s="40">
        <v>0</v>
      </c>
      <c r="L161" s="40">
        <v>0</v>
      </c>
      <c r="M161" s="40">
        <v>0</v>
      </c>
      <c r="N161" s="40">
        <v>0</v>
      </c>
      <c r="O161" s="40">
        <v>0</v>
      </c>
      <c r="P161" s="40">
        <v>0</v>
      </c>
    </row>
    <row r="162" spans="1:16" ht="15" thickBot="1" x14ac:dyDescent="0.35">
      <c r="A162" s="14" t="s">
        <v>672</v>
      </c>
      <c r="B162" s="40">
        <v>0</v>
      </c>
      <c r="C162" s="40">
        <v>0</v>
      </c>
      <c r="D162" s="40">
        <v>0</v>
      </c>
      <c r="E162" s="40">
        <v>0</v>
      </c>
      <c r="F162" s="40">
        <v>0</v>
      </c>
      <c r="G162" s="40">
        <v>0</v>
      </c>
      <c r="H162" s="40">
        <v>0</v>
      </c>
      <c r="I162" s="40">
        <v>0</v>
      </c>
      <c r="J162" s="40">
        <v>0</v>
      </c>
      <c r="K162" s="40">
        <v>0</v>
      </c>
      <c r="L162" s="40">
        <v>0</v>
      </c>
      <c r="M162" s="40">
        <v>0</v>
      </c>
      <c r="N162" s="40">
        <v>0</v>
      </c>
      <c r="O162" s="40">
        <v>0</v>
      </c>
      <c r="P162" s="40">
        <v>0</v>
      </c>
    </row>
    <row r="163" spans="1:16" ht="15" thickBot="1" x14ac:dyDescent="0.35">
      <c r="A163" s="14" t="s">
        <v>671</v>
      </c>
      <c r="B163" s="40">
        <v>0</v>
      </c>
      <c r="C163" s="40">
        <v>0</v>
      </c>
      <c r="D163" s="40">
        <v>0</v>
      </c>
      <c r="E163" s="40">
        <v>0</v>
      </c>
      <c r="F163" s="40">
        <v>0</v>
      </c>
      <c r="G163" s="40">
        <v>0</v>
      </c>
      <c r="H163" s="40">
        <v>0</v>
      </c>
      <c r="I163" s="40">
        <v>0</v>
      </c>
      <c r="J163" s="40">
        <v>0</v>
      </c>
      <c r="K163" s="40">
        <v>0</v>
      </c>
      <c r="L163" s="40">
        <v>0</v>
      </c>
      <c r="M163" s="40">
        <v>0</v>
      </c>
      <c r="N163" s="40">
        <v>0</v>
      </c>
      <c r="O163" s="40">
        <v>0</v>
      </c>
      <c r="P163" s="40">
        <v>0</v>
      </c>
    </row>
    <row r="164" spans="1:16" ht="15" thickBot="1" x14ac:dyDescent="0.35">
      <c r="A164" s="14" t="s">
        <v>670</v>
      </c>
      <c r="B164" s="40">
        <v>15.2</v>
      </c>
      <c r="C164" s="40">
        <v>48.4</v>
      </c>
      <c r="D164" s="40">
        <v>70.599999999999994</v>
      </c>
      <c r="E164" s="40">
        <v>75.2</v>
      </c>
      <c r="F164" s="40">
        <v>73.900000000000006</v>
      </c>
      <c r="G164" s="40">
        <v>93.3</v>
      </c>
      <c r="H164" s="40">
        <v>81</v>
      </c>
      <c r="I164" s="40">
        <v>85.9</v>
      </c>
      <c r="J164" s="40">
        <v>104.4</v>
      </c>
      <c r="K164" s="40">
        <v>206</v>
      </c>
      <c r="L164" s="40">
        <v>467.6</v>
      </c>
      <c r="M164" s="40">
        <v>891.3</v>
      </c>
      <c r="N164" s="40">
        <v>1388.1</v>
      </c>
      <c r="O164" s="40">
        <v>2114.6</v>
      </c>
      <c r="P164" s="40">
        <v>2229.9</v>
      </c>
    </row>
    <row r="165" spans="1:16" ht="15" thickBot="1" x14ac:dyDescent="0.35">
      <c r="A165" s="14" t="s">
        <v>669</v>
      </c>
      <c r="B165" s="40">
        <v>0</v>
      </c>
      <c r="C165" s="40">
        <v>0</v>
      </c>
      <c r="D165" s="40">
        <v>0</v>
      </c>
      <c r="E165" s="40">
        <v>0</v>
      </c>
      <c r="F165" s="40">
        <v>0</v>
      </c>
      <c r="G165" s="40">
        <v>0</v>
      </c>
      <c r="H165" s="40">
        <v>0</v>
      </c>
      <c r="I165" s="40">
        <v>0</v>
      </c>
      <c r="J165" s="40">
        <v>0</v>
      </c>
      <c r="K165" s="40">
        <v>0</v>
      </c>
      <c r="L165" s="40">
        <v>0</v>
      </c>
      <c r="M165" s="40">
        <v>0</v>
      </c>
      <c r="N165" s="40">
        <v>0</v>
      </c>
      <c r="O165" s="40">
        <v>0</v>
      </c>
      <c r="P165" s="40">
        <v>0</v>
      </c>
    </row>
    <row r="166" spans="1:16" ht="15" thickBot="1" x14ac:dyDescent="0.35">
      <c r="A166" s="14" t="s">
        <v>668</v>
      </c>
      <c r="B166" s="40">
        <v>0</v>
      </c>
      <c r="C166" s="40">
        <v>0</v>
      </c>
      <c r="D166" s="40">
        <v>0</v>
      </c>
      <c r="E166" s="40">
        <v>0</v>
      </c>
      <c r="F166" s="40">
        <v>0</v>
      </c>
      <c r="G166" s="40">
        <v>0</v>
      </c>
      <c r="H166" s="40">
        <v>0</v>
      </c>
      <c r="I166" s="40">
        <v>0</v>
      </c>
      <c r="J166" s="40">
        <v>0</v>
      </c>
      <c r="K166" s="40">
        <v>0</v>
      </c>
      <c r="L166" s="40">
        <v>0</v>
      </c>
      <c r="M166" s="40">
        <v>0</v>
      </c>
      <c r="N166" s="40">
        <v>0</v>
      </c>
      <c r="O166" s="40">
        <v>0</v>
      </c>
      <c r="P166" s="40">
        <v>0</v>
      </c>
    </row>
    <row r="167" spans="1:16" ht="15" thickBot="1" x14ac:dyDescent="0.35">
      <c r="A167" s="14" t="s">
        <v>667</v>
      </c>
      <c r="B167" s="40">
        <v>0</v>
      </c>
      <c r="C167" s="40">
        <v>0</v>
      </c>
      <c r="D167" s="40">
        <v>0</v>
      </c>
      <c r="E167" s="40">
        <v>0</v>
      </c>
      <c r="F167" s="40">
        <v>0</v>
      </c>
      <c r="G167" s="40">
        <v>0</v>
      </c>
      <c r="H167" s="40">
        <v>0</v>
      </c>
      <c r="I167" s="40">
        <v>0</v>
      </c>
      <c r="J167" s="40">
        <v>0</v>
      </c>
      <c r="K167" s="40">
        <v>0</v>
      </c>
      <c r="L167" s="40">
        <v>0</v>
      </c>
      <c r="M167" s="40">
        <v>0</v>
      </c>
      <c r="N167" s="40">
        <v>0</v>
      </c>
      <c r="O167" s="40">
        <v>0</v>
      </c>
      <c r="P167" s="40">
        <v>0</v>
      </c>
    </row>
    <row r="168" spans="1:16" ht="15" thickBot="1" x14ac:dyDescent="0.35">
      <c r="A168" s="14" t="s">
        <v>666</v>
      </c>
      <c r="B168" s="40">
        <v>0</v>
      </c>
      <c r="C168" s="40">
        <v>0</v>
      </c>
      <c r="D168" s="40">
        <v>0</v>
      </c>
      <c r="E168" s="40">
        <v>0</v>
      </c>
      <c r="F168" s="40">
        <v>0</v>
      </c>
      <c r="G168" s="40">
        <v>0</v>
      </c>
      <c r="H168" s="40">
        <v>0</v>
      </c>
      <c r="I168" s="40">
        <v>0</v>
      </c>
      <c r="J168" s="40">
        <v>0</v>
      </c>
      <c r="K168" s="40">
        <v>0</v>
      </c>
      <c r="L168" s="40">
        <v>0</v>
      </c>
      <c r="M168" s="40">
        <v>0</v>
      </c>
      <c r="N168" s="40">
        <v>0</v>
      </c>
      <c r="O168" s="40">
        <v>0</v>
      </c>
      <c r="P168" s="40">
        <v>0</v>
      </c>
    </row>
    <row r="169" spans="1:16" ht="15" thickBot="1" x14ac:dyDescent="0.35">
      <c r="A169" s="14" t="s">
        <v>665</v>
      </c>
      <c r="B169" s="40">
        <v>0</v>
      </c>
      <c r="C169" s="40">
        <v>0</v>
      </c>
      <c r="D169" s="40">
        <v>0</v>
      </c>
      <c r="E169" s="40">
        <v>0</v>
      </c>
      <c r="F169" s="40">
        <v>0</v>
      </c>
      <c r="G169" s="40">
        <v>0</v>
      </c>
      <c r="H169" s="40">
        <v>0</v>
      </c>
      <c r="I169" s="40">
        <v>0</v>
      </c>
      <c r="J169" s="40">
        <v>0</v>
      </c>
      <c r="K169" s="40">
        <v>0</v>
      </c>
      <c r="L169" s="40">
        <v>0</v>
      </c>
      <c r="M169" s="40">
        <v>0</v>
      </c>
      <c r="N169" s="40">
        <v>0</v>
      </c>
      <c r="O169" s="40">
        <v>0</v>
      </c>
      <c r="P169" s="40">
        <v>0</v>
      </c>
    </row>
    <row r="170" spans="1:16" ht="15" thickBot="1" x14ac:dyDescent="0.35">
      <c r="A170" s="14" t="s">
        <v>664</v>
      </c>
      <c r="B170" s="40">
        <v>0</v>
      </c>
      <c r="C170" s="40">
        <v>0</v>
      </c>
      <c r="D170" s="40">
        <v>0</v>
      </c>
      <c r="E170" s="40">
        <v>0</v>
      </c>
      <c r="F170" s="40">
        <v>0</v>
      </c>
      <c r="G170" s="40">
        <v>0</v>
      </c>
      <c r="H170" s="40">
        <v>0</v>
      </c>
      <c r="I170" s="40">
        <v>0</v>
      </c>
      <c r="J170" s="40">
        <v>0</v>
      </c>
      <c r="K170" s="40">
        <v>0</v>
      </c>
      <c r="L170" s="40">
        <v>0</v>
      </c>
      <c r="M170" s="40">
        <v>0</v>
      </c>
      <c r="N170" s="40">
        <v>0</v>
      </c>
      <c r="O170" s="40">
        <v>0</v>
      </c>
      <c r="P170" s="40">
        <v>0</v>
      </c>
    </row>
    <row r="171" spans="1:16" ht="15" thickBot="1" x14ac:dyDescent="0.35">
      <c r="A171" s="14" t="s">
        <v>663</v>
      </c>
      <c r="B171" s="40">
        <v>0</v>
      </c>
      <c r="C171" s="40">
        <v>0</v>
      </c>
      <c r="D171" s="40">
        <v>0</v>
      </c>
      <c r="E171" s="40">
        <v>0</v>
      </c>
      <c r="F171" s="40">
        <v>0</v>
      </c>
      <c r="G171" s="40">
        <v>0</v>
      </c>
      <c r="H171" s="40">
        <v>0</v>
      </c>
      <c r="I171" s="40">
        <v>0</v>
      </c>
      <c r="J171" s="40">
        <v>0</v>
      </c>
      <c r="K171" s="40">
        <v>0</v>
      </c>
      <c r="L171" s="40">
        <v>0</v>
      </c>
      <c r="M171" s="40">
        <v>0</v>
      </c>
      <c r="N171" s="40">
        <v>0</v>
      </c>
      <c r="O171" s="40">
        <v>0</v>
      </c>
      <c r="P171" s="40">
        <v>0</v>
      </c>
    </row>
    <row r="172" spans="1:16" ht="15" thickBot="1" x14ac:dyDescent="0.35">
      <c r="A172" s="14" t="s">
        <v>662</v>
      </c>
      <c r="B172" s="40">
        <v>39.6</v>
      </c>
      <c r="C172" s="40">
        <v>60.5</v>
      </c>
      <c r="D172" s="40">
        <v>76</v>
      </c>
      <c r="E172" s="40">
        <v>-34.200000000000003</v>
      </c>
      <c r="F172" s="40">
        <v>-29.5</v>
      </c>
      <c r="G172" s="40">
        <v>-42</v>
      </c>
      <c r="H172" s="40">
        <v>-11.5</v>
      </c>
      <c r="I172" s="40">
        <v>16.100000000000001</v>
      </c>
      <c r="J172" s="40">
        <v>20.6</v>
      </c>
      <c r="K172" s="40">
        <v>3.5</v>
      </c>
      <c r="L172" s="40">
        <v>-145.9</v>
      </c>
      <c r="M172" s="40">
        <v>-348.5</v>
      </c>
      <c r="N172" s="40">
        <v>21</v>
      </c>
      <c r="O172" s="40">
        <v>-322.5</v>
      </c>
      <c r="P172" s="40">
        <v>-401.3</v>
      </c>
    </row>
    <row r="173" spans="1:16" ht="15" thickBot="1" x14ac:dyDescent="0.35">
      <c r="A173" s="14" t="s">
        <v>661</v>
      </c>
      <c r="B173" s="40">
        <v>-34.200000000000003</v>
      </c>
      <c r="C173" s="40">
        <v>-55.1</v>
      </c>
      <c r="D173" s="40">
        <v>-79.599999999999994</v>
      </c>
      <c r="E173" s="40">
        <v>56.7</v>
      </c>
      <c r="F173" s="40">
        <v>39.9</v>
      </c>
      <c r="G173" s="40">
        <v>41.4</v>
      </c>
      <c r="H173" s="40">
        <v>35.5</v>
      </c>
      <c r="I173" s="40">
        <v>-3.3</v>
      </c>
      <c r="J173" s="40">
        <v>-13.3</v>
      </c>
      <c r="K173" s="40">
        <v>-52.3</v>
      </c>
      <c r="L173" s="40">
        <v>216.9</v>
      </c>
      <c r="M173" s="40">
        <v>430.4</v>
      </c>
      <c r="N173" s="40">
        <v>151.19999999999999</v>
      </c>
      <c r="O173" s="40">
        <v>512.5</v>
      </c>
      <c r="P173" s="40">
        <v>700.5</v>
      </c>
    </row>
    <row r="174" spans="1:16" ht="15" thickBot="1" x14ac:dyDescent="0.35">
      <c r="A174" s="14" t="s">
        <v>660</v>
      </c>
      <c r="B174" s="40">
        <v>0</v>
      </c>
      <c r="C174" s="40">
        <v>0</v>
      </c>
      <c r="D174" s="40">
        <v>0</v>
      </c>
      <c r="E174" s="40">
        <v>0</v>
      </c>
      <c r="F174" s="40">
        <v>0</v>
      </c>
      <c r="G174" s="40">
        <v>0</v>
      </c>
      <c r="H174" s="40">
        <v>0</v>
      </c>
      <c r="I174" s="40">
        <v>0</v>
      </c>
      <c r="J174" s="40">
        <v>0</v>
      </c>
      <c r="K174" s="40">
        <v>0</v>
      </c>
      <c r="L174" s="40">
        <v>0</v>
      </c>
      <c r="M174" s="40">
        <v>0</v>
      </c>
      <c r="N174" s="40">
        <v>0</v>
      </c>
      <c r="O174" s="40">
        <v>0</v>
      </c>
      <c r="P174" s="40">
        <v>0</v>
      </c>
    </row>
    <row r="175" spans="1:16" ht="15" thickBot="1" x14ac:dyDescent="0.35">
      <c r="A175" s="14" t="s">
        <v>659</v>
      </c>
      <c r="B175" s="40">
        <v>0</v>
      </c>
      <c r="C175" s="40">
        <v>0</v>
      </c>
      <c r="D175" s="40">
        <v>0</v>
      </c>
      <c r="E175" s="40">
        <v>0</v>
      </c>
      <c r="F175" s="40">
        <v>0</v>
      </c>
      <c r="G175" s="40">
        <v>0</v>
      </c>
      <c r="H175" s="40">
        <v>0</v>
      </c>
      <c r="I175" s="40">
        <v>0</v>
      </c>
      <c r="J175" s="40">
        <v>0</v>
      </c>
      <c r="K175" s="40">
        <v>0</v>
      </c>
      <c r="L175" s="40">
        <v>0</v>
      </c>
      <c r="M175" s="40">
        <v>0</v>
      </c>
      <c r="N175" s="40">
        <v>0</v>
      </c>
      <c r="O175" s="40">
        <v>0</v>
      </c>
      <c r="P175" s="40">
        <v>0</v>
      </c>
    </row>
    <row r="176" spans="1:16" ht="15" thickBot="1" x14ac:dyDescent="0.35">
      <c r="A176" s="14" t="s">
        <v>658</v>
      </c>
      <c r="B176" s="40">
        <v>0</v>
      </c>
      <c r="C176" s="40">
        <v>0</v>
      </c>
      <c r="D176" s="40">
        <v>0</v>
      </c>
      <c r="E176" s="40">
        <v>0</v>
      </c>
      <c r="F176" s="40">
        <v>0</v>
      </c>
      <c r="G176" s="40">
        <v>0</v>
      </c>
      <c r="H176" s="40">
        <v>0</v>
      </c>
      <c r="I176" s="40">
        <v>0</v>
      </c>
      <c r="J176" s="40">
        <v>0</v>
      </c>
      <c r="K176" s="40">
        <v>0</v>
      </c>
      <c r="L176" s="40">
        <v>0</v>
      </c>
      <c r="M176" s="40">
        <v>0</v>
      </c>
      <c r="N176" s="40">
        <v>0</v>
      </c>
      <c r="O176" s="40">
        <v>0</v>
      </c>
      <c r="P176" s="40">
        <v>0</v>
      </c>
    </row>
    <row r="177" spans="1:16" ht="15" thickBot="1" x14ac:dyDescent="0.35">
      <c r="A177" s="14" t="s">
        <v>657</v>
      </c>
      <c r="B177" s="40">
        <v>0</v>
      </c>
      <c r="C177" s="40">
        <v>0</v>
      </c>
      <c r="D177" s="40">
        <v>0</v>
      </c>
      <c r="E177" s="40">
        <v>0</v>
      </c>
      <c r="F177" s="40">
        <v>0</v>
      </c>
      <c r="G177" s="40">
        <v>0</v>
      </c>
      <c r="H177" s="40">
        <v>0</v>
      </c>
      <c r="I177" s="40">
        <v>0</v>
      </c>
      <c r="J177" s="40">
        <v>0</v>
      </c>
      <c r="K177" s="40">
        <v>0</v>
      </c>
      <c r="L177" s="40">
        <v>0</v>
      </c>
      <c r="M177" s="40">
        <v>0</v>
      </c>
      <c r="N177" s="40">
        <v>0</v>
      </c>
      <c r="O177" s="40">
        <v>0</v>
      </c>
      <c r="P177" s="40">
        <v>0</v>
      </c>
    </row>
    <row r="178" spans="1:16" ht="15" thickBot="1" x14ac:dyDescent="0.35">
      <c r="A178" s="14" t="s">
        <v>656</v>
      </c>
      <c r="B178" s="40">
        <v>0</v>
      </c>
      <c r="C178" s="40">
        <v>0</v>
      </c>
      <c r="D178" s="40">
        <v>0</v>
      </c>
      <c r="E178" s="40">
        <v>0</v>
      </c>
      <c r="F178" s="40">
        <v>0</v>
      </c>
      <c r="G178" s="40">
        <v>0</v>
      </c>
      <c r="H178" s="40">
        <v>0</v>
      </c>
      <c r="I178" s="40">
        <v>0</v>
      </c>
      <c r="J178" s="40">
        <v>0</v>
      </c>
      <c r="K178" s="40">
        <v>0</v>
      </c>
      <c r="L178" s="40">
        <v>0</v>
      </c>
      <c r="M178" s="40">
        <v>0</v>
      </c>
      <c r="N178" s="40">
        <v>0</v>
      </c>
      <c r="O178" s="40">
        <v>0</v>
      </c>
      <c r="P178" s="40">
        <v>0</v>
      </c>
    </row>
    <row r="179" spans="1:16" ht="15" thickBot="1" x14ac:dyDescent="0.35">
      <c r="A179" s="14" t="s">
        <v>655</v>
      </c>
      <c r="B179" s="18">
        <v>0</v>
      </c>
      <c r="C179" s="18">
        <v>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</row>
    <row r="180" spans="1:16" ht="15" thickBot="1" x14ac:dyDescent="0.35">
      <c r="A180" s="14" t="s">
        <v>654</v>
      </c>
      <c r="B180" s="68">
        <v>0</v>
      </c>
      <c r="C180" s="68">
        <v>0</v>
      </c>
      <c r="D180" s="68">
        <v>0</v>
      </c>
      <c r="E180" s="68">
        <v>0</v>
      </c>
      <c r="F180" s="68">
        <v>0</v>
      </c>
      <c r="G180" s="68">
        <v>0</v>
      </c>
      <c r="H180" s="68">
        <v>0</v>
      </c>
      <c r="I180" s="68">
        <v>0</v>
      </c>
      <c r="J180" s="68">
        <v>0</v>
      </c>
      <c r="K180" s="68">
        <v>0</v>
      </c>
      <c r="L180" s="68">
        <v>0</v>
      </c>
      <c r="M180" s="68">
        <v>0</v>
      </c>
      <c r="N180" s="68">
        <v>0</v>
      </c>
      <c r="O180" s="68">
        <v>0</v>
      </c>
      <c r="P180" s="68">
        <v>0</v>
      </c>
    </row>
    <row r="181" spans="1:16" ht="15" thickBot="1" x14ac:dyDescent="0.35">
      <c r="A181" s="14" t="s">
        <v>653</v>
      </c>
      <c r="B181" s="68">
        <v>0</v>
      </c>
      <c r="C181" s="68">
        <v>0</v>
      </c>
      <c r="D181" s="68">
        <v>0</v>
      </c>
      <c r="E181" s="68">
        <v>0</v>
      </c>
      <c r="F181" s="68">
        <v>0</v>
      </c>
      <c r="G181" s="68">
        <v>0</v>
      </c>
      <c r="H181" s="68">
        <v>0</v>
      </c>
      <c r="I181" s="68">
        <v>0</v>
      </c>
      <c r="J181" s="68">
        <v>0</v>
      </c>
      <c r="K181" s="68">
        <v>0</v>
      </c>
      <c r="L181" s="68">
        <v>0</v>
      </c>
      <c r="M181" s="68">
        <v>0</v>
      </c>
      <c r="N181" s="68">
        <v>0</v>
      </c>
      <c r="O181" s="68">
        <v>0</v>
      </c>
      <c r="P181" s="68">
        <v>0</v>
      </c>
    </row>
    <row r="182" spans="1:16" ht="15" thickBot="1" x14ac:dyDescent="0.35">
      <c r="A182" s="14" t="s">
        <v>652</v>
      </c>
      <c r="B182" s="40">
        <v>0</v>
      </c>
      <c r="C182" s="40">
        <v>0</v>
      </c>
      <c r="D182" s="40">
        <v>0</v>
      </c>
      <c r="E182" s="40">
        <v>0</v>
      </c>
      <c r="F182" s="40">
        <v>0</v>
      </c>
      <c r="G182" s="40">
        <v>0</v>
      </c>
      <c r="H182" s="40">
        <v>0</v>
      </c>
      <c r="I182" s="40">
        <v>0</v>
      </c>
      <c r="J182" s="40">
        <v>0</v>
      </c>
      <c r="K182" s="40">
        <v>0</v>
      </c>
      <c r="L182" s="40">
        <v>0</v>
      </c>
      <c r="M182" s="40">
        <v>0</v>
      </c>
      <c r="N182" s="40">
        <v>0</v>
      </c>
      <c r="O182" s="40">
        <v>0</v>
      </c>
      <c r="P182" s="40">
        <v>0</v>
      </c>
    </row>
    <row r="183" spans="1:16" ht="15" thickBot="1" x14ac:dyDescent="0.35">
      <c r="A183" s="14" t="s">
        <v>651</v>
      </c>
      <c r="B183" s="40">
        <v>0</v>
      </c>
      <c r="C183" s="40">
        <v>0</v>
      </c>
      <c r="D183" s="40">
        <v>0</v>
      </c>
      <c r="E183" s="40">
        <v>0</v>
      </c>
      <c r="F183" s="40">
        <v>0</v>
      </c>
      <c r="G183" s="40">
        <v>0</v>
      </c>
      <c r="H183" s="40">
        <v>0</v>
      </c>
      <c r="I183" s="40">
        <v>0</v>
      </c>
      <c r="J183" s="40">
        <v>0</v>
      </c>
      <c r="K183" s="40">
        <v>0</v>
      </c>
      <c r="L183" s="40">
        <v>0</v>
      </c>
      <c r="M183" s="40">
        <v>0</v>
      </c>
      <c r="N183" s="40">
        <v>0</v>
      </c>
      <c r="O183" s="40">
        <v>0</v>
      </c>
      <c r="P183" s="40">
        <v>0</v>
      </c>
    </row>
    <row r="184" spans="1:16" ht="15" thickBot="1" x14ac:dyDescent="0.35">
      <c r="A184" s="14" t="s">
        <v>650</v>
      </c>
      <c r="B184" s="40">
        <v>0</v>
      </c>
      <c r="C184" s="40">
        <v>0</v>
      </c>
      <c r="D184" s="40">
        <v>0</v>
      </c>
      <c r="E184" s="40">
        <v>0</v>
      </c>
      <c r="F184" s="40">
        <v>0</v>
      </c>
      <c r="G184" s="40">
        <v>0</v>
      </c>
      <c r="H184" s="40">
        <v>0</v>
      </c>
      <c r="I184" s="40">
        <v>0</v>
      </c>
      <c r="J184" s="40">
        <v>0</v>
      </c>
      <c r="K184" s="40">
        <v>0</v>
      </c>
      <c r="L184" s="40">
        <v>0</v>
      </c>
      <c r="M184" s="40">
        <v>0</v>
      </c>
      <c r="N184" s="40">
        <v>0</v>
      </c>
      <c r="O184" s="40">
        <v>0</v>
      </c>
      <c r="P184" s="40">
        <v>0</v>
      </c>
    </row>
    <row r="185" spans="1:16" x14ac:dyDescent="0.3">
      <c r="A185" s="14" t="s">
        <v>649</v>
      </c>
      <c r="B185" s="40">
        <v>0</v>
      </c>
      <c r="C185" s="40">
        <v>0</v>
      </c>
      <c r="D185" s="40">
        <v>0</v>
      </c>
      <c r="E185" s="40">
        <v>0</v>
      </c>
      <c r="F185" s="40">
        <v>0</v>
      </c>
      <c r="G185" s="40">
        <v>0</v>
      </c>
      <c r="H185" s="40">
        <v>0</v>
      </c>
      <c r="I185" s="40">
        <v>0</v>
      </c>
      <c r="J185" s="40">
        <v>0</v>
      </c>
      <c r="K185" s="40">
        <v>0</v>
      </c>
      <c r="L185" s="40">
        <v>0</v>
      </c>
      <c r="M185" s="40">
        <v>0</v>
      </c>
      <c r="N185" s="40">
        <v>0</v>
      </c>
      <c r="O185" s="40">
        <v>0</v>
      </c>
      <c r="P185" s="40">
        <v>0</v>
      </c>
    </row>
    <row r="186" spans="1:16" ht="9.6" customHeight="1" thickBot="1" x14ac:dyDescent="0.35">
      <c r="A186" s="16" t="s">
        <v>410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</row>
    <row r="187" spans="1:16" ht="15" thickBot="1" x14ac:dyDescent="0.35">
      <c r="A187" s="67" t="s">
        <v>408</v>
      </c>
      <c r="B187" s="41">
        <v>0</v>
      </c>
      <c r="C187" s="41">
        <v>7.2</v>
      </c>
      <c r="D187" s="41">
        <v>36</v>
      </c>
      <c r="E187" s="41">
        <v>11.2</v>
      </c>
      <c r="F187" s="41">
        <v>0</v>
      </c>
      <c r="G187" s="41">
        <v>0</v>
      </c>
      <c r="H187" s="41">
        <v>0</v>
      </c>
      <c r="I187" s="41">
        <v>25</v>
      </c>
      <c r="J187" s="41">
        <v>50</v>
      </c>
      <c r="K187" s="41">
        <v>119.5</v>
      </c>
      <c r="L187" s="41">
        <v>138</v>
      </c>
      <c r="M187" s="41">
        <v>418.4</v>
      </c>
      <c r="N187" s="41">
        <v>1316</v>
      </c>
      <c r="O187" s="41">
        <v>0</v>
      </c>
      <c r="P187" s="41">
        <v>0</v>
      </c>
    </row>
    <row r="188" spans="1:16" ht="15" thickBot="1" x14ac:dyDescent="0.35">
      <c r="A188" s="66" t="s">
        <v>648</v>
      </c>
      <c r="B188" s="65">
        <v>0</v>
      </c>
      <c r="C188" s="65">
        <v>2.6</v>
      </c>
      <c r="D188" s="65">
        <v>5.0999999999999996</v>
      </c>
      <c r="E188" s="65">
        <v>2.4</v>
      </c>
      <c r="F188" s="65">
        <v>0</v>
      </c>
      <c r="G188" s="65">
        <v>0</v>
      </c>
      <c r="H188" s="65">
        <v>0</v>
      </c>
      <c r="I188" s="65">
        <v>3</v>
      </c>
      <c r="J188" s="65">
        <v>8.5</v>
      </c>
      <c r="K188" s="65">
        <v>27.9</v>
      </c>
      <c r="L188" s="65">
        <v>1.3</v>
      </c>
      <c r="M188" s="65">
        <v>62.8</v>
      </c>
      <c r="N188" s="65">
        <v>0.5</v>
      </c>
      <c r="O188" s="65">
        <v>0</v>
      </c>
      <c r="P188" s="65">
        <v>0</v>
      </c>
    </row>
    <row r="189" spans="1:16" ht="15" thickBot="1" x14ac:dyDescent="0.35">
      <c r="A189" s="66" t="s">
        <v>647</v>
      </c>
      <c r="B189" s="65">
        <v>0</v>
      </c>
      <c r="C189" s="65">
        <v>2.8</v>
      </c>
      <c r="D189" s="65">
        <v>6.7</v>
      </c>
      <c r="E189" s="65">
        <v>3.5</v>
      </c>
      <c r="F189" s="65">
        <v>0</v>
      </c>
      <c r="G189" s="65">
        <v>0</v>
      </c>
      <c r="H189" s="65">
        <v>0</v>
      </c>
      <c r="I189" s="65">
        <v>7.8</v>
      </c>
      <c r="J189" s="65">
        <v>25.3</v>
      </c>
      <c r="K189" s="65">
        <v>10.7</v>
      </c>
      <c r="L189" s="65">
        <v>1.3</v>
      </c>
      <c r="M189" s="65">
        <v>3.8</v>
      </c>
      <c r="N189" s="65">
        <v>0</v>
      </c>
      <c r="O189" s="65">
        <v>0</v>
      </c>
      <c r="P189" s="65">
        <v>0</v>
      </c>
    </row>
    <row r="190" spans="1:16" ht="15" thickBot="1" x14ac:dyDescent="0.35">
      <c r="A190" s="66" t="s">
        <v>646</v>
      </c>
      <c r="B190" s="65">
        <v>0</v>
      </c>
      <c r="C190" s="65">
        <v>1.9</v>
      </c>
      <c r="D190" s="65">
        <v>23.7</v>
      </c>
      <c r="E190" s="65">
        <v>3</v>
      </c>
      <c r="F190" s="65">
        <v>0</v>
      </c>
      <c r="G190" s="65">
        <v>0</v>
      </c>
      <c r="H190" s="65">
        <v>0</v>
      </c>
      <c r="I190" s="65">
        <v>8.6999999999999993</v>
      </c>
      <c r="J190" s="65">
        <v>16.100000000000001</v>
      </c>
      <c r="K190" s="65">
        <v>10.7</v>
      </c>
      <c r="L190" s="65">
        <v>1.3</v>
      </c>
      <c r="M190" s="65">
        <v>3.8</v>
      </c>
      <c r="N190" s="65">
        <v>0</v>
      </c>
      <c r="O190" s="65">
        <v>0</v>
      </c>
      <c r="P190" s="65">
        <v>0</v>
      </c>
    </row>
    <row r="191" spans="1:16" ht="15" thickBot="1" x14ac:dyDescent="0.35">
      <c r="A191" s="66" t="s">
        <v>409</v>
      </c>
      <c r="B191" s="65">
        <v>0</v>
      </c>
      <c r="C191" s="65">
        <v>0</v>
      </c>
      <c r="D191" s="65">
        <v>0.4</v>
      </c>
      <c r="E191" s="65">
        <v>2.2000000000000002</v>
      </c>
      <c r="F191" s="65">
        <v>0</v>
      </c>
      <c r="G191" s="65">
        <v>0</v>
      </c>
      <c r="H191" s="65">
        <v>0</v>
      </c>
      <c r="I191" s="65">
        <v>5.5</v>
      </c>
      <c r="J191" s="65">
        <v>0</v>
      </c>
      <c r="K191" s="65">
        <v>35.1</v>
      </c>
      <c r="L191" s="65">
        <v>67</v>
      </c>
      <c r="M191" s="65">
        <v>174</v>
      </c>
      <c r="N191" s="65">
        <v>0</v>
      </c>
      <c r="O191" s="65">
        <v>0</v>
      </c>
      <c r="P191" s="65">
        <v>0</v>
      </c>
    </row>
    <row r="192" spans="1:16" ht="15" thickBot="1" x14ac:dyDescent="0.35">
      <c r="A192" s="66" t="s">
        <v>645</v>
      </c>
      <c r="B192" s="65">
        <v>0</v>
      </c>
      <c r="C192" s="65">
        <v>0</v>
      </c>
      <c r="D192" s="65">
        <v>0</v>
      </c>
      <c r="E192" s="65">
        <v>0</v>
      </c>
      <c r="F192" s="65">
        <v>0</v>
      </c>
      <c r="G192" s="65">
        <v>0</v>
      </c>
      <c r="H192" s="65">
        <v>0</v>
      </c>
      <c r="I192" s="65">
        <v>0</v>
      </c>
      <c r="J192" s="65">
        <v>0</v>
      </c>
      <c r="K192" s="65">
        <v>35.1</v>
      </c>
      <c r="L192" s="65">
        <v>67</v>
      </c>
      <c r="M192" s="65">
        <v>174</v>
      </c>
      <c r="N192" s="65">
        <v>0</v>
      </c>
      <c r="O192" s="65">
        <v>0</v>
      </c>
      <c r="P192" s="65">
        <v>0</v>
      </c>
    </row>
    <row r="193" spans="1:16" ht="15" thickBot="1" x14ac:dyDescent="0.35">
      <c r="A193" s="66" t="s">
        <v>644</v>
      </c>
      <c r="B193" s="65">
        <v>0</v>
      </c>
      <c r="C193" s="65">
        <v>4.7</v>
      </c>
      <c r="D193" s="65">
        <v>30.4</v>
      </c>
      <c r="E193" s="65">
        <v>6.5</v>
      </c>
      <c r="F193" s="65">
        <v>0</v>
      </c>
      <c r="G193" s="65">
        <v>0</v>
      </c>
      <c r="H193" s="65">
        <v>0</v>
      </c>
      <c r="I193" s="65">
        <v>16.5</v>
      </c>
      <c r="J193" s="65">
        <v>41.5</v>
      </c>
      <c r="K193" s="65">
        <v>21.4</v>
      </c>
      <c r="L193" s="65">
        <v>2.6</v>
      </c>
      <c r="M193" s="65">
        <v>7.6</v>
      </c>
      <c r="N193" s="65">
        <v>0</v>
      </c>
      <c r="O193" s="65">
        <v>0</v>
      </c>
      <c r="P193" s="65">
        <v>0</v>
      </c>
    </row>
    <row r="194" spans="1:16" ht="15" thickBot="1" x14ac:dyDescent="0.35">
      <c r="A194" s="66" t="s">
        <v>643</v>
      </c>
      <c r="B194" s="65">
        <v>0</v>
      </c>
      <c r="C194" s="65">
        <v>0</v>
      </c>
      <c r="D194" s="65">
        <v>0.4</v>
      </c>
      <c r="E194" s="65">
        <v>2.2000000000000002</v>
      </c>
      <c r="F194" s="65">
        <v>0</v>
      </c>
      <c r="G194" s="65">
        <v>0</v>
      </c>
      <c r="H194" s="65">
        <v>0</v>
      </c>
      <c r="I194" s="65">
        <v>5.5</v>
      </c>
      <c r="J194" s="65">
        <v>0</v>
      </c>
      <c r="K194" s="65">
        <v>70.2</v>
      </c>
      <c r="L194" s="65">
        <v>134</v>
      </c>
      <c r="M194" s="65">
        <v>348</v>
      </c>
      <c r="N194" s="65">
        <v>0</v>
      </c>
      <c r="O194" s="65">
        <v>0</v>
      </c>
      <c r="P194" s="65">
        <v>0</v>
      </c>
    </row>
    <row r="195" spans="1:16" ht="15" thickBot="1" x14ac:dyDescent="0.35">
      <c r="A195" s="66" t="s">
        <v>642</v>
      </c>
      <c r="B195" s="65">
        <v>0</v>
      </c>
      <c r="C195" s="65">
        <v>0</v>
      </c>
      <c r="D195" s="65">
        <v>0</v>
      </c>
      <c r="E195" s="65">
        <v>0</v>
      </c>
      <c r="F195" s="65">
        <v>0</v>
      </c>
      <c r="G195" s="65">
        <v>0</v>
      </c>
      <c r="H195" s="65">
        <v>0</v>
      </c>
      <c r="I195" s="65">
        <v>0</v>
      </c>
      <c r="J195" s="65">
        <v>0</v>
      </c>
      <c r="K195" s="65">
        <v>0</v>
      </c>
      <c r="L195" s="65">
        <v>0</v>
      </c>
      <c r="M195" s="65">
        <v>0</v>
      </c>
      <c r="N195" s="65">
        <v>1315.5</v>
      </c>
      <c r="O195" s="65">
        <v>0</v>
      </c>
      <c r="P195" s="65">
        <v>0</v>
      </c>
    </row>
    <row r="196" spans="1:16" ht="15" thickBot="1" x14ac:dyDescent="0.35">
      <c r="A196" s="67" t="s">
        <v>407</v>
      </c>
      <c r="B196" s="41">
        <v>0</v>
      </c>
      <c r="C196" s="41">
        <v>0.1</v>
      </c>
      <c r="D196" s="41">
        <v>0.2</v>
      </c>
      <c r="E196" s="41">
        <v>0</v>
      </c>
      <c r="F196" s="41">
        <v>0</v>
      </c>
      <c r="G196" s="41">
        <v>0</v>
      </c>
      <c r="H196" s="41">
        <v>0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1">
        <v>0</v>
      </c>
    </row>
    <row r="197" spans="1:16" ht="15" thickBot="1" x14ac:dyDescent="0.35">
      <c r="A197" s="66" t="s">
        <v>641</v>
      </c>
      <c r="B197" s="65">
        <v>0</v>
      </c>
      <c r="C197" s="65">
        <v>0.1</v>
      </c>
      <c r="D197" s="65">
        <v>0.1</v>
      </c>
      <c r="E197" s="65">
        <v>0</v>
      </c>
      <c r="F197" s="65">
        <v>0</v>
      </c>
      <c r="G197" s="65">
        <v>0</v>
      </c>
      <c r="H197" s="65">
        <v>0</v>
      </c>
      <c r="I197" s="65">
        <v>0</v>
      </c>
      <c r="J197" s="65">
        <v>0</v>
      </c>
      <c r="K197" s="65">
        <v>0</v>
      </c>
      <c r="L197" s="65">
        <v>0</v>
      </c>
      <c r="M197" s="65">
        <v>0</v>
      </c>
      <c r="N197" s="65">
        <v>0</v>
      </c>
      <c r="O197" s="65">
        <v>0</v>
      </c>
      <c r="P197" s="65">
        <v>0</v>
      </c>
    </row>
    <row r="198" spans="1:16" ht="15" thickBot="1" x14ac:dyDescent="0.35">
      <c r="A198" s="66" t="s">
        <v>640</v>
      </c>
      <c r="B198" s="65">
        <v>0</v>
      </c>
      <c r="C198" s="65">
        <v>0</v>
      </c>
      <c r="D198" s="65">
        <v>0</v>
      </c>
      <c r="E198" s="65">
        <v>0</v>
      </c>
      <c r="F198" s="65">
        <v>0</v>
      </c>
      <c r="G198" s="65">
        <v>0</v>
      </c>
      <c r="H198" s="65">
        <v>0</v>
      </c>
      <c r="I198" s="65">
        <v>0</v>
      </c>
      <c r="J198" s="65">
        <v>0</v>
      </c>
      <c r="K198" s="65">
        <v>0</v>
      </c>
      <c r="L198" s="65">
        <v>0</v>
      </c>
      <c r="M198" s="65">
        <v>0</v>
      </c>
      <c r="N198" s="65">
        <v>0</v>
      </c>
      <c r="O198" s="65">
        <v>0</v>
      </c>
      <c r="P198" s="65">
        <v>0</v>
      </c>
    </row>
    <row r="199" spans="1:16" ht="15" thickBot="1" x14ac:dyDescent="0.35">
      <c r="A199" s="66" t="s">
        <v>639</v>
      </c>
      <c r="B199" s="65">
        <v>0</v>
      </c>
      <c r="C199" s="65">
        <v>0</v>
      </c>
      <c r="D199" s="65">
        <v>0</v>
      </c>
      <c r="E199" s="65">
        <v>0</v>
      </c>
      <c r="F199" s="65">
        <v>0</v>
      </c>
      <c r="G199" s="65">
        <v>0</v>
      </c>
      <c r="H199" s="65">
        <v>0</v>
      </c>
      <c r="I199" s="65">
        <v>0</v>
      </c>
      <c r="J199" s="65">
        <v>0</v>
      </c>
      <c r="K199" s="65">
        <v>0</v>
      </c>
      <c r="L199" s="65">
        <v>0</v>
      </c>
      <c r="M199" s="65">
        <v>0</v>
      </c>
      <c r="N199" s="65">
        <v>0</v>
      </c>
      <c r="O199" s="65">
        <v>0</v>
      </c>
      <c r="P199" s="65">
        <v>0</v>
      </c>
    </row>
    <row r="200" spans="1:16" ht="15" thickBot="1" x14ac:dyDescent="0.35">
      <c r="A200" s="66" t="s">
        <v>638</v>
      </c>
      <c r="B200" s="65">
        <v>0</v>
      </c>
      <c r="C200" s="65">
        <v>0</v>
      </c>
      <c r="D200" s="65">
        <v>0.1</v>
      </c>
      <c r="E200" s="65">
        <v>0</v>
      </c>
      <c r="F200" s="65">
        <v>0</v>
      </c>
      <c r="G200" s="65">
        <v>0</v>
      </c>
      <c r="H200" s="65">
        <v>0</v>
      </c>
      <c r="I200" s="65">
        <v>0</v>
      </c>
      <c r="J200" s="65">
        <v>0</v>
      </c>
      <c r="K200" s="65">
        <v>0</v>
      </c>
      <c r="L200" s="65">
        <v>0</v>
      </c>
      <c r="M200" s="65">
        <v>0</v>
      </c>
      <c r="N200" s="65">
        <v>0</v>
      </c>
      <c r="O200" s="65">
        <v>0</v>
      </c>
      <c r="P200" s="65">
        <v>0</v>
      </c>
    </row>
    <row r="201" spans="1:16" ht="15" thickBot="1" x14ac:dyDescent="0.35">
      <c r="A201" s="66" t="s">
        <v>637</v>
      </c>
      <c r="B201" s="65">
        <v>0</v>
      </c>
      <c r="C201" s="65">
        <v>0</v>
      </c>
      <c r="D201" s="65">
        <v>0</v>
      </c>
      <c r="E201" s="65">
        <v>0</v>
      </c>
      <c r="F201" s="65">
        <v>0</v>
      </c>
      <c r="G201" s="65">
        <v>0</v>
      </c>
      <c r="H201" s="65">
        <v>0</v>
      </c>
      <c r="I201" s="65">
        <v>0</v>
      </c>
      <c r="J201" s="65">
        <v>0</v>
      </c>
      <c r="K201" s="65">
        <v>0</v>
      </c>
      <c r="L201" s="65">
        <v>0</v>
      </c>
      <c r="M201" s="65">
        <v>0</v>
      </c>
      <c r="N201" s="65">
        <v>0</v>
      </c>
      <c r="O201" s="65">
        <v>0</v>
      </c>
      <c r="P201" s="65">
        <v>0</v>
      </c>
    </row>
    <row r="202" spans="1:16" ht="15" thickBot="1" x14ac:dyDescent="0.35">
      <c r="A202" s="67" t="s">
        <v>405</v>
      </c>
      <c r="B202" s="41">
        <v>0</v>
      </c>
      <c r="C202" s="41">
        <v>1.6</v>
      </c>
      <c r="D202" s="41">
        <v>15</v>
      </c>
      <c r="E202" s="41">
        <v>30.8</v>
      </c>
      <c r="F202" s="41">
        <v>14.1</v>
      </c>
      <c r="G202" s="41">
        <v>15.1</v>
      </c>
      <c r="H202" s="41">
        <v>18.100000000000001</v>
      </c>
      <c r="I202" s="41">
        <v>16</v>
      </c>
      <c r="J202" s="41">
        <v>15.2</v>
      </c>
      <c r="K202" s="41">
        <v>14.6</v>
      </c>
      <c r="L202" s="41">
        <v>12.7</v>
      </c>
      <c r="M202" s="41">
        <v>19.8</v>
      </c>
      <c r="N202" s="41">
        <v>15.8</v>
      </c>
      <c r="O202" s="41">
        <v>24.4</v>
      </c>
      <c r="P202" s="41">
        <v>24</v>
      </c>
    </row>
    <row r="203" spans="1:16" ht="15" thickBot="1" x14ac:dyDescent="0.35">
      <c r="A203" s="66" t="s">
        <v>636</v>
      </c>
      <c r="B203" s="65">
        <v>0</v>
      </c>
      <c r="C203" s="65">
        <v>0.6</v>
      </c>
      <c r="D203" s="65">
        <v>1.5</v>
      </c>
      <c r="E203" s="65">
        <v>1.7</v>
      </c>
      <c r="F203" s="65">
        <v>1.7</v>
      </c>
      <c r="G203" s="65">
        <v>2</v>
      </c>
      <c r="H203" s="65">
        <v>2.6</v>
      </c>
      <c r="I203" s="65">
        <v>2.8</v>
      </c>
      <c r="J203" s="65">
        <v>3</v>
      </c>
      <c r="K203" s="65">
        <v>3.7</v>
      </c>
      <c r="L203" s="65">
        <v>4.2</v>
      </c>
      <c r="M203" s="65">
        <v>5.8</v>
      </c>
      <c r="N203" s="65">
        <v>4.8</v>
      </c>
      <c r="O203" s="65">
        <v>6.8</v>
      </c>
      <c r="P203" s="65">
        <v>6.7</v>
      </c>
    </row>
    <row r="204" spans="1:16" ht="15" thickBot="1" x14ac:dyDescent="0.35">
      <c r="A204" s="66" t="s">
        <v>635</v>
      </c>
      <c r="B204" s="65">
        <v>0</v>
      </c>
      <c r="C204" s="65">
        <v>0.6</v>
      </c>
      <c r="D204" s="65">
        <v>1.4</v>
      </c>
      <c r="E204" s="65">
        <v>1.8</v>
      </c>
      <c r="F204" s="65">
        <v>1.7</v>
      </c>
      <c r="G204" s="65">
        <v>2.1</v>
      </c>
      <c r="H204" s="65">
        <v>2.7</v>
      </c>
      <c r="I204" s="65">
        <v>2.8</v>
      </c>
      <c r="J204" s="65">
        <v>3.1</v>
      </c>
      <c r="K204" s="65">
        <v>3.5</v>
      </c>
      <c r="L204" s="65">
        <v>4.2</v>
      </c>
      <c r="M204" s="65">
        <v>4.7</v>
      </c>
      <c r="N204" s="65">
        <v>4.2</v>
      </c>
      <c r="O204" s="65">
        <v>6</v>
      </c>
      <c r="P204" s="65">
        <v>6</v>
      </c>
    </row>
    <row r="205" spans="1:16" ht="15" thickBot="1" x14ac:dyDescent="0.35">
      <c r="A205" s="66" t="s">
        <v>634</v>
      </c>
      <c r="B205" s="65">
        <v>0</v>
      </c>
      <c r="C205" s="65">
        <v>0.4</v>
      </c>
      <c r="D205" s="65">
        <v>1.5</v>
      </c>
      <c r="E205" s="65">
        <v>1.8</v>
      </c>
      <c r="F205" s="65">
        <v>1.8</v>
      </c>
      <c r="G205" s="65">
        <v>1.9</v>
      </c>
      <c r="H205" s="65">
        <v>2.7</v>
      </c>
      <c r="I205" s="65">
        <v>2.8</v>
      </c>
      <c r="J205" s="65">
        <v>2.9</v>
      </c>
      <c r="K205" s="65">
        <v>3.3</v>
      </c>
      <c r="L205" s="65">
        <v>2.9</v>
      </c>
      <c r="M205" s="65">
        <v>4.0999999999999996</v>
      </c>
      <c r="N205" s="65">
        <v>3.2</v>
      </c>
      <c r="O205" s="65">
        <v>5.2</v>
      </c>
      <c r="P205" s="65">
        <v>4.3</v>
      </c>
    </row>
    <row r="206" spans="1:16" ht="15" thickBot="1" x14ac:dyDescent="0.35">
      <c r="A206" s="66" t="s">
        <v>633</v>
      </c>
      <c r="B206" s="65">
        <v>0</v>
      </c>
      <c r="C206" s="65">
        <v>0</v>
      </c>
      <c r="D206" s="65">
        <v>1.6</v>
      </c>
      <c r="E206" s="65">
        <v>1.9</v>
      </c>
      <c r="F206" s="65">
        <v>1.6</v>
      </c>
      <c r="G206" s="65">
        <v>2</v>
      </c>
      <c r="H206" s="65">
        <v>2.7</v>
      </c>
      <c r="I206" s="65">
        <v>2.7</v>
      </c>
      <c r="J206" s="65">
        <v>2.7</v>
      </c>
      <c r="K206" s="65">
        <v>1.8</v>
      </c>
      <c r="L206" s="65">
        <v>2.2000000000000002</v>
      </c>
      <c r="M206" s="65">
        <v>3.1</v>
      </c>
      <c r="N206" s="65">
        <v>2.4</v>
      </c>
      <c r="O206" s="65">
        <v>3.5</v>
      </c>
      <c r="P206" s="65">
        <v>2.9</v>
      </c>
    </row>
    <row r="207" spans="1:16" ht="15" thickBot="1" x14ac:dyDescent="0.35">
      <c r="A207" s="66" t="s">
        <v>406</v>
      </c>
      <c r="B207" s="65">
        <v>0</v>
      </c>
      <c r="C207" s="65">
        <v>0</v>
      </c>
      <c r="D207" s="65">
        <v>1.5</v>
      </c>
      <c r="E207" s="65">
        <v>7.4</v>
      </c>
      <c r="F207" s="65">
        <v>1.6</v>
      </c>
      <c r="G207" s="65">
        <v>2</v>
      </c>
      <c r="H207" s="65">
        <v>2.6</v>
      </c>
      <c r="I207" s="65">
        <v>2.7</v>
      </c>
      <c r="J207" s="65">
        <v>2</v>
      </c>
      <c r="K207" s="65">
        <v>0.9</v>
      </c>
      <c r="L207" s="65">
        <v>0.9</v>
      </c>
      <c r="M207" s="65">
        <v>2.2999999999999998</v>
      </c>
      <c r="N207" s="65">
        <v>1.4</v>
      </c>
      <c r="O207" s="65">
        <v>2.2999999999999998</v>
      </c>
      <c r="P207" s="65">
        <v>2.2999999999999998</v>
      </c>
    </row>
    <row r="208" spans="1:16" ht="15" thickBot="1" x14ac:dyDescent="0.35">
      <c r="A208" s="66" t="s">
        <v>632</v>
      </c>
      <c r="B208" s="65">
        <v>0</v>
      </c>
      <c r="C208" s="65">
        <v>1</v>
      </c>
      <c r="D208" s="65">
        <v>2.9</v>
      </c>
      <c r="E208" s="65">
        <v>3.6</v>
      </c>
      <c r="F208" s="65">
        <v>3.5</v>
      </c>
      <c r="G208" s="65">
        <v>4</v>
      </c>
      <c r="H208" s="65">
        <v>5.4</v>
      </c>
      <c r="I208" s="65">
        <v>5.6</v>
      </c>
      <c r="J208" s="65">
        <v>6</v>
      </c>
      <c r="K208" s="65">
        <v>6.8</v>
      </c>
      <c r="L208" s="65">
        <v>7.2</v>
      </c>
      <c r="M208" s="65">
        <v>8.6999999999999993</v>
      </c>
      <c r="N208" s="65">
        <v>7.4</v>
      </c>
      <c r="O208" s="65">
        <v>11.3</v>
      </c>
      <c r="P208" s="65">
        <v>10.199999999999999</v>
      </c>
    </row>
    <row r="209" spans="1:16" ht="15" thickBot="1" x14ac:dyDescent="0.35">
      <c r="A209" s="66" t="s">
        <v>631</v>
      </c>
      <c r="B209" s="65">
        <v>0</v>
      </c>
      <c r="C209" s="65">
        <v>0</v>
      </c>
      <c r="D209" s="65">
        <v>3.1</v>
      </c>
      <c r="E209" s="65">
        <v>9.1999999999999993</v>
      </c>
      <c r="F209" s="65">
        <v>3.2</v>
      </c>
      <c r="G209" s="65">
        <v>4</v>
      </c>
      <c r="H209" s="65">
        <v>5.3</v>
      </c>
      <c r="I209" s="65">
        <v>5.3</v>
      </c>
      <c r="J209" s="65">
        <v>4.7</v>
      </c>
      <c r="K209" s="65">
        <v>2.8</v>
      </c>
      <c r="L209" s="65">
        <v>3.1</v>
      </c>
      <c r="M209" s="65">
        <v>5.3</v>
      </c>
      <c r="N209" s="65">
        <v>3.8</v>
      </c>
      <c r="O209" s="65">
        <v>5.8</v>
      </c>
      <c r="P209" s="65">
        <v>5.2</v>
      </c>
    </row>
    <row r="210" spans="1:16" ht="15" thickBot="1" x14ac:dyDescent="0.35">
      <c r="A210" s="66" t="s">
        <v>630</v>
      </c>
      <c r="B210" s="65">
        <v>0</v>
      </c>
      <c r="C210" s="65">
        <v>0</v>
      </c>
      <c r="D210" s="65">
        <v>7.5</v>
      </c>
      <c r="E210" s="65">
        <v>16.2</v>
      </c>
      <c r="F210" s="65">
        <v>5.8</v>
      </c>
      <c r="G210" s="65">
        <v>5.0999999999999996</v>
      </c>
      <c r="H210" s="65">
        <v>4.8</v>
      </c>
      <c r="I210" s="65">
        <v>2.2999999999999998</v>
      </c>
      <c r="J210" s="65">
        <v>1.5</v>
      </c>
      <c r="K210" s="65">
        <v>1.3</v>
      </c>
      <c r="L210" s="65">
        <v>-1.7</v>
      </c>
      <c r="M210" s="65">
        <v>-0.2</v>
      </c>
      <c r="N210" s="65">
        <v>-0.2</v>
      </c>
      <c r="O210" s="65">
        <v>0.6</v>
      </c>
      <c r="P210" s="65">
        <v>1.8</v>
      </c>
    </row>
    <row r="211" spans="1:16" ht="15" thickBot="1" x14ac:dyDescent="0.35">
      <c r="A211" s="14" t="s">
        <v>629</v>
      </c>
      <c r="B211" s="40">
        <v>0</v>
      </c>
      <c r="C211" s="40">
        <v>0</v>
      </c>
      <c r="D211" s="40">
        <v>0</v>
      </c>
      <c r="E211" s="40">
        <v>0</v>
      </c>
      <c r="F211" s="40">
        <v>0</v>
      </c>
      <c r="G211" s="40">
        <v>0</v>
      </c>
      <c r="H211" s="40">
        <v>0</v>
      </c>
      <c r="I211" s="40">
        <v>0</v>
      </c>
      <c r="J211" s="40">
        <v>0</v>
      </c>
      <c r="K211" s="40">
        <v>0</v>
      </c>
      <c r="L211" s="40">
        <v>-2.5</v>
      </c>
      <c r="M211" s="40">
        <v>-4.0999999999999996</v>
      </c>
      <c r="N211" s="40">
        <v>-2.9</v>
      </c>
      <c r="O211" s="40">
        <v>-4.5</v>
      </c>
      <c r="P211" s="40">
        <v>-5.5</v>
      </c>
    </row>
    <row r="212" spans="1:16" ht="15" thickBot="1" x14ac:dyDescent="0.35">
      <c r="A212" s="14" t="s">
        <v>404</v>
      </c>
      <c r="B212" s="40">
        <v>0</v>
      </c>
      <c r="C212" s="40">
        <v>0</v>
      </c>
      <c r="D212" s="40">
        <v>0</v>
      </c>
      <c r="E212" s="40">
        <v>0</v>
      </c>
      <c r="F212" s="40">
        <v>0</v>
      </c>
      <c r="G212" s="40">
        <v>0</v>
      </c>
      <c r="H212" s="40">
        <v>0</v>
      </c>
      <c r="I212" s="40">
        <v>0</v>
      </c>
      <c r="J212" s="40">
        <v>0</v>
      </c>
      <c r="K212" s="40">
        <v>0</v>
      </c>
      <c r="L212" s="40">
        <v>0</v>
      </c>
      <c r="M212" s="40">
        <v>0</v>
      </c>
      <c r="N212" s="40">
        <v>0</v>
      </c>
      <c r="O212" s="40">
        <v>0</v>
      </c>
      <c r="P212" s="40">
        <v>0</v>
      </c>
    </row>
    <row r="213" spans="1:16" ht="15" thickBot="1" x14ac:dyDescent="0.35">
      <c r="A213" s="14" t="s">
        <v>403</v>
      </c>
      <c r="B213" s="40">
        <v>0</v>
      </c>
      <c r="C213" s="40">
        <v>0</v>
      </c>
      <c r="D213" s="40">
        <v>0</v>
      </c>
      <c r="E213" s="40">
        <v>0</v>
      </c>
      <c r="F213" s="40">
        <v>0</v>
      </c>
      <c r="G213" s="40">
        <v>0</v>
      </c>
      <c r="H213" s="40">
        <v>0</v>
      </c>
      <c r="I213" s="40">
        <v>0</v>
      </c>
      <c r="J213" s="40">
        <v>0</v>
      </c>
      <c r="K213" s="40">
        <v>0</v>
      </c>
      <c r="L213" s="40">
        <v>0</v>
      </c>
      <c r="M213" s="40">
        <v>0</v>
      </c>
      <c r="N213" s="40">
        <v>0</v>
      </c>
      <c r="O213" s="40">
        <v>0</v>
      </c>
      <c r="P213" s="40">
        <v>0</v>
      </c>
    </row>
    <row r="214" spans="1:16" ht="15" thickBot="1" x14ac:dyDescent="0.35">
      <c r="A214" s="14" t="s">
        <v>402</v>
      </c>
      <c r="B214" s="40">
        <v>0</v>
      </c>
      <c r="C214" s="40">
        <v>0</v>
      </c>
      <c r="D214" s="40">
        <v>0</v>
      </c>
      <c r="E214" s="40">
        <v>0</v>
      </c>
      <c r="F214" s="40">
        <v>0</v>
      </c>
      <c r="G214" s="40">
        <v>0</v>
      </c>
      <c r="H214" s="40">
        <v>0</v>
      </c>
      <c r="I214" s="40">
        <v>0</v>
      </c>
      <c r="J214" s="40">
        <v>0</v>
      </c>
      <c r="K214" s="40">
        <v>0</v>
      </c>
      <c r="L214" s="40">
        <v>0</v>
      </c>
      <c r="M214" s="40">
        <v>0</v>
      </c>
      <c r="N214" s="40">
        <v>0</v>
      </c>
      <c r="O214" s="40">
        <v>0</v>
      </c>
      <c r="P214" s="40">
        <v>0</v>
      </c>
    </row>
    <row r="215" spans="1:16" ht="15" thickBot="1" x14ac:dyDescent="0.35">
      <c r="A215" s="14" t="s">
        <v>401</v>
      </c>
      <c r="B215" s="40">
        <v>0</v>
      </c>
      <c r="C215" s="40">
        <v>0</v>
      </c>
      <c r="D215" s="40">
        <v>0</v>
      </c>
      <c r="E215" s="40">
        <v>0</v>
      </c>
      <c r="F215" s="40">
        <v>0</v>
      </c>
      <c r="G215" s="40">
        <v>0</v>
      </c>
      <c r="H215" s="40">
        <v>0</v>
      </c>
      <c r="I215" s="40">
        <v>0</v>
      </c>
      <c r="J215" s="40">
        <v>0</v>
      </c>
      <c r="K215" s="40">
        <v>0</v>
      </c>
      <c r="L215" s="40">
        <v>0</v>
      </c>
      <c r="M215" s="40">
        <v>0</v>
      </c>
      <c r="N215" s="40">
        <v>0</v>
      </c>
      <c r="O215" s="40">
        <v>0</v>
      </c>
      <c r="P215" s="40">
        <v>0</v>
      </c>
    </row>
    <row r="216" spans="1:16" ht="15" thickBot="1" x14ac:dyDescent="0.35">
      <c r="A216" s="14" t="s">
        <v>628</v>
      </c>
      <c r="B216" s="40">
        <v>0</v>
      </c>
      <c r="C216" s="40">
        <v>0</v>
      </c>
      <c r="D216" s="40">
        <v>0</v>
      </c>
      <c r="E216" s="40">
        <v>0</v>
      </c>
      <c r="F216" s="40">
        <v>0</v>
      </c>
      <c r="G216" s="40">
        <v>0</v>
      </c>
      <c r="H216" s="40">
        <v>0</v>
      </c>
      <c r="I216" s="40">
        <v>0</v>
      </c>
      <c r="J216" s="40">
        <v>0</v>
      </c>
      <c r="K216" s="40">
        <v>0</v>
      </c>
      <c r="L216" s="40">
        <v>0</v>
      </c>
      <c r="M216" s="40">
        <v>0</v>
      </c>
      <c r="N216" s="40">
        <v>0</v>
      </c>
      <c r="O216" s="40">
        <v>0</v>
      </c>
      <c r="P216" s="40">
        <v>0</v>
      </c>
    </row>
    <row r="217" spans="1:16" x14ac:dyDescent="0.3">
      <c r="A217" s="14" t="s">
        <v>627</v>
      </c>
      <c r="B217" s="40">
        <v>0</v>
      </c>
      <c r="C217" s="40">
        <v>0</v>
      </c>
      <c r="D217" s="40">
        <v>0</v>
      </c>
      <c r="E217" s="40">
        <v>0</v>
      </c>
      <c r="F217" s="40">
        <v>0</v>
      </c>
      <c r="G217" s="40">
        <v>0</v>
      </c>
      <c r="H217" s="40">
        <v>0</v>
      </c>
      <c r="I217" s="40">
        <v>0</v>
      </c>
      <c r="J217" s="40">
        <v>0</v>
      </c>
      <c r="K217" s="40">
        <v>0</v>
      </c>
      <c r="L217" s="40">
        <v>0</v>
      </c>
      <c r="M217" s="40">
        <v>0</v>
      </c>
      <c r="N217" s="40">
        <v>0</v>
      </c>
      <c r="O217" s="40">
        <v>0</v>
      </c>
      <c r="P217" s="40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A62A-BAED-4879-9455-1B40146A04A0}">
  <dimension ref="A1:Q76"/>
  <sheetViews>
    <sheetView showGridLines="0" topLeftCell="A18" workbookViewId="0">
      <selection activeCell="G19" sqref="G19"/>
    </sheetView>
  </sheetViews>
  <sheetFormatPr defaultRowHeight="14.4" x14ac:dyDescent="0.3"/>
  <cols>
    <col min="1" max="1" width="34.88671875" bestFit="1" customWidth="1"/>
    <col min="2" max="17" width="11.44140625" bestFit="1" customWidth="1"/>
  </cols>
  <sheetData>
    <row r="1" spans="1:17" x14ac:dyDescent="0.3">
      <c r="A1" s="39" t="s">
        <v>848</v>
      </c>
    </row>
    <row r="3" spans="1:17" x14ac:dyDescent="0.3">
      <c r="A3" s="38" t="s">
        <v>448</v>
      </c>
    </row>
    <row r="4" spans="1:17" ht="15" thickBot="1" x14ac:dyDescent="0.35">
      <c r="A4" s="38" t="s">
        <v>626</v>
      </c>
    </row>
    <row r="5" spans="1:17" ht="15" thickBot="1" x14ac:dyDescent="0.35">
      <c r="A5" s="69"/>
      <c r="B5" s="59">
        <v>2008</v>
      </c>
      <c r="C5" s="59">
        <v>2009</v>
      </c>
      <c r="D5" s="59">
        <v>2010</v>
      </c>
      <c r="E5" s="59">
        <v>2011</v>
      </c>
      <c r="F5" s="59">
        <v>2012</v>
      </c>
      <c r="G5" s="59">
        <v>2013</v>
      </c>
      <c r="H5" s="59">
        <v>2014</v>
      </c>
      <c r="I5" s="59">
        <v>2015</v>
      </c>
      <c r="J5" s="59">
        <v>2016</v>
      </c>
      <c r="K5" s="59">
        <v>2017</v>
      </c>
      <c r="L5" s="59">
        <v>2018</v>
      </c>
      <c r="M5" s="59">
        <v>2019</v>
      </c>
      <c r="N5" s="59">
        <v>2020</v>
      </c>
      <c r="O5" s="59">
        <v>2021</v>
      </c>
      <c r="P5" s="59">
        <v>2022</v>
      </c>
      <c r="Q5" s="59">
        <v>2023</v>
      </c>
    </row>
    <row r="6" spans="1:17" ht="11.4" customHeight="1" thickBot="1" x14ac:dyDescent="0.35">
      <c r="A6" s="29" t="s">
        <v>334</v>
      </c>
      <c r="B6" s="28" t="s">
        <v>333</v>
      </c>
      <c r="C6" s="28" t="s">
        <v>333</v>
      </c>
      <c r="D6" s="28" t="s">
        <v>333</v>
      </c>
      <c r="E6" s="23" t="s">
        <v>801</v>
      </c>
      <c r="F6" s="27" t="s">
        <v>331</v>
      </c>
      <c r="G6" s="23" t="s">
        <v>800</v>
      </c>
      <c r="H6" s="25" t="s">
        <v>313</v>
      </c>
      <c r="I6" s="27" t="s">
        <v>331</v>
      </c>
      <c r="J6" s="26" t="s">
        <v>330</v>
      </c>
      <c r="K6" s="26" t="s">
        <v>326</v>
      </c>
      <c r="L6" s="25" t="s">
        <v>315</v>
      </c>
      <c r="M6" s="25" t="s">
        <v>312</v>
      </c>
      <c r="N6" s="25" t="s">
        <v>316</v>
      </c>
      <c r="O6" s="25" t="s">
        <v>314</v>
      </c>
      <c r="P6" s="25" t="s">
        <v>312</v>
      </c>
      <c r="Q6" s="24" t="s">
        <v>310</v>
      </c>
    </row>
    <row r="7" spans="1:17" ht="15" thickBot="1" x14ac:dyDescent="0.35">
      <c r="A7" s="22" t="s">
        <v>307</v>
      </c>
      <c r="B7" s="21" t="s">
        <v>847</v>
      </c>
      <c r="C7" s="21" t="s">
        <v>303</v>
      </c>
      <c r="D7" s="21" t="s">
        <v>299</v>
      </c>
      <c r="E7" s="21" t="s">
        <v>295</v>
      </c>
      <c r="F7" s="21" t="s">
        <v>291</v>
      </c>
      <c r="G7" s="21" t="s">
        <v>287</v>
      </c>
      <c r="H7" s="21" t="s">
        <v>283</v>
      </c>
      <c r="I7" s="21" t="s">
        <v>279</v>
      </c>
      <c r="J7" s="21" t="s">
        <v>275</v>
      </c>
      <c r="K7" s="21" t="s">
        <v>271</v>
      </c>
      <c r="L7" s="21" t="s">
        <v>267</v>
      </c>
      <c r="M7" s="21" t="s">
        <v>263</v>
      </c>
      <c r="N7" s="21" t="s">
        <v>259</v>
      </c>
      <c r="O7" s="21" t="s">
        <v>255</v>
      </c>
      <c r="P7" s="21" t="s">
        <v>251</v>
      </c>
      <c r="Q7" s="21" t="s">
        <v>247</v>
      </c>
    </row>
    <row r="8" spans="1:17" ht="15" thickBot="1" x14ac:dyDescent="0.35">
      <c r="A8" s="22" t="s">
        <v>244</v>
      </c>
      <c r="B8" s="21" t="s">
        <v>447</v>
      </c>
      <c r="C8" s="21" t="s">
        <v>447</v>
      </c>
      <c r="D8" s="21" t="s">
        <v>447</v>
      </c>
      <c r="E8" s="21" t="s">
        <v>447</v>
      </c>
      <c r="F8" s="21" t="s">
        <v>447</v>
      </c>
      <c r="G8" s="21" t="s">
        <v>447</v>
      </c>
      <c r="H8" s="21" t="s">
        <v>447</v>
      </c>
      <c r="I8" s="21" t="s">
        <v>447</v>
      </c>
      <c r="J8" s="21" t="s">
        <v>447</v>
      </c>
      <c r="K8" s="21" t="s">
        <v>447</v>
      </c>
      <c r="L8" s="21" t="s">
        <v>447</v>
      </c>
      <c r="M8" s="21" t="s">
        <v>447</v>
      </c>
      <c r="N8" s="21" t="s">
        <v>447</v>
      </c>
      <c r="O8" s="21" t="s">
        <v>447</v>
      </c>
      <c r="P8" s="21" t="s">
        <v>447</v>
      </c>
      <c r="Q8" s="21" t="s">
        <v>447</v>
      </c>
    </row>
    <row r="9" spans="1:17" x14ac:dyDescent="0.3">
      <c r="A9" s="22" t="s">
        <v>242</v>
      </c>
      <c r="B9" s="21" t="s">
        <v>241</v>
      </c>
      <c r="C9" s="21" t="s">
        <v>241</v>
      </c>
      <c r="D9" s="21" t="s">
        <v>241</v>
      </c>
      <c r="E9" s="21" t="s">
        <v>241</v>
      </c>
      <c r="F9" s="21" t="s">
        <v>241</v>
      </c>
      <c r="G9" s="21" t="s">
        <v>241</v>
      </c>
      <c r="H9" s="21" t="s">
        <v>241</v>
      </c>
      <c r="I9" s="21" t="s">
        <v>241</v>
      </c>
      <c r="J9" s="21" t="s">
        <v>241</v>
      </c>
      <c r="K9" s="21" t="s">
        <v>241</v>
      </c>
      <c r="L9" s="21" t="s">
        <v>241</v>
      </c>
      <c r="M9" s="21" t="s">
        <v>241</v>
      </c>
      <c r="N9" s="21" t="s">
        <v>241</v>
      </c>
      <c r="O9" s="21" t="s">
        <v>241</v>
      </c>
      <c r="P9" s="21" t="s">
        <v>241</v>
      </c>
      <c r="Q9" s="21" t="s">
        <v>241</v>
      </c>
    </row>
    <row r="10" spans="1:17" ht="9.6" customHeight="1" thickBot="1" x14ac:dyDescent="0.35">
      <c r="A10" s="16" t="s">
        <v>446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ht="15" thickBot="1" x14ac:dyDescent="0.35">
      <c r="A11" s="14" t="s">
        <v>846</v>
      </c>
      <c r="B11" s="40">
        <v>-14.5</v>
      </c>
      <c r="C11" s="40">
        <v>-16.899999999999999</v>
      </c>
      <c r="D11" s="40">
        <v>-21.8</v>
      </c>
      <c r="E11" s="40">
        <v>-32.299999999999997</v>
      </c>
      <c r="F11" s="40">
        <v>-38.200000000000003</v>
      </c>
      <c r="G11" s="40">
        <v>-25.9</v>
      </c>
      <c r="H11" s="40">
        <v>-8.1</v>
      </c>
      <c r="I11" s="40">
        <v>-22.1</v>
      </c>
      <c r="J11" s="40">
        <v>-67.5</v>
      </c>
      <c r="K11" s="40">
        <v>-45.2</v>
      </c>
      <c r="L11" s="40">
        <v>-11.6</v>
      </c>
      <c r="M11" s="40">
        <v>161.1</v>
      </c>
      <c r="N11" s="40">
        <v>134</v>
      </c>
      <c r="O11" s="40">
        <v>145.4</v>
      </c>
      <c r="P11" s="40">
        <v>397.4</v>
      </c>
      <c r="Q11" s="40">
        <v>438.9</v>
      </c>
    </row>
    <row r="12" spans="1:17" ht="15" thickBot="1" x14ac:dyDescent="0.35">
      <c r="A12" s="67" t="s">
        <v>845</v>
      </c>
      <c r="B12" s="41">
        <v>0.3</v>
      </c>
      <c r="C12" s="41">
        <v>0.8</v>
      </c>
      <c r="D12" s="41">
        <v>1.6</v>
      </c>
      <c r="E12" s="41">
        <v>3</v>
      </c>
      <c r="F12" s="41">
        <v>5.6</v>
      </c>
      <c r="G12" s="41">
        <v>7</v>
      </c>
      <c r="H12" s="41">
        <v>8.3000000000000007</v>
      </c>
      <c r="I12" s="41">
        <v>10.5</v>
      </c>
      <c r="J12" s="41">
        <v>10.6</v>
      </c>
      <c r="K12" s="41">
        <v>9</v>
      </c>
      <c r="L12" s="41">
        <v>9.6999999999999993</v>
      </c>
      <c r="M12" s="41">
        <v>14.1</v>
      </c>
      <c r="N12" s="41">
        <v>18.100000000000001</v>
      </c>
      <c r="O12" s="41">
        <v>32.4</v>
      </c>
      <c r="P12" s="41">
        <v>58.8</v>
      </c>
      <c r="Q12" s="41">
        <v>74.7</v>
      </c>
    </row>
    <row r="13" spans="1:17" ht="15" thickBot="1" x14ac:dyDescent="0.35">
      <c r="A13" s="66" t="s">
        <v>445</v>
      </c>
      <c r="B13" s="65">
        <v>0.3</v>
      </c>
      <c r="C13" s="65">
        <v>0.8</v>
      </c>
      <c r="D13" s="65">
        <v>1.6</v>
      </c>
      <c r="E13" s="65">
        <v>3</v>
      </c>
      <c r="F13" s="65">
        <v>5.6</v>
      </c>
      <c r="G13" s="65">
        <v>7</v>
      </c>
      <c r="H13" s="65">
        <v>8.3000000000000007</v>
      </c>
      <c r="I13" s="65">
        <v>10.5</v>
      </c>
      <c r="J13" s="65">
        <v>10.6</v>
      </c>
      <c r="K13" s="65">
        <v>9</v>
      </c>
      <c r="L13" s="65">
        <v>9.6999999999999993</v>
      </c>
      <c r="M13" s="65">
        <v>14.1</v>
      </c>
      <c r="N13" s="65">
        <v>18.100000000000001</v>
      </c>
      <c r="O13" s="65">
        <v>32.4</v>
      </c>
      <c r="P13" s="65">
        <v>58.8</v>
      </c>
      <c r="Q13" s="65">
        <v>74.7</v>
      </c>
    </row>
    <row r="14" spans="1:17" ht="15" thickBot="1" x14ac:dyDescent="0.35">
      <c r="A14" s="14" t="s">
        <v>844</v>
      </c>
      <c r="B14" s="40" t="s">
        <v>86</v>
      </c>
      <c r="C14" s="40" t="s">
        <v>86</v>
      </c>
      <c r="D14" s="40" t="s">
        <v>86</v>
      </c>
      <c r="E14" s="40" t="s">
        <v>86</v>
      </c>
      <c r="F14" s="40" t="s">
        <v>86</v>
      </c>
      <c r="G14" s="40" t="s">
        <v>86</v>
      </c>
      <c r="H14" s="40" t="s">
        <v>86</v>
      </c>
      <c r="I14" s="40" t="s">
        <v>86</v>
      </c>
      <c r="J14" s="40" t="s">
        <v>86</v>
      </c>
      <c r="K14" s="40" t="s">
        <v>86</v>
      </c>
      <c r="L14" s="40" t="s">
        <v>86</v>
      </c>
      <c r="M14" s="40" t="s">
        <v>86</v>
      </c>
      <c r="N14" s="40" t="s">
        <v>86</v>
      </c>
      <c r="O14" s="40" t="s">
        <v>86</v>
      </c>
      <c r="P14" s="40" t="s">
        <v>86</v>
      </c>
      <c r="Q14" s="40" t="s">
        <v>86</v>
      </c>
    </row>
    <row r="15" spans="1:17" ht="15" thickBot="1" x14ac:dyDescent="0.35">
      <c r="A15" s="14" t="s">
        <v>82</v>
      </c>
      <c r="B15" s="40" t="s">
        <v>86</v>
      </c>
      <c r="C15" s="40" t="s">
        <v>86</v>
      </c>
      <c r="D15" s="40" t="s">
        <v>86</v>
      </c>
      <c r="E15" s="40" t="s">
        <v>86</v>
      </c>
      <c r="F15" s="40" t="s">
        <v>86</v>
      </c>
      <c r="G15" s="40" t="s">
        <v>86</v>
      </c>
      <c r="H15" s="40" t="s">
        <v>86</v>
      </c>
      <c r="I15" s="40">
        <v>0.6</v>
      </c>
      <c r="J15" s="40">
        <v>0.7</v>
      </c>
      <c r="K15" s="40">
        <v>-1.4</v>
      </c>
      <c r="L15" s="40">
        <v>0.1</v>
      </c>
      <c r="M15" s="40">
        <v>-73.400000000000006</v>
      </c>
      <c r="N15" s="40">
        <v>-17.100000000000001</v>
      </c>
      <c r="O15" s="40">
        <v>-31.2</v>
      </c>
      <c r="P15" s="40">
        <v>3.6</v>
      </c>
      <c r="Q15" s="40">
        <v>-43.3</v>
      </c>
    </row>
    <row r="16" spans="1:17" ht="15" thickBot="1" x14ac:dyDescent="0.35">
      <c r="A16" s="67" t="s">
        <v>843</v>
      </c>
      <c r="B16" s="41">
        <v>0.2</v>
      </c>
      <c r="C16" s="41">
        <v>0.5</v>
      </c>
      <c r="D16" s="41">
        <v>1.1000000000000001</v>
      </c>
      <c r="E16" s="41">
        <v>4.4000000000000004</v>
      </c>
      <c r="F16" s="41">
        <v>10.199999999999999</v>
      </c>
      <c r="G16" s="41">
        <v>8</v>
      </c>
      <c r="H16" s="41">
        <v>11.2</v>
      </c>
      <c r="I16" s="41">
        <v>13.1</v>
      </c>
      <c r="J16" s="41">
        <v>16.100000000000001</v>
      </c>
      <c r="K16" s="41">
        <v>10.6</v>
      </c>
      <c r="L16" s="41">
        <v>16.399999999999999</v>
      </c>
      <c r="M16" s="41">
        <v>35.799999999999997</v>
      </c>
      <c r="N16" s="41">
        <v>106</v>
      </c>
      <c r="O16" s="41">
        <v>190.3</v>
      </c>
      <c r="P16" s="41">
        <v>222.9</v>
      </c>
      <c r="Q16" s="41">
        <v>209.4</v>
      </c>
    </row>
    <row r="17" spans="1:17" ht="15" thickBot="1" x14ac:dyDescent="0.35">
      <c r="A17" s="66" t="s">
        <v>842</v>
      </c>
      <c r="B17" s="65">
        <v>0</v>
      </c>
      <c r="C17" s="65">
        <v>0</v>
      </c>
      <c r="D17" s="65">
        <v>0</v>
      </c>
      <c r="E17" s="65">
        <v>0</v>
      </c>
      <c r="F17" s="65">
        <v>0.1</v>
      </c>
      <c r="G17" s="65">
        <v>0.1</v>
      </c>
      <c r="H17" s="65">
        <v>0.2</v>
      </c>
      <c r="I17" s="65">
        <v>0.5</v>
      </c>
      <c r="J17" s="65">
        <v>2.6</v>
      </c>
      <c r="K17" s="65">
        <v>1.7</v>
      </c>
      <c r="L17" s="65">
        <v>1.6</v>
      </c>
      <c r="M17" s="65">
        <v>1.1000000000000001</v>
      </c>
      <c r="N17" s="65">
        <v>44.3</v>
      </c>
      <c r="O17" s="65">
        <v>-9.6</v>
      </c>
      <c r="P17" s="65">
        <v>0.5</v>
      </c>
      <c r="Q17" s="65">
        <v>2.5</v>
      </c>
    </row>
    <row r="18" spans="1:17" ht="15" thickBot="1" x14ac:dyDescent="0.35">
      <c r="A18" s="66" t="s">
        <v>841</v>
      </c>
      <c r="B18" s="65">
        <v>0.2</v>
      </c>
      <c r="C18" s="65">
        <v>0.5</v>
      </c>
      <c r="D18" s="65">
        <v>1.1000000000000001</v>
      </c>
      <c r="E18" s="65">
        <v>4.4000000000000004</v>
      </c>
      <c r="F18" s="65">
        <v>10.1</v>
      </c>
      <c r="G18" s="65">
        <v>8</v>
      </c>
      <c r="H18" s="65">
        <v>10.9</v>
      </c>
      <c r="I18" s="65">
        <v>12.5</v>
      </c>
      <c r="J18" s="65">
        <v>13.6</v>
      </c>
      <c r="K18" s="65">
        <v>8.9</v>
      </c>
      <c r="L18" s="65">
        <v>14.8</v>
      </c>
      <c r="M18" s="65">
        <v>34.6</v>
      </c>
      <c r="N18" s="65">
        <v>61.7</v>
      </c>
      <c r="O18" s="65">
        <v>199.9</v>
      </c>
      <c r="P18" s="65">
        <v>222.5</v>
      </c>
      <c r="Q18" s="65">
        <v>206.8</v>
      </c>
    </row>
    <row r="19" spans="1:17" ht="15" thickBot="1" x14ac:dyDescent="0.35">
      <c r="A19" s="67" t="s">
        <v>840</v>
      </c>
      <c r="B19" s="41">
        <v>1.7</v>
      </c>
      <c r="C19" s="41">
        <v>-3.3</v>
      </c>
      <c r="D19" s="41">
        <v>1.2</v>
      </c>
      <c r="E19" s="41">
        <v>24.5</v>
      </c>
      <c r="F19" s="41">
        <v>-22.2</v>
      </c>
      <c r="G19" s="41">
        <v>10</v>
      </c>
      <c r="H19" s="41">
        <v>12.8</v>
      </c>
      <c r="I19" s="41">
        <v>-23.3</v>
      </c>
      <c r="J19" s="41">
        <v>7.1</v>
      </c>
      <c r="K19" s="41">
        <v>-1.4</v>
      </c>
      <c r="L19" s="41">
        <v>1.5</v>
      </c>
      <c r="M19" s="41">
        <v>1.4</v>
      </c>
      <c r="N19" s="41">
        <v>-24.7</v>
      </c>
      <c r="O19" s="41">
        <v>15.1</v>
      </c>
      <c r="P19" s="41">
        <v>62.1</v>
      </c>
      <c r="Q19" s="41">
        <v>17.100000000000001</v>
      </c>
    </row>
    <row r="20" spans="1:17" ht="15" thickBot="1" x14ac:dyDescent="0.35">
      <c r="A20" s="66" t="s">
        <v>839</v>
      </c>
      <c r="B20" s="65">
        <v>-0.7</v>
      </c>
      <c r="C20" s="65">
        <v>-5.7</v>
      </c>
      <c r="D20" s="65">
        <v>-1.7</v>
      </c>
      <c r="E20" s="65">
        <v>-9.9</v>
      </c>
      <c r="F20" s="65">
        <v>-11</v>
      </c>
      <c r="G20" s="65">
        <v>-5</v>
      </c>
      <c r="H20" s="65">
        <v>-13.7</v>
      </c>
      <c r="I20" s="65">
        <v>-2.5</v>
      </c>
      <c r="J20" s="65">
        <v>-18</v>
      </c>
      <c r="K20" s="65">
        <v>-4.8</v>
      </c>
      <c r="L20" s="65">
        <v>-13.5</v>
      </c>
      <c r="M20" s="65">
        <v>-68.7</v>
      </c>
      <c r="N20" s="65">
        <v>-34.299999999999997</v>
      </c>
      <c r="O20" s="65">
        <v>-151.19999999999999</v>
      </c>
      <c r="P20" s="65">
        <v>-107.6</v>
      </c>
      <c r="Q20" s="65">
        <v>-12.5</v>
      </c>
    </row>
    <row r="21" spans="1:17" ht="15" thickBot="1" x14ac:dyDescent="0.35">
      <c r="A21" s="66" t="s">
        <v>838</v>
      </c>
      <c r="B21" s="65">
        <v>-0.7</v>
      </c>
      <c r="C21" s="65">
        <v>-0.7</v>
      </c>
      <c r="D21" s="65">
        <v>-3</v>
      </c>
      <c r="E21" s="65">
        <v>-6.7</v>
      </c>
      <c r="F21" s="65">
        <v>-8.6</v>
      </c>
      <c r="G21" s="65">
        <v>3.3</v>
      </c>
      <c r="H21" s="65">
        <v>-5</v>
      </c>
      <c r="I21" s="65">
        <v>-19.2</v>
      </c>
      <c r="J21" s="65">
        <v>8.8000000000000007</v>
      </c>
      <c r="K21" s="65">
        <v>6</v>
      </c>
      <c r="L21" s="65">
        <v>9.6999999999999993</v>
      </c>
      <c r="M21" s="65">
        <v>-15.8</v>
      </c>
      <c r="N21" s="65">
        <v>-9.6999999999999993</v>
      </c>
      <c r="O21" s="65">
        <v>-29.3</v>
      </c>
      <c r="P21" s="65">
        <v>-75.3</v>
      </c>
      <c r="Q21" s="65">
        <v>-63.9</v>
      </c>
    </row>
    <row r="22" spans="1:17" ht="15" thickBot="1" x14ac:dyDescent="0.35">
      <c r="A22" s="66" t="s">
        <v>789</v>
      </c>
      <c r="B22" s="65">
        <v>-0.1</v>
      </c>
      <c r="C22" s="65">
        <v>-0.1</v>
      </c>
      <c r="D22" s="65">
        <v>-0.3</v>
      </c>
      <c r="E22" s="65">
        <v>-1.6</v>
      </c>
      <c r="F22" s="65">
        <v>-0.7</v>
      </c>
      <c r="G22" s="65">
        <v>-1.5</v>
      </c>
      <c r="H22" s="65">
        <v>-2.5</v>
      </c>
      <c r="I22" s="65">
        <v>-5.3</v>
      </c>
      <c r="J22" s="65">
        <v>-4.8</v>
      </c>
      <c r="K22" s="65">
        <v>-1.2</v>
      </c>
      <c r="L22" s="65">
        <v>-3.1</v>
      </c>
      <c r="M22" s="65">
        <v>-14.3</v>
      </c>
      <c r="N22" s="65">
        <v>-14.6</v>
      </c>
      <c r="O22" s="65">
        <v>-26.9</v>
      </c>
      <c r="P22" s="65">
        <v>-68.400000000000006</v>
      </c>
      <c r="Q22" s="65">
        <v>-59.8</v>
      </c>
    </row>
    <row r="23" spans="1:17" ht="15" thickBot="1" x14ac:dyDescent="0.35">
      <c r="A23" s="66" t="s">
        <v>837</v>
      </c>
      <c r="B23" s="65" t="s">
        <v>86</v>
      </c>
      <c r="C23" s="65" t="s">
        <v>86</v>
      </c>
      <c r="D23" s="65" t="s">
        <v>86</v>
      </c>
      <c r="E23" s="65" t="s">
        <v>86</v>
      </c>
      <c r="F23" s="65" t="s">
        <v>86</v>
      </c>
      <c r="G23" s="65" t="s">
        <v>86</v>
      </c>
      <c r="H23" s="65" t="s">
        <v>86</v>
      </c>
      <c r="I23" s="65" t="s">
        <v>86</v>
      </c>
      <c r="J23" s="65" t="s">
        <v>86</v>
      </c>
      <c r="K23" s="65" t="s">
        <v>86</v>
      </c>
      <c r="L23" s="65">
        <v>-10</v>
      </c>
      <c r="M23" s="65">
        <v>0</v>
      </c>
      <c r="N23" s="65">
        <v>0</v>
      </c>
      <c r="O23" s="65" t="s">
        <v>86</v>
      </c>
      <c r="P23" s="65" t="s">
        <v>86</v>
      </c>
      <c r="Q23" s="65" t="s">
        <v>86</v>
      </c>
    </row>
    <row r="24" spans="1:17" ht="15" thickBot="1" x14ac:dyDescent="0.35">
      <c r="A24" s="66" t="s">
        <v>767</v>
      </c>
      <c r="B24" s="65">
        <v>3.1</v>
      </c>
      <c r="C24" s="65">
        <v>3.1</v>
      </c>
      <c r="D24" s="65">
        <v>4.9000000000000004</v>
      </c>
      <c r="E24" s="65">
        <v>17.3</v>
      </c>
      <c r="F24" s="65">
        <v>16.8</v>
      </c>
      <c r="G24" s="65">
        <v>7.6</v>
      </c>
      <c r="H24" s="65">
        <v>25.3</v>
      </c>
      <c r="I24" s="65">
        <v>-2.6</v>
      </c>
      <c r="J24" s="65">
        <v>8.9</v>
      </c>
      <c r="K24" s="65">
        <v>-5.0999999999999996</v>
      </c>
      <c r="L24" s="65">
        <v>23.1</v>
      </c>
      <c r="M24" s="65">
        <v>22.2</v>
      </c>
      <c r="N24" s="65">
        <v>35.700000000000003</v>
      </c>
      <c r="O24" s="65">
        <v>117.2</v>
      </c>
      <c r="P24" s="65">
        <v>133.4</v>
      </c>
      <c r="Q24" s="65">
        <v>-22.1</v>
      </c>
    </row>
    <row r="25" spans="1:17" ht="15" thickBot="1" x14ac:dyDescent="0.35">
      <c r="A25" s="66" t="s">
        <v>836</v>
      </c>
      <c r="B25" s="65">
        <v>0.2</v>
      </c>
      <c r="C25" s="65">
        <v>0.1</v>
      </c>
      <c r="D25" s="65">
        <v>1.4</v>
      </c>
      <c r="E25" s="65">
        <v>25.4</v>
      </c>
      <c r="F25" s="65">
        <v>-18.600000000000001</v>
      </c>
      <c r="G25" s="65">
        <v>5.6</v>
      </c>
      <c r="H25" s="65">
        <v>8.8000000000000007</v>
      </c>
      <c r="I25" s="65">
        <v>6.3</v>
      </c>
      <c r="J25" s="65">
        <v>12.1</v>
      </c>
      <c r="K25" s="65">
        <v>3.7</v>
      </c>
      <c r="L25" s="65">
        <v>-4.5999999999999996</v>
      </c>
      <c r="M25" s="65">
        <v>78.099999999999994</v>
      </c>
      <c r="N25" s="65">
        <v>-1.7</v>
      </c>
      <c r="O25" s="65">
        <v>105.2</v>
      </c>
      <c r="P25" s="65">
        <v>180</v>
      </c>
      <c r="Q25" s="65">
        <v>175.4</v>
      </c>
    </row>
    <row r="26" spans="1:17" ht="15" thickBot="1" x14ac:dyDescent="0.35">
      <c r="A26" s="14" t="s">
        <v>443</v>
      </c>
      <c r="B26" s="40">
        <v>-12.2</v>
      </c>
      <c r="C26" s="40">
        <v>-18.899999999999999</v>
      </c>
      <c r="D26" s="40">
        <v>-17.899999999999999</v>
      </c>
      <c r="E26" s="40">
        <v>-0.4</v>
      </c>
      <c r="F26" s="40">
        <v>-44.6</v>
      </c>
      <c r="G26" s="40">
        <v>-0.9</v>
      </c>
      <c r="H26" s="40">
        <v>24.2</v>
      </c>
      <c r="I26" s="40">
        <v>-21.2</v>
      </c>
      <c r="J26" s="40">
        <v>-33</v>
      </c>
      <c r="K26" s="40">
        <v>-28.4</v>
      </c>
      <c r="L26" s="40">
        <v>16.100000000000001</v>
      </c>
      <c r="M26" s="40">
        <v>139.1</v>
      </c>
      <c r="N26" s="40">
        <v>216.3</v>
      </c>
      <c r="O26" s="40">
        <v>352</v>
      </c>
      <c r="P26" s="40">
        <v>744.8</v>
      </c>
      <c r="Q26" s="40">
        <v>696.8</v>
      </c>
    </row>
    <row r="27" spans="1:17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 ht="9.6" customHeight="1" thickBot="1" x14ac:dyDescent="0.35">
      <c r="A28" s="16" t="s">
        <v>442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ht="15" thickBot="1" x14ac:dyDescent="0.35">
      <c r="A29" s="67" t="s">
        <v>835</v>
      </c>
      <c r="B29" s="41">
        <v>-2.5</v>
      </c>
      <c r="C29" s="41">
        <v>-2.2000000000000002</v>
      </c>
      <c r="D29" s="41">
        <v>-3.3</v>
      </c>
      <c r="E29" s="41">
        <v>-14.7</v>
      </c>
      <c r="F29" s="41">
        <v>-13</v>
      </c>
      <c r="G29" s="41">
        <v>-6.3</v>
      </c>
      <c r="H29" s="41">
        <v>-13.2</v>
      </c>
      <c r="I29" s="41">
        <v>-12.5</v>
      </c>
      <c r="J29" s="41">
        <v>-12.2</v>
      </c>
      <c r="K29" s="41">
        <v>-4.0999999999999996</v>
      </c>
      <c r="L29" s="41">
        <v>-4.2</v>
      </c>
      <c r="M29" s="41">
        <v>-14.8</v>
      </c>
      <c r="N29" s="41">
        <v>-20.6</v>
      </c>
      <c r="O29" s="41">
        <v>-52.5</v>
      </c>
      <c r="P29" s="41">
        <v>-46.4</v>
      </c>
      <c r="Q29" s="41">
        <v>-110.4</v>
      </c>
    </row>
    <row r="30" spans="1:17" ht="15" thickBot="1" x14ac:dyDescent="0.35">
      <c r="A30" s="66" t="s">
        <v>834</v>
      </c>
      <c r="B30" s="65">
        <v>-2.2999999999999998</v>
      </c>
      <c r="C30" s="65">
        <v>-2.1</v>
      </c>
      <c r="D30" s="65">
        <v>-3.3</v>
      </c>
      <c r="E30" s="65">
        <v>-14.7</v>
      </c>
      <c r="F30" s="65">
        <v>-13</v>
      </c>
      <c r="G30" s="65">
        <v>-6.3</v>
      </c>
      <c r="H30" s="65">
        <v>-13.2</v>
      </c>
      <c r="I30" s="65">
        <v>-12.5</v>
      </c>
      <c r="J30" s="65">
        <v>-12.2</v>
      </c>
      <c r="K30" s="65">
        <v>-4.0999999999999996</v>
      </c>
      <c r="L30" s="65">
        <v>-4.2</v>
      </c>
      <c r="M30" s="65">
        <v>-14.8</v>
      </c>
      <c r="N30" s="65">
        <v>-20.6</v>
      </c>
      <c r="O30" s="65">
        <v>-52.3</v>
      </c>
      <c r="P30" s="65">
        <v>-46.4</v>
      </c>
      <c r="Q30" s="65">
        <v>-110.4</v>
      </c>
    </row>
    <row r="31" spans="1:17" ht="15" thickBot="1" x14ac:dyDescent="0.35">
      <c r="A31" s="66" t="s">
        <v>833</v>
      </c>
      <c r="B31" s="65">
        <v>-0.2</v>
      </c>
      <c r="C31" s="65">
        <v>0</v>
      </c>
      <c r="D31" s="65">
        <v>0</v>
      </c>
      <c r="E31" s="65">
        <v>0</v>
      </c>
      <c r="F31" s="65" t="s">
        <v>86</v>
      </c>
      <c r="G31" s="65" t="s">
        <v>86</v>
      </c>
      <c r="H31" s="65" t="s">
        <v>86</v>
      </c>
      <c r="I31" s="65" t="s">
        <v>86</v>
      </c>
      <c r="J31" s="65" t="s">
        <v>86</v>
      </c>
      <c r="K31" s="65" t="s">
        <v>86</v>
      </c>
      <c r="L31" s="65" t="s">
        <v>86</v>
      </c>
      <c r="M31" s="65" t="s">
        <v>86</v>
      </c>
      <c r="N31" s="65" t="s">
        <v>86</v>
      </c>
      <c r="O31" s="65">
        <v>-0.3</v>
      </c>
      <c r="P31" s="65">
        <v>0</v>
      </c>
      <c r="Q31" s="65" t="s">
        <v>86</v>
      </c>
    </row>
    <row r="32" spans="1:17" ht="15" thickBot="1" x14ac:dyDescent="0.35">
      <c r="A32" s="67" t="s">
        <v>832</v>
      </c>
      <c r="B32" s="41">
        <v>-0.1</v>
      </c>
      <c r="C32" s="41">
        <v>0</v>
      </c>
      <c r="D32" s="41">
        <v>0</v>
      </c>
      <c r="E32" s="41">
        <v>0</v>
      </c>
      <c r="F32" s="41" t="s">
        <v>86</v>
      </c>
      <c r="G32" s="41" t="s">
        <v>86</v>
      </c>
      <c r="H32" s="41">
        <v>-3.3</v>
      </c>
      <c r="I32" s="41">
        <v>0.1</v>
      </c>
      <c r="J32" s="41">
        <v>0.4</v>
      </c>
      <c r="K32" s="41">
        <v>0</v>
      </c>
      <c r="L32" s="41">
        <v>-15</v>
      </c>
      <c r="M32" s="41">
        <v>0</v>
      </c>
      <c r="N32" s="41">
        <v>-5</v>
      </c>
      <c r="O32" s="41">
        <v>-1167</v>
      </c>
      <c r="P32" s="41">
        <v>-325.5</v>
      </c>
      <c r="Q32" s="41">
        <v>-256</v>
      </c>
    </row>
    <row r="33" spans="1:17" ht="15" thickBot="1" x14ac:dyDescent="0.35">
      <c r="A33" s="66" t="s">
        <v>831</v>
      </c>
      <c r="B33" s="65" t="s">
        <v>86</v>
      </c>
      <c r="C33" s="65" t="s">
        <v>86</v>
      </c>
      <c r="D33" s="65" t="s">
        <v>86</v>
      </c>
      <c r="E33" s="65" t="s">
        <v>86</v>
      </c>
      <c r="F33" s="65" t="s">
        <v>86</v>
      </c>
      <c r="G33" s="65" t="s">
        <v>86</v>
      </c>
      <c r="H33" s="65">
        <v>-2.2000000000000002</v>
      </c>
      <c r="I33" s="65">
        <v>0</v>
      </c>
      <c r="J33" s="65" t="s">
        <v>86</v>
      </c>
      <c r="K33" s="65" t="s">
        <v>86</v>
      </c>
      <c r="L33" s="65">
        <v>-15</v>
      </c>
      <c r="M33" s="65">
        <v>0</v>
      </c>
      <c r="N33" s="65">
        <v>0</v>
      </c>
      <c r="O33" s="65">
        <v>-235.7</v>
      </c>
      <c r="P33" s="65">
        <v>-62.2</v>
      </c>
      <c r="Q33" s="65" t="s">
        <v>86</v>
      </c>
    </row>
    <row r="34" spans="1:17" ht="15" thickBot="1" x14ac:dyDescent="0.35">
      <c r="A34" s="66" t="s">
        <v>830</v>
      </c>
      <c r="B34" s="65" t="s">
        <v>86</v>
      </c>
      <c r="C34" s="65" t="s">
        <v>86</v>
      </c>
      <c r="D34" s="65" t="s">
        <v>86</v>
      </c>
      <c r="E34" s="65" t="s">
        <v>86</v>
      </c>
      <c r="F34" s="65" t="s">
        <v>86</v>
      </c>
      <c r="G34" s="65" t="s">
        <v>86</v>
      </c>
      <c r="H34" s="65" t="s">
        <v>86</v>
      </c>
      <c r="I34" s="65" t="s">
        <v>86</v>
      </c>
      <c r="J34" s="65">
        <v>1.1000000000000001</v>
      </c>
      <c r="K34" s="65">
        <v>0</v>
      </c>
      <c r="L34" s="65">
        <v>0</v>
      </c>
      <c r="M34" s="65" t="s">
        <v>86</v>
      </c>
      <c r="N34" s="65" t="s">
        <v>86</v>
      </c>
      <c r="O34" s="65" t="s">
        <v>86</v>
      </c>
      <c r="P34" s="65" t="s">
        <v>86</v>
      </c>
      <c r="Q34" s="65">
        <v>0</v>
      </c>
    </row>
    <row r="35" spans="1:17" ht="15" thickBot="1" x14ac:dyDescent="0.35">
      <c r="A35" s="66" t="s">
        <v>829</v>
      </c>
      <c r="B35" s="65" t="s">
        <v>86</v>
      </c>
      <c r="C35" s="65" t="s">
        <v>86</v>
      </c>
      <c r="D35" s="65" t="s">
        <v>86</v>
      </c>
      <c r="E35" s="65" t="s">
        <v>86</v>
      </c>
      <c r="F35" s="65" t="s">
        <v>86</v>
      </c>
      <c r="G35" s="65" t="s">
        <v>86</v>
      </c>
      <c r="H35" s="65" t="s">
        <v>86</v>
      </c>
      <c r="I35" s="65" t="s">
        <v>86</v>
      </c>
      <c r="J35" s="65" t="s">
        <v>86</v>
      </c>
      <c r="K35" s="65" t="s">
        <v>86</v>
      </c>
      <c r="L35" s="65" t="s">
        <v>86</v>
      </c>
      <c r="M35" s="65" t="s">
        <v>86</v>
      </c>
      <c r="N35" s="65" t="s">
        <v>86</v>
      </c>
      <c r="O35" s="65">
        <v>61.6</v>
      </c>
      <c r="P35" s="65">
        <v>660.1</v>
      </c>
      <c r="Q35" s="65">
        <v>1840.5</v>
      </c>
    </row>
    <row r="36" spans="1:17" ht="15" thickBot="1" x14ac:dyDescent="0.35">
      <c r="A36" s="66" t="s">
        <v>828</v>
      </c>
      <c r="B36" s="65" t="s">
        <v>86</v>
      </c>
      <c r="C36" s="65" t="s">
        <v>86</v>
      </c>
      <c r="D36" s="65" t="s">
        <v>86</v>
      </c>
      <c r="E36" s="65" t="s">
        <v>86</v>
      </c>
      <c r="F36" s="65" t="s">
        <v>86</v>
      </c>
      <c r="G36" s="65" t="s">
        <v>86</v>
      </c>
      <c r="H36" s="65" t="s">
        <v>86</v>
      </c>
      <c r="I36" s="65" t="s">
        <v>86</v>
      </c>
      <c r="J36" s="65" t="s">
        <v>86</v>
      </c>
      <c r="K36" s="65" t="s">
        <v>86</v>
      </c>
      <c r="L36" s="65" t="s">
        <v>86</v>
      </c>
      <c r="M36" s="65" t="s">
        <v>86</v>
      </c>
      <c r="N36" s="65">
        <v>-5</v>
      </c>
      <c r="O36" s="65">
        <v>-993</v>
      </c>
      <c r="P36" s="65">
        <v>-923.4</v>
      </c>
      <c r="Q36" s="65">
        <v>-2096.4</v>
      </c>
    </row>
    <row r="37" spans="1:17" ht="15" thickBot="1" x14ac:dyDescent="0.35">
      <c r="A37" s="66" t="s">
        <v>827</v>
      </c>
      <c r="B37" s="65" t="s">
        <v>86</v>
      </c>
      <c r="C37" s="65" t="s">
        <v>86</v>
      </c>
      <c r="D37" s="65" t="s">
        <v>86</v>
      </c>
      <c r="E37" s="65" t="s">
        <v>86</v>
      </c>
      <c r="F37" s="65" t="s">
        <v>86</v>
      </c>
      <c r="G37" s="65" t="s">
        <v>86</v>
      </c>
      <c r="H37" s="65">
        <v>-0.8</v>
      </c>
      <c r="I37" s="65">
        <v>-0.2</v>
      </c>
      <c r="J37" s="65">
        <v>-0.7</v>
      </c>
      <c r="K37" s="65">
        <v>0</v>
      </c>
      <c r="L37" s="65">
        <v>0</v>
      </c>
      <c r="M37" s="65" t="s">
        <v>86</v>
      </c>
      <c r="N37" s="65" t="s">
        <v>86</v>
      </c>
      <c r="O37" s="65" t="s">
        <v>86</v>
      </c>
      <c r="P37" s="65" t="s">
        <v>86</v>
      </c>
      <c r="Q37" s="65" t="s">
        <v>86</v>
      </c>
    </row>
    <row r="38" spans="1:17" ht="15" thickBot="1" x14ac:dyDescent="0.35">
      <c r="A38" s="66" t="s">
        <v>826</v>
      </c>
      <c r="B38" s="65">
        <v>-0.1</v>
      </c>
      <c r="C38" s="65">
        <v>0</v>
      </c>
      <c r="D38" s="65">
        <v>0</v>
      </c>
      <c r="E38" s="65">
        <v>0</v>
      </c>
      <c r="F38" s="65" t="s">
        <v>86</v>
      </c>
      <c r="G38" s="65" t="s">
        <v>86</v>
      </c>
      <c r="H38" s="65">
        <v>-0.3</v>
      </c>
      <c r="I38" s="65">
        <v>0.3</v>
      </c>
      <c r="J38" s="65">
        <v>0</v>
      </c>
      <c r="K38" s="65">
        <v>0</v>
      </c>
      <c r="L38" s="65" t="s">
        <v>86</v>
      </c>
      <c r="M38" s="65" t="s">
        <v>86</v>
      </c>
      <c r="N38" s="65" t="s">
        <v>86</v>
      </c>
      <c r="O38" s="65" t="s">
        <v>86</v>
      </c>
      <c r="P38" s="65" t="s">
        <v>86</v>
      </c>
      <c r="Q38" s="65" t="s">
        <v>86</v>
      </c>
    </row>
    <row r="39" spans="1:17" ht="15" thickBot="1" x14ac:dyDescent="0.35">
      <c r="A39" s="14" t="s">
        <v>441</v>
      </c>
      <c r="B39" s="40">
        <v>-2.6</v>
      </c>
      <c r="C39" s="40">
        <v>-2.1</v>
      </c>
      <c r="D39" s="40">
        <v>-3.3</v>
      </c>
      <c r="E39" s="40">
        <v>-14.7</v>
      </c>
      <c r="F39" s="40">
        <v>-13</v>
      </c>
      <c r="G39" s="40">
        <v>-6.3</v>
      </c>
      <c r="H39" s="40">
        <v>-16.5</v>
      </c>
      <c r="I39" s="40">
        <v>-12.5</v>
      </c>
      <c r="J39" s="40">
        <v>-11.8</v>
      </c>
      <c r="K39" s="40">
        <v>-4.0999999999999996</v>
      </c>
      <c r="L39" s="40">
        <v>-19.2</v>
      </c>
      <c r="M39" s="40">
        <v>-14.8</v>
      </c>
      <c r="N39" s="40">
        <v>-25.6</v>
      </c>
      <c r="O39" s="40">
        <v>-1219.5</v>
      </c>
      <c r="P39" s="40">
        <v>-371.9</v>
      </c>
      <c r="Q39" s="40">
        <v>-366.4</v>
      </c>
    </row>
    <row r="40" spans="1:17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1:17" ht="9.6" customHeight="1" thickBot="1" x14ac:dyDescent="0.35">
      <c r="A41" s="16" t="s">
        <v>440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ht="15" thickBot="1" x14ac:dyDescent="0.35">
      <c r="A42" s="67" t="s">
        <v>825</v>
      </c>
      <c r="B42" s="41">
        <v>-0.1</v>
      </c>
      <c r="C42" s="41">
        <v>-0.3</v>
      </c>
      <c r="D42" s="41">
        <v>-0.4</v>
      </c>
      <c r="E42" s="41">
        <v>-5.3</v>
      </c>
      <c r="F42" s="41">
        <v>-17.3</v>
      </c>
      <c r="G42" s="41">
        <v>-2.4</v>
      </c>
      <c r="H42" s="41">
        <v>-8.6999999999999993</v>
      </c>
      <c r="I42" s="41">
        <v>-0.5</v>
      </c>
      <c r="J42" s="41">
        <v>0</v>
      </c>
      <c r="K42" s="41">
        <v>0</v>
      </c>
      <c r="L42" s="41" t="s">
        <v>86</v>
      </c>
      <c r="M42" s="41">
        <v>-20.7</v>
      </c>
      <c r="N42" s="41">
        <v>-85.8</v>
      </c>
      <c r="O42" s="41">
        <v>-94.6</v>
      </c>
      <c r="P42" s="41">
        <v>-27.5</v>
      </c>
      <c r="Q42" s="41">
        <v>-120.6</v>
      </c>
    </row>
    <row r="43" spans="1:17" ht="15" thickBot="1" x14ac:dyDescent="0.35">
      <c r="A43" s="66" t="s">
        <v>824</v>
      </c>
      <c r="B43" s="65">
        <v>-0.1</v>
      </c>
      <c r="C43" s="65">
        <v>-0.3</v>
      </c>
      <c r="D43" s="65">
        <v>-0.4</v>
      </c>
      <c r="E43" s="65">
        <v>-5.3</v>
      </c>
      <c r="F43" s="65">
        <v>-17.3</v>
      </c>
      <c r="G43" s="65">
        <v>-2.4</v>
      </c>
      <c r="H43" s="65">
        <v>-8.6999999999999993</v>
      </c>
      <c r="I43" s="65">
        <v>-0.5</v>
      </c>
      <c r="J43" s="65">
        <v>0</v>
      </c>
      <c r="K43" s="65">
        <v>0</v>
      </c>
      <c r="L43" s="65" t="s">
        <v>86</v>
      </c>
      <c r="M43" s="65">
        <v>-20.7</v>
      </c>
      <c r="N43" s="65">
        <v>-85.8</v>
      </c>
      <c r="O43" s="65">
        <v>-94.6</v>
      </c>
      <c r="P43" s="65">
        <v>-27.5</v>
      </c>
      <c r="Q43" s="65">
        <v>-120.6</v>
      </c>
    </row>
    <row r="44" spans="1:17" ht="15" thickBot="1" x14ac:dyDescent="0.35">
      <c r="A44" s="14" t="s">
        <v>823</v>
      </c>
      <c r="B44" s="40" t="s">
        <v>86</v>
      </c>
      <c r="C44" s="40" t="s">
        <v>86</v>
      </c>
      <c r="D44" s="40" t="s">
        <v>86</v>
      </c>
      <c r="E44" s="40" t="s">
        <v>86</v>
      </c>
      <c r="F44" s="40" t="s">
        <v>86</v>
      </c>
      <c r="G44" s="40" t="s">
        <v>86</v>
      </c>
      <c r="H44" s="40" t="s">
        <v>86</v>
      </c>
      <c r="I44" s="40" t="s">
        <v>86</v>
      </c>
      <c r="J44" s="40" t="s">
        <v>86</v>
      </c>
      <c r="K44" s="40" t="s">
        <v>86</v>
      </c>
      <c r="L44" s="40" t="s">
        <v>86</v>
      </c>
      <c r="M44" s="40" t="s">
        <v>86</v>
      </c>
      <c r="N44" s="40" t="s">
        <v>86</v>
      </c>
      <c r="O44" s="40" t="s">
        <v>86</v>
      </c>
      <c r="P44" s="40" t="s">
        <v>86</v>
      </c>
      <c r="Q44" s="40" t="s">
        <v>86</v>
      </c>
    </row>
    <row r="45" spans="1:17" ht="15" thickBot="1" x14ac:dyDescent="0.35">
      <c r="A45" s="67" t="s">
        <v>822</v>
      </c>
      <c r="B45" s="41">
        <v>15.8</v>
      </c>
      <c r="C45" s="41">
        <v>24.4</v>
      </c>
      <c r="D45" s="41">
        <v>45.9</v>
      </c>
      <c r="E45" s="41">
        <v>2</v>
      </c>
      <c r="F45" s="41">
        <v>58.9</v>
      </c>
      <c r="G45" s="41">
        <v>2.4</v>
      </c>
      <c r="H45" s="41">
        <v>5.4</v>
      </c>
      <c r="I45" s="41">
        <v>4</v>
      </c>
      <c r="J45" s="41">
        <v>17.3</v>
      </c>
      <c r="K45" s="41">
        <v>27</v>
      </c>
      <c r="L45" s="41">
        <v>22.6</v>
      </c>
      <c r="M45" s="41">
        <v>5</v>
      </c>
      <c r="N45" s="41">
        <v>8.4</v>
      </c>
      <c r="O45" s="41">
        <v>-492.5</v>
      </c>
      <c r="P45" s="41">
        <v>10.4</v>
      </c>
      <c r="Q45" s="41">
        <v>-396.1</v>
      </c>
    </row>
    <row r="46" spans="1:17" ht="15" thickBot="1" x14ac:dyDescent="0.35">
      <c r="A46" s="66" t="s">
        <v>821</v>
      </c>
      <c r="B46" s="65" t="s">
        <v>86</v>
      </c>
      <c r="C46" s="65">
        <v>0</v>
      </c>
      <c r="D46" s="65">
        <v>0</v>
      </c>
      <c r="E46" s="65">
        <v>1.9</v>
      </c>
      <c r="F46" s="65">
        <v>58.6</v>
      </c>
      <c r="G46" s="65">
        <v>0</v>
      </c>
      <c r="H46" s="65">
        <v>0</v>
      </c>
      <c r="I46" s="65" t="s">
        <v>86</v>
      </c>
      <c r="J46" s="65">
        <v>16.100000000000001</v>
      </c>
      <c r="K46" s="65">
        <v>26.4</v>
      </c>
      <c r="L46" s="65">
        <v>19.8</v>
      </c>
      <c r="M46" s="65">
        <v>0</v>
      </c>
      <c r="N46" s="65">
        <v>0</v>
      </c>
      <c r="O46" s="65" t="s">
        <v>86</v>
      </c>
      <c r="P46" s="65" t="s">
        <v>86</v>
      </c>
      <c r="Q46" s="65" t="s">
        <v>86</v>
      </c>
    </row>
    <row r="47" spans="1:17" ht="15" thickBot="1" x14ac:dyDescent="0.35">
      <c r="A47" s="66" t="s">
        <v>820</v>
      </c>
      <c r="B47" s="65" t="s">
        <v>86</v>
      </c>
      <c r="C47" s="65" t="s">
        <v>86</v>
      </c>
      <c r="D47" s="65" t="s">
        <v>86</v>
      </c>
      <c r="E47" s="65" t="s">
        <v>86</v>
      </c>
      <c r="F47" s="65" t="s">
        <v>86</v>
      </c>
      <c r="G47" s="65" t="s">
        <v>86</v>
      </c>
      <c r="H47" s="65" t="s">
        <v>86</v>
      </c>
      <c r="I47" s="65" t="s">
        <v>86</v>
      </c>
      <c r="J47" s="65" t="s">
        <v>86</v>
      </c>
      <c r="K47" s="65" t="s">
        <v>86</v>
      </c>
      <c r="L47" s="65" t="s">
        <v>86</v>
      </c>
      <c r="M47" s="65" t="s">
        <v>86</v>
      </c>
      <c r="N47" s="65" t="s">
        <v>86</v>
      </c>
      <c r="O47" s="65">
        <v>-500</v>
      </c>
      <c r="P47" s="65">
        <v>0</v>
      </c>
      <c r="Q47" s="65">
        <v>-410</v>
      </c>
    </row>
    <row r="48" spans="1:17" ht="15" thickBot="1" x14ac:dyDescent="0.35">
      <c r="A48" s="66" t="s">
        <v>819</v>
      </c>
      <c r="B48" s="65" t="s">
        <v>86</v>
      </c>
      <c r="C48" s="65">
        <v>0</v>
      </c>
      <c r="D48" s="65">
        <v>0</v>
      </c>
      <c r="E48" s="65">
        <v>1.9</v>
      </c>
      <c r="F48" s="65">
        <v>58.6</v>
      </c>
      <c r="G48" s="65">
        <v>0</v>
      </c>
      <c r="H48" s="65">
        <v>0</v>
      </c>
      <c r="I48" s="65" t="s">
        <v>86</v>
      </c>
      <c r="J48" s="65">
        <v>16.100000000000001</v>
      </c>
      <c r="K48" s="65">
        <v>26.4</v>
      </c>
      <c r="L48" s="65">
        <v>19.8</v>
      </c>
      <c r="M48" s="65">
        <v>0</v>
      </c>
      <c r="N48" s="65">
        <v>0</v>
      </c>
      <c r="O48" s="65">
        <v>-500</v>
      </c>
      <c r="P48" s="65">
        <v>0</v>
      </c>
      <c r="Q48" s="65">
        <v>-410</v>
      </c>
    </row>
    <row r="49" spans="1:17" ht="15" thickBot="1" x14ac:dyDescent="0.35">
      <c r="A49" s="66" t="s">
        <v>818</v>
      </c>
      <c r="B49" s="65">
        <v>15.8</v>
      </c>
      <c r="C49" s="65">
        <v>24.3</v>
      </c>
      <c r="D49" s="65">
        <v>45.9</v>
      </c>
      <c r="E49" s="65">
        <v>0</v>
      </c>
      <c r="F49" s="65">
        <v>0</v>
      </c>
      <c r="G49" s="65" t="s">
        <v>86</v>
      </c>
      <c r="H49" s="65" t="s">
        <v>86</v>
      </c>
      <c r="I49" s="65" t="s">
        <v>86</v>
      </c>
      <c r="J49" s="65" t="s">
        <v>86</v>
      </c>
      <c r="K49" s="65" t="s">
        <v>86</v>
      </c>
      <c r="L49" s="65" t="s">
        <v>86</v>
      </c>
      <c r="M49" s="65" t="s">
        <v>86</v>
      </c>
      <c r="N49" s="65" t="s">
        <v>86</v>
      </c>
      <c r="O49" s="65" t="s">
        <v>86</v>
      </c>
      <c r="P49" s="65" t="s">
        <v>86</v>
      </c>
      <c r="Q49" s="65" t="s">
        <v>86</v>
      </c>
    </row>
    <row r="50" spans="1:17" ht="15" thickBot="1" x14ac:dyDescent="0.35">
      <c r="A50" s="66" t="s">
        <v>817</v>
      </c>
      <c r="B50" s="65">
        <v>15.8</v>
      </c>
      <c r="C50" s="65">
        <v>24.3</v>
      </c>
      <c r="D50" s="65">
        <v>45.9</v>
      </c>
      <c r="E50" s="65">
        <v>0</v>
      </c>
      <c r="F50" s="65">
        <v>0</v>
      </c>
      <c r="G50" s="65" t="s">
        <v>86</v>
      </c>
      <c r="H50" s="65" t="s">
        <v>86</v>
      </c>
      <c r="I50" s="65" t="s">
        <v>86</v>
      </c>
      <c r="J50" s="65" t="s">
        <v>86</v>
      </c>
      <c r="K50" s="65" t="s">
        <v>86</v>
      </c>
      <c r="L50" s="65" t="s">
        <v>86</v>
      </c>
      <c r="M50" s="65" t="s">
        <v>86</v>
      </c>
      <c r="N50" s="65" t="s">
        <v>86</v>
      </c>
      <c r="O50" s="65" t="s">
        <v>86</v>
      </c>
      <c r="P50" s="65" t="s">
        <v>86</v>
      </c>
      <c r="Q50" s="65" t="s">
        <v>86</v>
      </c>
    </row>
    <row r="51" spans="1:17" ht="15" thickBot="1" x14ac:dyDescent="0.35">
      <c r="A51" s="66" t="s">
        <v>816</v>
      </c>
      <c r="B51" s="65">
        <v>0</v>
      </c>
      <c r="C51" s="65">
        <v>0</v>
      </c>
      <c r="D51" s="65">
        <v>0.1</v>
      </c>
      <c r="E51" s="65">
        <v>0.2</v>
      </c>
      <c r="F51" s="65">
        <v>0.3</v>
      </c>
      <c r="G51" s="65">
        <v>2.4</v>
      </c>
      <c r="H51" s="65">
        <v>5.4</v>
      </c>
      <c r="I51" s="65">
        <v>4</v>
      </c>
      <c r="J51" s="65">
        <v>1.1000000000000001</v>
      </c>
      <c r="K51" s="65">
        <v>0.5</v>
      </c>
      <c r="L51" s="65">
        <v>2.8</v>
      </c>
      <c r="M51" s="65">
        <v>5</v>
      </c>
      <c r="N51" s="65">
        <v>8.4</v>
      </c>
      <c r="O51" s="65">
        <v>7.5</v>
      </c>
      <c r="P51" s="65">
        <v>10.4</v>
      </c>
      <c r="Q51" s="65">
        <v>13.9</v>
      </c>
    </row>
    <row r="52" spans="1:17" ht="15" thickBot="1" x14ac:dyDescent="0.35">
      <c r="A52" s="67" t="s">
        <v>815</v>
      </c>
      <c r="B52" s="41">
        <v>0.8</v>
      </c>
      <c r="C52" s="41">
        <v>1.4</v>
      </c>
      <c r="D52" s="41">
        <v>6.9</v>
      </c>
      <c r="E52" s="41">
        <v>29.7</v>
      </c>
      <c r="F52" s="41">
        <v>9.9</v>
      </c>
      <c r="G52" s="41">
        <v>0</v>
      </c>
      <c r="H52" s="41">
        <v>0</v>
      </c>
      <c r="I52" s="41">
        <v>17</v>
      </c>
      <c r="J52" s="41">
        <v>17.100000000000001</v>
      </c>
      <c r="K52" s="41">
        <v>16.3</v>
      </c>
      <c r="L52" s="41">
        <v>58</v>
      </c>
      <c r="M52" s="41">
        <v>81.599999999999994</v>
      </c>
      <c r="N52" s="41">
        <v>269.10000000000002</v>
      </c>
      <c r="O52" s="41">
        <v>896.5</v>
      </c>
      <c r="P52" s="41">
        <v>0</v>
      </c>
      <c r="Q52" s="41" t="s">
        <v>86</v>
      </c>
    </row>
    <row r="53" spans="1:17" ht="15" thickBot="1" x14ac:dyDescent="0.35">
      <c r="A53" s="66" t="s">
        <v>814</v>
      </c>
      <c r="B53" s="65">
        <v>0.8</v>
      </c>
      <c r="C53" s="65">
        <v>1.5</v>
      </c>
      <c r="D53" s="65">
        <v>7</v>
      </c>
      <c r="E53" s="65">
        <v>29.9</v>
      </c>
      <c r="F53" s="65">
        <v>10</v>
      </c>
      <c r="G53" s="65">
        <v>0</v>
      </c>
      <c r="H53" s="65">
        <v>0</v>
      </c>
      <c r="I53" s="65">
        <v>46</v>
      </c>
      <c r="J53" s="65">
        <v>34</v>
      </c>
      <c r="K53" s="65">
        <v>26.4</v>
      </c>
      <c r="L53" s="65">
        <v>68</v>
      </c>
      <c r="M53" s="65">
        <v>127.4</v>
      </c>
      <c r="N53" s="65">
        <v>312.39999999999998</v>
      </c>
      <c r="O53" s="65">
        <v>1188.4000000000001</v>
      </c>
      <c r="P53" s="65">
        <v>0</v>
      </c>
      <c r="Q53" s="65" t="s">
        <v>86</v>
      </c>
    </row>
    <row r="54" spans="1:17" ht="15" thickBot="1" x14ac:dyDescent="0.35">
      <c r="A54" s="66" t="s">
        <v>813</v>
      </c>
      <c r="B54" s="65">
        <v>0</v>
      </c>
      <c r="C54" s="65">
        <v>-0.1</v>
      </c>
      <c r="D54" s="65">
        <v>-0.1</v>
      </c>
      <c r="E54" s="65">
        <v>-0.2</v>
      </c>
      <c r="F54" s="65">
        <v>-0.1</v>
      </c>
      <c r="G54" s="65">
        <v>0</v>
      </c>
      <c r="H54" s="65">
        <v>0</v>
      </c>
      <c r="I54" s="65">
        <v>-29</v>
      </c>
      <c r="J54" s="65">
        <v>-16.899999999999999</v>
      </c>
      <c r="K54" s="65">
        <v>-10.1</v>
      </c>
      <c r="L54" s="65">
        <v>-10</v>
      </c>
      <c r="M54" s="65">
        <v>-45.9</v>
      </c>
      <c r="N54" s="65">
        <v>-43.3</v>
      </c>
      <c r="O54" s="65">
        <v>-291.89999999999998</v>
      </c>
      <c r="P54" s="65">
        <v>0</v>
      </c>
      <c r="Q54" s="65" t="s">
        <v>86</v>
      </c>
    </row>
    <row r="55" spans="1:17" ht="15" thickBot="1" x14ac:dyDescent="0.35">
      <c r="A55" s="66" t="s">
        <v>812</v>
      </c>
      <c r="B55" s="65">
        <v>0.8</v>
      </c>
      <c r="C55" s="65">
        <v>1.4</v>
      </c>
      <c r="D55" s="65">
        <v>6.9</v>
      </c>
      <c r="E55" s="65">
        <v>29.7</v>
      </c>
      <c r="F55" s="65">
        <v>9.9</v>
      </c>
      <c r="G55" s="65">
        <v>0</v>
      </c>
      <c r="H55" s="65">
        <v>0</v>
      </c>
      <c r="I55" s="65">
        <v>17</v>
      </c>
      <c r="J55" s="65">
        <v>17.100000000000001</v>
      </c>
      <c r="K55" s="65">
        <v>16.3</v>
      </c>
      <c r="L55" s="65">
        <v>58</v>
      </c>
      <c r="M55" s="65">
        <v>81.599999999999994</v>
      </c>
      <c r="N55" s="65">
        <v>269.10000000000002</v>
      </c>
      <c r="O55" s="65">
        <v>896.5</v>
      </c>
      <c r="P55" s="65">
        <v>0</v>
      </c>
      <c r="Q55" s="65" t="s">
        <v>86</v>
      </c>
    </row>
    <row r="56" spans="1:17" ht="15" thickBot="1" x14ac:dyDescent="0.35">
      <c r="A56" s="14" t="s">
        <v>439</v>
      </c>
      <c r="B56" s="40">
        <v>16.399999999999999</v>
      </c>
      <c r="C56" s="40">
        <v>25.5</v>
      </c>
      <c r="D56" s="40">
        <v>52.5</v>
      </c>
      <c r="E56" s="40">
        <v>26.5</v>
      </c>
      <c r="F56" s="40">
        <v>51.4</v>
      </c>
      <c r="G56" s="40">
        <v>-0.1</v>
      </c>
      <c r="H56" s="40">
        <v>-3.3</v>
      </c>
      <c r="I56" s="40">
        <v>20.6</v>
      </c>
      <c r="J56" s="40">
        <v>34.4</v>
      </c>
      <c r="K56" s="40">
        <v>43.3</v>
      </c>
      <c r="L56" s="40">
        <v>80.599999999999994</v>
      </c>
      <c r="M56" s="40">
        <v>65.900000000000006</v>
      </c>
      <c r="N56" s="40">
        <v>191.7</v>
      </c>
      <c r="O56" s="40">
        <v>309.39999999999998</v>
      </c>
      <c r="P56" s="40">
        <v>-17.100000000000001</v>
      </c>
      <c r="Q56" s="40">
        <v>-516.79999999999995</v>
      </c>
    </row>
    <row r="57" spans="1:17" ht="15" thickBot="1" x14ac:dyDescent="0.3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</row>
    <row r="58" spans="1:17" ht="15" thickBot="1" x14ac:dyDescent="0.35">
      <c r="A58" s="14" t="s">
        <v>438</v>
      </c>
      <c r="B58" s="40" t="s">
        <v>86</v>
      </c>
      <c r="C58" s="40">
        <v>0</v>
      </c>
      <c r="D58" s="40">
        <v>0</v>
      </c>
      <c r="E58" s="40">
        <v>0.1</v>
      </c>
      <c r="F58" s="40">
        <v>0</v>
      </c>
      <c r="G58" s="40">
        <v>0.1</v>
      </c>
      <c r="H58" s="40">
        <v>-0.5</v>
      </c>
      <c r="I58" s="40">
        <v>-0.5</v>
      </c>
      <c r="J58" s="40">
        <v>-0.3</v>
      </c>
      <c r="K58" s="40">
        <v>0.6</v>
      </c>
      <c r="L58" s="40">
        <v>-0.5</v>
      </c>
      <c r="M58" s="40">
        <v>-0.3</v>
      </c>
      <c r="N58" s="40">
        <v>0.8</v>
      </c>
      <c r="O58" s="40">
        <v>-2</v>
      </c>
      <c r="P58" s="40">
        <v>-1.9</v>
      </c>
      <c r="Q58" s="40">
        <v>1.9</v>
      </c>
    </row>
    <row r="59" spans="1:17" ht="15" thickBot="1" x14ac:dyDescent="0.35">
      <c r="A59" s="14" t="s">
        <v>437</v>
      </c>
      <c r="B59" s="40">
        <v>1.6</v>
      </c>
      <c r="C59" s="40">
        <v>4.5</v>
      </c>
      <c r="D59" s="40">
        <v>31.4</v>
      </c>
      <c r="E59" s="40">
        <v>11.5</v>
      </c>
      <c r="F59" s="40">
        <v>-6.2</v>
      </c>
      <c r="G59" s="40">
        <v>-7.1</v>
      </c>
      <c r="H59" s="40">
        <v>3.8</v>
      </c>
      <c r="I59" s="40">
        <v>-13.6</v>
      </c>
      <c r="J59" s="40">
        <v>-10.7</v>
      </c>
      <c r="K59" s="40">
        <v>11.4</v>
      </c>
      <c r="L59" s="40">
        <v>77.099999999999994</v>
      </c>
      <c r="M59" s="40">
        <v>189.9</v>
      </c>
      <c r="N59" s="40">
        <v>383.3</v>
      </c>
      <c r="O59" s="40">
        <v>-560.1</v>
      </c>
      <c r="P59" s="40">
        <v>353.9</v>
      </c>
      <c r="Q59" s="40">
        <v>-184.5</v>
      </c>
    </row>
    <row r="60" spans="1:17" ht="15" thickBot="1" x14ac:dyDescent="0.3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ht="15" thickBot="1" x14ac:dyDescent="0.35">
      <c r="A61" s="14" t="s">
        <v>436</v>
      </c>
      <c r="B61" s="40">
        <v>2.5</v>
      </c>
      <c r="C61" s="40">
        <v>4.0999999999999996</v>
      </c>
      <c r="D61" s="40">
        <v>8.6</v>
      </c>
      <c r="E61" s="40">
        <v>40</v>
      </c>
      <c r="F61" s="40">
        <v>51.5</v>
      </c>
      <c r="G61" s="40">
        <v>45.3</v>
      </c>
      <c r="H61" s="40">
        <v>38.200000000000003</v>
      </c>
      <c r="I61" s="40">
        <v>42</v>
      </c>
      <c r="J61" s="40">
        <v>28.5</v>
      </c>
      <c r="K61" s="40">
        <v>17.8</v>
      </c>
      <c r="L61" s="40">
        <v>29.1</v>
      </c>
      <c r="M61" s="40">
        <v>106.2</v>
      </c>
      <c r="N61" s="40">
        <v>296.10000000000002</v>
      </c>
      <c r="O61" s="40">
        <v>679.4</v>
      </c>
      <c r="P61" s="40">
        <v>119.3</v>
      </c>
      <c r="Q61" s="40">
        <v>473.2</v>
      </c>
    </row>
    <row r="62" spans="1:17" ht="15" thickBot="1" x14ac:dyDescent="0.35">
      <c r="A62" s="14" t="s">
        <v>435</v>
      </c>
      <c r="B62" s="40">
        <v>4.0999999999999996</v>
      </c>
      <c r="C62" s="40">
        <v>8.6</v>
      </c>
      <c r="D62" s="40">
        <v>40</v>
      </c>
      <c r="E62" s="40">
        <v>51.5</v>
      </c>
      <c r="F62" s="40">
        <v>45.3</v>
      </c>
      <c r="G62" s="40">
        <v>38.200000000000003</v>
      </c>
      <c r="H62" s="40">
        <v>42</v>
      </c>
      <c r="I62" s="40">
        <v>28.5</v>
      </c>
      <c r="J62" s="40">
        <v>17.8</v>
      </c>
      <c r="K62" s="40">
        <v>29.1</v>
      </c>
      <c r="L62" s="40">
        <v>106.2</v>
      </c>
      <c r="M62" s="40">
        <v>296.10000000000002</v>
      </c>
      <c r="N62" s="40">
        <v>679.4</v>
      </c>
      <c r="O62" s="40">
        <v>119.3</v>
      </c>
      <c r="P62" s="40">
        <v>473.2</v>
      </c>
      <c r="Q62" s="40">
        <v>288.7</v>
      </c>
    </row>
    <row r="63" spans="1:17" ht="15" thickBot="1" x14ac:dyDescent="0.35">
      <c r="A63" s="14" t="s">
        <v>434</v>
      </c>
      <c r="B63" s="40">
        <v>0</v>
      </c>
      <c r="C63" s="40">
        <v>0.1</v>
      </c>
      <c r="D63" s="40">
        <v>0.7</v>
      </c>
      <c r="E63" s="40">
        <v>1.2</v>
      </c>
      <c r="F63" s="40">
        <v>1.7</v>
      </c>
      <c r="G63" s="40">
        <v>1.4</v>
      </c>
      <c r="H63" s="40">
        <v>1.4</v>
      </c>
      <c r="I63" s="40">
        <v>0.4</v>
      </c>
      <c r="J63" s="40">
        <v>2.7</v>
      </c>
      <c r="K63" s="40">
        <v>5.8</v>
      </c>
      <c r="L63" s="40">
        <v>6.3</v>
      </c>
      <c r="M63" s="40">
        <v>2.7</v>
      </c>
      <c r="N63" s="40">
        <v>1.9</v>
      </c>
      <c r="O63" s="40">
        <v>0.7</v>
      </c>
      <c r="P63" s="40">
        <v>0.5</v>
      </c>
      <c r="Q63" s="40">
        <v>0.5</v>
      </c>
    </row>
    <row r="64" spans="1:17" ht="15" thickBot="1" x14ac:dyDescent="0.35">
      <c r="A64" s="14" t="s">
        <v>433</v>
      </c>
      <c r="B64" s="40" t="s">
        <v>86</v>
      </c>
      <c r="C64" s="40" t="s">
        <v>86</v>
      </c>
      <c r="D64" s="40" t="s">
        <v>86</v>
      </c>
      <c r="E64" s="40" t="s">
        <v>86</v>
      </c>
      <c r="F64" s="40" t="s">
        <v>86</v>
      </c>
      <c r="G64" s="40">
        <v>0.9</v>
      </c>
      <c r="H64" s="40">
        <v>0.5</v>
      </c>
      <c r="I64" s="40">
        <v>0.6</v>
      </c>
      <c r="J64" s="40">
        <v>1.1000000000000001</v>
      </c>
      <c r="K64" s="40">
        <v>0.9</v>
      </c>
      <c r="L64" s="40">
        <v>0.8</v>
      </c>
      <c r="M64" s="40">
        <v>1.8</v>
      </c>
      <c r="N64" s="40">
        <v>3.5</v>
      </c>
      <c r="O64" s="40">
        <v>4.8</v>
      </c>
      <c r="P64" s="40">
        <v>33.200000000000003</v>
      </c>
      <c r="Q64" s="40">
        <v>74.7</v>
      </c>
    </row>
    <row r="65" spans="1:17" ht="15" thickBot="1" x14ac:dyDescent="0.35">
      <c r="A65" s="14" t="s">
        <v>811</v>
      </c>
      <c r="B65" s="40" t="s">
        <v>86</v>
      </c>
      <c r="C65" s="40" t="s">
        <v>86</v>
      </c>
      <c r="D65" s="40" t="s">
        <v>86</v>
      </c>
      <c r="E65" s="40" t="s">
        <v>86</v>
      </c>
      <c r="F65" s="40" t="s">
        <v>86</v>
      </c>
      <c r="G65" s="40" t="s">
        <v>86</v>
      </c>
      <c r="H65" s="40" t="s">
        <v>86</v>
      </c>
      <c r="I65" s="40" t="s">
        <v>86</v>
      </c>
      <c r="J65" s="40" t="s">
        <v>86</v>
      </c>
      <c r="K65" s="40" t="s">
        <v>86</v>
      </c>
      <c r="L65" s="40" t="s">
        <v>86</v>
      </c>
      <c r="M65" s="40" t="s">
        <v>86</v>
      </c>
      <c r="N65" s="40" t="s">
        <v>86</v>
      </c>
      <c r="O65" s="40" t="s">
        <v>86</v>
      </c>
      <c r="P65" s="40" t="s">
        <v>86</v>
      </c>
      <c r="Q65" s="40" t="s">
        <v>86</v>
      </c>
    </row>
    <row r="66" spans="1:17" ht="15" thickBot="1" x14ac:dyDescent="0.35">
      <c r="A66" s="14" t="s">
        <v>810</v>
      </c>
      <c r="B66" s="40" t="s">
        <v>86</v>
      </c>
      <c r="C66" s="40" t="s">
        <v>86</v>
      </c>
      <c r="D66" s="40" t="s">
        <v>86</v>
      </c>
      <c r="E66" s="40" t="s">
        <v>86</v>
      </c>
      <c r="F66" s="40" t="s">
        <v>86</v>
      </c>
      <c r="G66" s="40" t="s">
        <v>86</v>
      </c>
      <c r="H66" s="40" t="s">
        <v>86</v>
      </c>
      <c r="I66" s="40" t="s">
        <v>86</v>
      </c>
      <c r="J66" s="40" t="s">
        <v>86</v>
      </c>
      <c r="K66" s="40" t="s">
        <v>86</v>
      </c>
      <c r="L66" s="40" t="s">
        <v>86</v>
      </c>
      <c r="M66" s="40" t="s">
        <v>86</v>
      </c>
      <c r="N66" s="40" t="s">
        <v>86</v>
      </c>
      <c r="O66" s="40" t="s">
        <v>86</v>
      </c>
      <c r="P66" s="40" t="s">
        <v>86</v>
      </c>
      <c r="Q66" s="40" t="s">
        <v>86</v>
      </c>
    </row>
    <row r="67" spans="1:17" ht="15" thickBot="1" x14ac:dyDescent="0.35">
      <c r="A67" s="14" t="s">
        <v>809</v>
      </c>
      <c r="B67" s="40" t="s">
        <v>86</v>
      </c>
      <c r="C67" s="40" t="s">
        <v>86</v>
      </c>
      <c r="D67" s="40" t="s">
        <v>86</v>
      </c>
      <c r="E67" s="40" t="s">
        <v>86</v>
      </c>
      <c r="F67" s="40" t="s">
        <v>86</v>
      </c>
      <c r="G67" s="40" t="s">
        <v>86</v>
      </c>
      <c r="H67" s="40" t="s">
        <v>86</v>
      </c>
      <c r="I67" s="40" t="s">
        <v>86</v>
      </c>
      <c r="J67" s="40" t="s">
        <v>86</v>
      </c>
      <c r="K67" s="40" t="s">
        <v>86</v>
      </c>
      <c r="L67" s="40" t="s">
        <v>86</v>
      </c>
      <c r="M67" s="40" t="s">
        <v>86</v>
      </c>
      <c r="N67" s="40" t="s">
        <v>86</v>
      </c>
      <c r="O67" s="40" t="s">
        <v>86</v>
      </c>
      <c r="P67" s="40" t="s">
        <v>86</v>
      </c>
      <c r="Q67" s="40" t="s">
        <v>86</v>
      </c>
    </row>
    <row r="68" spans="1:17" ht="15" thickBot="1" x14ac:dyDescent="0.35">
      <c r="A68" s="14" t="s">
        <v>808</v>
      </c>
      <c r="B68" s="40" t="s">
        <v>86</v>
      </c>
      <c r="C68" s="40" t="s">
        <v>86</v>
      </c>
      <c r="D68" s="40" t="s">
        <v>86</v>
      </c>
      <c r="E68" s="40" t="s">
        <v>86</v>
      </c>
      <c r="F68" s="40" t="s">
        <v>86</v>
      </c>
      <c r="G68" s="40" t="s">
        <v>86</v>
      </c>
      <c r="H68" s="40" t="s">
        <v>86</v>
      </c>
      <c r="I68" s="40" t="s">
        <v>86</v>
      </c>
      <c r="J68" s="40" t="s">
        <v>86</v>
      </c>
      <c r="K68" s="40" t="s">
        <v>86</v>
      </c>
      <c r="L68" s="40" t="s">
        <v>86</v>
      </c>
      <c r="M68" s="40" t="s">
        <v>86</v>
      </c>
      <c r="N68" s="40" t="s">
        <v>86</v>
      </c>
      <c r="O68" s="40" t="s">
        <v>86</v>
      </c>
      <c r="P68" s="40" t="s">
        <v>86</v>
      </c>
      <c r="Q68" s="40">
        <v>212.9</v>
      </c>
    </row>
    <row r="69" spans="1:17" ht="15" thickBot="1" x14ac:dyDescent="0.35">
      <c r="A69" s="14" t="s">
        <v>807</v>
      </c>
      <c r="B69" s="40" t="s">
        <v>86</v>
      </c>
      <c r="C69" s="40" t="s">
        <v>86</v>
      </c>
      <c r="D69" s="40" t="s">
        <v>86</v>
      </c>
      <c r="E69" s="40" t="s">
        <v>86</v>
      </c>
      <c r="F69" s="40" t="s">
        <v>86</v>
      </c>
      <c r="G69" s="40" t="s">
        <v>86</v>
      </c>
      <c r="H69" s="40" t="s">
        <v>86</v>
      </c>
      <c r="I69" s="40" t="s">
        <v>86</v>
      </c>
      <c r="J69" s="40" t="s">
        <v>86</v>
      </c>
      <c r="K69" s="40" t="s">
        <v>86</v>
      </c>
      <c r="L69" s="40" t="s">
        <v>86</v>
      </c>
      <c r="M69" s="40" t="s">
        <v>86</v>
      </c>
      <c r="N69" s="40" t="s">
        <v>86</v>
      </c>
      <c r="O69" s="40" t="s">
        <v>86</v>
      </c>
      <c r="P69" s="40" t="s">
        <v>86</v>
      </c>
      <c r="Q69" s="40">
        <v>-120.6</v>
      </c>
    </row>
    <row r="70" spans="1:17" ht="15" thickBot="1" x14ac:dyDescent="0.35">
      <c r="A70" s="14" t="s">
        <v>806</v>
      </c>
      <c r="B70" s="40">
        <v>1.7</v>
      </c>
      <c r="C70" s="40">
        <v>-3.3</v>
      </c>
      <c r="D70" s="40">
        <v>1.2</v>
      </c>
      <c r="E70" s="40">
        <v>24.5</v>
      </c>
      <c r="F70" s="40">
        <v>-22.2</v>
      </c>
      <c r="G70" s="40">
        <v>10</v>
      </c>
      <c r="H70" s="40">
        <v>12.8</v>
      </c>
      <c r="I70" s="40">
        <v>-23.3</v>
      </c>
      <c r="J70" s="40">
        <v>7.1</v>
      </c>
      <c r="K70" s="40">
        <v>-1.4</v>
      </c>
      <c r="L70" s="40">
        <v>1.5</v>
      </c>
      <c r="M70" s="40">
        <v>1.4</v>
      </c>
      <c r="N70" s="40">
        <v>-24.7</v>
      </c>
      <c r="O70" s="40">
        <v>15.1</v>
      </c>
      <c r="P70" s="40">
        <v>62.1</v>
      </c>
      <c r="Q70" s="40">
        <v>17.100000000000001</v>
      </c>
    </row>
    <row r="71" spans="1:17" ht="15" thickBot="1" x14ac:dyDescent="0.35">
      <c r="A71" s="14" t="s">
        <v>805</v>
      </c>
      <c r="B71" s="40" t="s">
        <v>86</v>
      </c>
      <c r="C71" s="40" t="s">
        <v>86</v>
      </c>
      <c r="D71" s="40" t="s">
        <v>86</v>
      </c>
      <c r="E71" s="40" t="s">
        <v>86</v>
      </c>
      <c r="F71" s="40" t="s">
        <v>86</v>
      </c>
      <c r="G71" s="40" t="s">
        <v>86</v>
      </c>
      <c r="H71" s="40" t="s">
        <v>86</v>
      </c>
      <c r="I71" s="40" t="s">
        <v>86</v>
      </c>
      <c r="J71" s="40" t="s">
        <v>86</v>
      </c>
      <c r="K71" s="40" t="s">
        <v>86</v>
      </c>
      <c r="L71" s="40" t="s">
        <v>86</v>
      </c>
      <c r="M71" s="40" t="s">
        <v>86</v>
      </c>
      <c r="N71" s="40" t="s">
        <v>86</v>
      </c>
      <c r="O71" s="40" t="s">
        <v>86</v>
      </c>
      <c r="P71" s="40" t="s">
        <v>86</v>
      </c>
      <c r="Q71" s="40" t="s">
        <v>86</v>
      </c>
    </row>
    <row r="72" spans="1:17" ht="15" thickBot="1" x14ac:dyDescent="0.35">
      <c r="A72" s="14" t="s">
        <v>804</v>
      </c>
      <c r="B72" s="40" t="s">
        <v>86</v>
      </c>
      <c r="C72" s="40" t="s">
        <v>86</v>
      </c>
      <c r="D72" s="40" t="s">
        <v>86</v>
      </c>
      <c r="E72" s="40" t="s">
        <v>86</v>
      </c>
      <c r="F72" s="40" t="s">
        <v>86</v>
      </c>
      <c r="G72" s="40" t="s">
        <v>86</v>
      </c>
      <c r="H72" s="40" t="s">
        <v>86</v>
      </c>
      <c r="I72" s="40" t="s">
        <v>86</v>
      </c>
      <c r="J72" s="40" t="s">
        <v>86</v>
      </c>
      <c r="K72" s="40" t="s">
        <v>86</v>
      </c>
      <c r="L72" s="40" t="s">
        <v>86</v>
      </c>
      <c r="M72" s="40" t="s">
        <v>86</v>
      </c>
      <c r="N72" s="40" t="s">
        <v>86</v>
      </c>
      <c r="O72" s="40" t="s">
        <v>86</v>
      </c>
      <c r="P72" s="40" t="s">
        <v>86</v>
      </c>
      <c r="Q72" s="40" t="s">
        <v>86</v>
      </c>
    </row>
    <row r="73" spans="1:17" x14ac:dyDescent="0.3">
      <c r="A73" s="14" t="s">
        <v>803</v>
      </c>
      <c r="B73" s="40" t="s">
        <v>86</v>
      </c>
      <c r="C73" s="40" t="s">
        <v>86</v>
      </c>
      <c r="D73" s="40" t="s">
        <v>86</v>
      </c>
      <c r="E73" s="40" t="s">
        <v>86</v>
      </c>
      <c r="F73" s="40" t="s">
        <v>86</v>
      </c>
      <c r="G73" s="40" t="s">
        <v>86</v>
      </c>
      <c r="H73" s="40" t="s">
        <v>86</v>
      </c>
      <c r="I73" s="40" t="s">
        <v>86</v>
      </c>
      <c r="J73" s="40" t="s">
        <v>86</v>
      </c>
      <c r="K73" s="40" t="s">
        <v>86</v>
      </c>
      <c r="L73" s="40" t="s">
        <v>86</v>
      </c>
      <c r="M73" s="40" t="s">
        <v>86</v>
      </c>
      <c r="N73" s="40" t="s">
        <v>86</v>
      </c>
      <c r="O73" s="40" t="s">
        <v>86</v>
      </c>
      <c r="P73" s="40" t="s">
        <v>86</v>
      </c>
      <c r="Q73" s="40" t="s">
        <v>86</v>
      </c>
    </row>
    <row r="74" spans="1:17" ht="15" thickBot="1" x14ac:dyDescent="0.35">
      <c r="A74" s="43"/>
    </row>
    <row r="75" spans="1:17" ht="15" thickBot="1" x14ac:dyDescent="0.35">
      <c r="A75" s="38" t="s">
        <v>432</v>
      </c>
      <c r="B75" s="40">
        <v>-14.7</v>
      </c>
      <c r="C75" s="40">
        <v>-21.1</v>
      </c>
      <c r="D75" s="40">
        <v>-21.1</v>
      </c>
      <c r="E75" s="40">
        <v>-15</v>
      </c>
      <c r="F75" s="40">
        <v>-57.6</v>
      </c>
      <c r="G75" s="40">
        <v>-7.1</v>
      </c>
      <c r="H75" s="40">
        <v>11</v>
      </c>
      <c r="I75" s="40">
        <v>-33.700000000000003</v>
      </c>
      <c r="J75" s="40">
        <v>-45.1</v>
      </c>
      <c r="K75" s="40">
        <v>-32.6</v>
      </c>
      <c r="L75" s="40">
        <v>12</v>
      </c>
      <c r="M75" s="40">
        <v>124.3</v>
      </c>
      <c r="N75" s="40">
        <v>195.8</v>
      </c>
      <c r="O75" s="40">
        <v>299.5</v>
      </c>
      <c r="P75" s="40">
        <v>698.4</v>
      </c>
      <c r="Q75" s="40">
        <v>586.4</v>
      </c>
    </row>
    <row r="76" spans="1:17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6375-A00B-48BB-9451-3CE419E9659D}">
  <dimension ref="A1:BK45"/>
  <sheetViews>
    <sheetView showGridLines="0" workbookViewId="0">
      <selection activeCell="C9" sqref="C9"/>
    </sheetView>
  </sheetViews>
  <sheetFormatPr defaultRowHeight="14.4" x14ac:dyDescent="0.3"/>
  <cols>
    <col min="1" max="1" width="24" bestFit="1" customWidth="1"/>
    <col min="2" max="2" width="13.21875" bestFit="1" customWidth="1"/>
    <col min="3" max="3" width="8.6640625" bestFit="1" customWidth="1"/>
    <col min="4" max="4" width="8.44140625" bestFit="1" customWidth="1"/>
    <col min="5" max="5" width="8.77734375" bestFit="1" customWidth="1"/>
    <col min="7" max="7" width="8.6640625" bestFit="1" customWidth="1"/>
    <col min="8" max="8" width="8.44140625" bestFit="1" customWidth="1"/>
    <col min="9" max="9" width="8.77734375" bestFit="1" customWidth="1"/>
    <col min="11" max="11" width="8.6640625" bestFit="1" customWidth="1"/>
    <col min="12" max="12" width="8.44140625" bestFit="1" customWidth="1"/>
    <col min="13" max="13" width="8.77734375" bestFit="1" customWidth="1"/>
    <col min="15" max="15" width="8.6640625" bestFit="1" customWidth="1"/>
    <col min="16" max="16" width="8.44140625" bestFit="1" customWidth="1"/>
    <col min="17" max="17" width="8.77734375" bestFit="1" customWidth="1"/>
    <col min="19" max="19" width="8.6640625" bestFit="1" customWidth="1"/>
    <col min="20" max="20" width="8.44140625" bestFit="1" customWidth="1"/>
    <col min="21" max="21" width="8.77734375" bestFit="1" customWidth="1"/>
    <col min="23" max="23" width="8.6640625" bestFit="1" customWidth="1"/>
    <col min="24" max="24" width="8.44140625" bestFit="1" customWidth="1"/>
    <col min="25" max="25" width="8.77734375" bestFit="1" customWidth="1"/>
    <col min="27" max="27" width="8.6640625" bestFit="1" customWidth="1"/>
    <col min="28" max="28" width="8.44140625" bestFit="1" customWidth="1"/>
    <col min="29" max="29" width="8.77734375" bestFit="1" customWidth="1"/>
    <col min="31" max="31" width="8.6640625" bestFit="1" customWidth="1"/>
    <col min="32" max="32" width="8.44140625" bestFit="1" customWidth="1"/>
    <col min="33" max="33" width="8.77734375" bestFit="1" customWidth="1"/>
    <col min="35" max="35" width="8.6640625" bestFit="1" customWidth="1"/>
    <col min="36" max="36" width="8.44140625" bestFit="1" customWidth="1"/>
    <col min="37" max="37" width="8.77734375" bestFit="1" customWidth="1"/>
    <col min="39" max="39" width="8.6640625" bestFit="1" customWidth="1"/>
    <col min="40" max="40" width="8.44140625" bestFit="1" customWidth="1"/>
    <col min="41" max="41" width="8.77734375" bestFit="1" customWidth="1"/>
    <col min="43" max="43" width="8.6640625" bestFit="1" customWidth="1"/>
    <col min="44" max="44" width="8.44140625" bestFit="1" customWidth="1"/>
    <col min="45" max="45" width="8.77734375" bestFit="1" customWidth="1"/>
    <col min="47" max="47" width="8.6640625" bestFit="1" customWidth="1"/>
    <col min="48" max="48" width="8.44140625" bestFit="1" customWidth="1"/>
    <col min="49" max="49" width="8.77734375" bestFit="1" customWidth="1"/>
    <col min="51" max="51" width="8.6640625" bestFit="1" customWidth="1"/>
    <col min="52" max="52" width="8.44140625" bestFit="1" customWidth="1"/>
    <col min="53" max="53" width="8.77734375" bestFit="1" customWidth="1"/>
    <col min="55" max="55" width="8.6640625" bestFit="1" customWidth="1"/>
    <col min="56" max="56" width="8.44140625" bestFit="1" customWidth="1"/>
    <col min="57" max="57" width="8.77734375" bestFit="1" customWidth="1"/>
    <col min="59" max="59" width="8.6640625" bestFit="1" customWidth="1"/>
    <col min="60" max="60" width="8.44140625" bestFit="1" customWidth="1"/>
    <col min="61" max="61" width="8.77734375" bestFit="1" customWidth="1"/>
    <col min="63" max="63" width="8.6640625" bestFit="1" customWidth="1"/>
  </cols>
  <sheetData>
    <row r="1" spans="1:63" x14ac:dyDescent="0.3">
      <c r="A1" s="39" t="s">
        <v>599</v>
      </c>
    </row>
    <row r="3" spans="1:63" x14ac:dyDescent="0.3">
      <c r="A3" s="38" t="s">
        <v>598</v>
      </c>
    </row>
    <row r="4" spans="1:63" ht="15" thickBot="1" x14ac:dyDescent="0.35">
      <c r="A4" s="38" t="s">
        <v>597</v>
      </c>
    </row>
    <row r="5" spans="1:63" ht="15" thickBot="1" x14ac:dyDescent="0.35">
      <c r="A5" s="42"/>
      <c r="B5" s="42"/>
      <c r="C5" s="34" t="s">
        <v>596</v>
      </c>
      <c r="D5" s="35"/>
      <c r="E5" s="35"/>
      <c r="F5" s="33"/>
      <c r="G5" s="34" t="s">
        <v>595</v>
      </c>
      <c r="H5" s="35"/>
      <c r="I5" s="35"/>
      <c r="J5" s="33"/>
      <c r="K5" s="34" t="s">
        <v>594</v>
      </c>
      <c r="L5" s="35"/>
      <c r="M5" s="35"/>
      <c r="N5" s="33"/>
      <c r="O5" s="34" t="s">
        <v>593</v>
      </c>
      <c r="P5" s="35"/>
      <c r="Q5" s="35"/>
      <c r="R5" s="33"/>
      <c r="S5" s="34" t="s">
        <v>592</v>
      </c>
      <c r="T5" s="35"/>
      <c r="U5" s="35"/>
      <c r="V5" s="33"/>
      <c r="W5" s="34" t="s">
        <v>591</v>
      </c>
      <c r="X5" s="35"/>
      <c r="Y5" s="35"/>
      <c r="Z5" s="33"/>
      <c r="AA5" s="34" t="s">
        <v>590</v>
      </c>
      <c r="AB5" s="35"/>
      <c r="AC5" s="35"/>
      <c r="AD5" s="33"/>
      <c r="AE5" s="34" t="s">
        <v>589</v>
      </c>
      <c r="AF5" s="35"/>
      <c r="AG5" s="35"/>
      <c r="AH5" s="33"/>
      <c r="AI5" s="34" t="s">
        <v>588</v>
      </c>
      <c r="AJ5" s="35"/>
      <c r="AK5" s="35"/>
      <c r="AL5" s="33"/>
      <c r="AM5" s="34" t="s">
        <v>587</v>
      </c>
      <c r="AN5" s="35"/>
      <c r="AO5" s="35"/>
      <c r="AP5" s="33"/>
      <c r="AQ5" s="34" t="s">
        <v>586</v>
      </c>
      <c r="AR5" s="35"/>
      <c r="AS5" s="35"/>
      <c r="AT5" s="33"/>
      <c r="AU5" s="34" t="s">
        <v>585</v>
      </c>
      <c r="AV5" s="35"/>
      <c r="AW5" s="35"/>
      <c r="AX5" s="33"/>
      <c r="AY5" s="34" t="s">
        <v>584</v>
      </c>
      <c r="AZ5" s="35"/>
      <c r="BA5" s="35"/>
      <c r="BB5" s="33"/>
      <c r="BC5" s="34" t="s">
        <v>583</v>
      </c>
      <c r="BD5" s="35"/>
      <c r="BE5" s="35"/>
      <c r="BF5" s="33"/>
      <c r="BG5" s="34" t="s">
        <v>582</v>
      </c>
      <c r="BH5" s="35"/>
      <c r="BI5" s="35"/>
      <c r="BJ5" s="33"/>
      <c r="BK5" s="42" t="s">
        <v>581</v>
      </c>
    </row>
    <row r="6" spans="1:63" ht="15" thickBot="1" x14ac:dyDescent="0.35">
      <c r="A6" s="57"/>
      <c r="B6" s="20" t="s">
        <v>580</v>
      </c>
      <c r="C6" s="21" t="s">
        <v>579</v>
      </c>
      <c r="D6" s="21" t="s">
        <v>578</v>
      </c>
      <c r="E6" s="21" t="s">
        <v>577</v>
      </c>
      <c r="F6" s="21" t="s">
        <v>576</v>
      </c>
      <c r="G6" s="20" t="s">
        <v>575</v>
      </c>
      <c r="H6" s="20" t="s">
        <v>574</v>
      </c>
      <c r="I6" s="20" t="s">
        <v>573</v>
      </c>
      <c r="J6" s="20" t="s">
        <v>572</v>
      </c>
      <c r="K6" s="21" t="s">
        <v>571</v>
      </c>
      <c r="L6" s="21" t="s">
        <v>570</v>
      </c>
      <c r="M6" s="21" t="s">
        <v>569</v>
      </c>
      <c r="N6" s="21" t="s">
        <v>568</v>
      </c>
      <c r="O6" s="20" t="s">
        <v>567</v>
      </c>
      <c r="P6" s="20" t="s">
        <v>566</v>
      </c>
      <c r="Q6" s="20" t="s">
        <v>565</v>
      </c>
      <c r="R6" s="20" t="s">
        <v>564</v>
      </c>
      <c r="S6" s="21" t="s">
        <v>563</v>
      </c>
      <c r="T6" s="21" t="s">
        <v>562</v>
      </c>
      <c r="U6" s="21" t="s">
        <v>561</v>
      </c>
      <c r="V6" s="21" t="s">
        <v>560</v>
      </c>
      <c r="W6" s="20" t="s">
        <v>559</v>
      </c>
      <c r="X6" s="20" t="s">
        <v>558</v>
      </c>
      <c r="Y6" s="20" t="s">
        <v>557</v>
      </c>
      <c r="Z6" s="20" t="s">
        <v>556</v>
      </c>
      <c r="AA6" s="21" t="s">
        <v>555</v>
      </c>
      <c r="AB6" s="21" t="s">
        <v>554</v>
      </c>
      <c r="AC6" s="21" t="s">
        <v>553</v>
      </c>
      <c r="AD6" s="21" t="s">
        <v>552</v>
      </c>
      <c r="AE6" s="20" t="s">
        <v>551</v>
      </c>
      <c r="AF6" s="20" t="s">
        <v>550</v>
      </c>
      <c r="AG6" s="20" t="s">
        <v>549</v>
      </c>
      <c r="AH6" s="20" t="s">
        <v>548</v>
      </c>
      <c r="AI6" s="21" t="s">
        <v>547</v>
      </c>
      <c r="AJ6" s="21" t="s">
        <v>546</v>
      </c>
      <c r="AK6" s="21" t="s">
        <v>545</v>
      </c>
      <c r="AL6" s="21" t="s">
        <v>544</v>
      </c>
      <c r="AM6" s="20" t="s">
        <v>543</v>
      </c>
      <c r="AN6" s="20" t="s">
        <v>542</v>
      </c>
      <c r="AO6" s="20" t="s">
        <v>541</v>
      </c>
      <c r="AP6" s="20" t="s">
        <v>540</v>
      </c>
      <c r="AQ6" s="21" t="s">
        <v>539</v>
      </c>
      <c r="AR6" s="21" t="s">
        <v>538</v>
      </c>
      <c r="AS6" s="21" t="s">
        <v>537</v>
      </c>
      <c r="AT6" s="21" t="s">
        <v>536</v>
      </c>
      <c r="AU6" s="20" t="s">
        <v>535</v>
      </c>
      <c r="AV6" s="20" t="s">
        <v>534</v>
      </c>
      <c r="AW6" s="20" t="s">
        <v>533</v>
      </c>
      <c r="AX6" s="20" t="s">
        <v>532</v>
      </c>
      <c r="AY6" s="21" t="s">
        <v>531</v>
      </c>
      <c r="AZ6" s="21" t="s">
        <v>530</v>
      </c>
      <c r="BA6" s="21" t="s">
        <v>529</v>
      </c>
      <c r="BB6" s="21" t="s">
        <v>528</v>
      </c>
      <c r="BC6" s="20" t="s">
        <v>527</v>
      </c>
      <c r="BD6" s="20" t="s">
        <v>526</v>
      </c>
      <c r="BE6" s="20" t="s">
        <v>525</v>
      </c>
      <c r="BF6" s="20" t="s">
        <v>524</v>
      </c>
      <c r="BG6" s="21" t="s">
        <v>523</v>
      </c>
      <c r="BH6" s="21" t="s">
        <v>522</v>
      </c>
      <c r="BI6" s="21" t="s">
        <v>521</v>
      </c>
      <c r="BJ6" s="21" t="s">
        <v>520</v>
      </c>
      <c r="BK6" s="20" t="s">
        <v>519</v>
      </c>
    </row>
    <row r="7" spans="1:63" ht="11.4" customHeight="1" thickBot="1" x14ac:dyDescent="0.35">
      <c r="A7" s="29" t="s">
        <v>334</v>
      </c>
      <c r="B7" s="23">
        <v>51</v>
      </c>
      <c r="C7" s="28" t="s">
        <v>518</v>
      </c>
      <c r="D7" s="28" t="s">
        <v>518</v>
      </c>
      <c r="E7" s="28" t="s">
        <v>518</v>
      </c>
      <c r="F7" s="28" t="s">
        <v>518</v>
      </c>
      <c r="G7" s="28" t="s">
        <v>518</v>
      </c>
      <c r="H7" s="28" t="s">
        <v>518</v>
      </c>
      <c r="I7" s="28" t="s">
        <v>518</v>
      </c>
      <c r="J7" s="28" t="s">
        <v>518</v>
      </c>
      <c r="K7" s="28" t="s">
        <v>518</v>
      </c>
      <c r="L7" s="28" t="s">
        <v>518</v>
      </c>
      <c r="M7" s="28" t="s">
        <v>518</v>
      </c>
      <c r="N7" s="28" t="s">
        <v>518</v>
      </c>
      <c r="O7" s="28" t="s">
        <v>518</v>
      </c>
      <c r="P7" s="28" t="s">
        <v>518</v>
      </c>
      <c r="Q7" s="28" t="s">
        <v>518</v>
      </c>
      <c r="R7" s="28" t="s">
        <v>518</v>
      </c>
      <c r="S7" s="28" t="s">
        <v>518</v>
      </c>
      <c r="T7" s="28" t="s">
        <v>518</v>
      </c>
      <c r="U7" s="28" t="s">
        <v>518</v>
      </c>
      <c r="V7" s="28" t="s">
        <v>518</v>
      </c>
      <c r="W7" s="28" t="s">
        <v>518</v>
      </c>
      <c r="X7" s="25">
        <v>94</v>
      </c>
      <c r="Y7" s="25">
        <v>93</v>
      </c>
      <c r="Z7" s="25">
        <v>92</v>
      </c>
      <c r="AA7" s="23">
        <v>53</v>
      </c>
      <c r="AB7" s="26">
        <v>13</v>
      </c>
      <c r="AC7" s="27">
        <v>1</v>
      </c>
      <c r="AD7" s="27">
        <v>1</v>
      </c>
      <c r="AE7" s="27">
        <v>1</v>
      </c>
      <c r="AF7" s="26">
        <v>13</v>
      </c>
      <c r="AG7" s="26">
        <v>13</v>
      </c>
      <c r="AH7" s="26">
        <v>13</v>
      </c>
      <c r="AI7" s="27">
        <v>9</v>
      </c>
      <c r="AJ7" s="26">
        <v>14</v>
      </c>
      <c r="AK7" s="26">
        <v>15</v>
      </c>
      <c r="AL7" s="26">
        <v>30</v>
      </c>
      <c r="AM7" s="23">
        <v>32</v>
      </c>
      <c r="AN7" s="23">
        <v>45</v>
      </c>
      <c r="AO7" s="24">
        <v>90</v>
      </c>
      <c r="AP7" s="25">
        <v>93</v>
      </c>
      <c r="AQ7" s="25">
        <v>96</v>
      </c>
      <c r="AR7" s="25">
        <v>95</v>
      </c>
      <c r="AS7" s="24">
        <v>79</v>
      </c>
      <c r="AT7" s="25">
        <v>100</v>
      </c>
      <c r="AU7" s="24">
        <v>84</v>
      </c>
      <c r="AV7" s="23">
        <v>68</v>
      </c>
      <c r="AW7" s="24">
        <v>82</v>
      </c>
      <c r="AX7" s="25">
        <v>94</v>
      </c>
      <c r="AY7" s="25">
        <v>96</v>
      </c>
      <c r="AZ7" s="25">
        <v>94</v>
      </c>
      <c r="BA7" s="25">
        <v>93</v>
      </c>
      <c r="BB7" s="25">
        <v>91</v>
      </c>
      <c r="BC7" s="25">
        <v>92</v>
      </c>
      <c r="BD7" s="25">
        <v>99</v>
      </c>
      <c r="BE7" s="25">
        <v>99</v>
      </c>
      <c r="BF7" s="25">
        <v>100</v>
      </c>
      <c r="BG7" s="25">
        <v>99</v>
      </c>
      <c r="BH7" s="25">
        <v>99</v>
      </c>
      <c r="BI7" s="25">
        <v>99</v>
      </c>
      <c r="BJ7" s="24">
        <v>81</v>
      </c>
      <c r="BK7" s="23">
        <v>57</v>
      </c>
    </row>
    <row r="8" spans="1:63" ht="15" thickBot="1" x14ac:dyDescent="0.35">
      <c r="A8" s="56" t="s">
        <v>517</v>
      </c>
      <c r="B8" s="16"/>
      <c r="C8" s="55"/>
      <c r="D8" s="55"/>
      <c r="E8" s="55"/>
      <c r="F8" s="55"/>
      <c r="G8" s="11"/>
      <c r="H8" s="11"/>
      <c r="I8" s="11"/>
      <c r="J8" s="11"/>
      <c r="K8" s="55"/>
      <c r="L8" s="55"/>
      <c r="M8" s="55"/>
      <c r="N8" s="55"/>
      <c r="O8" s="11"/>
      <c r="P8" s="11"/>
      <c r="Q8" s="11"/>
      <c r="R8" s="11"/>
      <c r="S8" s="55"/>
      <c r="T8" s="55"/>
      <c r="U8" s="55"/>
      <c r="V8" s="55"/>
      <c r="W8" s="11"/>
      <c r="X8" s="11"/>
      <c r="Y8" s="11"/>
      <c r="Z8" s="11"/>
      <c r="AA8" s="55"/>
      <c r="AB8" s="55"/>
      <c r="AC8" s="55"/>
      <c r="AD8" s="55"/>
      <c r="AE8" s="11"/>
      <c r="AF8" s="11"/>
      <c r="AG8" s="11"/>
      <c r="AH8" s="11"/>
      <c r="AI8" s="55"/>
      <c r="AJ8" s="55"/>
      <c r="AK8" s="55"/>
      <c r="AL8" s="55"/>
      <c r="AM8" s="11"/>
      <c r="AN8" s="11"/>
      <c r="AO8" s="11"/>
      <c r="AP8" s="11"/>
      <c r="AQ8" s="55"/>
      <c r="AR8" s="55"/>
      <c r="AS8" s="55"/>
      <c r="AT8" s="55"/>
      <c r="AU8" s="11"/>
      <c r="AV8" s="11"/>
      <c r="AW8" s="11"/>
      <c r="AX8" s="11"/>
      <c r="AY8" s="55"/>
      <c r="AZ8" s="55"/>
      <c r="BA8" s="55"/>
      <c r="BB8" s="55"/>
      <c r="BC8" s="11"/>
      <c r="BD8" s="11"/>
      <c r="BE8" s="11"/>
      <c r="BF8" s="11"/>
      <c r="BG8" s="55"/>
      <c r="BH8" s="55"/>
      <c r="BI8" s="55"/>
      <c r="BJ8" s="55"/>
      <c r="BK8" s="11"/>
    </row>
    <row r="9" spans="1:63" ht="15" thickBot="1" x14ac:dyDescent="0.35">
      <c r="A9" s="47" t="s">
        <v>516</v>
      </c>
      <c r="B9" s="46" t="s">
        <v>515</v>
      </c>
      <c r="C9" s="49">
        <v>-1.3049999999999999</v>
      </c>
      <c r="D9" s="49">
        <v>-1.292</v>
      </c>
      <c r="E9" s="49">
        <v>-5.0999999999999997E-2</v>
      </c>
      <c r="F9" s="49">
        <v>7.0999999999999994E-2</v>
      </c>
      <c r="G9" s="48">
        <v>8.3000000000000004E-2</v>
      </c>
      <c r="H9" s="48">
        <v>0.121</v>
      </c>
      <c r="I9" s="48">
        <v>0.109</v>
      </c>
      <c r="J9" s="48">
        <v>0.107</v>
      </c>
      <c r="K9" s="49">
        <v>0.14699999999999999</v>
      </c>
      <c r="L9" s="49">
        <v>0.16200000000000001</v>
      </c>
      <c r="M9" s="49">
        <v>0.191</v>
      </c>
      <c r="N9" s="49">
        <v>0.22900000000000001</v>
      </c>
      <c r="O9" s="48">
        <v>0.218</v>
      </c>
      <c r="P9" s="48">
        <v>0.24399999999999999</v>
      </c>
      <c r="Q9" s="48">
        <v>0.26800000000000002</v>
      </c>
      <c r="R9" s="48">
        <v>0.27900000000000003</v>
      </c>
      <c r="S9" s="49">
        <v>0.26800000000000002</v>
      </c>
      <c r="T9" s="49">
        <v>0.28000000000000003</v>
      </c>
      <c r="U9" s="49">
        <v>0.28100000000000003</v>
      </c>
      <c r="V9" s="49">
        <v>0.32100000000000001</v>
      </c>
      <c r="W9" s="48">
        <v>0.32400000000000001</v>
      </c>
      <c r="X9" s="48">
        <v>0.32700000000000001</v>
      </c>
      <c r="Y9" s="48">
        <v>0.32800000000000001</v>
      </c>
      <c r="Z9" s="48">
        <v>0.33300000000000002</v>
      </c>
      <c r="AA9" s="49">
        <v>0.32300000000000001</v>
      </c>
      <c r="AB9" s="49">
        <v>0.32300000000000001</v>
      </c>
      <c r="AC9" s="49">
        <v>0.30599999999999999</v>
      </c>
      <c r="AD9" s="49">
        <v>0.23899999999999999</v>
      </c>
      <c r="AE9" s="48">
        <v>0.183</v>
      </c>
      <c r="AF9" s="48">
        <v>0.17899999999999999</v>
      </c>
      <c r="AG9" s="48">
        <v>0.17899999999999999</v>
      </c>
      <c r="AH9" s="48">
        <v>0.17899999999999999</v>
      </c>
      <c r="AI9" s="49">
        <v>0.129</v>
      </c>
      <c r="AJ9" s="49">
        <v>0.18099999999999999</v>
      </c>
      <c r="AK9" s="49">
        <v>0.214</v>
      </c>
      <c r="AL9" s="49">
        <v>0.23799999999999999</v>
      </c>
      <c r="AM9" s="48">
        <v>0.26200000000000001</v>
      </c>
      <c r="AN9" s="48">
        <v>0.29899999999999999</v>
      </c>
      <c r="AO9" s="48">
        <v>0.32400000000000001</v>
      </c>
      <c r="AP9" s="48">
        <v>0.30499999999999999</v>
      </c>
      <c r="AQ9" s="49">
        <v>0.33300000000000002</v>
      </c>
      <c r="AR9" s="49">
        <v>0.33800000000000002</v>
      </c>
      <c r="AS9" s="49">
        <v>0.35899999999999999</v>
      </c>
      <c r="AT9" s="49">
        <v>0.371</v>
      </c>
      <c r="AU9" s="48">
        <v>0.39200000000000002</v>
      </c>
      <c r="AV9" s="48">
        <v>0.38500000000000001</v>
      </c>
      <c r="AW9" s="48">
        <v>0.53200000000000003</v>
      </c>
      <c r="AX9" s="48">
        <v>0.46</v>
      </c>
      <c r="AY9" s="49">
        <v>0.40699999999999997</v>
      </c>
      <c r="AZ9" s="49">
        <v>0.40400000000000003</v>
      </c>
      <c r="BA9" s="49">
        <v>0.39900000000000002</v>
      </c>
      <c r="BB9" s="49">
        <v>0.39600000000000002</v>
      </c>
      <c r="BC9" s="48">
        <v>0.40100000000000002</v>
      </c>
      <c r="BD9" s="48">
        <v>0.41299999999999998</v>
      </c>
      <c r="BE9" s="48">
        <v>0.42199999999999999</v>
      </c>
      <c r="BF9" s="48">
        <v>0.42899999999999999</v>
      </c>
      <c r="BG9" s="49">
        <v>0.45</v>
      </c>
      <c r="BH9" s="49">
        <v>0.45500000000000002</v>
      </c>
      <c r="BI9" s="49">
        <v>0.47499999999999998</v>
      </c>
      <c r="BJ9" s="49">
        <v>0.48499999999999999</v>
      </c>
      <c r="BK9" s="48">
        <v>0.439</v>
      </c>
    </row>
    <row r="10" spans="1:63" ht="15" thickBot="1" x14ac:dyDescent="0.35">
      <c r="A10" s="47" t="s">
        <v>514</v>
      </c>
      <c r="B10" s="46" t="s">
        <v>513</v>
      </c>
      <c r="C10" s="49">
        <v>-3.72</v>
      </c>
      <c r="D10" s="49">
        <v>-3.1579999999999999</v>
      </c>
      <c r="E10" s="49">
        <v>-0.68700000000000006</v>
      </c>
      <c r="F10" s="49">
        <v>-0.29399999999999998</v>
      </c>
      <c r="G10" s="48">
        <v>-0.29699999999999999</v>
      </c>
      <c r="H10" s="48">
        <v>-0.38700000000000001</v>
      </c>
      <c r="I10" s="48">
        <v>-0.28599999999999998</v>
      </c>
      <c r="J10" s="48">
        <v>-0.30099999999999999</v>
      </c>
      <c r="K10" s="49">
        <v>-0.46600000000000003</v>
      </c>
      <c r="L10" s="49">
        <v>-0.29799999999999999</v>
      </c>
      <c r="M10" s="49">
        <v>-0.126</v>
      </c>
      <c r="N10" s="49">
        <v>-4.9000000000000002E-2</v>
      </c>
      <c r="O10" s="48">
        <v>-0.192</v>
      </c>
      <c r="P10" s="48">
        <v>-0.11</v>
      </c>
      <c r="Q10" s="48">
        <v>-0.11</v>
      </c>
      <c r="R10" s="48">
        <v>-7.9000000000000001E-2</v>
      </c>
      <c r="S10" s="49">
        <v>-0.17699999999999999</v>
      </c>
      <c r="T10" s="49">
        <v>-6.5000000000000002E-2</v>
      </c>
      <c r="U10" s="49">
        <v>-5.8000000000000003E-2</v>
      </c>
      <c r="V10" s="49">
        <v>4.0000000000000001E-3</v>
      </c>
      <c r="W10" s="48">
        <v>-6.7000000000000004E-2</v>
      </c>
      <c r="X10" s="48">
        <v>-6.0000000000000001E-3</v>
      </c>
      <c r="Y10" s="48">
        <v>0.04</v>
      </c>
      <c r="Z10" s="48">
        <v>0.04</v>
      </c>
      <c r="AA10" s="49">
        <v>-3.5000000000000003E-2</v>
      </c>
      <c r="AB10" s="49">
        <v>2.1000000000000001E-2</v>
      </c>
      <c r="AC10" s="49">
        <v>4.2999999999999997E-2</v>
      </c>
      <c r="AD10" s="49">
        <v>-0.188</v>
      </c>
      <c r="AE10" s="48">
        <v>-0.25600000000000001</v>
      </c>
      <c r="AF10" s="48">
        <v>-0.16500000000000001</v>
      </c>
      <c r="AG10" s="48">
        <v>-0.13900000000000001</v>
      </c>
      <c r="AH10" s="48">
        <v>-7.0999999999999994E-2</v>
      </c>
      <c r="AI10" s="49">
        <v>-0.22900000000000001</v>
      </c>
      <c r="AJ10" s="49">
        <v>-4.4999999999999998E-2</v>
      </c>
      <c r="AK10" s="49">
        <v>5.0000000000000001E-3</v>
      </c>
      <c r="AL10" s="49">
        <v>2.5999999999999999E-2</v>
      </c>
      <c r="AM10" s="48">
        <v>-3.0000000000000001E-3</v>
      </c>
      <c r="AN10" s="48">
        <v>2.1999999999999999E-2</v>
      </c>
      <c r="AO10" s="48">
        <v>0.06</v>
      </c>
      <c r="AP10" s="48">
        <v>0.1</v>
      </c>
      <c r="AQ10" s="49">
        <v>0.111</v>
      </c>
      <c r="AR10" s="49">
        <v>0.16600000000000001</v>
      </c>
      <c r="AS10" s="49">
        <v>0.21099999999999999</v>
      </c>
      <c r="AT10" s="49">
        <v>0.22900000000000001</v>
      </c>
      <c r="AU10" s="48">
        <v>0.23599999999999999</v>
      </c>
      <c r="AV10" s="48">
        <v>0.11899999999999999</v>
      </c>
      <c r="AW10" s="48">
        <v>0.317</v>
      </c>
      <c r="AX10" s="48">
        <v>0.31900000000000001</v>
      </c>
      <c r="AY10" s="49">
        <v>0.23200000000000001</v>
      </c>
      <c r="AZ10" s="49">
        <v>0.20499999999999999</v>
      </c>
      <c r="BA10" s="49">
        <v>0.13900000000000001</v>
      </c>
      <c r="BB10" s="49">
        <v>0.16600000000000001</v>
      </c>
      <c r="BC10" s="48">
        <v>0.17599999999999999</v>
      </c>
      <c r="BD10" s="48">
        <v>0.20599999999999999</v>
      </c>
      <c r="BE10" s="48">
        <v>0.23300000000000001</v>
      </c>
      <c r="BF10" s="48">
        <v>0.24099999999999999</v>
      </c>
      <c r="BG10" s="49">
        <v>0.255</v>
      </c>
      <c r="BH10" s="49">
        <v>0.26500000000000001</v>
      </c>
      <c r="BI10" s="49">
        <v>0.249</v>
      </c>
      <c r="BJ10" s="49">
        <v>8.4000000000000005E-2</v>
      </c>
      <c r="BK10" s="48">
        <v>-2.7E-2</v>
      </c>
    </row>
    <row r="11" spans="1:63" ht="15" thickBot="1" x14ac:dyDescent="0.35">
      <c r="A11" s="47" t="s">
        <v>512</v>
      </c>
      <c r="B11" s="46" t="s">
        <v>511</v>
      </c>
      <c r="C11" s="49">
        <v>-3.72</v>
      </c>
      <c r="D11" s="49">
        <v>-3.1579999999999999</v>
      </c>
      <c r="E11" s="49">
        <v>-0.68700000000000006</v>
      </c>
      <c r="F11" s="49">
        <v>-0.29399999999999998</v>
      </c>
      <c r="G11" s="48">
        <v>-0.32200000000000001</v>
      </c>
      <c r="H11" s="48">
        <v>-0.42</v>
      </c>
      <c r="I11" s="48">
        <v>-0.309</v>
      </c>
      <c r="J11" s="48">
        <v>-0.32400000000000001</v>
      </c>
      <c r="K11" s="49">
        <v>-0.496</v>
      </c>
      <c r="L11" s="49">
        <v>-0.32100000000000001</v>
      </c>
      <c r="M11" s="49">
        <v>-0.14399999999999999</v>
      </c>
      <c r="N11" s="49">
        <v>-6.7000000000000004E-2</v>
      </c>
      <c r="O11" s="48">
        <v>-0.218</v>
      </c>
      <c r="P11" s="48">
        <v>-0.13500000000000001</v>
      </c>
      <c r="Q11" s="48">
        <v>-0.13500000000000001</v>
      </c>
      <c r="R11" s="48">
        <v>-0.107</v>
      </c>
      <c r="S11" s="49">
        <v>-0.21299999999999999</v>
      </c>
      <c r="T11" s="49">
        <v>-9.4E-2</v>
      </c>
      <c r="U11" s="49">
        <v>-8.5999999999999993E-2</v>
      </c>
      <c r="V11" s="49">
        <v>-2.4E-2</v>
      </c>
      <c r="W11" s="48">
        <v>-0.1</v>
      </c>
      <c r="X11" s="48">
        <v>-0.03</v>
      </c>
      <c r="Y11" s="48">
        <v>1.9E-2</v>
      </c>
      <c r="Z11" s="48">
        <v>1.9E-2</v>
      </c>
      <c r="AA11" s="49">
        <v>-6.4000000000000001E-2</v>
      </c>
      <c r="AB11" s="49">
        <v>-4.0000000000000001E-3</v>
      </c>
      <c r="AC11" s="49">
        <v>1.7000000000000001E-2</v>
      </c>
      <c r="AD11" s="49">
        <v>-0.23100000000000001</v>
      </c>
      <c r="AE11" s="48">
        <v>-0.29799999999999999</v>
      </c>
      <c r="AF11" s="48">
        <v>-0.19900000000000001</v>
      </c>
      <c r="AG11" s="48">
        <v>-0.2</v>
      </c>
      <c r="AH11" s="48">
        <v>-0.111</v>
      </c>
      <c r="AI11" s="49">
        <v>-0.40400000000000003</v>
      </c>
      <c r="AJ11" s="49">
        <v>-0.124</v>
      </c>
      <c r="AK11" s="49">
        <v>-7.6999999999999999E-2</v>
      </c>
      <c r="AL11" s="49">
        <v>-2.7E-2</v>
      </c>
      <c r="AM11" s="48">
        <v>-3.5000000000000003E-2</v>
      </c>
      <c r="AN11" s="48">
        <v>-7.0000000000000001E-3</v>
      </c>
      <c r="AO11" s="48">
        <v>-5.0000000000000001E-3</v>
      </c>
      <c r="AP11" s="48">
        <v>5.3999999999999999E-2</v>
      </c>
      <c r="AQ11" s="49">
        <v>7.0999999999999994E-2</v>
      </c>
      <c r="AR11" s="49">
        <v>0.13</v>
      </c>
      <c r="AS11" s="49">
        <v>0.187</v>
      </c>
      <c r="AT11" s="49">
        <v>0.21199999999999999</v>
      </c>
      <c r="AU11" s="48">
        <v>0.218</v>
      </c>
      <c r="AV11" s="48">
        <v>8.5999999999999993E-2</v>
      </c>
      <c r="AW11" s="48">
        <v>0.28999999999999998</v>
      </c>
      <c r="AX11" s="48">
        <v>0.29899999999999999</v>
      </c>
      <c r="AY11" s="49">
        <v>1.7000000000000001E-2</v>
      </c>
      <c r="AZ11" s="49">
        <v>0.188</v>
      </c>
      <c r="BA11" s="49">
        <v>0.106</v>
      </c>
      <c r="BB11" s="49">
        <v>0.14000000000000001</v>
      </c>
      <c r="BC11" s="48">
        <v>0.14000000000000001</v>
      </c>
      <c r="BD11" s="48">
        <v>0.17699999999999999</v>
      </c>
      <c r="BE11" s="48">
        <v>0.21299999999999999</v>
      </c>
      <c r="BF11" s="48">
        <v>0.217</v>
      </c>
      <c r="BG11" s="49">
        <v>0.23100000000000001</v>
      </c>
      <c r="BH11" s="49">
        <v>0.24</v>
      </c>
      <c r="BI11" s="49">
        <v>0.214</v>
      </c>
      <c r="BJ11" s="49">
        <v>-3.4000000000000002E-2</v>
      </c>
      <c r="BK11" s="48">
        <v>-0.111</v>
      </c>
    </row>
    <row r="12" spans="1:63" ht="15" thickBot="1" x14ac:dyDescent="0.35">
      <c r="A12" s="47" t="s">
        <v>510</v>
      </c>
      <c r="B12" s="46" t="s">
        <v>501</v>
      </c>
      <c r="C12" s="49">
        <v>-3.7280000000000002</v>
      </c>
      <c r="D12" s="49">
        <v>-3.3119999999999998</v>
      </c>
      <c r="E12" s="49">
        <v>-0.68200000000000005</v>
      </c>
      <c r="F12" s="49">
        <v>-0.29399999999999998</v>
      </c>
      <c r="G12" s="48">
        <v>-0.32800000000000001</v>
      </c>
      <c r="H12" s="48">
        <v>-0.45</v>
      </c>
      <c r="I12" s="48">
        <v>-0.33400000000000002</v>
      </c>
      <c r="J12" s="48">
        <v>-0.33400000000000002</v>
      </c>
      <c r="K12" s="49">
        <v>-0.51400000000000001</v>
      </c>
      <c r="L12" s="49">
        <v>-0.34799999999999998</v>
      </c>
      <c r="M12" s="49">
        <v>-0.16</v>
      </c>
      <c r="N12" s="49">
        <v>-9.7000000000000003E-2</v>
      </c>
      <c r="O12" s="48">
        <v>-0.23799999999999999</v>
      </c>
      <c r="P12" s="48">
        <v>-0.20200000000000001</v>
      </c>
      <c r="Q12" s="48">
        <v>-0.14399999999999999</v>
      </c>
      <c r="R12" s="48">
        <v>-0.129</v>
      </c>
      <c r="S12" s="49">
        <v>-0.224</v>
      </c>
      <c r="T12" s="49">
        <v>-0.108</v>
      </c>
      <c r="U12" s="49">
        <v>-9.9000000000000005E-2</v>
      </c>
      <c r="V12" s="49">
        <v>-3.5999999999999997E-2</v>
      </c>
      <c r="W12" s="48">
        <v>-0.106</v>
      </c>
      <c r="X12" s="48">
        <v>-3.5999999999999997E-2</v>
      </c>
      <c r="Y12" s="48">
        <v>8.9999999999999993E-3</v>
      </c>
      <c r="Z12" s="48">
        <v>8.0000000000000002E-3</v>
      </c>
      <c r="AA12" s="49">
        <v>-7.0999999999999994E-2</v>
      </c>
      <c r="AB12" s="49">
        <v>-4.0000000000000001E-3</v>
      </c>
      <c r="AC12" s="49">
        <v>8.9999999999999993E-3</v>
      </c>
      <c r="AD12" s="49">
        <v>-0.23</v>
      </c>
      <c r="AE12" s="48">
        <v>-0.28899999999999998</v>
      </c>
      <c r="AF12" s="48">
        <v>-0.20699999999999999</v>
      </c>
      <c r="AG12" s="48">
        <v>-0.21</v>
      </c>
      <c r="AH12" s="48">
        <v>-0.13700000000000001</v>
      </c>
      <c r="AI12" s="49">
        <v>-0.42299999999999999</v>
      </c>
      <c r="AJ12" s="49">
        <v>-0.15</v>
      </c>
      <c r="AK12" s="49">
        <v>-9.0999999999999998E-2</v>
      </c>
      <c r="AL12" s="49">
        <v>-4.9000000000000002E-2</v>
      </c>
      <c r="AM12" s="48">
        <v>-7.0000000000000007E-2</v>
      </c>
      <c r="AN12" s="48">
        <v>-4.4999999999999998E-2</v>
      </c>
      <c r="AO12" s="48">
        <v>-4.1000000000000002E-2</v>
      </c>
      <c r="AP12" s="48">
        <v>1.4E-2</v>
      </c>
      <c r="AQ12" s="49">
        <v>3.1E-2</v>
      </c>
      <c r="AR12" s="49">
        <v>8.4000000000000005E-2</v>
      </c>
      <c r="AS12" s="49">
        <v>0.17399999999999999</v>
      </c>
      <c r="AT12" s="49">
        <v>0.21099999999999999</v>
      </c>
      <c r="AU12" s="48">
        <v>0.27800000000000002</v>
      </c>
      <c r="AV12" s="48">
        <v>-0.42899999999999999</v>
      </c>
      <c r="AW12" s="48">
        <v>0.251</v>
      </c>
      <c r="AX12" s="48">
        <v>0.26900000000000002</v>
      </c>
      <c r="AY12" s="49">
        <v>-6.0000000000000001E-3</v>
      </c>
      <c r="AZ12" s="49">
        <v>0.14699999999999999</v>
      </c>
      <c r="BA12" s="49">
        <v>7.2999999999999995E-2</v>
      </c>
      <c r="BB12" s="49">
        <v>0.122</v>
      </c>
      <c r="BC12" s="48">
        <v>0.13</v>
      </c>
      <c r="BD12" s="48">
        <v>0.17399999999999999</v>
      </c>
      <c r="BE12" s="48">
        <v>0.21199999999999999</v>
      </c>
      <c r="BF12" s="48">
        <v>0.23200000000000001</v>
      </c>
      <c r="BG12" s="49">
        <v>0.247</v>
      </c>
      <c r="BH12" s="49">
        <v>0.26</v>
      </c>
      <c r="BI12" s="49">
        <v>0.249</v>
      </c>
      <c r="BJ12" s="49">
        <v>0.04</v>
      </c>
      <c r="BK12" s="48">
        <v>-4.3999999999999997E-2</v>
      </c>
    </row>
    <row r="13" spans="1:63" ht="15" thickBot="1" x14ac:dyDescent="0.35">
      <c r="A13" s="47" t="s">
        <v>509</v>
      </c>
      <c r="B13" s="46" t="s">
        <v>508</v>
      </c>
      <c r="C13" s="49" t="s">
        <v>449</v>
      </c>
      <c r="D13" s="49" t="s">
        <v>449</v>
      </c>
      <c r="E13" s="49" t="s">
        <v>449</v>
      </c>
      <c r="F13" s="49" t="s">
        <v>449</v>
      </c>
      <c r="G13" s="48" t="s">
        <v>449</v>
      </c>
      <c r="H13" s="48" t="s">
        <v>449</v>
      </c>
      <c r="I13" s="48" t="s">
        <v>449</v>
      </c>
      <c r="J13" s="48" t="s">
        <v>449</v>
      </c>
      <c r="K13" s="49" t="s">
        <v>449</v>
      </c>
      <c r="L13" s="49" t="s">
        <v>449</v>
      </c>
      <c r="M13" s="49" t="s">
        <v>449</v>
      </c>
      <c r="N13" s="49" t="s">
        <v>449</v>
      </c>
      <c r="O13" s="48" t="s">
        <v>449</v>
      </c>
      <c r="P13" s="48" t="s">
        <v>449</v>
      </c>
      <c r="Q13" s="48" t="s">
        <v>449</v>
      </c>
      <c r="R13" s="48" t="s">
        <v>449</v>
      </c>
      <c r="S13" s="49" t="s">
        <v>449</v>
      </c>
      <c r="T13" s="49" t="s">
        <v>449</v>
      </c>
      <c r="U13" s="49" t="s">
        <v>449</v>
      </c>
      <c r="V13" s="49" t="s">
        <v>449</v>
      </c>
      <c r="W13" s="48" t="s">
        <v>449</v>
      </c>
      <c r="X13" s="48" t="s">
        <v>449</v>
      </c>
      <c r="Y13" s="48">
        <v>0.13500000000000001</v>
      </c>
      <c r="Z13" s="48">
        <v>0.50800000000000001</v>
      </c>
      <c r="AA13" s="49" t="s">
        <v>449</v>
      </c>
      <c r="AB13" s="49" t="s">
        <v>449</v>
      </c>
      <c r="AC13" s="49">
        <v>0.33300000000000002</v>
      </c>
      <c r="AD13" s="49" t="s">
        <v>449</v>
      </c>
      <c r="AE13" s="48" t="s">
        <v>449</v>
      </c>
      <c r="AF13" s="48" t="s">
        <v>449</v>
      </c>
      <c r="AG13" s="48" t="s">
        <v>449</v>
      </c>
      <c r="AH13" s="48" t="s">
        <v>449</v>
      </c>
      <c r="AI13" s="49" t="s">
        <v>449</v>
      </c>
      <c r="AJ13" s="49" t="s">
        <v>449</v>
      </c>
      <c r="AK13" s="49" t="s">
        <v>449</v>
      </c>
      <c r="AL13" s="49" t="s">
        <v>449</v>
      </c>
      <c r="AM13" s="48" t="s">
        <v>449</v>
      </c>
      <c r="AN13" s="48" t="s">
        <v>449</v>
      </c>
      <c r="AO13" s="48" t="s">
        <v>449</v>
      </c>
      <c r="AP13" s="48">
        <v>0.44900000000000001</v>
      </c>
      <c r="AQ13" s="49">
        <v>0.112</v>
      </c>
      <c r="AR13" s="49">
        <v>5.2999999999999999E-2</v>
      </c>
      <c r="AS13" s="49">
        <v>8.9999999999999993E-3</v>
      </c>
      <c r="AT13" s="49">
        <v>-1.6259999999999999</v>
      </c>
      <c r="AU13" s="48">
        <v>-0.20799999999999999</v>
      </c>
      <c r="AV13" s="48" t="s">
        <v>449</v>
      </c>
      <c r="AW13" s="48">
        <v>0.122</v>
      </c>
      <c r="AX13" s="48">
        <v>-2.3E-2</v>
      </c>
      <c r="AY13" s="49" t="s">
        <v>449</v>
      </c>
      <c r="AZ13" s="49">
        <v>0.151</v>
      </c>
      <c r="BA13" s="49">
        <v>0.152</v>
      </c>
      <c r="BB13" s="49">
        <v>-4.1000000000000002E-2</v>
      </c>
      <c r="BC13" s="48">
        <v>9.7000000000000003E-2</v>
      </c>
      <c r="BD13" s="48">
        <v>0.16500000000000001</v>
      </c>
      <c r="BE13" s="48">
        <v>0.14499999999999999</v>
      </c>
      <c r="BF13" s="48">
        <v>8.5999999999999993E-2</v>
      </c>
      <c r="BG13" s="49">
        <v>0.17899999999999999</v>
      </c>
      <c r="BH13" s="49">
        <v>0.14799999999999999</v>
      </c>
      <c r="BI13" s="49">
        <v>0.17</v>
      </c>
      <c r="BJ13" s="49">
        <v>-0.71099999999999997</v>
      </c>
      <c r="BK13" s="48" t="s">
        <v>449</v>
      </c>
    </row>
    <row r="14" spans="1:63" ht="15" thickBot="1" x14ac:dyDescent="0.35">
      <c r="A14" s="47" t="s">
        <v>507</v>
      </c>
      <c r="B14" s="46" t="s">
        <v>506</v>
      </c>
      <c r="C14" s="49">
        <v>-3.7280000000000002</v>
      </c>
      <c r="D14" s="49">
        <v>-3.3119999999999998</v>
      </c>
      <c r="E14" s="49">
        <v>-0.68200000000000005</v>
      </c>
      <c r="F14" s="49">
        <v>-0.29399999999999998</v>
      </c>
      <c r="G14" s="48">
        <v>-0.32800000000000001</v>
      </c>
      <c r="H14" s="48">
        <v>-0.45</v>
      </c>
      <c r="I14" s="48">
        <v>-0.33400000000000002</v>
      </c>
      <c r="J14" s="48">
        <v>-0.33400000000000002</v>
      </c>
      <c r="K14" s="49">
        <v>-0.51400000000000001</v>
      </c>
      <c r="L14" s="49">
        <v>-0.34799999999999998</v>
      </c>
      <c r="M14" s="49">
        <v>-0.16</v>
      </c>
      <c r="N14" s="49">
        <v>-9.7000000000000003E-2</v>
      </c>
      <c r="O14" s="48">
        <v>-0.23899999999999999</v>
      </c>
      <c r="P14" s="48">
        <v>-0.20399999999999999</v>
      </c>
      <c r="Q14" s="48">
        <v>-0.14599999999999999</v>
      </c>
      <c r="R14" s="48">
        <v>-0.13400000000000001</v>
      </c>
      <c r="S14" s="49">
        <v>-0.22800000000000001</v>
      </c>
      <c r="T14" s="49">
        <v>-0.11</v>
      </c>
      <c r="U14" s="49">
        <v>-0.10199999999999999</v>
      </c>
      <c r="V14" s="49">
        <v>-4.2000000000000003E-2</v>
      </c>
      <c r="W14" s="48">
        <v>-0.108</v>
      </c>
      <c r="X14" s="48">
        <v>-3.6999999999999998E-2</v>
      </c>
      <c r="Y14" s="48">
        <v>8.0000000000000002E-3</v>
      </c>
      <c r="Z14" s="48">
        <v>4.0000000000000001E-3</v>
      </c>
      <c r="AA14" s="49">
        <v>-7.2999999999999995E-2</v>
      </c>
      <c r="AB14" s="49">
        <v>-6.0000000000000001E-3</v>
      </c>
      <c r="AC14" s="49">
        <v>6.0000000000000001E-3</v>
      </c>
      <c r="AD14" s="49">
        <v>-0.24</v>
      </c>
      <c r="AE14" s="48">
        <v>-0.29299999999999998</v>
      </c>
      <c r="AF14" s="48">
        <v>-0.21099999999999999</v>
      </c>
      <c r="AG14" s="48">
        <v>-0.21099999999999999</v>
      </c>
      <c r="AH14" s="48">
        <v>-0.14599999999999999</v>
      </c>
      <c r="AI14" s="49">
        <v>-0.42599999999999999</v>
      </c>
      <c r="AJ14" s="49">
        <v>-0.16200000000000001</v>
      </c>
      <c r="AK14" s="49">
        <v>-8.8999999999999996E-2</v>
      </c>
      <c r="AL14" s="49">
        <v>0.39200000000000002</v>
      </c>
      <c r="AM14" s="48">
        <v>-7.2999999999999995E-2</v>
      </c>
      <c r="AN14" s="48">
        <v>-4.9000000000000002E-2</v>
      </c>
      <c r="AO14" s="48">
        <v>-4.3999999999999997E-2</v>
      </c>
      <c r="AP14" s="48">
        <v>8.0000000000000002E-3</v>
      </c>
      <c r="AQ14" s="49">
        <v>2.8000000000000001E-2</v>
      </c>
      <c r="AR14" s="49">
        <v>7.9000000000000001E-2</v>
      </c>
      <c r="AS14" s="49">
        <v>0.17299999999999999</v>
      </c>
      <c r="AT14" s="49">
        <v>0.55500000000000005</v>
      </c>
      <c r="AU14" s="48">
        <v>0.33500000000000002</v>
      </c>
      <c r="AV14" s="48">
        <v>-0.377</v>
      </c>
      <c r="AW14" s="48">
        <v>0.221</v>
      </c>
      <c r="AX14" s="48">
        <v>0.27600000000000002</v>
      </c>
      <c r="AY14" s="49">
        <v>0.105</v>
      </c>
      <c r="AZ14" s="49">
        <v>0.125</v>
      </c>
      <c r="BA14" s="49">
        <v>6.2E-2</v>
      </c>
      <c r="BB14" s="49">
        <v>0.127</v>
      </c>
      <c r="BC14" s="48">
        <v>0.11700000000000001</v>
      </c>
      <c r="BD14" s="48">
        <v>0.14499999999999999</v>
      </c>
      <c r="BE14" s="48">
        <v>0.18099999999999999</v>
      </c>
      <c r="BF14" s="48">
        <v>0.21199999999999999</v>
      </c>
      <c r="BG14" s="49">
        <v>0.20200000000000001</v>
      </c>
      <c r="BH14" s="49">
        <v>0.221</v>
      </c>
      <c r="BI14" s="49">
        <v>0.20699999999999999</v>
      </c>
      <c r="BJ14" s="49">
        <v>6.9000000000000006E-2</v>
      </c>
      <c r="BK14" s="48">
        <v>-6.0999999999999999E-2</v>
      </c>
    </row>
    <row r="15" spans="1:63" ht="15" thickBot="1" x14ac:dyDescent="0.35">
      <c r="A15" s="56" t="s">
        <v>505</v>
      </c>
      <c r="B15" s="16"/>
      <c r="C15" s="55"/>
      <c r="D15" s="55"/>
      <c r="E15" s="55"/>
      <c r="F15" s="55"/>
      <c r="G15" s="11"/>
      <c r="H15" s="11"/>
      <c r="I15" s="11"/>
      <c r="J15" s="11"/>
      <c r="K15" s="55"/>
      <c r="L15" s="55"/>
      <c r="M15" s="55"/>
      <c r="N15" s="55"/>
      <c r="O15" s="11"/>
      <c r="P15" s="11"/>
      <c r="Q15" s="11"/>
      <c r="R15" s="11"/>
      <c r="S15" s="55"/>
      <c r="T15" s="55"/>
      <c r="U15" s="55"/>
      <c r="V15" s="55"/>
      <c r="W15" s="11"/>
      <c r="X15" s="11"/>
      <c r="Y15" s="11"/>
      <c r="Z15" s="11"/>
      <c r="AA15" s="55"/>
      <c r="AB15" s="55"/>
      <c r="AC15" s="55"/>
      <c r="AD15" s="55"/>
      <c r="AE15" s="11"/>
      <c r="AF15" s="11"/>
      <c r="AG15" s="11"/>
      <c r="AH15" s="11"/>
      <c r="AI15" s="55"/>
      <c r="AJ15" s="55"/>
      <c r="AK15" s="55"/>
      <c r="AL15" s="55"/>
      <c r="AM15" s="11"/>
      <c r="AN15" s="11"/>
      <c r="AO15" s="11"/>
      <c r="AP15" s="11"/>
      <c r="AQ15" s="55"/>
      <c r="AR15" s="55"/>
      <c r="AS15" s="55"/>
      <c r="AT15" s="55"/>
      <c r="AU15" s="11"/>
      <c r="AV15" s="11"/>
      <c r="AW15" s="11"/>
      <c r="AX15" s="11"/>
      <c r="AY15" s="55"/>
      <c r="AZ15" s="55"/>
      <c r="BA15" s="55"/>
      <c r="BB15" s="55"/>
      <c r="BC15" s="11"/>
      <c r="BD15" s="11"/>
      <c r="BE15" s="11"/>
      <c r="BF15" s="11"/>
      <c r="BG15" s="55"/>
      <c r="BH15" s="55"/>
      <c r="BI15" s="55"/>
      <c r="BJ15" s="55"/>
      <c r="BK15" s="11"/>
    </row>
    <row r="16" spans="1:63" ht="15" thickBot="1" x14ac:dyDescent="0.35">
      <c r="A16" s="47" t="s">
        <v>504</v>
      </c>
      <c r="B16" s="46" t="s">
        <v>503</v>
      </c>
      <c r="C16" s="52" t="s">
        <v>449</v>
      </c>
      <c r="D16" s="52" t="s">
        <v>449</v>
      </c>
      <c r="E16" s="52" t="s">
        <v>449</v>
      </c>
      <c r="F16" s="52" t="s">
        <v>449</v>
      </c>
      <c r="G16" s="51" t="s">
        <v>449</v>
      </c>
      <c r="H16" s="51" t="s">
        <v>449</v>
      </c>
      <c r="I16" s="51" t="s">
        <v>449</v>
      </c>
      <c r="J16" s="51" t="s">
        <v>449</v>
      </c>
      <c r="K16" s="52">
        <v>0.32</v>
      </c>
      <c r="L16" s="52">
        <v>0.46</v>
      </c>
      <c r="M16" s="52">
        <v>0.61</v>
      </c>
      <c r="N16" s="52">
        <v>0.63</v>
      </c>
      <c r="O16" s="51">
        <v>0.41</v>
      </c>
      <c r="P16" s="51">
        <v>0.46</v>
      </c>
      <c r="Q16" s="51">
        <v>0.47</v>
      </c>
      <c r="R16" s="51">
        <v>0.47</v>
      </c>
      <c r="S16" s="52">
        <v>0.39</v>
      </c>
      <c r="T16" s="52">
        <v>0.51</v>
      </c>
      <c r="U16" s="52">
        <v>0.53</v>
      </c>
      <c r="V16" s="52">
        <v>0.56999999999999995</v>
      </c>
      <c r="W16" s="51">
        <v>0.5</v>
      </c>
      <c r="X16" s="51">
        <v>0.67</v>
      </c>
      <c r="Y16" s="51">
        <v>0.72</v>
      </c>
      <c r="Z16" s="51">
        <v>0.71</v>
      </c>
      <c r="AA16" s="52">
        <v>0.56999999999999995</v>
      </c>
      <c r="AB16" s="52">
        <v>0.61</v>
      </c>
      <c r="AC16" s="52">
        <v>0.56000000000000005</v>
      </c>
      <c r="AD16" s="52">
        <v>0.38</v>
      </c>
      <c r="AE16" s="51">
        <v>0.4</v>
      </c>
      <c r="AF16" s="51">
        <v>0.51</v>
      </c>
      <c r="AG16" s="51">
        <v>0.54</v>
      </c>
      <c r="AH16" s="51">
        <v>0.53</v>
      </c>
      <c r="AI16" s="52">
        <v>0.33</v>
      </c>
      <c r="AJ16" s="52">
        <v>0.45</v>
      </c>
      <c r="AK16" s="52">
        <v>0.45</v>
      </c>
      <c r="AL16" s="52">
        <v>0.46</v>
      </c>
      <c r="AM16" s="51">
        <v>0.37</v>
      </c>
      <c r="AN16" s="51">
        <v>0.35</v>
      </c>
      <c r="AO16" s="51">
        <v>0.28999999999999998</v>
      </c>
      <c r="AP16" s="51">
        <v>0.28000000000000003</v>
      </c>
      <c r="AQ16" s="52">
        <v>0.3</v>
      </c>
      <c r="AR16" s="52">
        <v>0.33</v>
      </c>
      <c r="AS16" s="52">
        <v>0.36</v>
      </c>
      <c r="AT16" s="52">
        <v>0.34</v>
      </c>
      <c r="AU16" s="51">
        <v>0.24</v>
      </c>
      <c r="AV16" s="51">
        <v>0.12</v>
      </c>
      <c r="AW16" s="51">
        <v>0.17</v>
      </c>
      <c r="AX16" s="51">
        <v>0.23</v>
      </c>
      <c r="AY16" s="52">
        <v>0.18</v>
      </c>
      <c r="AZ16" s="52">
        <v>0.15</v>
      </c>
      <c r="BA16" s="52">
        <v>0.16</v>
      </c>
      <c r="BB16" s="52">
        <v>0.19</v>
      </c>
      <c r="BC16" s="51">
        <v>0.2</v>
      </c>
      <c r="BD16" s="51">
        <v>0.23</v>
      </c>
      <c r="BE16" s="51">
        <v>0.25</v>
      </c>
      <c r="BF16" s="51">
        <v>0.25</v>
      </c>
      <c r="BG16" s="52">
        <v>0.22</v>
      </c>
      <c r="BH16" s="52">
        <v>0.21</v>
      </c>
      <c r="BI16" s="52">
        <v>0.16</v>
      </c>
      <c r="BJ16" s="52">
        <v>0.09</v>
      </c>
      <c r="BK16" s="51">
        <v>0.08</v>
      </c>
    </row>
    <row r="17" spans="1:63" ht="15" thickBot="1" x14ac:dyDescent="0.35">
      <c r="A17" s="47" t="s">
        <v>502</v>
      </c>
      <c r="B17" s="46" t="s">
        <v>501</v>
      </c>
      <c r="C17" s="49">
        <v>-3.7280000000000002</v>
      </c>
      <c r="D17" s="49">
        <v>-3.3119999999999998</v>
      </c>
      <c r="E17" s="49">
        <v>-0.68200000000000005</v>
      </c>
      <c r="F17" s="49">
        <v>-0.29399999999999998</v>
      </c>
      <c r="G17" s="48">
        <v>-0.32800000000000001</v>
      </c>
      <c r="H17" s="48">
        <v>-0.45</v>
      </c>
      <c r="I17" s="48">
        <v>-0.33400000000000002</v>
      </c>
      <c r="J17" s="48">
        <v>-0.33400000000000002</v>
      </c>
      <c r="K17" s="49">
        <v>-0.51400000000000001</v>
      </c>
      <c r="L17" s="49">
        <v>-0.34799999999999998</v>
      </c>
      <c r="M17" s="49">
        <v>-0.16</v>
      </c>
      <c r="N17" s="49">
        <v>-9.7000000000000003E-2</v>
      </c>
      <c r="O17" s="48">
        <v>-0.23799999999999999</v>
      </c>
      <c r="P17" s="48">
        <v>-0.20200000000000001</v>
      </c>
      <c r="Q17" s="48">
        <v>-0.14399999999999999</v>
      </c>
      <c r="R17" s="48">
        <v>-0.129</v>
      </c>
      <c r="S17" s="49">
        <v>-0.224</v>
      </c>
      <c r="T17" s="49">
        <v>-0.108</v>
      </c>
      <c r="U17" s="49">
        <v>-9.9000000000000005E-2</v>
      </c>
      <c r="V17" s="49">
        <v>-3.5999999999999997E-2</v>
      </c>
      <c r="W17" s="48">
        <v>-0.106</v>
      </c>
      <c r="X17" s="48">
        <v>-3.5999999999999997E-2</v>
      </c>
      <c r="Y17" s="48">
        <v>8.9999999999999993E-3</v>
      </c>
      <c r="Z17" s="48">
        <v>8.0000000000000002E-3</v>
      </c>
      <c r="AA17" s="49">
        <v>-7.0999999999999994E-2</v>
      </c>
      <c r="AB17" s="49">
        <v>-4.0000000000000001E-3</v>
      </c>
      <c r="AC17" s="49">
        <v>8.9999999999999993E-3</v>
      </c>
      <c r="AD17" s="49">
        <v>-0.23</v>
      </c>
      <c r="AE17" s="48">
        <v>-0.28899999999999998</v>
      </c>
      <c r="AF17" s="48">
        <v>-0.20699999999999999</v>
      </c>
      <c r="AG17" s="48">
        <v>-0.21</v>
      </c>
      <c r="AH17" s="48">
        <v>-0.13700000000000001</v>
      </c>
      <c r="AI17" s="49">
        <v>-0.42299999999999999</v>
      </c>
      <c r="AJ17" s="49">
        <v>-0.15</v>
      </c>
      <c r="AK17" s="49">
        <v>-9.0999999999999998E-2</v>
      </c>
      <c r="AL17" s="49">
        <v>-4.9000000000000002E-2</v>
      </c>
      <c r="AM17" s="48">
        <v>-7.0000000000000007E-2</v>
      </c>
      <c r="AN17" s="48">
        <v>-4.4999999999999998E-2</v>
      </c>
      <c r="AO17" s="48">
        <v>-4.1000000000000002E-2</v>
      </c>
      <c r="AP17" s="48">
        <v>1.4E-2</v>
      </c>
      <c r="AQ17" s="49">
        <v>3.1E-2</v>
      </c>
      <c r="AR17" s="49">
        <v>8.4000000000000005E-2</v>
      </c>
      <c r="AS17" s="49">
        <v>0.17399999999999999</v>
      </c>
      <c r="AT17" s="49">
        <v>0.21099999999999999</v>
      </c>
      <c r="AU17" s="48">
        <v>0.27800000000000002</v>
      </c>
      <c r="AV17" s="48">
        <v>-0.42899999999999999</v>
      </c>
      <c r="AW17" s="48">
        <v>0.251</v>
      </c>
      <c r="AX17" s="48">
        <v>0.26900000000000002</v>
      </c>
      <c r="AY17" s="49">
        <v>-6.0000000000000001E-3</v>
      </c>
      <c r="AZ17" s="49">
        <v>0.14699999999999999</v>
      </c>
      <c r="BA17" s="49">
        <v>7.2999999999999995E-2</v>
      </c>
      <c r="BB17" s="49">
        <v>0.122</v>
      </c>
      <c r="BC17" s="48">
        <v>0.13</v>
      </c>
      <c r="BD17" s="48">
        <v>0.17399999999999999</v>
      </c>
      <c r="BE17" s="48">
        <v>0.21199999999999999</v>
      </c>
      <c r="BF17" s="48">
        <v>0.23200000000000001</v>
      </c>
      <c r="BG17" s="49">
        <v>0.247</v>
      </c>
      <c r="BH17" s="49">
        <v>0.26</v>
      </c>
      <c r="BI17" s="49">
        <v>0.249</v>
      </c>
      <c r="BJ17" s="49">
        <v>0.04</v>
      </c>
      <c r="BK17" s="48">
        <v>-4.3999999999999997E-2</v>
      </c>
    </row>
    <row r="18" spans="1:63" ht="15" thickBot="1" x14ac:dyDescent="0.35">
      <c r="A18" s="47" t="s">
        <v>500</v>
      </c>
      <c r="B18" s="46" t="s">
        <v>499</v>
      </c>
      <c r="C18" s="49" t="s">
        <v>449</v>
      </c>
      <c r="D18" s="49" t="s">
        <v>449</v>
      </c>
      <c r="E18" s="49" t="s">
        <v>449</v>
      </c>
      <c r="F18" s="49" t="s">
        <v>449</v>
      </c>
      <c r="G18" s="48" t="s">
        <v>449</v>
      </c>
      <c r="H18" s="48" t="s">
        <v>449</v>
      </c>
      <c r="I18" s="48" t="s">
        <v>449</v>
      </c>
      <c r="J18" s="48" t="s">
        <v>449</v>
      </c>
      <c r="K18" s="49">
        <v>-0.16200000000000001</v>
      </c>
      <c r="L18" s="49">
        <v>-0.161</v>
      </c>
      <c r="M18" s="49">
        <v>-9.8000000000000004E-2</v>
      </c>
      <c r="N18" s="49">
        <v>-6.0999999999999999E-2</v>
      </c>
      <c r="O18" s="48">
        <v>-9.7000000000000003E-2</v>
      </c>
      <c r="P18" s="48">
        <v>-9.4E-2</v>
      </c>
      <c r="Q18" s="48">
        <v>-6.7000000000000004E-2</v>
      </c>
      <c r="R18" s="48">
        <v>-0.06</v>
      </c>
      <c r="S18" s="49">
        <v>-8.6999999999999994E-2</v>
      </c>
      <c r="T18" s="49">
        <v>-5.5E-2</v>
      </c>
      <c r="U18" s="49">
        <v>-5.2999999999999999E-2</v>
      </c>
      <c r="V18" s="49">
        <v>-0.02</v>
      </c>
      <c r="W18" s="48">
        <v>-5.2999999999999999E-2</v>
      </c>
      <c r="X18" s="48">
        <v>-2.4E-2</v>
      </c>
      <c r="Y18" s="48">
        <v>7.0000000000000001E-3</v>
      </c>
      <c r="Z18" s="48">
        <v>6.0000000000000001E-3</v>
      </c>
      <c r="AA18" s="49">
        <v>-0.04</v>
      </c>
      <c r="AB18" s="49">
        <v>-2E-3</v>
      </c>
      <c r="AC18" s="49">
        <v>5.0000000000000001E-3</v>
      </c>
      <c r="AD18" s="49">
        <v>-8.6999999999999994E-2</v>
      </c>
      <c r="AE18" s="48">
        <v>-0.115</v>
      </c>
      <c r="AF18" s="48">
        <v>-0.105</v>
      </c>
      <c r="AG18" s="48">
        <v>-0.113</v>
      </c>
      <c r="AH18" s="48">
        <v>-7.2999999999999995E-2</v>
      </c>
      <c r="AI18" s="49">
        <v>-0.14000000000000001</v>
      </c>
      <c r="AJ18" s="49">
        <v>-6.8000000000000005E-2</v>
      </c>
      <c r="AK18" s="49">
        <v>-4.1000000000000002E-2</v>
      </c>
      <c r="AL18" s="49">
        <v>-2.1999999999999999E-2</v>
      </c>
      <c r="AM18" s="48">
        <v>-2.5999999999999999E-2</v>
      </c>
      <c r="AN18" s="48">
        <v>-1.6E-2</v>
      </c>
      <c r="AO18" s="48">
        <v>-1.2E-2</v>
      </c>
      <c r="AP18" s="48">
        <v>4.0000000000000001E-3</v>
      </c>
      <c r="AQ18" s="49">
        <v>8.9999999999999993E-3</v>
      </c>
      <c r="AR18" s="49">
        <v>2.8000000000000001E-2</v>
      </c>
      <c r="AS18" s="49">
        <v>6.2E-2</v>
      </c>
      <c r="AT18" s="49">
        <v>7.1999999999999995E-2</v>
      </c>
      <c r="AU18" s="48">
        <v>6.5000000000000002E-2</v>
      </c>
      <c r="AV18" s="48">
        <v>-5.2999999999999999E-2</v>
      </c>
      <c r="AW18" s="48">
        <v>4.2999999999999997E-2</v>
      </c>
      <c r="AX18" s="48">
        <v>6.2E-2</v>
      </c>
      <c r="AY18" s="49">
        <v>-1E-3</v>
      </c>
      <c r="AZ18" s="49">
        <v>2.1999999999999999E-2</v>
      </c>
      <c r="BA18" s="49">
        <v>1.2E-2</v>
      </c>
      <c r="BB18" s="49">
        <v>2.3E-2</v>
      </c>
      <c r="BC18" s="48">
        <v>2.5999999999999999E-2</v>
      </c>
      <c r="BD18" s="48">
        <v>3.9E-2</v>
      </c>
      <c r="BE18" s="48">
        <v>5.1999999999999998E-2</v>
      </c>
      <c r="BF18" s="48">
        <v>5.8000000000000003E-2</v>
      </c>
      <c r="BG18" s="49">
        <v>5.5E-2</v>
      </c>
      <c r="BH18" s="49">
        <v>5.3999999999999999E-2</v>
      </c>
      <c r="BI18" s="49">
        <v>3.9E-2</v>
      </c>
      <c r="BJ18" s="49">
        <v>4.0000000000000001E-3</v>
      </c>
      <c r="BK18" s="48">
        <v>-3.0000000000000001E-3</v>
      </c>
    </row>
    <row r="19" spans="1:63" ht="15" thickBot="1" x14ac:dyDescent="0.35">
      <c r="A19" s="47" t="s">
        <v>498</v>
      </c>
      <c r="B19" s="46" t="s">
        <v>476</v>
      </c>
      <c r="C19" s="52" t="s">
        <v>449</v>
      </c>
      <c r="D19" s="52" t="s">
        <v>449</v>
      </c>
      <c r="E19" s="52" t="s">
        <v>449</v>
      </c>
      <c r="F19" s="52" t="s">
        <v>449</v>
      </c>
      <c r="G19" s="51" t="s">
        <v>449</v>
      </c>
      <c r="H19" s="51" t="s">
        <v>449</v>
      </c>
      <c r="I19" s="51" t="s">
        <v>449</v>
      </c>
      <c r="J19" s="51" t="s">
        <v>449</v>
      </c>
      <c r="K19" s="52" t="s">
        <v>449</v>
      </c>
      <c r="L19" s="52" t="s">
        <v>449</v>
      </c>
      <c r="M19" s="52" t="s">
        <v>449</v>
      </c>
      <c r="N19" s="52" t="s">
        <v>449</v>
      </c>
      <c r="O19" s="51" t="s">
        <v>449</v>
      </c>
      <c r="P19" s="51">
        <v>1.95</v>
      </c>
      <c r="Q19" s="51">
        <v>1.98</v>
      </c>
      <c r="R19" s="51">
        <v>2.16</v>
      </c>
      <c r="S19" s="52">
        <v>2.35</v>
      </c>
      <c r="T19" s="52">
        <v>2.56</v>
      </c>
      <c r="U19" s="52">
        <v>2.98</v>
      </c>
      <c r="V19" s="52">
        <v>2.9</v>
      </c>
      <c r="W19" s="51">
        <v>3.11</v>
      </c>
      <c r="X19" s="51">
        <v>3.56</v>
      </c>
      <c r="Y19" s="51">
        <v>3.41</v>
      </c>
      <c r="Z19" s="51">
        <v>3.24</v>
      </c>
      <c r="AA19" s="52">
        <v>3.49</v>
      </c>
      <c r="AB19" s="52">
        <v>3.72</v>
      </c>
      <c r="AC19" s="52">
        <v>3.45</v>
      </c>
      <c r="AD19" s="52">
        <v>3.99</v>
      </c>
      <c r="AE19" s="51">
        <v>6.2</v>
      </c>
      <c r="AF19" s="51">
        <v>12.24</v>
      </c>
      <c r="AG19" s="51">
        <v>17.25</v>
      </c>
      <c r="AH19" s="51">
        <v>125.83</v>
      </c>
      <c r="AI19" s="52">
        <v>22.42</v>
      </c>
      <c r="AJ19" s="52" t="s">
        <v>449</v>
      </c>
      <c r="AK19" s="52" t="s">
        <v>449</v>
      </c>
      <c r="AL19" s="52" t="s">
        <v>449</v>
      </c>
      <c r="AM19" s="51" t="s">
        <v>449</v>
      </c>
      <c r="AN19" s="51" t="s">
        <v>449</v>
      </c>
      <c r="AO19" s="51">
        <v>78.56</v>
      </c>
      <c r="AP19" s="51">
        <v>43.72</v>
      </c>
      <c r="AQ19" s="52">
        <v>22.6</v>
      </c>
      <c r="AR19" s="52">
        <v>4.1100000000000003</v>
      </c>
      <c r="AS19" s="52">
        <v>3.44</v>
      </c>
      <c r="AT19" s="52">
        <v>2.62</v>
      </c>
      <c r="AU19" s="51">
        <v>3.26</v>
      </c>
      <c r="AV19" s="51">
        <v>2.7</v>
      </c>
      <c r="AW19" s="51">
        <v>2.62</v>
      </c>
      <c r="AX19" s="51">
        <v>2.48</v>
      </c>
      <c r="AY19" s="52">
        <v>2.99</v>
      </c>
      <c r="AZ19" s="52">
        <v>3.59</v>
      </c>
      <c r="BA19" s="52">
        <v>3.44</v>
      </c>
      <c r="BB19" s="52">
        <v>4.83</v>
      </c>
      <c r="BC19" s="51">
        <v>6.84</v>
      </c>
      <c r="BD19" s="51">
        <v>5.4</v>
      </c>
      <c r="BE19" s="51">
        <v>4.42</v>
      </c>
      <c r="BF19" s="51">
        <v>3.74</v>
      </c>
      <c r="BG19" s="52">
        <v>3.49</v>
      </c>
      <c r="BH19" s="52">
        <v>3.56</v>
      </c>
      <c r="BI19" s="52">
        <v>3.5</v>
      </c>
      <c r="BJ19" s="52">
        <v>3.44</v>
      </c>
      <c r="BK19" s="51">
        <v>3.5</v>
      </c>
    </row>
    <row r="20" spans="1:63" ht="15" thickBot="1" x14ac:dyDescent="0.35">
      <c r="A20" s="47" t="s">
        <v>497</v>
      </c>
      <c r="B20" s="46" t="s">
        <v>496</v>
      </c>
      <c r="C20" s="49" t="s">
        <v>449</v>
      </c>
      <c r="D20" s="49" t="s">
        <v>449</v>
      </c>
      <c r="E20" s="49" t="s">
        <v>449</v>
      </c>
      <c r="F20" s="49" t="s">
        <v>449</v>
      </c>
      <c r="G20" s="48" t="s">
        <v>449</v>
      </c>
      <c r="H20" s="48" t="s">
        <v>449</v>
      </c>
      <c r="I20" s="48" t="s">
        <v>449</v>
      </c>
      <c r="J20" s="48" t="s">
        <v>449</v>
      </c>
      <c r="K20" s="49">
        <v>-0.27300000000000002</v>
      </c>
      <c r="L20" s="49">
        <v>-0.39200000000000002</v>
      </c>
      <c r="M20" s="49">
        <v>-0.372</v>
      </c>
      <c r="N20" s="49">
        <v>-0.375</v>
      </c>
      <c r="O20" s="48">
        <v>-1.093</v>
      </c>
      <c r="P20" s="48">
        <v>-0.30099999999999999</v>
      </c>
      <c r="Q20" s="48">
        <v>-0.13200000000000001</v>
      </c>
      <c r="R20" s="48">
        <v>-0.125</v>
      </c>
      <c r="S20" s="49">
        <v>-0.19500000000000001</v>
      </c>
      <c r="T20" s="49">
        <v>-0.13600000000000001</v>
      </c>
      <c r="U20" s="49">
        <v>-0.14499999999999999</v>
      </c>
      <c r="V20" s="49">
        <v>-5.8999999999999997E-2</v>
      </c>
      <c r="W20" s="48">
        <v>-0.16</v>
      </c>
      <c r="X20" s="48">
        <v>-7.9000000000000001E-2</v>
      </c>
      <c r="Y20" s="48">
        <v>2.4E-2</v>
      </c>
      <c r="Z20" s="48">
        <v>1.7999999999999999E-2</v>
      </c>
      <c r="AA20" s="49">
        <v>-0.13500000000000001</v>
      </c>
      <c r="AB20" s="49">
        <v>-8.0000000000000002E-3</v>
      </c>
      <c r="AC20" s="49">
        <v>1.7999999999999999E-2</v>
      </c>
      <c r="AD20" s="49">
        <v>-0.32</v>
      </c>
      <c r="AE20" s="48">
        <v>-0.55400000000000005</v>
      </c>
      <c r="AF20" s="48">
        <v>-0.86199999999999999</v>
      </c>
      <c r="AG20" s="48">
        <v>-1.641</v>
      </c>
      <c r="AH20" s="48">
        <v>-2.1579999999999999</v>
      </c>
      <c r="AI20" s="49">
        <v>-5.2839999999999998</v>
      </c>
      <c r="AJ20" s="49">
        <v>-4.4189999999999996</v>
      </c>
      <c r="AK20" s="49" t="s">
        <v>449</v>
      </c>
      <c r="AL20" s="49" t="s">
        <v>449</v>
      </c>
      <c r="AM20" s="48" t="s">
        <v>449</v>
      </c>
      <c r="AN20" s="48" t="s">
        <v>449</v>
      </c>
      <c r="AO20" s="48" t="s">
        <v>449</v>
      </c>
      <c r="AP20" s="48">
        <v>0.216</v>
      </c>
      <c r="AQ20" s="49">
        <v>0.28399999999999997</v>
      </c>
      <c r="AR20" s="49">
        <v>0.17100000000000001</v>
      </c>
      <c r="AS20" s="49">
        <v>0.23300000000000001</v>
      </c>
      <c r="AT20" s="49">
        <v>0.20899999999999999</v>
      </c>
      <c r="AU20" s="48">
        <v>0.19400000000000001</v>
      </c>
      <c r="AV20" s="48">
        <v>-0.157</v>
      </c>
      <c r="AW20" s="48">
        <v>0.114</v>
      </c>
      <c r="AX20" s="48">
        <v>0.159</v>
      </c>
      <c r="AY20" s="49">
        <v>-3.0000000000000001E-3</v>
      </c>
      <c r="AZ20" s="49">
        <v>7.0000000000000007E-2</v>
      </c>
      <c r="BA20" s="49">
        <v>4.2000000000000003E-2</v>
      </c>
      <c r="BB20" s="49">
        <v>9.4E-2</v>
      </c>
      <c r="BC20" s="48">
        <v>0.151</v>
      </c>
      <c r="BD20" s="48">
        <v>0.23599999999999999</v>
      </c>
      <c r="BE20" s="48">
        <v>0.253</v>
      </c>
      <c r="BF20" s="48">
        <v>0.23400000000000001</v>
      </c>
      <c r="BG20" s="49">
        <v>0.19900000000000001</v>
      </c>
      <c r="BH20" s="49">
        <v>0.19</v>
      </c>
      <c r="BI20" s="49">
        <v>0.13800000000000001</v>
      </c>
      <c r="BJ20" s="49">
        <v>1.2E-2</v>
      </c>
      <c r="BK20" s="48">
        <v>-1.2E-2</v>
      </c>
    </row>
    <row r="21" spans="1:63" ht="15" thickBot="1" x14ac:dyDescent="0.35">
      <c r="A21" s="47" t="s">
        <v>495</v>
      </c>
      <c r="B21" s="46" t="s">
        <v>494</v>
      </c>
      <c r="C21" s="52" t="s">
        <v>449</v>
      </c>
      <c r="D21" s="52" t="s">
        <v>449</v>
      </c>
      <c r="E21" s="52" t="s">
        <v>449</v>
      </c>
      <c r="F21" s="52" t="s">
        <v>449</v>
      </c>
      <c r="G21" s="51" t="s">
        <v>449</v>
      </c>
      <c r="H21" s="51" t="s">
        <v>449</v>
      </c>
      <c r="I21" s="51" t="s">
        <v>449</v>
      </c>
      <c r="J21" s="51" t="s">
        <v>449</v>
      </c>
      <c r="K21" s="52" t="s">
        <v>449</v>
      </c>
      <c r="L21" s="52" t="s">
        <v>449</v>
      </c>
      <c r="M21" s="52" t="s">
        <v>449</v>
      </c>
      <c r="N21" s="52" t="s">
        <v>449</v>
      </c>
      <c r="O21" s="51" t="s">
        <v>449</v>
      </c>
      <c r="P21" s="51" t="s">
        <v>449</v>
      </c>
      <c r="Q21" s="51" t="s">
        <v>449</v>
      </c>
      <c r="R21" s="51" t="s">
        <v>449</v>
      </c>
      <c r="S21" s="52" t="s">
        <v>449</v>
      </c>
      <c r="T21" s="52" t="s">
        <v>449</v>
      </c>
      <c r="U21" s="52" t="s">
        <v>449</v>
      </c>
      <c r="V21" s="52" t="s">
        <v>449</v>
      </c>
      <c r="W21" s="51" t="s">
        <v>449</v>
      </c>
      <c r="X21" s="51" t="s">
        <v>449</v>
      </c>
      <c r="Y21" s="51">
        <v>0.86</v>
      </c>
      <c r="Z21" s="51">
        <v>0.49</v>
      </c>
      <c r="AA21" s="52" t="s">
        <v>449</v>
      </c>
      <c r="AB21" s="52" t="s">
        <v>449</v>
      </c>
      <c r="AC21" s="52">
        <v>0.67</v>
      </c>
      <c r="AD21" s="52" t="s">
        <v>449</v>
      </c>
      <c r="AE21" s="51" t="s">
        <v>449</v>
      </c>
      <c r="AF21" s="51" t="s">
        <v>449</v>
      </c>
      <c r="AG21" s="51" t="s">
        <v>449</v>
      </c>
      <c r="AH21" s="51" t="s">
        <v>449</v>
      </c>
      <c r="AI21" s="52" t="s">
        <v>449</v>
      </c>
      <c r="AJ21" s="52" t="s">
        <v>449</v>
      </c>
      <c r="AK21" s="52" t="s">
        <v>449</v>
      </c>
      <c r="AL21" s="52" t="s">
        <v>449</v>
      </c>
      <c r="AM21" s="51" t="s">
        <v>449</v>
      </c>
      <c r="AN21" s="51" t="s">
        <v>449</v>
      </c>
      <c r="AO21" s="51" t="s">
        <v>449</v>
      </c>
      <c r="AP21" s="51">
        <v>0.55000000000000004</v>
      </c>
      <c r="AQ21" s="52">
        <v>0.89</v>
      </c>
      <c r="AR21" s="52">
        <v>0.95</v>
      </c>
      <c r="AS21" s="52">
        <v>0.99</v>
      </c>
      <c r="AT21" s="52">
        <v>2.63</v>
      </c>
      <c r="AU21" s="51">
        <v>1.21</v>
      </c>
      <c r="AV21" s="51" t="s">
        <v>449</v>
      </c>
      <c r="AW21" s="51">
        <v>0.88</v>
      </c>
      <c r="AX21" s="51">
        <v>1.02</v>
      </c>
      <c r="AY21" s="52" t="s">
        <v>449</v>
      </c>
      <c r="AZ21" s="52">
        <v>0.85</v>
      </c>
      <c r="BA21" s="52">
        <v>0.85</v>
      </c>
      <c r="BB21" s="52">
        <v>1.04</v>
      </c>
      <c r="BC21" s="51">
        <v>0.9</v>
      </c>
      <c r="BD21" s="51">
        <v>0.83</v>
      </c>
      <c r="BE21" s="51">
        <v>0.86</v>
      </c>
      <c r="BF21" s="51">
        <v>0.91</v>
      </c>
      <c r="BG21" s="52">
        <v>0.82</v>
      </c>
      <c r="BH21" s="52">
        <v>0.85</v>
      </c>
      <c r="BI21" s="52">
        <v>0.83</v>
      </c>
      <c r="BJ21" s="52">
        <v>1.71</v>
      </c>
      <c r="BK21" s="51" t="s">
        <v>449</v>
      </c>
    </row>
    <row r="22" spans="1:63" ht="15" thickBot="1" x14ac:dyDescent="0.35">
      <c r="A22" s="47" t="s">
        <v>493</v>
      </c>
      <c r="B22" s="46" t="s">
        <v>492</v>
      </c>
      <c r="C22" s="49" t="s">
        <v>449</v>
      </c>
      <c r="D22" s="49" t="s">
        <v>449</v>
      </c>
      <c r="E22" s="49" t="s">
        <v>449</v>
      </c>
      <c r="F22" s="49" t="s">
        <v>449</v>
      </c>
      <c r="G22" s="48" t="s">
        <v>449</v>
      </c>
      <c r="H22" s="48" t="s">
        <v>449</v>
      </c>
      <c r="I22" s="48" t="s">
        <v>449</v>
      </c>
      <c r="J22" s="48" t="s">
        <v>449</v>
      </c>
      <c r="K22" s="49">
        <v>-0.27300000000000002</v>
      </c>
      <c r="L22" s="49">
        <v>-0.39200000000000002</v>
      </c>
      <c r="M22" s="49">
        <v>-0.372</v>
      </c>
      <c r="N22" s="49">
        <v>-0.375</v>
      </c>
      <c r="O22" s="48">
        <v>-1.1000000000000001</v>
      </c>
      <c r="P22" s="48">
        <v>-0.30499999999999999</v>
      </c>
      <c r="Q22" s="48">
        <v>-0.13400000000000001</v>
      </c>
      <c r="R22" s="48">
        <v>-0.13</v>
      </c>
      <c r="S22" s="49">
        <v>-0.19900000000000001</v>
      </c>
      <c r="T22" s="49">
        <v>-0.13800000000000001</v>
      </c>
      <c r="U22" s="49">
        <v>-0.14899999999999999</v>
      </c>
      <c r="V22" s="49">
        <v>-7.0000000000000007E-2</v>
      </c>
      <c r="W22" s="48">
        <v>-0.16300000000000001</v>
      </c>
      <c r="X22" s="48">
        <v>-8.2000000000000003E-2</v>
      </c>
      <c r="Y22" s="48">
        <v>0.02</v>
      </c>
      <c r="Z22" s="48">
        <v>8.9999999999999993E-3</v>
      </c>
      <c r="AA22" s="49">
        <v>-0.13900000000000001</v>
      </c>
      <c r="AB22" s="49">
        <v>-1.2999999999999999E-2</v>
      </c>
      <c r="AC22" s="49">
        <v>1.2E-2</v>
      </c>
      <c r="AD22" s="49">
        <v>-0.33400000000000002</v>
      </c>
      <c r="AE22" s="48">
        <v>-0.56100000000000005</v>
      </c>
      <c r="AF22" s="48">
        <v>-0.88</v>
      </c>
      <c r="AG22" s="48">
        <v>-1.6539999999999999</v>
      </c>
      <c r="AH22" s="48">
        <v>-2.2879999999999998</v>
      </c>
      <c r="AI22" s="49">
        <v>-5.3140000000000001</v>
      </c>
      <c r="AJ22" s="49">
        <v>-4.7539999999999996</v>
      </c>
      <c r="AK22" s="49" t="s">
        <v>449</v>
      </c>
      <c r="AL22" s="49" t="s">
        <v>449</v>
      </c>
      <c r="AM22" s="48" t="s">
        <v>449</v>
      </c>
      <c r="AN22" s="48" t="s">
        <v>449</v>
      </c>
      <c r="AO22" s="48" t="s">
        <v>449</v>
      </c>
      <c r="AP22" s="48">
        <v>0.11899999999999999</v>
      </c>
      <c r="AQ22" s="49">
        <v>0.253</v>
      </c>
      <c r="AR22" s="49">
        <v>0.16200000000000001</v>
      </c>
      <c r="AS22" s="49">
        <v>0.23100000000000001</v>
      </c>
      <c r="AT22" s="49">
        <v>0.55000000000000004</v>
      </c>
      <c r="AU22" s="48">
        <v>0.23400000000000001</v>
      </c>
      <c r="AV22" s="48">
        <v>-0.13800000000000001</v>
      </c>
      <c r="AW22" s="48">
        <v>0.1</v>
      </c>
      <c r="AX22" s="48">
        <v>0.16200000000000001</v>
      </c>
      <c r="AY22" s="49">
        <v>5.1999999999999998E-2</v>
      </c>
      <c r="AZ22" s="49">
        <v>0.06</v>
      </c>
      <c r="BA22" s="49">
        <v>3.5000000000000003E-2</v>
      </c>
      <c r="BB22" s="49">
        <v>9.8000000000000004E-2</v>
      </c>
      <c r="BC22" s="48">
        <v>0.13600000000000001</v>
      </c>
      <c r="BD22" s="48">
        <v>0.19700000000000001</v>
      </c>
      <c r="BE22" s="48">
        <v>0.216</v>
      </c>
      <c r="BF22" s="48">
        <v>0.214</v>
      </c>
      <c r="BG22" s="49">
        <v>0.16400000000000001</v>
      </c>
      <c r="BH22" s="49">
        <v>0.16200000000000001</v>
      </c>
      <c r="BI22" s="49">
        <v>0.115</v>
      </c>
      <c r="BJ22" s="49">
        <v>2.1000000000000001E-2</v>
      </c>
      <c r="BK22" s="48">
        <v>-1.7000000000000001E-2</v>
      </c>
    </row>
    <row r="23" spans="1:63" ht="15" thickBot="1" x14ac:dyDescent="0.35">
      <c r="A23" s="47" t="s">
        <v>491</v>
      </c>
      <c r="B23" s="46" t="s">
        <v>490</v>
      </c>
      <c r="C23" s="52" t="s">
        <v>449</v>
      </c>
      <c r="D23" s="52" t="s">
        <v>449</v>
      </c>
      <c r="E23" s="52" t="s">
        <v>449</v>
      </c>
      <c r="F23" s="52" t="s">
        <v>449</v>
      </c>
      <c r="G23" s="51" t="s">
        <v>449</v>
      </c>
      <c r="H23" s="51" t="s">
        <v>449</v>
      </c>
      <c r="I23" s="51" t="s">
        <v>449</v>
      </c>
      <c r="J23" s="51" t="s">
        <v>449</v>
      </c>
      <c r="K23" s="52" t="s">
        <v>449</v>
      </c>
      <c r="L23" s="52" t="s">
        <v>449</v>
      </c>
      <c r="M23" s="52" t="s">
        <v>449</v>
      </c>
      <c r="N23" s="52" t="s">
        <v>449</v>
      </c>
      <c r="O23" s="51" t="s">
        <v>449</v>
      </c>
      <c r="P23" s="51" t="s">
        <v>449</v>
      </c>
      <c r="Q23" s="51" t="s">
        <v>449</v>
      </c>
      <c r="R23" s="51" t="s">
        <v>449</v>
      </c>
      <c r="S23" s="52" t="s">
        <v>449</v>
      </c>
      <c r="T23" s="52" t="s">
        <v>449</v>
      </c>
      <c r="U23" s="52" t="s">
        <v>449</v>
      </c>
      <c r="V23" s="52" t="s">
        <v>449</v>
      </c>
      <c r="W23" s="51" t="s">
        <v>449</v>
      </c>
      <c r="X23" s="51" t="s">
        <v>449</v>
      </c>
      <c r="Y23" s="51">
        <v>1</v>
      </c>
      <c r="Z23" s="51">
        <v>1</v>
      </c>
      <c r="AA23" s="52" t="s">
        <v>449</v>
      </c>
      <c r="AB23" s="52" t="s">
        <v>449</v>
      </c>
      <c r="AC23" s="52">
        <v>1</v>
      </c>
      <c r="AD23" s="52" t="s">
        <v>449</v>
      </c>
      <c r="AE23" s="51" t="s">
        <v>449</v>
      </c>
      <c r="AF23" s="51" t="s">
        <v>449</v>
      </c>
      <c r="AG23" s="51" t="s">
        <v>449</v>
      </c>
      <c r="AH23" s="51" t="s">
        <v>449</v>
      </c>
      <c r="AI23" s="52" t="s">
        <v>449</v>
      </c>
      <c r="AJ23" s="52" t="s">
        <v>449</v>
      </c>
      <c r="AK23" s="52" t="s">
        <v>449</v>
      </c>
      <c r="AL23" s="52">
        <v>1</v>
      </c>
      <c r="AM23" s="51" t="s">
        <v>449</v>
      </c>
      <c r="AN23" s="51" t="s">
        <v>449</v>
      </c>
      <c r="AO23" s="51" t="s">
        <v>449</v>
      </c>
      <c r="AP23" s="51">
        <v>1</v>
      </c>
      <c r="AQ23" s="52">
        <v>1</v>
      </c>
      <c r="AR23" s="52">
        <v>1</v>
      </c>
      <c r="AS23" s="52">
        <v>1</v>
      </c>
      <c r="AT23" s="52">
        <v>1</v>
      </c>
      <c r="AU23" s="51">
        <v>1</v>
      </c>
      <c r="AV23" s="51" t="s">
        <v>449</v>
      </c>
      <c r="AW23" s="51">
        <v>1</v>
      </c>
      <c r="AX23" s="51">
        <v>1</v>
      </c>
      <c r="AY23" s="52">
        <v>1</v>
      </c>
      <c r="AZ23" s="52">
        <v>1</v>
      </c>
      <c r="BA23" s="52">
        <v>1</v>
      </c>
      <c r="BB23" s="52">
        <v>1</v>
      </c>
      <c r="BC23" s="51">
        <v>1</v>
      </c>
      <c r="BD23" s="51">
        <v>1</v>
      </c>
      <c r="BE23" s="51">
        <v>1</v>
      </c>
      <c r="BF23" s="51">
        <v>1</v>
      </c>
      <c r="BG23" s="52">
        <v>1</v>
      </c>
      <c r="BH23" s="52">
        <v>1</v>
      </c>
      <c r="BI23" s="52">
        <v>1</v>
      </c>
      <c r="BJ23" s="52">
        <v>1</v>
      </c>
      <c r="BK23" s="51" t="s">
        <v>449</v>
      </c>
    </row>
    <row r="24" spans="1:63" ht="15" thickBot="1" x14ac:dyDescent="0.35">
      <c r="A24" s="47" t="s">
        <v>489</v>
      </c>
      <c r="B24" s="46" t="s">
        <v>488</v>
      </c>
      <c r="C24" s="49" t="s">
        <v>449</v>
      </c>
      <c r="D24" s="49" t="s">
        <v>449</v>
      </c>
      <c r="E24" s="49" t="s">
        <v>449</v>
      </c>
      <c r="F24" s="49" t="s">
        <v>449</v>
      </c>
      <c r="G24" s="48" t="s">
        <v>449</v>
      </c>
      <c r="H24" s="48" t="s">
        <v>449</v>
      </c>
      <c r="I24" s="48" t="s">
        <v>449</v>
      </c>
      <c r="J24" s="48" t="s">
        <v>449</v>
      </c>
      <c r="K24" s="49" t="s">
        <v>449</v>
      </c>
      <c r="L24" s="49" t="s">
        <v>449</v>
      </c>
      <c r="M24" s="49" t="s">
        <v>449</v>
      </c>
      <c r="N24" s="49" t="s">
        <v>449</v>
      </c>
      <c r="O24" s="48" t="s">
        <v>449</v>
      </c>
      <c r="P24" s="48" t="s">
        <v>449</v>
      </c>
      <c r="Q24" s="48">
        <v>-0.13400000000000001</v>
      </c>
      <c r="R24" s="48">
        <v>-0.13</v>
      </c>
      <c r="S24" s="49">
        <v>-0.19900000000000001</v>
      </c>
      <c r="T24" s="49">
        <v>-0.13800000000000001</v>
      </c>
      <c r="U24" s="49">
        <v>-0.14899999999999999</v>
      </c>
      <c r="V24" s="49">
        <v>-7.0000000000000007E-2</v>
      </c>
      <c r="W24" s="48">
        <v>-0.16300000000000001</v>
      </c>
      <c r="X24" s="48">
        <v>-8.2000000000000003E-2</v>
      </c>
      <c r="Y24" s="48">
        <v>0.02</v>
      </c>
      <c r="Z24" s="48">
        <v>8.9999999999999993E-3</v>
      </c>
      <c r="AA24" s="49">
        <v>-0.13900000000000001</v>
      </c>
      <c r="AB24" s="49">
        <v>-1.2999999999999999E-2</v>
      </c>
      <c r="AC24" s="49">
        <v>1.2E-2</v>
      </c>
      <c r="AD24" s="49">
        <v>-0.33400000000000002</v>
      </c>
      <c r="AE24" s="48">
        <v>-0.56100000000000005</v>
      </c>
      <c r="AF24" s="48">
        <v>-0.88</v>
      </c>
      <c r="AG24" s="48">
        <v>-1.6539999999999999</v>
      </c>
      <c r="AH24" s="48">
        <v>-2.2879999999999998</v>
      </c>
      <c r="AI24" s="49">
        <v>-5.3140000000000001</v>
      </c>
      <c r="AJ24" s="49">
        <v>-4.7539999999999996</v>
      </c>
      <c r="AK24" s="49" t="s">
        <v>449</v>
      </c>
      <c r="AL24" s="49" t="s">
        <v>449</v>
      </c>
      <c r="AM24" s="48" t="s">
        <v>449</v>
      </c>
      <c r="AN24" s="48" t="s">
        <v>449</v>
      </c>
      <c r="AO24" s="48" t="s">
        <v>449</v>
      </c>
      <c r="AP24" s="48">
        <v>0.11899999999999999</v>
      </c>
      <c r="AQ24" s="49">
        <v>0.253</v>
      </c>
      <c r="AR24" s="49">
        <v>0.16200000000000001</v>
      </c>
      <c r="AS24" s="49">
        <v>0.23100000000000001</v>
      </c>
      <c r="AT24" s="49">
        <v>0.55000000000000004</v>
      </c>
      <c r="AU24" s="48">
        <v>0.23400000000000001</v>
      </c>
      <c r="AV24" s="48">
        <v>-0.13800000000000001</v>
      </c>
      <c r="AW24" s="48">
        <v>0.1</v>
      </c>
      <c r="AX24" s="48">
        <v>0.16200000000000001</v>
      </c>
      <c r="AY24" s="49">
        <v>5.1999999999999998E-2</v>
      </c>
      <c r="AZ24" s="49">
        <v>0.06</v>
      </c>
      <c r="BA24" s="49">
        <v>3.5000000000000003E-2</v>
      </c>
      <c r="BB24" s="49">
        <v>9.8000000000000004E-2</v>
      </c>
      <c r="BC24" s="48">
        <v>0.13600000000000001</v>
      </c>
      <c r="BD24" s="48">
        <v>0.19700000000000001</v>
      </c>
      <c r="BE24" s="48">
        <v>0.216</v>
      </c>
      <c r="BF24" s="48">
        <v>0.214</v>
      </c>
      <c r="BG24" s="49">
        <v>0.16400000000000001</v>
      </c>
      <c r="BH24" s="49">
        <v>0.16200000000000001</v>
      </c>
      <c r="BI24" s="49">
        <v>0.115</v>
      </c>
      <c r="BJ24" s="49">
        <v>2.1000000000000001E-2</v>
      </c>
      <c r="BK24" s="48">
        <v>-1.7000000000000001E-2</v>
      </c>
    </row>
    <row r="25" spans="1:63" ht="15" thickBot="1" x14ac:dyDescent="0.35">
      <c r="A25" s="56" t="s">
        <v>487</v>
      </c>
      <c r="B25" s="16"/>
      <c r="C25" s="55"/>
      <c r="D25" s="55"/>
      <c r="E25" s="55"/>
      <c r="F25" s="55"/>
      <c r="G25" s="11"/>
      <c r="H25" s="11"/>
      <c r="I25" s="11"/>
      <c r="J25" s="11"/>
      <c r="K25" s="55"/>
      <c r="L25" s="55"/>
      <c r="M25" s="55"/>
      <c r="N25" s="55"/>
      <c r="O25" s="11"/>
      <c r="P25" s="11"/>
      <c r="Q25" s="11"/>
      <c r="R25" s="11"/>
      <c r="S25" s="55"/>
      <c r="T25" s="55"/>
      <c r="U25" s="55"/>
      <c r="V25" s="55"/>
      <c r="W25" s="11"/>
      <c r="X25" s="11"/>
      <c r="Y25" s="11"/>
      <c r="Z25" s="11"/>
      <c r="AA25" s="55"/>
      <c r="AB25" s="55"/>
      <c r="AC25" s="55"/>
      <c r="AD25" s="55"/>
      <c r="AE25" s="11"/>
      <c r="AF25" s="11"/>
      <c r="AG25" s="11"/>
      <c r="AH25" s="11"/>
      <c r="AI25" s="55"/>
      <c r="AJ25" s="55"/>
      <c r="AK25" s="55"/>
      <c r="AL25" s="55"/>
      <c r="AM25" s="11"/>
      <c r="AN25" s="11"/>
      <c r="AO25" s="11"/>
      <c r="AP25" s="11"/>
      <c r="AQ25" s="55"/>
      <c r="AR25" s="55"/>
      <c r="AS25" s="55"/>
      <c r="AT25" s="55"/>
      <c r="AU25" s="11"/>
      <c r="AV25" s="11"/>
      <c r="AW25" s="11"/>
      <c r="AX25" s="11"/>
      <c r="AY25" s="55"/>
      <c r="AZ25" s="55"/>
      <c r="BA25" s="55"/>
      <c r="BB25" s="55"/>
      <c r="BC25" s="11"/>
      <c r="BD25" s="11"/>
      <c r="BE25" s="11"/>
      <c r="BF25" s="11"/>
      <c r="BG25" s="55"/>
      <c r="BH25" s="55"/>
      <c r="BI25" s="55"/>
      <c r="BJ25" s="55"/>
      <c r="BK25" s="11"/>
    </row>
    <row r="26" spans="1:63" ht="15" thickBot="1" x14ac:dyDescent="0.35">
      <c r="A26" s="47" t="s">
        <v>486</v>
      </c>
      <c r="B26" s="46" t="s">
        <v>485</v>
      </c>
      <c r="C26" s="52" t="s">
        <v>449</v>
      </c>
      <c r="D26" s="52" t="s">
        <v>449</v>
      </c>
      <c r="E26" s="52" t="s">
        <v>449</v>
      </c>
      <c r="F26" s="52" t="s">
        <v>449</v>
      </c>
      <c r="G26" s="51" t="s">
        <v>449</v>
      </c>
      <c r="H26" s="51" t="s">
        <v>449</v>
      </c>
      <c r="I26" s="51" t="s">
        <v>449</v>
      </c>
      <c r="J26" s="51">
        <v>3.67</v>
      </c>
      <c r="K26" s="52">
        <v>2.69</v>
      </c>
      <c r="L26" s="52">
        <v>2.16</v>
      </c>
      <c r="M26" s="52">
        <v>1.59</v>
      </c>
      <c r="N26" s="52">
        <v>1.35</v>
      </c>
      <c r="O26" s="51">
        <v>0.82</v>
      </c>
      <c r="P26" s="51">
        <v>1.76</v>
      </c>
      <c r="Q26" s="51">
        <v>2.14</v>
      </c>
      <c r="R26" s="51">
        <v>2.2200000000000002</v>
      </c>
      <c r="S26" s="52">
        <v>2.0499999999999998</v>
      </c>
      <c r="T26" s="52">
        <v>2.02</v>
      </c>
      <c r="U26" s="52">
        <v>1.64</v>
      </c>
      <c r="V26" s="52">
        <v>2.2200000000000002</v>
      </c>
      <c r="W26" s="51">
        <v>2.13</v>
      </c>
      <c r="X26" s="51">
        <v>1.73</v>
      </c>
      <c r="Y26" s="51">
        <v>1.71</v>
      </c>
      <c r="Z26" s="51">
        <v>1.59</v>
      </c>
      <c r="AA26" s="52">
        <v>1.29</v>
      </c>
      <c r="AB26" s="52">
        <v>1.28</v>
      </c>
      <c r="AC26" s="52">
        <v>1.33</v>
      </c>
      <c r="AD26" s="52">
        <v>1.1100000000000001</v>
      </c>
      <c r="AE26" s="51">
        <v>0.84</v>
      </c>
      <c r="AF26" s="51">
        <v>0.77</v>
      </c>
      <c r="AG26" s="51">
        <v>1.06</v>
      </c>
      <c r="AH26" s="51">
        <v>1.04</v>
      </c>
      <c r="AI26" s="52">
        <v>1.63</v>
      </c>
      <c r="AJ26" s="52">
        <v>1.59</v>
      </c>
      <c r="AK26" s="52">
        <v>1.3</v>
      </c>
      <c r="AL26" s="52">
        <v>1.1399999999999999</v>
      </c>
      <c r="AM26" s="51">
        <v>1.25</v>
      </c>
      <c r="AN26" s="51">
        <v>1.2</v>
      </c>
      <c r="AO26" s="51">
        <v>1.42</v>
      </c>
      <c r="AP26" s="51">
        <v>1.4</v>
      </c>
      <c r="AQ26" s="52">
        <v>1.42</v>
      </c>
      <c r="AR26" s="52">
        <v>2.2999999999999998</v>
      </c>
      <c r="AS26" s="52">
        <v>2.46</v>
      </c>
      <c r="AT26" s="52">
        <v>2.35</v>
      </c>
      <c r="AU26" s="51">
        <v>3.07</v>
      </c>
      <c r="AV26" s="51">
        <v>3.25</v>
      </c>
      <c r="AW26" s="51">
        <v>3.17</v>
      </c>
      <c r="AX26" s="51">
        <v>1.67</v>
      </c>
      <c r="AY26" s="52">
        <v>5.0999999999999996</v>
      </c>
      <c r="AZ26" s="52">
        <v>4.57</v>
      </c>
      <c r="BA26" s="52">
        <v>4.33</v>
      </c>
      <c r="BB26" s="52">
        <v>3.16</v>
      </c>
      <c r="BC26" s="51">
        <v>3.22</v>
      </c>
      <c r="BD26" s="51">
        <v>3.35</v>
      </c>
      <c r="BE26" s="51">
        <v>3.34</v>
      </c>
      <c r="BF26" s="51">
        <v>3.31</v>
      </c>
      <c r="BG26" s="52">
        <v>3.24</v>
      </c>
      <c r="BH26" s="52">
        <v>3.22</v>
      </c>
      <c r="BI26" s="52">
        <v>3.13</v>
      </c>
      <c r="BJ26" s="52">
        <v>4.1900000000000004</v>
      </c>
      <c r="BK26" s="51">
        <v>3.78</v>
      </c>
    </row>
    <row r="27" spans="1:63" ht="15" thickBot="1" x14ac:dyDescent="0.35">
      <c r="A27" s="47" t="s">
        <v>484</v>
      </c>
      <c r="B27" s="46" t="s">
        <v>483</v>
      </c>
      <c r="C27" s="52" t="s">
        <v>449</v>
      </c>
      <c r="D27" s="52" t="s">
        <v>449</v>
      </c>
      <c r="E27" s="52" t="s">
        <v>449</v>
      </c>
      <c r="F27" s="52" t="s">
        <v>449</v>
      </c>
      <c r="G27" s="51" t="s">
        <v>449</v>
      </c>
      <c r="H27" s="51" t="s">
        <v>449</v>
      </c>
      <c r="I27" s="51" t="s">
        <v>449</v>
      </c>
      <c r="J27" s="51">
        <v>4.01</v>
      </c>
      <c r="K27" s="52">
        <v>3.08</v>
      </c>
      <c r="L27" s="52">
        <v>2.41</v>
      </c>
      <c r="M27" s="52">
        <v>1.95</v>
      </c>
      <c r="N27" s="52">
        <v>1.56</v>
      </c>
      <c r="O27" s="51">
        <v>1.26</v>
      </c>
      <c r="P27" s="51">
        <v>2.4500000000000002</v>
      </c>
      <c r="Q27" s="51">
        <v>2.57</v>
      </c>
      <c r="R27" s="51">
        <v>2.81</v>
      </c>
      <c r="S27" s="52">
        <v>2.77</v>
      </c>
      <c r="T27" s="52">
        <v>2.5499999999999998</v>
      </c>
      <c r="U27" s="52">
        <v>2.2200000000000002</v>
      </c>
      <c r="V27" s="52">
        <v>2.71</v>
      </c>
      <c r="W27" s="51">
        <v>2.5499999999999998</v>
      </c>
      <c r="X27" s="51">
        <v>2.0299999999999998</v>
      </c>
      <c r="Y27" s="51">
        <v>1.98</v>
      </c>
      <c r="Z27" s="51">
        <v>1.96</v>
      </c>
      <c r="AA27" s="52">
        <v>1.84</v>
      </c>
      <c r="AB27" s="52">
        <v>1.69</v>
      </c>
      <c r="AC27" s="52">
        <v>1.79</v>
      </c>
      <c r="AD27" s="52">
        <v>1.67</v>
      </c>
      <c r="AE27" s="51">
        <v>1.41</v>
      </c>
      <c r="AF27" s="51">
        <v>1.23</v>
      </c>
      <c r="AG27" s="51">
        <v>1.52</v>
      </c>
      <c r="AH27" s="51">
        <v>1.42</v>
      </c>
      <c r="AI27" s="52">
        <v>2.25</v>
      </c>
      <c r="AJ27" s="52">
        <v>1.92</v>
      </c>
      <c r="AK27" s="52">
        <v>1.59</v>
      </c>
      <c r="AL27" s="52">
        <v>1.42</v>
      </c>
      <c r="AM27" s="51">
        <v>1.43</v>
      </c>
      <c r="AN27" s="51">
        <v>1.36</v>
      </c>
      <c r="AO27" s="51">
        <v>1.55</v>
      </c>
      <c r="AP27" s="51">
        <v>1.51</v>
      </c>
      <c r="AQ27" s="52">
        <v>1.52</v>
      </c>
      <c r="AR27" s="52">
        <v>2.44</v>
      </c>
      <c r="AS27" s="52">
        <v>2.67</v>
      </c>
      <c r="AT27" s="52">
        <v>2.5099999999999998</v>
      </c>
      <c r="AU27" s="51">
        <v>3.22</v>
      </c>
      <c r="AV27" s="51">
        <v>3.39</v>
      </c>
      <c r="AW27" s="51">
        <v>3.31</v>
      </c>
      <c r="AX27" s="51">
        <v>1.75</v>
      </c>
      <c r="AY27" s="52">
        <v>5.2</v>
      </c>
      <c r="AZ27" s="52">
        <v>4.67</v>
      </c>
      <c r="BA27" s="52">
        <v>4.49</v>
      </c>
      <c r="BB27" s="52">
        <v>3.33</v>
      </c>
      <c r="BC27" s="51">
        <v>3.44</v>
      </c>
      <c r="BD27" s="51">
        <v>3.62</v>
      </c>
      <c r="BE27" s="51">
        <v>3.6</v>
      </c>
      <c r="BF27" s="51">
        <v>3.55</v>
      </c>
      <c r="BG27" s="52">
        <v>3.45</v>
      </c>
      <c r="BH27" s="52">
        <v>3.44</v>
      </c>
      <c r="BI27" s="52">
        <v>3.36</v>
      </c>
      <c r="BJ27" s="52">
        <v>4.59</v>
      </c>
      <c r="BK27" s="51">
        <v>4.16</v>
      </c>
    </row>
    <row r="28" spans="1:63" ht="15" thickBot="1" x14ac:dyDescent="0.35">
      <c r="A28" s="47" t="s">
        <v>482</v>
      </c>
      <c r="B28" s="46" t="s">
        <v>481</v>
      </c>
      <c r="C28" s="54" t="s">
        <v>449</v>
      </c>
      <c r="D28" s="54" t="s">
        <v>449</v>
      </c>
      <c r="E28" s="54" t="s">
        <v>449</v>
      </c>
      <c r="F28" s="54" t="s">
        <v>449</v>
      </c>
      <c r="G28" s="53">
        <v>-49.8</v>
      </c>
      <c r="H28" s="53" t="s">
        <v>449</v>
      </c>
      <c r="I28" s="53" t="s">
        <v>449</v>
      </c>
      <c r="J28" s="53" t="s">
        <v>449</v>
      </c>
      <c r="K28" s="54">
        <v>-32</v>
      </c>
      <c r="L28" s="54">
        <v>-20.6</v>
      </c>
      <c r="M28" s="54">
        <v>-7.3</v>
      </c>
      <c r="N28" s="54">
        <v>-2.8</v>
      </c>
      <c r="O28" s="53">
        <v>-6.3</v>
      </c>
      <c r="P28" s="53">
        <v>-2.2000000000000002</v>
      </c>
      <c r="Q28" s="53">
        <v>-15.6</v>
      </c>
      <c r="R28" s="53">
        <v>-6</v>
      </c>
      <c r="S28" s="54">
        <v>-20.9</v>
      </c>
      <c r="T28" s="54">
        <v>-11.3</v>
      </c>
      <c r="U28" s="54">
        <v>-12.2</v>
      </c>
      <c r="V28" s="54">
        <v>-2.4</v>
      </c>
      <c r="W28" s="53">
        <v>-12.9</v>
      </c>
      <c r="X28" s="53">
        <v>-5.0999999999999996</v>
      </c>
      <c r="Y28" s="53">
        <v>5.3</v>
      </c>
      <c r="Z28" s="53">
        <v>3.4</v>
      </c>
      <c r="AA28" s="54">
        <v>-71.099999999999994</v>
      </c>
      <c r="AB28" s="54">
        <v>-4.2</v>
      </c>
      <c r="AC28" s="54">
        <v>12.7</v>
      </c>
      <c r="AD28" s="54">
        <v>-77.400000000000006</v>
      </c>
      <c r="AE28" s="53">
        <v>-125.6</v>
      </c>
      <c r="AF28" s="53">
        <v>-74.5</v>
      </c>
      <c r="AG28" s="53">
        <v>-12.2</v>
      </c>
      <c r="AH28" s="53">
        <v>-7.7</v>
      </c>
      <c r="AI28" s="54">
        <v>-6.9</v>
      </c>
      <c r="AJ28" s="54">
        <v>-2.7</v>
      </c>
      <c r="AK28" s="54">
        <v>-1</v>
      </c>
      <c r="AL28" s="54">
        <v>-0.1</v>
      </c>
      <c r="AM28" s="53">
        <v>-1.1000000000000001</v>
      </c>
      <c r="AN28" s="53">
        <v>-0.2</v>
      </c>
      <c r="AO28" s="53">
        <v>0.9</v>
      </c>
      <c r="AP28" s="53">
        <v>1.8</v>
      </c>
      <c r="AQ28" s="54">
        <v>2.1</v>
      </c>
      <c r="AR28" s="54">
        <v>13.4</v>
      </c>
      <c r="AS28" s="54">
        <v>14.9</v>
      </c>
      <c r="AT28" s="54">
        <v>19.8</v>
      </c>
      <c r="AU28" s="53">
        <v>14.2</v>
      </c>
      <c r="AV28" s="53">
        <v>1.8</v>
      </c>
      <c r="AW28" s="53">
        <v>8.6</v>
      </c>
      <c r="AX28" s="53">
        <v>13.4</v>
      </c>
      <c r="AY28" s="54">
        <v>8.8000000000000007</v>
      </c>
      <c r="AZ28" s="54">
        <v>4.5999999999999996</v>
      </c>
      <c r="BA28" s="54">
        <v>3.2</v>
      </c>
      <c r="BB28" s="54">
        <v>4.5</v>
      </c>
      <c r="BC28" s="53">
        <v>22.7</v>
      </c>
      <c r="BD28" s="53">
        <v>43.4</v>
      </c>
      <c r="BE28" s="53">
        <v>60.3</v>
      </c>
      <c r="BF28" s="53">
        <v>69.7</v>
      </c>
      <c r="BG28" s="54">
        <v>78.099999999999994</v>
      </c>
      <c r="BH28" s="54">
        <v>76.8</v>
      </c>
      <c r="BI28" s="54">
        <v>53.7</v>
      </c>
      <c r="BJ28" s="54">
        <v>2</v>
      </c>
      <c r="BK28" s="53">
        <v>-12.4</v>
      </c>
    </row>
    <row r="29" spans="1:63" ht="15" thickBot="1" x14ac:dyDescent="0.35">
      <c r="A29" s="47" t="s">
        <v>480</v>
      </c>
      <c r="B29" s="46" t="s">
        <v>479</v>
      </c>
      <c r="C29" s="54" t="s">
        <v>449</v>
      </c>
      <c r="D29" s="54" t="s">
        <v>449</v>
      </c>
      <c r="E29" s="54" t="s">
        <v>449</v>
      </c>
      <c r="F29" s="54" t="s">
        <v>449</v>
      </c>
      <c r="G29" s="53" t="s">
        <v>449</v>
      </c>
      <c r="H29" s="53" t="s">
        <v>449</v>
      </c>
      <c r="I29" s="53" t="s">
        <v>449</v>
      </c>
      <c r="J29" s="53" t="s">
        <v>449</v>
      </c>
      <c r="K29" s="54">
        <v>31.5</v>
      </c>
      <c r="L29" s="54">
        <v>19.5</v>
      </c>
      <c r="M29" s="54">
        <v>17.600000000000001</v>
      </c>
      <c r="N29" s="54">
        <v>21.5</v>
      </c>
      <c r="O29" s="53">
        <v>32.200000000000003</v>
      </c>
      <c r="P29" s="53">
        <v>25.9</v>
      </c>
      <c r="Q29" s="53">
        <v>39</v>
      </c>
      <c r="R29" s="53">
        <v>58.8</v>
      </c>
      <c r="S29" s="54">
        <v>82.3</v>
      </c>
      <c r="T29" s="54">
        <v>67.599999999999994</v>
      </c>
      <c r="U29" s="54">
        <v>66.5</v>
      </c>
      <c r="V29" s="54">
        <v>63.8</v>
      </c>
      <c r="W29" s="53">
        <v>64.2</v>
      </c>
      <c r="X29" s="53">
        <v>42.4</v>
      </c>
      <c r="Y29" s="53">
        <v>37</v>
      </c>
      <c r="Z29" s="53">
        <v>36.1</v>
      </c>
      <c r="AA29" s="54">
        <v>50.2</v>
      </c>
      <c r="AB29" s="54">
        <v>52.7</v>
      </c>
      <c r="AC29" s="54">
        <v>65.400000000000006</v>
      </c>
      <c r="AD29" s="54">
        <v>101.7</v>
      </c>
      <c r="AE29" s="53">
        <v>97.8</v>
      </c>
      <c r="AF29" s="53">
        <v>71.2</v>
      </c>
      <c r="AG29" s="53">
        <v>60.8</v>
      </c>
      <c r="AH29" s="53">
        <v>64.7</v>
      </c>
      <c r="AI29" s="54">
        <v>108.7</v>
      </c>
      <c r="AJ29" s="54">
        <v>81.5</v>
      </c>
      <c r="AK29" s="54">
        <v>71.099999999999994</v>
      </c>
      <c r="AL29" s="54">
        <v>67.599999999999994</v>
      </c>
      <c r="AM29" s="53">
        <v>80.2</v>
      </c>
      <c r="AN29" s="53">
        <v>68.599999999999994</v>
      </c>
      <c r="AO29" s="53">
        <v>53.2</v>
      </c>
      <c r="AP29" s="53">
        <v>35.299999999999997</v>
      </c>
      <c r="AQ29" s="54">
        <v>23.9</v>
      </c>
      <c r="AR29" s="54">
        <v>17</v>
      </c>
      <c r="AS29" s="54">
        <v>28.3</v>
      </c>
      <c r="AT29" s="54">
        <v>41.2</v>
      </c>
      <c r="AU29" s="53">
        <v>44.1</v>
      </c>
      <c r="AV29" s="53">
        <v>71.3</v>
      </c>
      <c r="AW29" s="53">
        <v>52.1</v>
      </c>
      <c r="AX29" s="53">
        <v>39.1</v>
      </c>
      <c r="AY29" s="54">
        <v>43.3</v>
      </c>
      <c r="AZ29" s="54">
        <v>52.5</v>
      </c>
      <c r="BA29" s="54">
        <v>56.4</v>
      </c>
      <c r="BB29" s="54">
        <v>54.8</v>
      </c>
      <c r="BC29" s="53">
        <v>65.7</v>
      </c>
      <c r="BD29" s="53">
        <v>66.599999999999994</v>
      </c>
      <c r="BE29" s="53">
        <v>64.3</v>
      </c>
      <c r="BF29" s="53">
        <v>63.2</v>
      </c>
      <c r="BG29" s="54">
        <v>72</v>
      </c>
      <c r="BH29" s="54">
        <v>86.4</v>
      </c>
      <c r="BI29" s="54">
        <v>122.5</v>
      </c>
      <c r="BJ29" s="54">
        <v>216.3</v>
      </c>
      <c r="BK29" s="53">
        <v>225.9</v>
      </c>
    </row>
    <row r="30" spans="1:63" ht="15" thickBot="1" x14ac:dyDescent="0.35">
      <c r="A30" s="56" t="s">
        <v>478</v>
      </c>
      <c r="B30" s="16"/>
      <c r="C30" s="55"/>
      <c r="D30" s="55"/>
      <c r="E30" s="55"/>
      <c r="F30" s="55"/>
      <c r="G30" s="11"/>
      <c r="H30" s="11"/>
      <c r="I30" s="11"/>
      <c r="J30" s="11"/>
      <c r="K30" s="55"/>
      <c r="L30" s="55"/>
      <c r="M30" s="55"/>
      <c r="N30" s="55"/>
      <c r="O30" s="11"/>
      <c r="P30" s="11"/>
      <c r="Q30" s="11"/>
      <c r="R30" s="11"/>
      <c r="S30" s="55"/>
      <c r="T30" s="55"/>
      <c r="U30" s="55"/>
      <c r="V30" s="55"/>
      <c r="W30" s="11"/>
      <c r="X30" s="11"/>
      <c r="Y30" s="11"/>
      <c r="Z30" s="11"/>
      <c r="AA30" s="55"/>
      <c r="AB30" s="55"/>
      <c r="AC30" s="55"/>
      <c r="AD30" s="55"/>
      <c r="AE30" s="11"/>
      <c r="AF30" s="11"/>
      <c r="AG30" s="11"/>
      <c r="AH30" s="11"/>
      <c r="AI30" s="55"/>
      <c r="AJ30" s="55"/>
      <c r="AK30" s="55"/>
      <c r="AL30" s="55"/>
      <c r="AM30" s="11"/>
      <c r="AN30" s="11"/>
      <c r="AO30" s="11"/>
      <c r="AP30" s="11"/>
      <c r="AQ30" s="55"/>
      <c r="AR30" s="55"/>
      <c r="AS30" s="55"/>
      <c r="AT30" s="55"/>
      <c r="AU30" s="11"/>
      <c r="AV30" s="11"/>
      <c r="AW30" s="11"/>
      <c r="AX30" s="11"/>
      <c r="AY30" s="55"/>
      <c r="AZ30" s="55"/>
      <c r="BA30" s="55"/>
      <c r="BB30" s="55"/>
      <c r="BC30" s="11"/>
      <c r="BD30" s="11"/>
      <c r="BE30" s="11"/>
      <c r="BF30" s="11"/>
      <c r="BG30" s="55"/>
      <c r="BH30" s="55"/>
      <c r="BI30" s="55"/>
      <c r="BJ30" s="55"/>
      <c r="BK30" s="11"/>
    </row>
    <row r="31" spans="1:63" ht="15" thickBot="1" x14ac:dyDescent="0.35">
      <c r="A31" s="47" t="s">
        <v>477</v>
      </c>
      <c r="B31" s="46" t="s">
        <v>476</v>
      </c>
      <c r="C31" s="52" t="s">
        <v>449</v>
      </c>
      <c r="D31" s="52" t="s">
        <v>449</v>
      </c>
      <c r="E31" s="52" t="s">
        <v>449</v>
      </c>
      <c r="F31" s="52" t="s">
        <v>449</v>
      </c>
      <c r="G31" s="51" t="s">
        <v>449</v>
      </c>
      <c r="H31" s="51" t="s">
        <v>449</v>
      </c>
      <c r="I31" s="51" t="s">
        <v>449</v>
      </c>
      <c r="J31" s="51" t="s">
        <v>449</v>
      </c>
      <c r="K31" s="52" t="s">
        <v>449</v>
      </c>
      <c r="L31" s="52" t="s">
        <v>449</v>
      </c>
      <c r="M31" s="52" t="s">
        <v>449</v>
      </c>
      <c r="N31" s="52" t="s">
        <v>449</v>
      </c>
      <c r="O31" s="51" t="s">
        <v>449</v>
      </c>
      <c r="P31" s="51">
        <v>1.95</v>
      </c>
      <c r="Q31" s="51">
        <v>1.98</v>
      </c>
      <c r="R31" s="51">
        <v>2.16</v>
      </c>
      <c r="S31" s="52">
        <v>2.35</v>
      </c>
      <c r="T31" s="52">
        <v>2.56</v>
      </c>
      <c r="U31" s="52">
        <v>2.98</v>
      </c>
      <c r="V31" s="52">
        <v>2.9</v>
      </c>
      <c r="W31" s="51">
        <v>3.11</v>
      </c>
      <c r="X31" s="51">
        <v>3.56</v>
      </c>
      <c r="Y31" s="51">
        <v>3.41</v>
      </c>
      <c r="Z31" s="51">
        <v>3.24</v>
      </c>
      <c r="AA31" s="52">
        <v>3.49</v>
      </c>
      <c r="AB31" s="52">
        <v>3.72</v>
      </c>
      <c r="AC31" s="52">
        <v>3.45</v>
      </c>
      <c r="AD31" s="52">
        <v>3.99</v>
      </c>
      <c r="AE31" s="51">
        <v>6.2</v>
      </c>
      <c r="AF31" s="51">
        <v>12.24</v>
      </c>
      <c r="AG31" s="51">
        <v>17.25</v>
      </c>
      <c r="AH31" s="51">
        <v>125.83</v>
      </c>
      <c r="AI31" s="52">
        <v>22.42</v>
      </c>
      <c r="AJ31" s="52" t="s">
        <v>449</v>
      </c>
      <c r="AK31" s="52" t="s">
        <v>449</v>
      </c>
      <c r="AL31" s="52" t="s">
        <v>449</v>
      </c>
      <c r="AM31" s="51" t="s">
        <v>449</v>
      </c>
      <c r="AN31" s="51" t="s">
        <v>449</v>
      </c>
      <c r="AO31" s="51">
        <v>78.56</v>
      </c>
      <c r="AP31" s="51">
        <v>43.72</v>
      </c>
      <c r="AQ31" s="52">
        <v>22.6</v>
      </c>
      <c r="AR31" s="52">
        <v>4.1100000000000003</v>
      </c>
      <c r="AS31" s="52">
        <v>3.44</v>
      </c>
      <c r="AT31" s="52">
        <v>2.62</v>
      </c>
      <c r="AU31" s="51">
        <v>3.26</v>
      </c>
      <c r="AV31" s="51">
        <v>2.7</v>
      </c>
      <c r="AW31" s="51">
        <v>2.62</v>
      </c>
      <c r="AX31" s="51">
        <v>2.48</v>
      </c>
      <c r="AY31" s="52">
        <v>2.99</v>
      </c>
      <c r="AZ31" s="52">
        <v>3.59</v>
      </c>
      <c r="BA31" s="52">
        <v>3.44</v>
      </c>
      <c r="BB31" s="52">
        <v>4.83</v>
      </c>
      <c r="BC31" s="51">
        <v>6.84</v>
      </c>
      <c r="BD31" s="51">
        <v>5.4</v>
      </c>
      <c r="BE31" s="51">
        <v>4.42</v>
      </c>
      <c r="BF31" s="51">
        <v>3.74</v>
      </c>
      <c r="BG31" s="52">
        <v>3.49</v>
      </c>
      <c r="BH31" s="52">
        <v>3.56</v>
      </c>
      <c r="BI31" s="52">
        <v>3.5</v>
      </c>
      <c r="BJ31" s="52">
        <v>3.44</v>
      </c>
      <c r="BK31" s="51">
        <v>3.5</v>
      </c>
    </row>
    <row r="32" spans="1:63" ht="15" thickBot="1" x14ac:dyDescent="0.35">
      <c r="A32" s="47" t="s">
        <v>475</v>
      </c>
      <c r="B32" s="46" t="s">
        <v>474</v>
      </c>
      <c r="C32" s="52" t="s">
        <v>449</v>
      </c>
      <c r="D32" s="52" t="s">
        <v>449</v>
      </c>
      <c r="E32" s="52" t="s">
        <v>449</v>
      </c>
      <c r="F32" s="52" t="s">
        <v>449</v>
      </c>
      <c r="G32" s="51" t="s">
        <v>449</v>
      </c>
      <c r="H32" s="51" t="s">
        <v>449</v>
      </c>
      <c r="I32" s="51" t="s">
        <v>449</v>
      </c>
      <c r="J32" s="51" t="s">
        <v>449</v>
      </c>
      <c r="K32" s="52" t="s">
        <v>449</v>
      </c>
      <c r="L32" s="52" t="s">
        <v>449</v>
      </c>
      <c r="M32" s="52" t="s">
        <v>449</v>
      </c>
      <c r="N32" s="52" t="s">
        <v>449</v>
      </c>
      <c r="O32" s="51" t="s">
        <v>449</v>
      </c>
      <c r="P32" s="51">
        <v>0.19</v>
      </c>
      <c r="Q32" s="51">
        <v>0.19</v>
      </c>
      <c r="R32" s="51">
        <v>0.2</v>
      </c>
      <c r="S32" s="52">
        <v>0.22</v>
      </c>
      <c r="T32" s="52">
        <v>0.22</v>
      </c>
      <c r="U32" s="52">
        <v>0.23</v>
      </c>
      <c r="V32" s="52">
        <v>0.22</v>
      </c>
      <c r="W32" s="51">
        <v>0.21</v>
      </c>
      <c r="X32" s="51">
        <v>0.18</v>
      </c>
      <c r="Y32" s="51">
        <v>0.14000000000000001</v>
      </c>
      <c r="Z32" s="51">
        <v>0</v>
      </c>
      <c r="AA32" s="52">
        <v>0</v>
      </c>
      <c r="AB32" s="52">
        <v>0.35</v>
      </c>
      <c r="AC32" s="52">
        <v>0.32</v>
      </c>
      <c r="AD32" s="52">
        <v>0.41</v>
      </c>
      <c r="AE32" s="51">
        <v>0.78</v>
      </c>
      <c r="AF32" s="51">
        <v>1</v>
      </c>
      <c r="AG32" s="51">
        <v>3.56</v>
      </c>
      <c r="AH32" s="51">
        <v>26.08</v>
      </c>
      <c r="AI32" s="52">
        <v>6.28</v>
      </c>
      <c r="AJ32" s="52" t="s">
        <v>449</v>
      </c>
      <c r="AK32" s="52" t="s">
        <v>449</v>
      </c>
      <c r="AL32" s="52" t="s">
        <v>449</v>
      </c>
      <c r="AM32" s="51" t="s">
        <v>449</v>
      </c>
      <c r="AN32" s="51" t="s">
        <v>449</v>
      </c>
      <c r="AO32" s="51">
        <v>26.96</v>
      </c>
      <c r="AP32" s="51">
        <v>14.12</v>
      </c>
      <c r="AQ32" s="52">
        <v>4.84</v>
      </c>
      <c r="AR32" s="52">
        <v>0.88</v>
      </c>
      <c r="AS32" s="52">
        <v>0.68</v>
      </c>
      <c r="AT32" s="52">
        <v>0.39</v>
      </c>
      <c r="AU32" s="51">
        <v>1.25</v>
      </c>
      <c r="AV32" s="51">
        <v>0.96</v>
      </c>
      <c r="AW32" s="51">
        <v>0.87</v>
      </c>
      <c r="AX32" s="51">
        <v>0.68</v>
      </c>
      <c r="AY32" s="52">
        <v>1.37</v>
      </c>
      <c r="AZ32" s="52">
        <v>1.74</v>
      </c>
      <c r="BA32" s="52">
        <v>1.58</v>
      </c>
      <c r="BB32" s="52">
        <v>2.41</v>
      </c>
      <c r="BC32" s="51">
        <v>3.88</v>
      </c>
      <c r="BD32" s="51">
        <v>2.85</v>
      </c>
      <c r="BE32" s="51">
        <v>2.11</v>
      </c>
      <c r="BF32" s="51">
        <v>1.56</v>
      </c>
      <c r="BG32" s="52">
        <v>1.33</v>
      </c>
      <c r="BH32" s="52">
        <v>1.33</v>
      </c>
      <c r="BI32" s="52">
        <v>1.27</v>
      </c>
      <c r="BJ32" s="52">
        <v>1.32</v>
      </c>
      <c r="BK32" s="51">
        <v>1.4</v>
      </c>
    </row>
    <row r="33" spans="1:63" ht="15" thickBot="1" x14ac:dyDescent="0.35">
      <c r="A33" s="47" t="s">
        <v>473</v>
      </c>
      <c r="B33" s="46" t="s">
        <v>472</v>
      </c>
      <c r="C33" s="49" t="s">
        <v>449</v>
      </c>
      <c r="D33" s="49" t="s">
        <v>449</v>
      </c>
      <c r="E33" s="49" t="s">
        <v>449</v>
      </c>
      <c r="F33" s="49" t="s">
        <v>449</v>
      </c>
      <c r="G33" s="48" t="s">
        <v>449</v>
      </c>
      <c r="H33" s="48" t="s">
        <v>449</v>
      </c>
      <c r="I33" s="48" t="s">
        <v>449</v>
      </c>
      <c r="J33" s="48">
        <v>9.6000000000000002E-2</v>
      </c>
      <c r="K33" s="49">
        <v>0.16</v>
      </c>
      <c r="L33" s="49">
        <v>0.441</v>
      </c>
      <c r="M33" s="49">
        <v>0.54400000000000004</v>
      </c>
      <c r="N33" s="49">
        <v>0.61299999999999999</v>
      </c>
      <c r="O33" s="48">
        <v>0.74</v>
      </c>
      <c r="P33" s="48">
        <v>8.2000000000000003E-2</v>
      </c>
      <c r="Q33" s="48">
        <v>6.9000000000000006E-2</v>
      </c>
      <c r="R33" s="48">
        <v>0.128</v>
      </c>
      <c r="S33" s="49">
        <v>0.13700000000000001</v>
      </c>
      <c r="T33" s="49">
        <v>0.12</v>
      </c>
      <c r="U33" s="49">
        <v>0.11799999999999999</v>
      </c>
      <c r="V33" s="49">
        <v>0.106</v>
      </c>
      <c r="W33" s="48">
        <v>0.10100000000000001</v>
      </c>
      <c r="X33" s="48">
        <v>8.5000000000000006E-2</v>
      </c>
      <c r="Y33" s="48">
        <v>6.2E-2</v>
      </c>
      <c r="Z33" s="48">
        <v>0</v>
      </c>
      <c r="AA33" s="49">
        <v>0</v>
      </c>
      <c r="AB33" s="49">
        <v>0</v>
      </c>
      <c r="AC33" s="49">
        <v>0</v>
      </c>
      <c r="AD33" s="49">
        <v>0</v>
      </c>
      <c r="AE33" s="48">
        <v>0</v>
      </c>
      <c r="AF33" s="48">
        <v>0</v>
      </c>
      <c r="AG33" s="48">
        <v>0.48899999999999999</v>
      </c>
      <c r="AH33" s="48">
        <v>0.59</v>
      </c>
      <c r="AI33" s="49">
        <v>0.83499999999999996</v>
      </c>
      <c r="AJ33" s="49">
        <v>0.92100000000000004</v>
      </c>
      <c r="AK33" s="49">
        <v>0.93100000000000005</v>
      </c>
      <c r="AL33" s="49">
        <v>0.79600000000000004</v>
      </c>
      <c r="AM33" s="48">
        <v>1.8620000000000001</v>
      </c>
      <c r="AN33" s="48">
        <v>1.534</v>
      </c>
      <c r="AO33" s="48">
        <v>0.75700000000000001</v>
      </c>
      <c r="AP33" s="48">
        <v>0.69399999999999995</v>
      </c>
      <c r="AQ33" s="49">
        <v>0.79300000000000004</v>
      </c>
      <c r="AR33" s="49">
        <v>0.45400000000000001</v>
      </c>
      <c r="AS33" s="49">
        <v>0.39400000000000002</v>
      </c>
      <c r="AT33" s="49">
        <v>0.27200000000000002</v>
      </c>
      <c r="AU33" s="48">
        <v>0.41499999999999998</v>
      </c>
      <c r="AV33" s="48">
        <v>0.34899999999999998</v>
      </c>
      <c r="AW33" s="48">
        <v>0.33</v>
      </c>
      <c r="AX33" s="48">
        <v>6.0000000000000001E-3</v>
      </c>
      <c r="AY33" s="49">
        <v>0.52900000000000003</v>
      </c>
      <c r="AZ33" s="49">
        <v>0.58099999999999996</v>
      </c>
      <c r="BA33" s="49">
        <v>0.56200000000000006</v>
      </c>
      <c r="BB33" s="49">
        <v>0.64800000000000002</v>
      </c>
      <c r="BC33" s="48">
        <v>0.74099999999999999</v>
      </c>
      <c r="BD33" s="48">
        <v>0.68899999999999995</v>
      </c>
      <c r="BE33" s="48">
        <v>0.63100000000000001</v>
      </c>
      <c r="BF33" s="48">
        <v>0.56699999999999995</v>
      </c>
      <c r="BG33" s="49">
        <v>0.53100000000000003</v>
      </c>
      <c r="BH33" s="49">
        <v>0.53</v>
      </c>
      <c r="BI33" s="49">
        <v>0.51900000000000002</v>
      </c>
      <c r="BJ33" s="49">
        <v>0.56799999999999995</v>
      </c>
      <c r="BK33" s="48">
        <v>0.54</v>
      </c>
    </row>
    <row r="34" spans="1:63" ht="15" thickBot="1" x14ac:dyDescent="0.35">
      <c r="A34" s="47" t="s">
        <v>471</v>
      </c>
      <c r="B34" s="50" t="s">
        <v>470</v>
      </c>
      <c r="C34" s="52" t="s">
        <v>449</v>
      </c>
      <c r="D34" s="52" t="s">
        <v>449</v>
      </c>
      <c r="E34" s="52" t="s">
        <v>449</v>
      </c>
      <c r="F34" s="52" t="s">
        <v>449</v>
      </c>
      <c r="G34" s="51" t="s">
        <v>449</v>
      </c>
      <c r="H34" s="51" t="s">
        <v>449</v>
      </c>
      <c r="I34" s="51" t="s">
        <v>449</v>
      </c>
      <c r="J34" s="51" t="s">
        <v>449</v>
      </c>
      <c r="K34" s="52" t="s">
        <v>449</v>
      </c>
      <c r="L34" s="52" t="s">
        <v>449</v>
      </c>
      <c r="M34" s="52" t="s">
        <v>449</v>
      </c>
      <c r="N34" s="52" t="s">
        <v>449</v>
      </c>
      <c r="O34" s="51" t="s">
        <v>449</v>
      </c>
      <c r="P34" s="51" t="s">
        <v>449</v>
      </c>
      <c r="Q34" s="51" t="s">
        <v>449</v>
      </c>
      <c r="R34" s="51" t="s">
        <v>449</v>
      </c>
      <c r="S34" s="52" t="s">
        <v>449</v>
      </c>
      <c r="T34" s="52" t="s">
        <v>449</v>
      </c>
      <c r="U34" s="52" t="s">
        <v>449</v>
      </c>
      <c r="V34" s="52" t="s">
        <v>449</v>
      </c>
      <c r="W34" s="51" t="s">
        <v>449</v>
      </c>
      <c r="X34" s="51" t="s">
        <v>449</v>
      </c>
      <c r="Y34" s="51" t="s">
        <v>449</v>
      </c>
      <c r="Z34" s="51" t="s">
        <v>449</v>
      </c>
      <c r="AA34" s="52" t="s">
        <v>449</v>
      </c>
      <c r="AB34" s="52" t="s">
        <v>449</v>
      </c>
      <c r="AC34" s="52" t="s">
        <v>449</v>
      </c>
      <c r="AD34" s="52" t="s">
        <v>449</v>
      </c>
      <c r="AE34" s="51" t="s">
        <v>449</v>
      </c>
      <c r="AF34" s="51" t="s">
        <v>449</v>
      </c>
      <c r="AG34" s="51" t="s">
        <v>449</v>
      </c>
      <c r="AH34" s="51" t="s">
        <v>449</v>
      </c>
      <c r="AI34" s="52" t="s">
        <v>449</v>
      </c>
      <c r="AJ34" s="52" t="s">
        <v>449</v>
      </c>
      <c r="AK34" s="52">
        <v>50.16</v>
      </c>
      <c r="AL34" s="52">
        <v>9.3699999999999992</v>
      </c>
      <c r="AM34" s="51" t="s">
        <v>449</v>
      </c>
      <c r="AN34" s="51" t="s">
        <v>449</v>
      </c>
      <c r="AO34" s="51" t="s">
        <v>449</v>
      </c>
      <c r="AP34" s="51" t="s">
        <v>449</v>
      </c>
      <c r="AQ34" s="52" t="s">
        <v>449</v>
      </c>
      <c r="AR34" s="52" t="s">
        <v>449</v>
      </c>
      <c r="AS34" s="52" t="s">
        <v>449</v>
      </c>
      <c r="AT34" s="52" t="s">
        <v>449</v>
      </c>
      <c r="AU34" s="51" t="s">
        <v>449</v>
      </c>
      <c r="AV34" s="51" t="s">
        <v>449</v>
      </c>
      <c r="AW34" s="51" t="s">
        <v>449</v>
      </c>
      <c r="AX34" s="51" t="s">
        <v>449</v>
      </c>
      <c r="AY34" s="52" t="s">
        <v>449</v>
      </c>
      <c r="AZ34" s="52" t="s">
        <v>449</v>
      </c>
      <c r="BA34" s="52" t="s">
        <v>449</v>
      </c>
      <c r="BB34" s="52" t="s">
        <v>449</v>
      </c>
      <c r="BC34" s="51">
        <v>1.55</v>
      </c>
      <c r="BD34" s="51">
        <v>1.19</v>
      </c>
      <c r="BE34" s="51" t="s">
        <v>449</v>
      </c>
      <c r="BF34" s="51" t="s">
        <v>449</v>
      </c>
      <c r="BG34" s="52" t="s">
        <v>449</v>
      </c>
      <c r="BH34" s="52" t="s">
        <v>449</v>
      </c>
      <c r="BI34" s="52" t="s">
        <v>449</v>
      </c>
      <c r="BJ34" s="52" t="s">
        <v>449</v>
      </c>
      <c r="BK34" s="51" t="s">
        <v>449</v>
      </c>
    </row>
    <row r="35" spans="1:63" ht="15" thickBot="1" x14ac:dyDescent="0.35">
      <c r="A35" s="56" t="s">
        <v>469</v>
      </c>
      <c r="B35" s="16"/>
      <c r="C35" s="55"/>
      <c r="D35" s="55"/>
      <c r="E35" s="55"/>
      <c r="F35" s="55"/>
      <c r="G35" s="11"/>
      <c r="H35" s="11"/>
      <c r="I35" s="11"/>
      <c r="J35" s="11"/>
      <c r="K35" s="55"/>
      <c r="L35" s="55"/>
      <c r="M35" s="55"/>
      <c r="N35" s="55"/>
      <c r="O35" s="11"/>
      <c r="P35" s="11"/>
      <c r="Q35" s="11"/>
      <c r="R35" s="11"/>
      <c r="S35" s="55"/>
      <c r="T35" s="55"/>
      <c r="U35" s="55"/>
      <c r="V35" s="55"/>
      <c r="W35" s="11"/>
      <c r="X35" s="11"/>
      <c r="Y35" s="11"/>
      <c r="Z35" s="11"/>
      <c r="AA35" s="55"/>
      <c r="AB35" s="55"/>
      <c r="AC35" s="55"/>
      <c r="AD35" s="55"/>
      <c r="AE35" s="11"/>
      <c r="AF35" s="11"/>
      <c r="AG35" s="11"/>
      <c r="AH35" s="11"/>
      <c r="AI35" s="55"/>
      <c r="AJ35" s="55"/>
      <c r="AK35" s="55"/>
      <c r="AL35" s="55"/>
      <c r="AM35" s="11"/>
      <c r="AN35" s="11"/>
      <c r="AO35" s="11"/>
      <c r="AP35" s="11"/>
      <c r="AQ35" s="55"/>
      <c r="AR35" s="55"/>
      <c r="AS35" s="55"/>
      <c r="AT35" s="55"/>
      <c r="AU35" s="11"/>
      <c r="AV35" s="11"/>
      <c r="AW35" s="11"/>
      <c r="AX35" s="11"/>
      <c r="AY35" s="55"/>
      <c r="AZ35" s="55"/>
      <c r="BA35" s="55"/>
      <c r="BB35" s="55"/>
      <c r="BC35" s="11"/>
      <c r="BD35" s="11"/>
      <c r="BE35" s="11"/>
      <c r="BF35" s="11"/>
      <c r="BG35" s="55"/>
      <c r="BH35" s="55"/>
      <c r="BI35" s="55"/>
      <c r="BJ35" s="55"/>
      <c r="BK35" s="11"/>
    </row>
    <row r="36" spans="1:63" ht="15" thickBot="1" x14ac:dyDescent="0.35">
      <c r="A36" s="47" t="s">
        <v>468</v>
      </c>
      <c r="B36" s="46" t="s">
        <v>467</v>
      </c>
      <c r="C36" s="54" t="s">
        <v>449</v>
      </c>
      <c r="D36" s="54" t="s">
        <v>449</v>
      </c>
      <c r="E36" s="54" t="s">
        <v>449</v>
      </c>
      <c r="F36" s="54" t="s">
        <v>449</v>
      </c>
      <c r="G36" s="53" t="s">
        <v>449</v>
      </c>
      <c r="H36" s="53" t="s">
        <v>449</v>
      </c>
      <c r="I36" s="53" t="s">
        <v>449</v>
      </c>
      <c r="J36" s="53" t="s">
        <v>449</v>
      </c>
      <c r="K36" s="54">
        <v>2.2999999999999998</v>
      </c>
      <c r="L36" s="54">
        <v>2.5</v>
      </c>
      <c r="M36" s="54">
        <v>2.7</v>
      </c>
      <c r="N36" s="54">
        <v>3.2</v>
      </c>
      <c r="O36" s="53">
        <v>2.7</v>
      </c>
      <c r="P36" s="53">
        <v>4.8</v>
      </c>
      <c r="Q36" s="53">
        <v>2.8</v>
      </c>
      <c r="R36" s="53">
        <v>1.9</v>
      </c>
      <c r="S36" s="54">
        <v>1.7</v>
      </c>
      <c r="T36" s="54">
        <v>2</v>
      </c>
      <c r="U36" s="54">
        <v>1.9</v>
      </c>
      <c r="V36" s="54">
        <v>2</v>
      </c>
      <c r="W36" s="53">
        <v>1.9</v>
      </c>
      <c r="X36" s="53">
        <v>2.2000000000000002</v>
      </c>
      <c r="Y36" s="53">
        <v>2.1</v>
      </c>
      <c r="Z36" s="53">
        <v>2.2000000000000002</v>
      </c>
      <c r="AA36" s="54">
        <v>1.9</v>
      </c>
      <c r="AB36" s="54">
        <v>1.8</v>
      </c>
      <c r="AC36" s="54">
        <v>1.4</v>
      </c>
      <c r="AD36" s="54">
        <v>1.1000000000000001</v>
      </c>
      <c r="AE36" s="53">
        <v>1.4</v>
      </c>
      <c r="AF36" s="53">
        <v>1.6</v>
      </c>
      <c r="AG36" s="53">
        <v>1.6</v>
      </c>
      <c r="AH36" s="53">
        <v>1.5</v>
      </c>
      <c r="AI36" s="54">
        <v>1</v>
      </c>
      <c r="AJ36" s="54">
        <v>1.4</v>
      </c>
      <c r="AK36" s="54">
        <v>1.2</v>
      </c>
      <c r="AL36" s="54">
        <v>1.2</v>
      </c>
      <c r="AM36" s="53">
        <v>1.2</v>
      </c>
      <c r="AN36" s="53">
        <v>1.3</v>
      </c>
      <c r="AO36" s="53">
        <v>1.4</v>
      </c>
      <c r="AP36" s="53">
        <v>1.4</v>
      </c>
      <c r="AQ36" s="54">
        <v>1.2</v>
      </c>
      <c r="AR36" s="54">
        <v>1.5</v>
      </c>
      <c r="AS36" s="54">
        <v>1.6</v>
      </c>
      <c r="AT36" s="54">
        <v>1.5</v>
      </c>
      <c r="AU36" s="53">
        <v>1.7</v>
      </c>
      <c r="AV36" s="53">
        <v>1.4</v>
      </c>
      <c r="AW36" s="53">
        <v>1.7</v>
      </c>
      <c r="AX36" s="53">
        <v>1.7</v>
      </c>
      <c r="AY36" s="54">
        <v>1.4</v>
      </c>
      <c r="AZ36" s="54">
        <v>1.2</v>
      </c>
      <c r="BA36" s="54">
        <v>1.3</v>
      </c>
      <c r="BB36" s="54">
        <v>1.4</v>
      </c>
      <c r="BC36" s="53">
        <v>1.2</v>
      </c>
      <c r="BD36" s="53">
        <v>1.5</v>
      </c>
      <c r="BE36" s="53">
        <v>1.7</v>
      </c>
      <c r="BF36" s="53">
        <v>1.7</v>
      </c>
      <c r="BG36" s="54">
        <v>1.4</v>
      </c>
      <c r="BH36" s="54">
        <v>1.3</v>
      </c>
      <c r="BI36" s="54">
        <v>1</v>
      </c>
      <c r="BJ36" s="54">
        <v>0.6</v>
      </c>
      <c r="BK36" s="53">
        <v>0.6</v>
      </c>
    </row>
    <row r="37" spans="1:63" ht="15" thickBot="1" x14ac:dyDescent="0.35">
      <c r="A37" s="47" t="s">
        <v>466</v>
      </c>
      <c r="B37" s="46" t="s">
        <v>465</v>
      </c>
      <c r="C37" s="54" t="s">
        <v>449</v>
      </c>
      <c r="D37" s="54" t="s">
        <v>449</v>
      </c>
      <c r="E37" s="54" t="s">
        <v>449</v>
      </c>
      <c r="F37" s="54" t="s">
        <v>449</v>
      </c>
      <c r="G37" s="53" t="s">
        <v>449</v>
      </c>
      <c r="H37" s="53" t="s">
        <v>449</v>
      </c>
      <c r="I37" s="53" t="s">
        <v>449</v>
      </c>
      <c r="J37" s="53" t="s">
        <v>449</v>
      </c>
      <c r="K37" s="54">
        <v>39.9</v>
      </c>
      <c r="L37" s="54">
        <v>36.1</v>
      </c>
      <c r="M37" s="54">
        <v>33.799999999999997</v>
      </c>
      <c r="N37" s="54">
        <v>28.1</v>
      </c>
      <c r="O37" s="53">
        <v>33.299999999999997</v>
      </c>
      <c r="P37" s="53">
        <v>19.100000000000001</v>
      </c>
      <c r="Q37" s="53">
        <v>31.9</v>
      </c>
      <c r="R37" s="53">
        <v>47.8</v>
      </c>
      <c r="S37" s="54">
        <v>52.6</v>
      </c>
      <c r="T37" s="54">
        <v>44.6</v>
      </c>
      <c r="U37" s="54">
        <v>49</v>
      </c>
      <c r="V37" s="54">
        <v>45.3</v>
      </c>
      <c r="W37" s="53">
        <v>47.8</v>
      </c>
      <c r="X37" s="53">
        <v>41.6</v>
      </c>
      <c r="Y37" s="53">
        <v>44</v>
      </c>
      <c r="Z37" s="53">
        <v>40.799999999999997</v>
      </c>
      <c r="AA37" s="54">
        <v>47.8</v>
      </c>
      <c r="AB37" s="54">
        <v>50.4</v>
      </c>
      <c r="AC37" s="54">
        <v>63.1</v>
      </c>
      <c r="AD37" s="54">
        <v>84.2</v>
      </c>
      <c r="AE37" s="53">
        <v>66.099999999999994</v>
      </c>
      <c r="AF37" s="53">
        <v>55.2</v>
      </c>
      <c r="AG37" s="53">
        <v>55.6</v>
      </c>
      <c r="AH37" s="53">
        <v>60.5</v>
      </c>
      <c r="AI37" s="54">
        <v>91.3</v>
      </c>
      <c r="AJ37" s="54">
        <v>64.099999999999994</v>
      </c>
      <c r="AK37" s="54">
        <v>74</v>
      </c>
      <c r="AL37" s="54">
        <v>76.599999999999994</v>
      </c>
      <c r="AM37" s="53">
        <v>78.7</v>
      </c>
      <c r="AN37" s="53">
        <v>68.5</v>
      </c>
      <c r="AO37" s="53">
        <v>65.8</v>
      </c>
      <c r="AP37" s="53">
        <v>65.599999999999994</v>
      </c>
      <c r="AQ37" s="54">
        <v>73</v>
      </c>
      <c r="AR37" s="54">
        <v>60.8</v>
      </c>
      <c r="AS37" s="54">
        <v>58.4</v>
      </c>
      <c r="AT37" s="54">
        <v>60.5</v>
      </c>
      <c r="AU37" s="53">
        <v>53.3</v>
      </c>
      <c r="AV37" s="53">
        <v>67</v>
      </c>
      <c r="AW37" s="53">
        <v>54</v>
      </c>
      <c r="AX37" s="53">
        <v>52.3</v>
      </c>
      <c r="AY37" s="54">
        <v>63.1</v>
      </c>
      <c r="AZ37" s="54">
        <v>74.5</v>
      </c>
      <c r="BA37" s="54">
        <v>71.7</v>
      </c>
      <c r="BB37" s="54">
        <v>66.900000000000006</v>
      </c>
      <c r="BC37" s="53">
        <v>73.900000000000006</v>
      </c>
      <c r="BD37" s="53">
        <v>62</v>
      </c>
      <c r="BE37" s="53">
        <v>52.7</v>
      </c>
      <c r="BF37" s="53">
        <v>54.6</v>
      </c>
      <c r="BG37" s="54">
        <v>64.099999999999994</v>
      </c>
      <c r="BH37" s="54">
        <v>70.900000000000006</v>
      </c>
      <c r="BI37" s="54">
        <v>95.6</v>
      </c>
      <c r="BJ37" s="54">
        <v>163.30000000000001</v>
      </c>
      <c r="BK37" s="53">
        <v>154</v>
      </c>
    </row>
    <row r="38" spans="1:63" ht="15" thickBot="1" x14ac:dyDescent="0.35">
      <c r="A38" s="47" t="s">
        <v>464</v>
      </c>
      <c r="B38" s="46" t="s">
        <v>463</v>
      </c>
      <c r="C38" s="54" t="s">
        <v>449</v>
      </c>
      <c r="D38" s="54" t="s">
        <v>449</v>
      </c>
      <c r="E38" s="54" t="s">
        <v>449</v>
      </c>
      <c r="F38" s="54" t="s">
        <v>449</v>
      </c>
      <c r="G38" s="53" t="s">
        <v>449</v>
      </c>
      <c r="H38" s="53" t="s">
        <v>449</v>
      </c>
      <c r="I38" s="53" t="s">
        <v>449</v>
      </c>
      <c r="J38" s="53" t="s">
        <v>449</v>
      </c>
      <c r="K38" s="54">
        <v>3</v>
      </c>
      <c r="L38" s="54">
        <v>4.0999999999999996</v>
      </c>
      <c r="M38" s="54">
        <v>4.4000000000000004</v>
      </c>
      <c r="N38" s="54">
        <v>4.0999999999999996</v>
      </c>
      <c r="O38" s="53">
        <v>1.8</v>
      </c>
      <c r="P38" s="53">
        <v>1.5</v>
      </c>
      <c r="Q38" s="53">
        <v>1.9</v>
      </c>
      <c r="R38" s="53">
        <v>2.2999999999999998</v>
      </c>
      <c r="S38" s="54">
        <v>1.6</v>
      </c>
      <c r="T38" s="54">
        <v>2.1</v>
      </c>
      <c r="U38" s="54">
        <v>2.1</v>
      </c>
      <c r="V38" s="54">
        <v>2.2000000000000002</v>
      </c>
      <c r="W38" s="53">
        <v>2.5</v>
      </c>
      <c r="X38" s="53">
        <v>3.7</v>
      </c>
      <c r="Y38" s="53">
        <v>4.3</v>
      </c>
      <c r="Z38" s="53">
        <v>3.8</v>
      </c>
      <c r="AA38" s="54">
        <v>2.1</v>
      </c>
      <c r="AB38" s="54">
        <v>2</v>
      </c>
      <c r="AC38" s="54">
        <v>2</v>
      </c>
      <c r="AD38" s="54">
        <v>1.3</v>
      </c>
      <c r="AE38" s="53">
        <v>1.2</v>
      </c>
      <c r="AF38" s="53">
        <v>1.5</v>
      </c>
      <c r="AG38" s="53">
        <v>1.9</v>
      </c>
      <c r="AH38" s="53">
        <v>2.1</v>
      </c>
      <c r="AI38" s="54">
        <v>1.5</v>
      </c>
      <c r="AJ38" s="54">
        <v>2.2000000000000002</v>
      </c>
      <c r="AK38" s="54">
        <v>2.6</v>
      </c>
      <c r="AL38" s="54">
        <v>2.4</v>
      </c>
      <c r="AM38" s="53">
        <v>2.2999999999999998</v>
      </c>
      <c r="AN38" s="53">
        <v>3</v>
      </c>
      <c r="AO38" s="53">
        <v>3</v>
      </c>
      <c r="AP38" s="53">
        <v>3.8</v>
      </c>
      <c r="AQ38" s="54">
        <v>4.5999999999999996</v>
      </c>
      <c r="AR38" s="54">
        <v>5.4</v>
      </c>
      <c r="AS38" s="54">
        <v>4.5999999999999996</v>
      </c>
      <c r="AT38" s="54">
        <v>4.2</v>
      </c>
      <c r="AU38" s="53">
        <v>3.7</v>
      </c>
      <c r="AV38" s="53">
        <v>2.2999999999999998</v>
      </c>
      <c r="AW38" s="53">
        <v>2.4</v>
      </c>
      <c r="AX38" s="53">
        <v>3.6</v>
      </c>
      <c r="AY38" s="54">
        <v>4.7</v>
      </c>
      <c r="AZ38" s="54">
        <v>5.2</v>
      </c>
      <c r="BA38" s="54">
        <v>4.0999999999999996</v>
      </c>
      <c r="BB38" s="54">
        <v>3.6</v>
      </c>
      <c r="BC38" s="53">
        <v>3.1</v>
      </c>
      <c r="BD38" s="53">
        <v>2.7</v>
      </c>
      <c r="BE38" s="53">
        <v>2.7</v>
      </c>
      <c r="BF38" s="53">
        <v>2.8</v>
      </c>
      <c r="BG38" s="54">
        <v>2.7</v>
      </c>
      <c r="BH38" s="54">
        <v>2.4</v>
      </c>
      <c r="BI38" s="54">
        <v>1.7</v>
      </c>
      <c r="BJ38" s="54">
        <v>0.8</v>
      </c>
      <c r="BK38" s="53">
        <v>0.7</v>
      </c>
    </row>
    <row r="39" spans="1:63" ht="15" thickBot="1" x14ac:dyDescent="0.35">
      <c r="A39" s="47" t="s">
        <v>462</v>
      </c>
      <c r="B39" s="46" t="s">
        <v>461</v>
      </c>
      <c r="C39" s="54" t="s">
        <v>449</v>
      </c>
      <c r="D39" s="54" t="s">
        <v>449</v>
      </c>
      <c r="E39" s="54" t="s">
        <v>449</v>
      </c>
      <c r="F39" s="54" t="s">
        <v>449</v>
      </c>
      <c r="G39" s="53" t="s">
        <v>449</v>
      </c>
      <c r="H39" s="53" t="s">
        <v>449</v>
      </c>
      <c r="I39" s="53" t="s">
        <v>449</v>
      </c>
      <c r="J39" s="53" t="s">
        <v>449</v>
      </c>
      <c r="K39" s="54">
        <v>30.5</v>
      </c>
      <c r="L39" s="54">
        <v>22</v>
      </c>
      <c r="M39" s="54">
        <v>20.7</v>
      </c>
      <c r="N39" s="54">
        <v>22.2</v>
      </c>
      <c r="O39" s="53">
        <v>50.4</v>
      </c>
      <c r="P39" s="53">
        <v>61.2</v>
      </c>
      <c r="Q39" s="53">
        <v>48.7</v>
      </c>
      <c r="R39" s="53">
        <v>40</v>
      </c>
      <c r="S39" s="54">
        <v>57.5</v>
      </c>
      <c r="T39" s="54">
        <v>43.7</v>
      </c>
      <c r="U39" s="54">
        <v>43.1</v>
      </c>
      <c r="V39" s="54">
        <v>40.9</v>
      </c>
      <c r="W39" s="53">
        <v>35.9</v>
      </c>
      <c r="X39" s="53">
        <v>24.6</v>
      </c>
      <c r="Y39" s="53">
        <v>21.3</v>
      </c>
      <c r="Z39" s="53">
        <v>24</v>
      </c>
      <c r="AA39" s="54">
        <v>43.7</v>
      </c>
      <c r="AB39" s="54">
        <v>45.3</v>
      </c>
      <c r="AC39" s="54">
        <v>45.1</v>
      </c>
      <c r="AD39" s="54">
        <v>70.599999999999994</v>
      </c>
      <c r="AE39" s="53">
        <v>75.099999999999994</v>
      </c>
      <c r="AF39" s="53">
        <v>59.4</v>
      </c>
      <c r="AG39" s="53">
        <v>49</v>
      </c>
      <c r="AH39" s="53">
        <v>43.5</v>
      </c>
      <c r="AI39" s="54">
        <v>62.7</v>
      </c>
      <c r="AJ39" s="54">
        <v>40.700000000000003</v>
      </c>
      <c r="AK39" s="54">
        <v>34.700000000000003</v>
      </c>
      <c r="AL39" s="54">
        <v>38.5</v>
      </c>
      <c r="AM39" s="53">
        <v>39.200000000000003</v>
      </c>
      <c r="AN39" s="53">
        <v>30.8</v>
      </c>
      <c r="AO39" s="53">
        <v>30.5</v>
      </c>
      <c r="AP39" s="53">
        <v>24.2</v>
      </c>
      <c r="AQ39" s="54">
        <v>19.899999999999999</v>
      </c>
      <c r="AR39" s="54">
        <v>16.899999999999999</v>
      </c>
      <c r="AS39" s="54">
        <v>19.899999999999999</v>
      </c>
      <c r="AT39" s="54">
        <v>21.4</v>
      </c>
      <c r="AU39" s="53">
        <v>24.3</v>
      </c>
      <c r="AV39" s="53">
        <v>38.799999999999997</v>
      </c>
      <c r="AW39" s="53">
        <v>37.4</v>
      </c>
      <c r="AX39" s="53">
        <v>25.2</v>
      </c>
      <c r="AY39" s="54">
        <v>19.5</v>
      </c>
      <c r="AZ39" s="54">
        <v>17.600000000000001</v>
      </c>
      <c r="BA39" s="54">
        <v>22.2</v>
      </c>
      <c r="BB39" s="54">
        <v>25.5</v>
      </c>
      <c r="BC39" s="53">
        <v>29.4</v>
      </c>
      <c r="BD39" s="53">
        <v>33.1</v>
      </c>
      <c r="BE39" s="53">
        <v>34.299999999999997</v>
      </c>
      <c r="BF39" s="53">
        <v>32.6</v>
      </c>
      <c r="BG39" s="54">
        <v>34.200000000000003</v>
      </c>
      <c r="BH39" s="54">
        <v>37.200000000000003</v>
      </c>
      <c r="BI39" s="54">
        <v>53.6</v>
      </c>
      <c r="BJ39" s="54">
        <v>113.1</v>
      </c>
      <c r="BK39" s="53">
        <v>129.69999999999999</v>
      </c>
    </row>
    <row r="40" spans="1:63" ht="15" thickBot="1" x14ac:dyDescent="0.35">
      <c r="A40" s="47" t="s">
        <v>460</v>
      </c>
      <c r="B40" s="46" t="s">
        <v>459</v>
      </c>
      <c r="C40" s="54" t="s">
        <v>449</v>
      </c>
      <c r="D40" s="54" t="s">
        <v>449</v>
      </c>
      <c r="E40" s="54" t="s">
        <v>449</v>
      </c>
      <c r="F40" s="54" t="s">
        <v>449</v>
      </c>
      <c r="G40" s="53" t="s">
        <v>449</v>
      </c>
      <c r="H40" s="53" t="s">
        <v>449</v>
      </c>
      <c r="I40" s="53" t="s">
        <v>449</v>
      </c>
      <c r="J40" s="53" t="s">
        <v>449</v>
      </c>
      <c r="K40" s="54">
        <v>39</v>
      </c>
      <c r="L40" s="54">
        <v>38.6</v>
      </c>
      <c r="M40" s="54">
        <v>36.799999999999997</v>
      </c>
      <c r="N40" s="54">
        <v>28.8</v>
      </c>
      <c r="O40" s="53">
        <v>51.6</v>
      </c>
      <c r="P40" s="53">
        <v>54.4</v>
      </c>
      <c r="Q40" s="53">
        <v>41.7</v>
      </c>
      <c r="R40" s="53">
        <v>29</v>
      </c>
      <c r="S40" s="54">
        <v>27.7</v>
      </c>
      <c r="T40" s="54">
        <v>20.7</v>
      </c>
      <c r="U40" s="54">
        <v>25.6</v>
      </c>
      <c r="V40" s="54">
        <v>22.4</v>
      </c>
      <c r="W40" s="53">
        <v>19.5</v>
      </c>
      <c r="X40" s="53">
        <v>23.8</v>
      </c>
      <c r="Y40" s="53">
        <v>28.4</v>
      </c>
      <c r="Z40" s="53">
        <v>28.7</v>
      </c>
      <c r="AA40" s="54">
        <v>41.3</v>
      </c>
      <c r="AB40" s="54">
        <v>43.1</v>
      </c>
      <c r="AC40" s="54">
        <v>42.8</v>
      </c>
      <c r="AD40" s="54">
        <v>53.1</v>
      </c>
      <c r="AE40" s="53">
        <v>43.3</v>
      </c>
      <c r="AF40" s="53">
        <v>43.3</v>
      </c>
      <c r="AG40" s="53">
        <v>43.8</v>
      </c>
      <c r="AH40" s="53">
        <v>39.299999999999997</v>
      </c>
      <c r="AI40" s="54">
        <v>45.4</v>
      </c>
      <c r="AJ40" s="54">
        <v>23.3</v>
      </c>
      <c r="AK40" s="54">
        <v>37.6</v>
      </c>
      <c r="AL40" s="54">
        <v>47.5</v>
      </c>
      <c r="AM40" s="53">
        <v>37.700000000000003</v>
      </c>
      <c r="AN40" s="53">
        <v>30.8</v>
      </c>
      <c r="AO40" s="53">
        <v>43.1</v>
      </c>
      <c r="AP40" s="53">
        <v>54.6</v>
      </c>
      <c r="AQ40" s="54">
        <v>69</v>
      </c>
      <c r="AR40" s="54">
        <v>60.7</v>
      </c>
      <c r="AS40" s="54">
        <v>50</v>
      </c>
      <c r="AT40" s="54">
        <v>40.700000000000003</v>
      </c>
      <c r="AU40" s="53">
        <v>33.5</v>
      </c>
      <c r="AV40" s="53">
        <v>34.6</v>
      </c>
      <c r="AW40" s="53">
        <v>39.4</v>
      </c>
      <c r="AX40" s="53">
        <v>38.4</v>
      </c>
      <c r="AY40" s="54">
        <v>39.200000000000003</v>
      </c>
      <c r="AZ40" s="54">
        <v>39.6</v>
      </c>
      <c r="BA40" s="54">
        <v>37.6</v>
      </c>
      <c r="BB40" s="54">
        <v>37.6</v>
      </c>
      <c r="BC40" s="53">
        <v>37.6</v>
      </c>
      <c r="BD40" s="53">
        <v>28.5</v>
      </c>
      <c r="BE40" s="53">
        <v>22.7</v>
      </c>
      <c r="BF40" s="53">
        <v>24</v>
      </c>
      <c r="BG40" s="54">
        <v>26.3</v>
      </c>
      <c r="BH40" s="54">
        <v>21.7</v>
      </c>
      <c r="BI40" s="54">
        <v>26.6</v>
      </c>
      <c r="BJ40" s="54">
        <v>60.2</v>
      </c>
      <c r="BK40" s="53">
        <v>57.8</v>
      </c>
    </row>
    <row r="41" spans="1:63" ht="15" thickBot="1" x14ac:dyDescent="0.35">
      <c r="A41" s="47" t="s">
        <v>458</v>
      </c>
      <c r="B41" s="46" t="s">
        <v>457</v>
      </c>
      <c r="C41" s="52" t="s">
        <v>449</v>
      </c>
      <c r="D41" s="52" t="s">
        <v>449</v>
      </c>
      <c r="E41" s="52" t="s">
        <v>449</v>
      </c>
      <c r="F41" s="52" t="s">
        <v>449</v>
      </c>
      <c r="G41" s="51" t="s">
        <v>449</v>
      </c>
      <c r="H41" s="51" t="s">
        <v>449</v>
      </c>
      <c r="I41" s="51" t="s">
        <v>449</v>
      </c>
      <c r="J41" s="51" t="s">
        <v>449</v>
      </c>
      <c r="K41" s="52">
        <v>2.38</v>
      </c>
      <c r="L41" s="52">
        <v>2.82</v>
      </c>
      <c r="M41" s="52">
        <v>3.3</v>
      </c>
      <c r="N41" s="52">
        <v>3.4</v>
      </c>
      <c r="O41" s="51">
        <v>2.0699999999999998</v>
      </c>
      <c r="P41" s="51">
        <v>2.35</v>
      </c>
      <c r="Q41" s="51">
        <v>2.4500000000000002</v>
      </c>
      <c r="R41" s="51">
        <v>2.2799999999999998</v>
      </c>
      <c r="S41" s="52">
        <v>1.79</v>
      </c>
      <c r="T41" s="52">
        <v>2.31</v>
      </c>
      <c r="U41" s="52">
        <v>2.48</v>
      </c>
      <c r="V41" s="52">
        <v>2.7</v>
      </c>
      <c r="W41" s="51">
        <v>2.3199999999999998</v>
      </c>
      <c r="X41" s="51">
        <v>3.28</v>
      </c>
      <c r="Y41" s="51">
        <v>3.67</v>
      </c>
      <c r="Z41" s="51">
        <v>3.53</v>
      </c>
      <c r="AA41" s="52">
        <v>2.79</v>
      </c>
      <c r="AB41" s="52">
        <v>3.25</v>
      </c>
      <c r="AC41" s="52">
        <v>3.27</v>
      </c>
      <c r="AD41" s="52">
        <v>2.0699999999999998</v>
      </c>
      <c r="AE41" s="51">
        <v>1.97</v>
      </c>
      <c r="AF41" s="51">
        <v>2.34</v>
      </c>
      <c r="AG41" s="51">
        <v>2.65</v>
      </c>
      <c r="AH41" s="51">
        <v>2.84</v>
      </c>
      <c r="AI41" s="52">
        <v>1.76</v>
      </c>
      <c r="AJ41" s="52">
        <v>2.48</v>
      </c>
      <c r="AK41" s="52">
        <v>2.68</v>
      </c>
      <c r="AL41" s="52">
        <v>2.91</v>
      </c>
      <c r="AM41" s="51">
        <v>2.72</v>
      </c>
      <c r="AN41" s="51">
        <v>3.16</v>
      </c>
      <c r="AO41" s="51">
        <v>3.59</v>
      </c>
      <c r="AP41" s="51">
        <v>4.47</v>
      </c>
      <c r="AQ41" s="52">
        <v>4.08</v>
      </c>
      <c r="AR41" s="52">
        <v>4.33</v>
      </c>
      <c r="AS41" s="52">
        <v>5.24</v>
      </c>
      <c r="AT41" s="52">
        <v>5.68</v>
      </c>
      <c r="AU41" s="51">
        <v>5.04</v>
      </c>
      <c r="AV41" s="51">
        <v>2.89</v>
      </c>
      <c r="AW41" s="51">
        <v>3.79</v>
      </c>
      <c r="AX41" s="51">
        <v>4.8</v>
      </c>
      <c r="AY41" s="52">
        <v>4.6100000000000003</v>
      </c>
      <c r="AZ41" s="52">
        <v>4.24</v>
      </c>
      <c r="BA41" s="52">
        <v>4.2</v>
      </c>
      <c r="BB41" s="52">
        <v>4.46</v>
      </c>
      <c r="BC41" s="51">
        <v>4.3899999999999997</v>
      </c>
      <c r="BD41" s="51">
        <v>5.09</v>
      </c>
      <c r="BE41" s="51">
        <v>5.94</v>
      </c>
      <c r="BF41" s="51">
        <v>5.97</v>
      </c>
      <c r="BG41" s="52">
        <v>5.05</v>
      </c>
      <c r="BH41" s="52">
        <v>4.32</v>
      </c>
      <c r="BI41" s="52">
        <v>2.99</v>
      </c>
      <c r="BJ41" s="52">
        <v>1.58</v>
      </c>
      <c r="BK41" s="51">
        <v>1.44</v>
      </c>
    </row>
    <row r="42" spans="1:63" ht="15" thickBot="1" x14ac:dyDescent="0.35">
      <c r="A42" s="47" t="s">
        <v>456</v>
      </c>
      <c r="B42" s="50" t="s">
        <v>455</v>
      </c>
      <c r="C42" s="49" t="s">
        <v>449</v>
      </c>
      <c r="D42" s="49" t="s">
        <v>449</v>
      </c>
      <c r="E42" s="49" t="s">
        <v>449</v>
      </c>
      <c r="F42" s="49" t="s">
        <v>449</v>
      </c>
      <c r="G42" s="48" t="s">
        <v>449</v>
      </c>
      <c r="H42" s="48" t="s">
        <v>449</v>
      </c>
      <c r="I42" s="48" t="s">
        <v>449</v>
      </c>
      <c r="J42" s="48" t="s">
        <v>449</v>
      </c>
      <c r="K42" s="49" t="s">
        <v>449</v>
      </c>
      <c r="L42" s="49">
        <v>-0.85399999999999998</v>
      </c>
      <c r="M42" s="49">
        <v>-0.40699999999999997</v>
      </c>
      <c r="N42" s="49">
        <v>-0.187</v>
      </c>
      <c r="O42" s="48">
        <v>0.03</v>
      </c>
      <c r="P42" s="48">
        <v>0.19900000000000001</v>
      </c>
      <c r="Q42" s="48">
        <v>0.308</v>
      </c>
      <c r="R42" s="48">
        <v>2.1999999999999999E-2</v>
      </c>
      <c r="S42" s="49">
        <v>0.223</v>
      </c>
      <c r="T42" s="49">
        <v>-0.34799999999999998</v>
      </c>
      <c r="U42" s="49">
        <v>-8.5000000000000006E-2</v>
      </c>
      <c r="V42" s="49">
        <v>-0.03</v>
      </c>
      <c r="W42" s="48">
        <v>0.14299999999999999</v>
      </c>
      <c r="X42" s="48">
        <v>-0.30599999999999999</v>
      </c>
      <c r="Y42" s="48">
        <v>-9.1999999999999998E-2</v>
      </c>
      <c r="Z42" s="48">
        <v>-1.9E-2</v>
      </c>
      <c r="AA42" s="49">
        <v>9.1999999999999998E-2</v>
      </c>
      <c r="AB42" s="49">
        <v>-8.7999999999999995E-2</v>
      </c>
      <c r="AC42" s="49">
        <v>4.3999999999999997E-2</v>
      </c>
      <c r="AD42" s="49">
        <v>0.26500000000000001</v>
      </c>
      <c r="AE42" s="48">
        <v>-0.21</v>
      </c>
      <c r="AF42" s="48">
        <v>-0.30499999999999999</v>
      </c>
      <c r="AG42" s="48">
        <v>2.8000000000000001E-2</v>
      </c>
      <c r="AH42" s="48">
        <v>7.6999999999999999E-2</v>
      </c>
      <c r="AI42" s="49">
        <v>0.505</v>
      </c>
      <c r="AJ42" s="49">
        <v>-9.7000000000000003E-2</v>
      </c>
      <c r="AK42" s="49">
        <v>-0.13800000000000001</v>
      </c>
      <c r="AL42" s="49">
        <v>-0.14499999999999999</v>
      </c>
      <c r="AM42" s="48">
        <v>0.03</v>
      </c>
      <c r="AN42" s="48">
        <v>-3.3000000000000002E-2</v>
      </c>
      <c r="AO42" s="48">
        <v>0.182</v>
      </c>
      <c r="AP42" s="48">
        <v>7.1999999999999995E-2</v>
      </c>
      <c r="AQ42" s="49">
        <v>-0.105</v>
      </c>
      <c r="AR42" s="49">
        <v>0.31</v>
      </c>
      <c r="AS42" s="49">
        <v>0.23499999999999999</v>
      </c>
      <c r="AT42" s="49">
        <v>4.4999999999999998E-2</v>
      </c>
      <c r="AU42" s="48">
        <v>0.69299999999999995</v>
      </c>
      <c r="AV42" s="48">
        <v>2.198</v>
      </c>
      <c r="AW42" s="48">
        <v>-1.0309999999999999</v>
      </c>
      <c r="AX42" s="48">
        <v>-1.284</v>
      </c>
      <c r="AY42" s="49">
        <v>1.1839999999999999</v>
      </c>
      <c r="AZ42" s="49">
        <v>1.302</v>
      </c>
      <c r="BA42" s="49">
        <v>-0.54300000000000004</v>
      </c>
      <c r="BB42" s="49">
        <v>-0.91300000000000003</v>
      </c>
      <c r="BC42" s="48">
        <v>-0.49399999999999999</v>
      </c>
      <c r="BD42" s="48">
        <v>-0.184</v>
      </c>
      <c r="BE42" s="48">
        <v>-0.109</v>
      </c>
      <c r="BF42" s="48">
        <v>-8.0000000000000002E-3</v>
      </c>
      <c r="BG42" s="49">
        <v>0.23799999999999999</v>
      </c>
      <c r="BH42" s="49">
        <v>0.184</v>
      </c>
      <c r="BI42" s="49">
        <v>0.77200000000000002</v>
      </c>
      <c r="BJ42" s="49">
        <v>2.8690000000000002</v>
      </c>
      <c r="BK42" s="48">
        <v>0.77600000000000002</v>
      </c>
    </row>
    <row r="43" spans="1:63" ht="15" thickBot="1" x14ac:dyDescent="0.35">
      <c r="A43" s="47" t="s">
        <v>454</v>
      </c>
      <c r="B43" s="46" t="s">
        <v>453</v>
      </c>
      <c r="C43" s="49" t="s">
        <v>449</v>
      </c>
      <c r="D43" s="49" t="s">
        <v>449</v>
      </c>
      <c r="E43" s="49" t="s">
        <v>449</v>
      </c>
      <c r="F43" s="49" t="s">
        <v>449</v>
      </c>
      <c r="G43" s="48" t="s">
        <v>449</v>
      </c>
      <c r="H43" s="48" t="s">
        <v>449</v>
      </c>
      <c r="I43" s="48" t="s">
        <v>449</v>
      </c>
      <c r="J43" s="48">
        <v>2E-3</v>
      </c>
      <c r="K43" s="49">
        <v>2E-3</v>
      </c>
      <c r="L43" s="49">
        <v>6.0000000000000001E-3</v>
      </c>
      <c r="M43" s="49">
        <v>5.0000000000000001E-3</v>
      </c>
      <c r="N43" s="49">
        <v>8.0000000000000002E-3</v>
      </c>
      <c r="O43" s="48">
        <v>8.9999999999999993E-3</v>
      </c>
      <c r="P43" s="48">
        <v>1.0999999999999999E-2</v>
      </c>
      <c r="Q43" s="48">
        <v>5.0000000000000001E-3</v>
      </c>
      <c r="R43" s="48">
        <v>4.2000000000000003E-2</v>
      </c>
      <c r="S43" s="49">
        <v>4.1000000000000002E-2</v>
      </c>
      <c r="T43" s="49">
        <v>3.3000000000000002E-2</v>
      </c>
      <c r="U43" s="49">
        <v>4.2000000000000003E-2</v>
      </c>
      <c r="V43" s="49">
        <v>6.2E-2</v>
      </c>
      <c r="W43" s="48">
        <v>7.0999999999999994E-2</v>
      </c>
      <c r="X43" s="48">
        <v>5.8000000000000003E-2</v>
      </c>
      <c r="Y43" s="48">
        <v>4.4999999999999998E-2</v>
      </c>
      <c r="Z43" s="48">
        <v>1.2999999999999999E-2</v>
      </c>
      <c r="AA43" s="49">
        <v>1.2E-2</v>
      </c>
      <c r="AB43" s="49">
        <v>8.9999999999999993E-3</v>
      </c>
      <c r="AC43" s="49">
        <v>1.0999999999999999E-2</v>
      </c>
      <c r="AD43" s="49">
        <v>3.9E-2</v>
      </c>
      <c r="AE43" s="48">
        <v>0</v>
      </c>
      <c r="AF43" s="48">
        <v>5.7000000000000002E-2</v>
      </c>
      <c r="AG43" s="48">
        <v>8.4000000000000005E-2</v>
      </c>
      <c r="AH43" s="48">
        <v>4.8000000000000001E-2</v>
      </c>
      <c r="AI43" s="49">
        <v>4.3999999999999997E-2</v>
      </c>
      <c r="AJ43" s="49">
        <v>4.7E-2</v>
      </c>
      <c r="AK43" s="49">
        <v>4.1000000000000002E-2</v>
      </c>
      <c r="AL43" s="49">
        <v>3.5999999999999997E-2</v>
      </c>
      <c r="AM43" s="48">
        <v>5.2999999999999999E-2</v>
      </c>
      <c r="AN43" s="48">
        <v>5.1999999999999998E-2</v>
      </c>
      <c r="AO43" s="48">
        <v>0.04</v>
      </c>
      <c r="AP43" s="48">
        <v>2.7E-2</v>
      </c>
      <c r="AQ43" s="49">
        <v>2.5999999999999999E-2</v>
      </c>
      <c r="AR43" s="49">
        <v>2.4E-2</v>
      </c>
      <c r="AS43" s="49">
        <v>1.7000000000000001E-2</v>
      </c>
      <c r="AT43" s="49">
        <v>4.0000000000000001E-3</v>
      </c>
      <c r="AU43" s="48">
        <v>4.0000000000000001E-3</v>
      </c>
      <c r="AV43" s="48">
        <v>3.0000000000000001E-3</v>
      </c>
      <c r="AW43" s="48">
        <v>3.0000000000000001E-3</v>
      </c>
      <c r="AX43" s="48">
        <v>3.0000000000000001E-3</v>
      </c>
      <c r="AY43" s="49">
        <v>3.0000000000000001E-3</v>
      </c>
      <c r="AZ43" s="49">
        <v>5.0000000000000001E-3</v>
      </c>
      <c r="BA43" s="49">
        <v>6.0000000000000001E-3</v>
      </c>
      <c r="BB43" s="49">
        <v>5.0000000000000001E-3</v>
      </c>
      <c r="BC43" s="48">
        <v>2E-3</v>
      </c>
      <c r="BD43" s="48">
        <v>2E-3</v>
      </c>
      <c r="BE43" s="48">
        <v>1E-3</v>
      </c>
      <c r="BF43" s="48">
        <v>2E-3</v>
      </c>
      <c r="BG43" s="49">
        <v>2E-3</v>
      </c>
      <c r="BH43" s="49">
        <v>2E-3</v>
      </c>
      <c r="BI43" s="49">
        <v>3.0000000000000001E-3</v>
      </c>
      <c r="BJ43" s="49">
        <v>5.0000000000000001E-3</v>
      </c>
      <c r="BK43" s="48">
        <v>4.0000000000000001E-3</v>
      </c>
    </row>
    <row r="44" spans="1:63" ht="15" thickBot="1" x14ac:dyDescent="0.35">
      <c r="A44" s="47" t="s">
        <v>452</v>
      </c>
      <c r="B44" s="46" t="s">
        <v>450</v>
      </c>
      <c r="C44" s="49" t="s">
        <v>449</v>
      </c>
      <c r="D44" s="49" t="s">
        <v>449</v>
      </c>
      <c r="E44" s="49" t="s">
        <v>449</v>
      </c>
      <c r="F44" s="49" t="s">
        <v>449</v>
      </c>
      <c r="G44" s="48" t="s">
        <v>449</v>
      </c>
      <c r="H44" s="48" t="s">
        <v>449</v>
      </c>
      <c r="I44" s="48" t="s">
        <v>449</v>
      </c>
      <c r="J44" s="48" t="s">
        <v>449</v>
      </c>
      <c r="K44" s="49">
        <v>-0.215</v>
      </c>
      <c r="L44" s="49">
        <v>-0.23200000000000001</v>
      </c>
      <c r="M44" s="49">
        <v>-0.152</v>
      </c>
      <c r="N44" s="49">
        <v>-0.111</v>
      </c>
      <c r="O44" s="48">
        <v>-0.20599999999999999</v>
      </c>
      <c r="P44" s="48">
        <v>-0.16700000000000001</v>
      </c>
      <c r="Q44" s="48">
        <v>-0.1</v>
      </c>
      <c r="R44" s="48">
        <v>-8.8999999999999996E-2</v>
      </c>
      <c r="S44" s="49">
        <v>-0.122</v>
      </c>
      <c r="T44" s="49">
        <v>-7.9000000000000001E-2</v>
      </c>
      <c r="U44" s="49">
        <v>-0.08</v>
      </c>
      <c r="V44" s="49">
        <v>-3.5000000000000003E-2</v>
      </c>
      <c r="W44" s="48">
        <v>-7.6999999999999999E-2</v>
      </c>
      <c r="X44" s="48">
        <v>-3.7999999999999999E-2</v>
      </c>
      <c r="Y44" s="48">
        <v>0.01</v>
      </c>
      <c r="Z44" s="48">
        <v>4.0000000000000001E-3</v>
      </c>
      <c r="AA44" s="49">
        <v>-6.8000000000000005E-2</v>
      </c>
      <c r="AB44" s="49">
        <v>-6.0000000000000001E-3</v>
      </c>
      <c r="AC44" s="49">
        <v>6.0000000000000001E-3</v>
      </c>
      <c r="AD44" s="49">
        <v>-0.161</v>
      </c>
      <c r="AE44" s="48">
        <v>-0.219</v>
      </c>
      <c r="AF44" s="48">
        <v>-0.22800000000000001</v>
      </c>
      <c r="AG44" s="48">
        <v>-0.23599999999999999</v>
      </c>
      <c r="AH44" s="48">
        <v>-0.154</v>
      </c>
      <c r="AI44" s="49">
        <v>-0.24099999999999999</v>
      </c>
      <c r="AJ44" s="49">
        <v>-0.113</v>
      </c>
      <c r="AK44" s="49">
        <v>-7.0999999999999994E-2</v>
      </c>
      <c r="AL44" s="49">
        <v>0.36899999999999999</v>
      </c>
      <c r="AM44" s="48">
        <v>-5.5E-2</v>
      </c>
      <c r="AN44" s="48">
        <v>-3.5000000000000003E-2</v>
      </c>
      <c r="AO44" s="48">
        <v>-2.3E-2</v>
      </c>
      <c r="AP44" s="48">
        <v>4.0000000000000001E-3</v>
      </c>
      <c r="AQ44" s="49">
        <v>1.4E-2</v>
      </c>
      <c r="AR44" s="49">
        <v>0.04</v>
      </c>
      <c r="AS44" s="49">
        <v>8.6999999999999994E-2</v>
      </c>
      <c r="AT44" s="49">
        <v>0.26200000000000001</v>
      </c>
      <c r="AU44" s="48">
        <v>0.105</v>
      </c>
      <c r="AV44" s="48">
        <v>-0.06</v>
      </c>
      <c r="AW44" s="48">
        <v>4.9000000000000002E-2</v>
      </c>
      <c r="AX44" s="48">
        <v>9.7000000000000003E-2</v>
      </c>
      <c r="AY44" s="49">
        <v>2.5000000000000001E-2</v>
      </c>
      <c r="AZ44" s="49">
        <v>2.1999999999999999E-2</v>
      </c>
      <c r="BA44" s="49">
        <v>1.2E-2</v>
      </c>
      <c r="BB44" s="49">
        <v>0.03</v>
      </c>
      <c r="BC44" s="48">
        <v>0.03</v>
      </c>
      <c r="BD44" s="48">
        <v>4.1000000000000002E-2</v>
      </c>
      <c r="BE44" s="48">
        <v>5.6000000000000001E-2</v>
      </c>
      <c r="BF44" s="48">
        <v>6.7000000000000004E-2</v>
      </c>
      <c r="BG44" s="49">
        <v>5.8000000000000003E-2</v>
      </c>
      <c r="BH44" s="49">
        <v>5.8999999999999997E-2</v>
      </c>
      <c r="BI44" s="49">
        <v>4.1000000000000002E-2</v>
      </c>
      <c r="BJ44" s="49">
        <v>7.0000000000000001E-3</v>
      </c>
      <c r="BK44" s="48">
        <v>-6.0000000000000001E-3</v>
      </c>
    </row>
    <row r="45" spans="1:63" x14ac:dyDescent="0.3">
      <c r="A45" s="47" t="s">
        <v>451</v>
      </c>
      <c r="B45" s="46" t="s">
        <v>450</v>
      </c>
      <c r="C45" s="45" t="s">
        <v>449</v>
      </c>
      <c r="D45" s="45" t="s">
        <v>449</v>
      </c>
      <c r="E45" s="45" t="s">
        <v>449</v>
      </c>
      <c r="F45" s="45" t="s">
        <v>449</v>
      </c>
      <c r="G45" s="44" t="s">
        <v>449</v>
      </c>
      <c r="H45" s="44" t="s">
        <v>449</v>
      </c>
      <c r="I45" s="44" t="s">
        <v>449</v>
      </c>
      <c r="J45" s="44" t="s">
        <v>449</v>
      </c>
      <c r="K45" s="45" t="s">
        <v>449</v>
      </c>
      <c r="L45" s="45" t="s">
        <v>449</v>
      </c>
      <c r="M45" s="45" t="s">
        <v>449</v>
      </c>
      <c r="N45" s="45" t="s">
        <v>449</v>
      </c>
      <c r="O45" s="44" t="s">
        <v>449</v>
      </c>
      <c r="P45" s="44" t="s">
        <v>449</v>
      </c>
      <c r="Q45" s="44" t="s">
        <v>449</v>
      </c>
      <c r="R45" s="44" t="s">
        <v>449</v>
      </c>
      <c r="S45" s="45" t="s">
        <v>449</v>
      </c>
      <c r="T45" s="45" t="s">
        <v>449</v>
      </c>
      <c r="U45" s="45" t="s">
        <v>449</v>
      </c>
      <c r="V45" s="45" t="s">
        <v>449</v>
      </c>
      <c r="W45" s="44" t="s">
        <v>449</v>
      </c>
      <c r="X45" s="44" t="s">
        <v>449</v>
      </c>
      <c r="Y45" s="44" t="s">
        <v>449</v>
      </c>
      <c r="Z45" s="44" t="s">
        <v>449</v>
      </c>
      <c r="AA45" s="45" t="s">
        <v>449</v>
      </c>
      <c r="AB45" s="45" t="s">
        <v>449</v>
      </c>
      <c r="AC45" s="45" t="s">
        <v>449</v>
      </c>
      <c r="AD45" s="45" t="s">
        <v>449</v>
      </c>
      <c r="AE45" s="44" t="s">
        <v>449</v>
      </c>
      <c r="AF45" s="44" t="s">
        <v>449</v>
      </c>
      <c r="AG45" s="44" t="s">
        <v>449</v>
      </c>
      <c r="AH45" s="44" t="s">
        <v>449</v>
      </c>
      <c r="AI45" s="45" t="s">
        <v>449</v>
      </c>
      <c r="AJ45" s="45" t="s">
        <v>449</v>
      </c>
      <c r="AK45" s="45" t="s">
        <v>449</v>
      </c>
      <c r="AL45" s="45" t="s">
        <v>449</v>
      </c>
      <c r="AM45" s="44" t="s">
        <v>449</v>
      </c>
      <c r="AN45" s="44" t="s">
        <v>449</v>
      </c>
      <c r="AO45" s="44" t="s">
        <v>449</v>
      </c>
      <c r="AP45" s="44" t="s">
        <v>449</v>
      </c>
      <c r="AQ45" s="45" t="s">
        <v>449</v>
      </c>
      <c r="AR45" s="45" t="s">
        <v>449</v>
      </c>
      <c r="AS45" s="45" t="s">
        <v>449</v>
      </c>
      <c r="AT45" s="45" t="s">
        <v>449</v>
      </c>
      <c r="AU45" s="44" t="s">
        <v>449</v>
      </c>
      <c r="AV45" s="44" t="s">
        <v>449</v>
      </c>
      <c r="AW45" s="44" t="s">
        <v>449</v>
      </c>
      <c r="AX45" s="44" t="s">
        <v>449</v>
      </c>
      <c r="AY45" s="45" t="s">
        <v>449</v>
      </c>
      <c r="AZ45" s="45" t="s">
        <v>449</v>
      </c>
      <c r="BA45" s="45" t="s">
        <v>449</v>
      </c>
      <c r="BB45" s="45" t="s">
        <v>449</v>
      </c>
      <c r="BC45" s="44" t="s">
        <v>449</v>
      </c>
      <c r="BD45" s="44" t="s">
        <v>449</v>
      </c>
      <c r="BE45" s="44" t="s">
        <v>449</v>
      </c>
      <c r="BF45" s="44" t="s">
        <v>449</v>
      </c>
      <c r="BG45" s="45" t="s">
        <v>449</v>
      </c>
      <c r="BH45" s="45" t="s">
        <v>449</v>
      </c>
      <c r="BI45" s="45" t="s">
        <v>449</v>
      </c>
      <c r="BJ45" s="45" t="s">
        <v>449</v>
      </c>
      <c r="BK45" s="44" t="s">
        <v>449</v>
      </c>
    </row>
  </sheetData>
  <mergeCells count="15">
    <mergeCell ref="C5:F5"/>
    <mergeCell ref="G5:J5"/>
    <mergeCell ref="K5:N5"/>
    <mergeCell ref="O5:R5"/>
    <mergeCell ref="S5:V5"/>
    <mergeCell ref="W5:Z5"/>
    <mergeCell ref="AY5:BB5"/>
    <mergeCell ref="BC5:BF5"/>
    <mergeCell ref="BG5:BJ5"/>
    <mergeCell ref="AA5:AD5"/>
    <mergeCell ref="AE5:AH5"/>
    <mergeCell ref="AI5:AL5"/>
    <mergeCell ref="AM5:AP5"/>
    <mergeCell ref="AQ5:AT5"/>
    <mergeCell ref="AU5:AX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48A7D-1F18-40E6-8694-2463AE7719E2}">
  <dimension ref="A1:T44"/>
  <sheetViews>
    <sheetView showGridLines="0" tabSelected="1" workbookViewId="0">
      <selection activeCell="B8" sqref="B8"/>
    </sheetView>
  </sheetViews>
  <sheetFormatPr defaultRowHeight="14.4" x14ac:dyDescent="0.3"/>
  <cols>
    <col min="1" max="1" width="24" bestFit="1" customWidth="1"/>
    <col min="2" max="2" width="13.6640625" bestFit="1" customWidth="1"/>
    <col min="3" max="4" width="5" bestFit="1" customWidth="1"/>
    <col min="5" max="5" width="8" bestFit="1" customWidth="1"/>
    <col min="6" max="7" width="7" bestFit="1" customWidth="1"/>
    <col min="8" max="8" width="8" bestFit="1" customWidth="1"/>
    <col min="9" max="15" width="11.44140625" bestFit="1" customWidth="1"/>
    <col min="16" max="17" width="12.88671875" bestFit="1" customWidth="1"/>
    <col min="18" max="20" width="11.44140625" bestFit="1" customWidth="1"/>
  </cols>
  <sheetData>
    <row r="1" spans="1:20" x14ac:dyDescent="0.3">
      <c r="A1" s="39" t="s">
        <v>599</v>
      </c>
    </row>
    <row r="3" spans="1:20" x14ac:dyDescent="0.3">
      <c r="A3" s="38" t="s">
        <v>598</v>
      </c>
    </row>
    <row r="4" spans="1:20" ht="15" thickBot="1" x14ac:dyDescent="0.35">
      <c r="A4" s="38" t="s">
        <v>626</v>
      </c>
    </row>
    <row r="5" spans="1:20" ht="15" thickBot="1" x14ac:dyDescent="0.35">
      <c r="A5" s="42"/>
      <c r="B5" s="42" t="s">
        <v>580</v>
      </c>
      <c r="C5" s="59">
        <v>2006</v>
      </c>
      <c r="D5" s="59">
        <v>2007</v>
      </c>
      <c r="E5" s="59">
        <v>2008</v>
      </c>
      <c r="F5" s="59">
        <v>2009</v>
      </c>
      <c r="G5" s="59">
        <v>2010</v>
      </c>
      <c r="H5" s="59">
        <v>2011</v>
      </c>
      <c r="I5" s="59">
        <v>2012</v>
      </c>
      <c r="J5" s="59">
        <v>2013</v>
      </c>
      <c r="K5" s="59">
        <v>2014</v>
      </c>
      <c r="L5" s="59">
        <v>2015</v>
      </c>
      <c r="M5" s="59">
        <v>2016</v>
      </c>
      <c r="N5" s="59">
        <v>2017</v>
      </c>
      <c r="O5" s="59">
        <v>2018</v>
      </c>
      <c r="P5" s="59">
        <v>2019</v>
      </c>
      <c r="Q5" s="59">
        <v>2020</v>
      </c>
      <c r="R5" s="59">
        <v>2021</v>
      </c>
      <c r="S5" s="59">
        <v>2022</v>
      </c>
      <c r="T5" s="59">
        <v>2023</v>
      </c>
    </row>
    <row r="6" spans="1:20" ht="11.4" customHeight="1" thickBot="1" x14ac:dyDescent="0.35">
      <c r="A6" s="29" t="s">
        <v>334</v>
      </c>
      <c r="B6" s="23">
        <v>51</v>
      </c>
      <c r="C6" s="28" t="s">
        <v>518</v>
      </c>
      <c r="D6" s="28" t="s">
        <v>518</v>
      </c>
      <c r="E6" s="28" t="s">
        <v>518</v>
      </c>
      <c r="F6" s="28" t="s">
        <v>518</v>
      </c>
      <c r="G6" s="28" t="s">
        <v>518</v>
      </c>
      <c r="H6" s="23">
        <v>47</v>
      </c>
      <c r="I6" s="27">
        <v>1</v>
      </c>
      <c r="J6" s="23">
        <v>46</v>
      </c>
      <c r="K6" s="25">
        <v>92</v>
      </c>
      <c r="L6" s="27">
        <v>1</v>
      </c>
      <c r="M6" s="26">
        <v>13</v>
      </c>
      <c r="N6" s="26">
        <v>30</v>
      </c>
      <c r="O6" s="25">
        <v>93</v>
      </c>
      <c r="P6" s="25">
        <v>100</v>
      </c>
      <c r="Q6" s="25">
        <v>94</v>
      </c>
      <c r="R6" s="25">
        <v>91</v>
      </c>
      <c r="S6" s="25">
        <v>100</v>
      </c>
      <c r="T6" s="24">
        <v>81</v>
      </c>
    </row>
    <row r="7" spans="1:20" ht="15" thickBot="1" x14ac:dyDescent="0.35">
      <c r="A7" s="56" t="s">
        <v>517</v>
      </c>
      <c r="B7" s="16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</row>
    <row r="8" spans="1:20" ht="15" thickBot="1" x14ac:dyDescent="0.35">
      <c r="A8" s="47" t="s">
        <v>516</v>
      </c>
      <c r="B8" s="46" t="s">
        <v>625</v>
      </c>
      <c r="C8" s="49" t="s">
        <v>449</v>
      </c>
      <c r="D8" s="49" t="s">
        <v>449</v>
      </c>
      <c r="E8" s="49">
        <v>-3.4809999999999999</v>
      </c>
      <c r="F8" s="49">
        <v>-0.15</v>
      </c>
      <c r="G8" s="49">
        <v>0.105</v>
      </c>
      <c r="H8" s="49">
        <v>0.19400000000000001</v>
      </c>
      <c r="I8" s="49">
        <v>0.255</v>
      </c>
      <c r="J8" s="49">
        <v>0.28999999999999998</v>
      </c>
      <c r="K8" s="49">
        <v>0.32900000000000001</v>
      </c>
      <c r="L8" s="49">
        <v>0.30299999999999999</v>
      </c>
      <c r="M8" s="49">
        <v>0.18</v>
      </c>
      <c r="N8" s="49">
        <v>0.19600000000000001</v>
      </c>
      <c r="O8" s="49">
        <v>0.29899999999999999</v>
      </c>
      <c r="P8" s="49">
        <v>0.35399999999999998</v>
      </c>
      <c r="Q8" s="49">
        <v>0.44700000000000001</v>
      </c>
      <c r="R8" s="49">
        <v>0.40100000000000002</v>
      </c>
      <c r="S8" s="49">
        <v>0.41799999999999998</v>
      </c>
      <c r="T8" s="49">
        <v>0.46200000000000002</v>
      </c>
    </row>
    <row r="9" spans="1:20" ht="15" thickBot="1" x14ac:dyDescent="0.35">
      <c r="A9" s="47" t="s">
        <v>514</v>
      </c>
      <c r="B9" s="46" t="s">
        <v>624</v>
      </c>
      <c r="C9" s="49" t="s">
        <v>449</v>
      </c>
      <c r="D9" s="49" t="s">
        <v>449</v>
      </c>
      <c r="E9" s="49">
        <v>-8.6120000000000001</v>
      </c>
      <c r="F9" s="49">
        <v>-0.78700000000000003</v>
      </c>
      <c r="G9" s="49">
        <v>-0.311</v>
      </c>
      <c r="H9" s="49">
        <v>-0.17199999999999999</v>
      </c>
      <c r="I9" s="49">
        <v>-0.11799999999999999</v>
      </c>
      <c r="J9" s="49">
        <v>-6.5000000000000002E-2</v>
      </c>
      <c r="K9" s="49">
        <v>1.0999999999999999E-2</v>
      </c>
      <c r="L9" s="49">
        <v>-2.5000000000000001E-2</v>
      </c>
      <c r="M9" s="49">
        <v>-0.15</v>
      </c>
      <c r="N9" s="49">
        <v>-4.7E-2</v>
      </c>
      <c r="O9" s="49">
        <v>4.9000000000000002E-2</v>
      </c>
      <c r="P9" s="49">
        <v>0.191</v>
      </c>
      <c r="Q9" s="49">
        <v>0.26400000000000001</v>
      </c>
      <c r="R9" s="49">
        <v>0.183</v>
      </c>
      <c r="S9" s="49">
        <v>0.22</v>
      </c>
      <c r="T9" s="49">
        <v>0.23400000000000001</v>
      </c>
    </row>
    <row r="10" spans="1:20" ht="15" thickBot="1" x14ac:dyDescent="0.35">
      <c r="A10" s="47" t="s">
        <v>512</v>
      </c>
      <c r="B10" s="46" t="s">
        <v>623</v>
      </c>
      <c r="C10" s="49" t="s">
        <v>449</v>
      </c>
      <c r="D10" s="49" t="s">
        <v>449</v>
      </c>
      <c r="E10" s="49">
        <v>-8.8109999999999999</v>
      </c>
      <c r="F10" s="49">
        <v>-0.82699999999999996</v>
      </c>
      <c r="G10" s="49">
        <v>-0.33600000000000002</v>
      </c>
      <c r="H10" s="49">
        <v>-0.192</v>
      </c>
      <c r="I10" s="49">
        <v>-0.14399999999999999</v>
      </c>
      <c r="J10" s="49">
        <v>-9.5000000000000001E-2</v>
      </c>
      <c r="K10" s="49">
        <v>-1.2999999999999999E-2</v>
      </c>
      <c r="L10" s="49">
        <v>-5.3999999999999999E-2</v>
      </c>
      <c r="M10" s="49">
        <v>-0.19400000000000001</v>
      </c>
      <c r="N10" s="49">
        <v>-0.13800000000000001</v>
      </c>
      <c r="O10" s="49">
        <v>5.0000000000000001E-3</v>
      </c>
      <c r="P10" s="49">
        <v>0.16500000000000001</v>
      </c>
      <c r="Q10" s="49">
        <v>0.24099999999999999</v>
      </c>
      <c r="R10" s="49">
        <v>0.115</v>
      </c>
      <c r="S10" s="49">
        <v>0.192</v>
      </c>
      <c r="T10" s="49">
        <v>0.19500000000000001</v>
      </c>
    </row>
    <row r="11" spans="1:20" ht="15" thickBot="1" x14ac:dyDescent="0.35">
      <c r="A11" s="47" t="s">
        <v>510</v>
      </c>
      <c r="B11" s="46" t="s">
        <v>619</v>
      </c>
      <c r="C11" s="49" t="s">
        <v>449</v>
      </c>
      <c r="D11" s="49" t="s">
        <v>449</v>
      </c>
      <c r="E11" s="49">
        <v>-8.6940000000000008</v>
      </c>
      <c r="F11" s="49">
        <v>-0.83799999999999997</v>
      </c>
      <c r="G11" s="49">
        <v>-0.35299999999999998</v>
      </c>
      <c r="H11" s="49">
        <v>-0.216</v>
      </c>
      <c r="I11" s="49">
        <v>-0.17299999999999999</v>
      </c>
      <c r="J11" s="49">
        <v>-0.108</v>
      </c>
      <c r="K11" s="49">
        <v>-2.1000000000000001E-2</v>
      </c>
      <c r="L11" s="49">
        <v>-5.8000000000000003E-2</v>
      </c>
      <c r="M11" s="49">
        <v>-0.20499999999999999</v>
      </c>
      <c r="N11" s="49">
        <v>-0.158</v>
      </c>
      <c r="O11" s="49">
        <v>-3.2000000000000001E-2</v>
      </c>
      <c r="P11" s="49">
        <v>0.14399999999999999</v>
      </c>
      <c r="Q11" s="49">
        <v>0.154</v>
      </c>
      <c r="R11" s="49">
        <v>8.6999999999999994E-2</v>
      </c>
      <c r="S11" s="49">
        <v>0.19400000000000001</v>
      </c>
      <c r="T11" s="49">
        <v>0.224</v>
      </c>
    </row>
    <row r="12" spans="1:20" ht="15" thickBot="1" x14ac:dyDescent="0.35">
      <c r="A12" s="47" t="s">
        <v>509</v>
      </c>
      <c r="B12" s="46" t="s">
        <v>622</v>
      </c>
      <c r="C12" s="49" t="s">
        <v>449</v>
      </c>
      <c r="D12" s="49" t="s">
        <v>449</v>
      </c>
      <c r="E12" s="49" t="s">
        <v>449</v>
      </c>
      <c r="F12" s="49" t="s">
        <v>449</v>
      </c>
      <c r="G12" s="49" t="s">
        <v>449</v>
      </c>
      <c r="H12" s="49" t="s">
        <v>449</v>
      </c>
      <c r="I12" s="49" t="s">
        <v>449</v>
      </c>
      <c r="J12" s="49" t="s">
        <v>449</v>
      </c>
      <c r="K12" s="49" t="s">
        <v>449</v>
      </c>
      <c r="L12" s="49" t="s">
        <v>449</v>
      </c>
      <c r="M12" s="49" t="s">
        <v>449</v>
      </c>
      <c r="N12" s="49" t="s">
        <v>449</v>
      </c>
      <c r="O12" s="49" t="s">
        <v>449</v>
      </c>
      <c r="P12" s="49">
        <v>-0.78800000000000003</v>
      </c>
      <c r="Q12" s="49">
        <v>-0.122</v>
      </c>
      <c r="R12" s="49">
        <v>-0.20300000000000001</v>
      </c>
      <c r="S12" s="49">
        <v>0.121</v>
      </c>
      <c r="T12" s="49">
        <v>0.14499999999999999</v>
      </c>
    </row>
    <row r="13" spans="1:20" ht="15" thickBot="1" x14ac:dyDescent="0.35">
      <c r="A13" s="47" t="s">
        <v>507</v>
      </c>
      <c r="B13" s="46" t="s">
        <v>621</v>
      </c>
      <c r="C13" s="49" t="s">
        <v>449</v>
      </c>
      <c r="D13" s="49" t="s">
        <v>449</v>
      </c>
      <c r="E13" s="49">
        <v>-8.6940000000000008</v>
      </c>
      <c r="F13" s="49">
        <v>-0.83799999999999997</v>
      </c>
      <c r="G13" s="49">
        <v>-0.35299999999999998</v>
      </c>
      <c r="H13" s="49">
        <v>-0.216</v>
      </c>
      <c r="I13" s="49">
        <v>-0.17599999999999999</v>
      </c>
      <c r="J13" s="49">
        <v>-0.111</v>
      </c>
      <c r="K13" s="49">
        <v>-2.3E-2</v>
      </c>
      <c r="L13" s="49">
        <v>-6.2E-2</v>
      </c>
      <c r="M13" s="49">
        <v>-0.20899999999999999</v>
      </c>
      <c r="N13" s="49">
        <v>-3.9E-2</v>
      </c>
      <c r="O13" s="49">
        <v>-3.6999999999999998E-2</v>
      </c>
      <c r="P13" s="49">
        <v>0.25800000000000001</v>
      </c>
      <c r="Q13" s="49">
        <v>0.17299999999999999</v>
      </c>
      <c r="R13" s="49">
        <v>0.105</v>
      </c>
      <c r="S13" s="49">
        <v>0.17</v>
      </c>
      <c r="T13" s="49">
        <v>0.192</v>
      </c>
    </row>
    <row r="14" spans="1:20" ht="15" thickBot="1" x14ac:dyDescent="0.35">
      <c r="A14" s="56" t="s">
        <v>505</v>
      </c>
      <c r="B14" s="16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</row>
    <row r="15" spans="1:20" ht="15" thickBot="1" x14ac:dyDescent="0.35">
      <c r="A15" s="47" t="s">
        <v>504</v>
      </c>
      <c r="B15" s="46" t="s">
        <v>620</v>
      </c>
      <c r="C15" s="52" t="s">
        <v>449</v>
      </c>
      <c r="D15" s="52" t="s">
        <v>449</v>
      </c>
      <c r="E15" s="52" t="s">
        <v>449</v>
      </c>
      <c r="F15" s="52" t="s">
        <v>449</v>
      </c>
      <c r="G15" s="52">
        <v>1.53</v>
      </c>
      <c r="H15" s="52">
        <v>1.8</v>
      </c>
      <c r="I15" s="52">
        <v>1.9</v>
      </c>
      <c r="J15" s="52">
        <v>1.95</v>
      </c>
      <c r="K15" s="52">
        <v>2.56</v>
      </c>
      <c r="L15" s="52">
        <v>2.25</v>
      </c>
      <c r="M15" s="52">
        <v>1.96</v>
      </c>
      <c r="N15" s="52">
        <v>1.72</v>
      </c>
      <c r="O15" s="52">
        <v>1.24</v>
      </c>
      <c r="P15" s="52">
        <v>1.19</v>
      </c>
      <c r="Q15" s="52">
        <v>0.81</v>
      </c>
      <c r="R15" s="52">
        <v>0.84</v>
      </c>
      <c r="S15" s="52">
        <v>0.9</v>
      </c>
      <c r="T15" s="52">
        <v>0.71</v>
      </c>
    </row>
    <row r="16" spans="1:20" ht="15" thickBot="1" x14ac:dyDescent="0.35">
      <c r="A16" s="47" t="s">
        <v>502</v>
      </c>
      <c r="B16" s="46" t="s">
        <v>619</v>
      </c>
      <c r="C16" s="49" t="s">
        <v>449</v>
      </c>
      <c r="D16" s="49" t="s">
        <v>449</v>
      </c>
      <c r="E16" s="49">
        <v>-8.6940000000000008</v>
      </c>
      <c r="F16" s="49">
        <v>-0.83799999999999997</v>
      </c>
      <c r="G16" s="49">
        <v>-0.35299999999999998</v>
      </c>
      <c r="H16" s="49">
        <v>-0.216</v>
      </c>
      <c r="I16" s="49">
        <v>-0.17299999999999999</v>
      </c>
      <c r="J16" s="49">
        <v>-0.108</v>
      </c>
      <c r="K16" s="49">
        <v>-2.1000000000000001E-2</v>
      </c>
      <c r="L16" s="49">
        <v>-5.8000000000000003E-2</v>
      </c>
      <c r="M16" s="49">
        <v>-0.20499999999999999</v>
      </c>
      <c r="N16" s="49">
        <v>-0.158</v>
      </c>
      <c r="O16" s="49">
        <v>-3.2000000000000001E-2</v>
      </c>
      <c r="P16" s="49">
        <v>0.14399999999999999</v>
      </c>
      <c r="Q16" s="49">
        <v>0.154</v>
      </c>
      <c r="R16" s="49">
        <v>8.6999999999999994E-2</v>
      </c>
      <c r="S16" s="49">
        <v>0.19400000000000001</v>
      </c>
      <c r="T16" s="49">
        <v>0.224</v>
      </c>
    </row>
    <row r="17" spans="1:20" ht="15" thickBot="1" x14ac:dyDescent="0.35">
      <c r="A17" s="47" t="s">
        <v>500</v>
      </c>
      <c r="B17" s="46" t="s">
        <v>618</v>
      </c>
      <c r="C17" s="49" t="s">
        <v>449</v>
      </c>
      <c r="D17" s="49" t="s">
        <v>449</v>
      </c>
      <c r="E17" s="49" t="s">
        <v>449</v>
      </c>
      <c r="F17" s="49" t="s">
        <v>449</v>
      </c>
      <c r="G17" s="49">
        <v>-0.54100000000000004</v>
      </c>
      <c r="H17" s="49">
        <v>-0.39</v>
      </c>
      <c r="I17" s="49">
        <v>-0.32900000000000001</v>
      </c>
      <c r="J17" s="49">
        <v>-0.21</v>
      </c>
      <c r="K17" s="49">
        <v>-5.3999999999999999E-2</v>
      </c>
      <c r="L17" s="49">
        <v>-0.13</v>
      </c>
      <c r="M17" s="49">
        <v>-0.40100000000000002</v>
      </c>
      <c r="N17" s="49">
        <v>-0.27300000000000002</v>
      </c>
      <c r="O17" s="49">
        <v>-0.04</v>
      </c>
      <c r="P17" s="49">
        <v>0.17100000000000001</v>
      </c>
      <c r="Q17" s="49">
        <v>0.125</v>
      </c>
      <c r="R17" s="49">
        <v>7.3999999999999996E-2</v>
      </c>
      <c r="S17" s="49">
        <v>0.17499999999999999</v>
      </c>
      <c r="T17" s="49">
        <v>0.159</v>
      </c>
    </row>
    <row r="18" spans="1:20" ht="15" thickBot="1" x14ac:dyDescent="0.35">
      <c r="A18" s="47" t="s">
        <v>498</v>
      </c>
      <c r="B18" s="46" t="s">
        <v>610</v>
      </c>
      <c r="C18" s="52" t="s">
        <v>449</v>
      </c>
      <c r="D18" s="52" t="s">
        <v>449</v>
      </c>
      <c r="E18" s="52" t="s">
        <v>449</v>
      </c>
      <c r="F18" s="52" t="s">
        <v>449</v>
      </c>
      <c r="G18" s="52" t="s">
        <v>449</v>
      </c>
      <c r="H18" s="52" t="s">
        <v>449</v>
      </c>
      <c r="I18" s="52">
        <v>2.16</v>
      </c>
      <c r="J18" s="52">
        <v>2.9</v>
      </c>
      <c r="K18" s="52">
        <v>3.24</v>
      </c>
      <c r="L18" s="52">
        <v>3.99</v>
      </c>
      <c r="M18" s="52">
        <v>125.83</v>
      </c>
      <c r="N18" s="52" t="s">
        <v>449</v>
      </c>
      <c r="O18" s="52">
        <v>43.72</v>
      </c>
      <c r="P18" s="52">
        <v>2.62</v>
      </c>
      <c r="Q18" s="52">
        <v>2.48</v>
      </c>
      <c r="R18" s="52">
        <v>4.83</v>
      </c>
      <c r="S18" s="52">
        <v>3.74</v>
      </c>
      <c r="T18" s="52">
        <v>3.44</v>
      </c>
    </row>
    <row r="19" spans="1:20" ht="15" thickBot="1" x14ac:dyDescent="0.35">
      <c r="A19" s="47" t="s">
        <v>497</v>
      </c>
      <c r="B19" s="46" t="s">
        <v>617</v>
      </c>
      <c r="C19" s="49" t="s">
        <v>449</v>
      </c>
      <c r="D19" s="49" t="s">
        <v>449</v>
      </c>
      <c r="E19" s="49" t="s">
        <v>449</v>
      </c>
      <c r="F19" s="49" t="s">
        <v>449</v>
      </c>
      <c r="G19" s="49">
        <v>-0.83599999999999997</v>
      </c>
      <c r="H19" s="49">
        <v>-1.2310000000000001</v>
      </c>
      <c r="I19" s="49">
        <v>-1.0640000000000001</v>
      </c>
      <c r="J19" s="49">
        <v>-0.51700000000000002</v>
      </c>
      <c r="K19" s="49">
        <v>-0.16700000000000001</v>
      </c>
      <c r="L19" s="49">
        <v>-0.46800000000000003</v>
      </c>
      <c r="M19" s="49">
        <v>-3.0870000000000002</v>
      </c>
      <c r="N19" s="49" t="s">
        <v>449</v>
      </c>
      <c r="O19" s="49" t="s">
        <v>449</v>
      </c>
      <c r="P19" s="49">
        <v>0.64400000000000002</v>
      </c>
      <c r="Q19" s="49">
        <v>0.316</v>
      </c>
      <c r="R19" s="49">
        <v>0.26500000000000001</v>
      </c>
      <c r="S19" s="49">
        <v>0.72</v>
      </c>
      <c r="T19" s="49">
        <v>0.56699999999999995</v>
      </c>
    </row>
    <row r="20" spans="1:20" ht="15" thickBot="1" x14ac:dyDescent="0.35">
      <c r="A20" s="47" t="s">
        <v>495</v>
      </c>
      <c r="B20" s="46" t="s">
        <v>494</v>
      </c>
      <c r="C20" s="52" t="s">
        <v>449</v>
      </c>
      <c r="D20" s="52" t="s">
        <v>449</v>
      </c>
      <c r="E20" s="52" t="s">
        <v>449</v>
      </c>
      <c r="F20" s="52" t="s">
        <v>449</v>
      </c>
      <c r="G20" s="52" t="s">
        <v>449</v>
      </c>
      <c r="H20" s="52" t="s">
        <v>449</v>
      </c>
      <c r="I20" s="52" t="s">
        <v>449</v>
      </c>
      <c r="J20" s="52" t="s">
        <v>449</v>
      </c>
      <c r="K20" s="52" t="s">
        <v>449</v>
      </c>
      <c r="L20" s="52" t="s">
        <v>449</v>
      </c>
      <c r="M20" s="52" t="s">
        <v>449</v>
      </c>
      <c r="N20" s="52" t="s">
        <v>449</v>
      </c>
      <c r="O20" s="52" t="s">
        <v>449</v>
      </c>
      <c r="P20" s="52">
        <v>1.79</v>
      </c>
      <c r="Q20" s="52">
        <v>1.1200000000000001</v>
      </c>
      <c r="R20" s="52">
        <v>1.2</v>
      </c>
      <c r="S20" s="52">
        <v>0.88</v>
      </c>
      <c r="T20" s="52">
        <v>0.86</v>
      </c>
    </row>
    <row r="21" spans="1:20" ht="15" thickBot="1" x14ac:dyDescent="0.35">
      <c r="A21" s="47" t="s">
        <v>493</v>
      </c>
      <c r="B21" s="46" t="s">
        <v>616</v>
      </c>
      <c r="C21" s="49" t="s">
        <v>449</v>
      </c>
      <c r="D21" s="49" t="s">
        <v>449</v>
      </c>
      <c r="E21" s="49" t="s">
        <v>449</v>
      </c>
      <c r="F21" s="49" t="s">
        <v>449</v>
      </c>
      <c r="G21" s="49">
        <v>-0.83599999999999997</v>
      </c>
      <c r="H21" s="49">
        <v>-1.2310000000000001</v>
      </c>
      <c r="I21" s="49">
        <v>-1.0820000000000001</v>
      </c>
      <c r="J21" s="49">
        <v>-0.53500000000000003</v>
      </c>
      <c r="K21" s="49">
        <v>-0.185</v>
      </c>
      <c r="L21" s="49">
        <v>-0.5</v>
      </c>
      <c r="M21" s="49">
        <v>-3.1560000000000001</v>
      </c>
      <c r="N21" s="49" t="s">
        <v>449</v>
      </c>
      <c r="O21" s="49" t="s">
        <v>449</v>
      </c>
      <c r="P21" s="49">
        <v>1.151</v>
      </c>
      <c r="Q21" s="49">
        <v>0.35399999999999998</v>
      </c>
      <c r="R21" s="49">
        <v>0.318</v>
      </c>
      <c r="S21" s="49">
        <v>0.63300000000000001</v>
      </c>
      <c r="T21" s="49">
        <v>0.48499999999999999</v>
      </c>
    </row>
    <row r="22" spans="1:20" ht="15" thickBot="1" x14ac:dyDescent="0.35">
      <c r="A22" s="47" t="s">
        <v>491</v>
      </c>
      <c r="B22" s="46" t="s">
        <v>490</v>
      </c>
      <c r="C22" s="52" t="s">
        <v>449</v>
      </c>
      <c r="D22" s="52" t="s">
        <v>449</v>
      </c>
      <c r="E22" s="52" t="s">
        <v>449</v>
      </c>
      <c r="F22" s="52" t="s">
        <v>449</v>
      </c>
      <c r="G22" s="52" t="s">
        <v>449</v>
      </c>
      <c r="H22" s="52" t="s">
        <v>449</v>
      </c>
      <c r="I22" s="52" t="s">
        <v>449</v>
      </c>
      <c r="J22" s="52" t="s">
        <v>449</v>
      </c>
      <c r="K22" s="52" t="s">
        <v>449</v>
      </c>
      <c r="L22" s="52" t="s">
        <v>449</v>
      </c>
      <c r="M22" s="52" t="s">
        <v>449</v>
      </c>
      <c r="N22" s="52" t="s">
        <v>449</v>
      </c>
      <c r="O22" s="52" t="s">
        <v>449</v>
      </c>
      <c r="P22" s="52">
        <v>1</v>
      </c>
      <c r="Q22" s="52">
        <v>1</v>
      </c>
      <c r="R22" s="52">
        <v>1</v>
      </c>
      <c r="S22" s="52">
        <v>1</v>
      </c>
      <c r="T22" s="52">
        <v>1</v>
      </c>
    </row>
    <row r="23" spans="1:20" ht="15" thickBot="1" x14ac:dyDescent="0.35">
      <c r="A23" s="47" t="s">
        <v>489</v>
      </c>
      <c r="B23" s="46" t="s">
        <v>615</v>
      </c>
      <c r="C23" s="49" t="s">
        <v>449</v>
      </c>
      <c r="D23" s="49" t="s">
        <v>449</v>
      </c>
      <c r="E23" s="49" t="s">
        <v>449</v>
      </c>
      <c r="F23" s="49" t="s">
        <v>449</v>
      </c>
      <c r="G23" s="49" t="s">
        <v>449</v>
      </c>
      <c r="H23" s="49" t="s">
        <v>449</v>
      </c>
      <c r="I23" s="49" t="s">
        <v>449</v>
      </c>
      <c r="J23" s="49">
        <v>-0.53500000000000003</v>
      </c>
      <c r="K23" s="49">
        <v>-0.185</v>
      </c>
      <c r="L23" s="49">
        <v>-0.5</v>
      </c>
      <c r="M23" s="49">
        <v>-3.1560000000000001</v>
      </c>
      <c r="N23" s="49" t="s">
        <v>449</v>
      </c>
      <c r="O23" s="49" t="s">
        <v>449</v>
      </c>
      <c r="P23" s="49">
        <v>1.151</v>
      </c>
      <c r="Q23" s="49">
        <v>0.35399999999999998</v>
      </c>
      <c r="R23" s="49">
        <v>0.318</v>
      </c>
      <c r="S23" s="49">
        <v>0.63300000000000001</v>
      </c>
      <c r="T23" s="49">
        <v>0.48499999999999999</v>
      </c>
    </row>
    <row r="24" spans="1:20" ht="15" thickBot="1" x14ac:dyDescent="0.35">
      <c r="A24" s="56" t="s">
        <v>487</v>
      </c>
      <c r="B24" s="16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  <row r="25" spans="1:20" ht="15" thickBot="1" x14ac:dyDescent="0.35">
      <c r="A25" s="47" t="s">
        <v>486</v>
      </c>
      <c r="B25" s="46" t="s">
        <v>614</v>
      </c>
      <c r="C25" s="52" t="s">
        <v>449</v>
      </c>
      <c r="D25" s="52" t="s">
        <v>449</v>
      </c>
      <c r="E25" s="52" t="s">
        <v>449</v>
      </c>
      <c r="F25" s="52">
        <v>2.68</v>
      </c>
      <c r="G25" s="52">
        <v>3.67</v>
      </c>
      <c r="H25" s="52">
        <v>1.35</v>
      </c>
      <c r="I25" s="52">
        <v>2.2200000000000002</v>
      </c>
      <c r="J25" s="52">
        <v>2.2200000000000002</v>
      </c>
      <c r="K25" s="52">
        <v>1.59</v>
      </c>
      <c r="L25" s="52">
        <v>1.1100000000000001</v>
      </c>
      <c r="M25" s="52">
        <v>1.04</v>
      </c>
      <c r="N25" s="52">
        <v>1.1399999999999999</v>
      </c>
      <c r="O25" s="52">
        <v>1.4</v>
      </c>
      <c r="P25" s="52">
        <v>2.35</v>
      </c>
      <c r="Q25" s="52">
        <v>1.67</v>
      </c>
      <c r="R25" s="52">
        <v>3.16</v>
      </c>
      <c r="S25" s="52">
        <v>3.31</v>
      </c>
      <c r="T25" s="52">
        <v>4.1900000000000004</v>
      </c>
    </row>
    <row r="26" spans="1:20" ht="15" thickBot="1" x14ac:dyDescent="0.35">
      <c r="A26" s="47" t="s">
        <v>484</v>
      </c>
      <c r="B26" s="46" t="s">
        <v>613</v>
      </c>
      <c r="C26" s="52" t="s">
        <v>449</v>
      </c>
      <c r="D26" s="52" t="s">
        <v>449</v>
      </c>
      <c r="E26" s="52" t="s">
        <v>449</v>
      </c>
      <c r="F26" s="52">
        <v>2.94</v>
      </c>
      <c r="G26" s="52">
        <v>4.01</v>
      </c>
      <c r="H26" s="52">
        <v>1.56</v>
      </c>
      <c r="I26" s="52">
        <v>2.81</v>
      </c>
      <c r="J26" s="52">
        <v>2.71</v>
      </c>
      <c r="K26" s="52">
        <v>1.96</v>
      </c>
      <c r="L26" s="52">
        <v>1.67</v>
      </c>
      <c r="M26" s="52">
        <v>1.42</v>
      </c>
      <c r="N26" s="52">
        <v>1.42</v>
      </c>
      <c r="O26" s="52">
        <v>1.51</v>
      </c>
      <c r="P26" s="52">
        <v>2.5099999999999998</v>
      </c>
      <c r="Q26" s="52">
        <v>1.75</v>
      </c>
      <c r="R26" s="52">
        <v>3.33</v>
      </c>
      <c r="S26" s="52">
        <v>3.55</v>
      </c>
      <c r="T26" s="52">
        <v>4.59</v>
      </c>
    </row>
    <row r="27" spans="1:20" ht="15" thickBot="1" x14ac:dyDescent="0.35">
      <c r="A27" s="47" t="s">
        <v>482</v>
      </c>
      <c r="B27" s="46" t="s">
        <v>612</v>
      </c>
      <c r="C27" s="54" t="s">
        <v>449</v>
      </c>
      <c r="D27" s="54" t="s">
        <v>449</v>
      </c>
      <c r="E27" s="54">
        <v>-1633</v>
      </c>
      <c r="F27" s="54">
        <v>-46.9</v>
      </c>
      <c r="G27" s="54">
        <v>-22.7</v>
      </c>
      <c r="H27" s="54">
        <v>-9.6</v>
      </c>
      <c r="I27" s="54">
        <v>-4.8</v>
      </c>
      <c r="J27" s="54">
        <v>-10.8</v>
      </c>
      <c r="K27" s="54">
        <v>-2.4</v>
      </c>
      <c r="L27" s="54">
        <v>-38.5</v>
      </c>
      <c r="M27" s="54">
        <v>-21.2</v>
      </c>
      <c r="N27" s="54">
        <v>-2.8</v>
      </c>
      <c r="O27" s="54">
        <v>0.5</v>
      </c>
      <c r="P27" s="54">
        <v>10.9</v>
      </c>
      <c r="Q27" s="54">
        <v>8.9</v>
      </c>
      <c r="R27" s="54">
        <v>4.9000000000000004</v>
      </c>
      <c r="S27" s="54">
        <v>48</v>
      </c>
      <c r="T27" s="54">
        <v>52.2</v>
      </c>
    </row>
    <row r="28" spans="1:20" ht="15" thickBot="1" x14ac:dyDescent="0.35">
      <c r="A28" s="47" t="s">
        <v>480</v>
      </c>
      <c r="B28" s="46" t="s">
        <v>611</v>
      </c>
      <c r="C28" s="54" t="s">
        <v>449</v>
      </c>
      <c r="D28" s="54" t="s">
        <v>449</v>
      </c>
      <c r="E28" s="54" t="s">
        <v>449</v>
      </c>
      <c r="F28" s="54" t="s">
        <v>449</v>
      </c>
      <c r="G28" s="54">
        <v>25.8</v>
      </c>
      <c r="H28" s="54">
        <v>25.9</v>
      </c>
      <c r="I28" s="54">
        <v>46.2</v>
      </c>
      <c r="J28" s="54">
        <v>66.7</v>
      </c>
      <c r="K28" s="54">
        <v>47.8</v>
      </c>
      <c r="L28" s="54">
        <v>57.4</v>
      </c>
      <c r="M28" s="54">
        <v>71.5</v>
      </c>
      <c r="N28" s="54">
        <v>78.8</v>
      </c>
      <c r="O28" s="54">
        <v>54.4</v>
      </c>
      <c r="P28" s="54">
        <v>39.5</v>
      </c>
      <c r="Q28" s="54">
        <v>53.4</v>
      </c>
      <c r="R28" s="54">
        <v>52.8</v>
      </c>
      <c r="S28" s="54">
        <v>61.3</v>
      </c>
      <c r="T28" s="54">
        <v>94.8</v>
      </c>
    </row>
    <row r="29" spans="1:20" ht="15" thickBot="1" x14ac:dyDescent="0.35">
      <c r="A29" s="56" t="s">
        <v>478</v>
      </c>
      <c r="B29" s="16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0" ht="15" thickBot="1" x14ac:dyDescent="0.35">
      <c r="A30" s="47" t="s">
        <v>477</v>
      </c>
      <c r="B30" s="46" t="s">
        <v>610</v>
      </c>
      <c r="C30" s="52" t="s">
        <v>449</v>
      </c>
      <c r="D30" s="52" t="s">
        <v>449</v>
      </c>
      <c r="E30" s="52" t="s">
        <v>449</v>
      </c>
      <c r="F30" s="52" t="s">
        <v>449</v>
      </c>
      <c r="G30" s="52" t="s">
        <v>449</v>
      </c>
      <c r="H30" s="52" t="s">
        <v>449</v>
      </c>
      <c r="I30" s="52">
        <v>2.16</v>
      </c>
      <c r="J30" s="52">
        <v>2.9</v>
      </c>
      <c r="K30" s="52">
        <v>3.24</v>
      </c>
      <c r="L30" s="52">
        <v>3.99</v>
      </c>
      <c r="M30" s="52">
        <v>125.83</v>
      </c>
      <c r="N30" s="52" t="s">
        <v>449</v>
      </c>
      <c r="O30" s="52">
        <v>43.72</v>
      </c>
      <c r="P30" s="52">
        <v>2.62</v>
      </c>
      <c r="Q30" s="52">
        <v>2.48</v>
      </c>
      <c r="R30" s="52">
        <v>4.83</v>
      </c>
      <c r="S30" s="52">
        <v>3.74</v>
      </c>
      <c r="T30" s="52">
        <v>3.44</v>
      </c>
    </row>
    <row r="31" spans="1:20" ht="15" thickBot="1" x14ac:dyDescent="0.35">
      <c r="A31" s="47" t="s">
        <v>475</v>
      </c>
      <c r="B31" s="46" t="s">
        <v>609</v>
      </c>
      <c r="C31" s="52" t="s">
        <v>449</v>
      </c>
      <c r="D31" s="52" t="s">
        <v>449</v>
      </c>
      <c r="E31" s="52" t="s">
        <v>449</v>
      </c>
      <c r="F31" s="52" t="s">
        <v>449</v>
      </c>
      <c r="G31" s="52" t="s">
        <v>449</v>
      </c>
      <c r="H31" s="52" t="s">
        <v>449</v>
      </c>
      <c r="I31" s="52">
        <v>0.2</v>
      </c>
      <c r="J31" s="52">
        <v>0.22</v>
      </c>
      <c r="K31" s="52">
        <v>0</v>
      </c>
      <c r="L31" s="52">
        <v>0.41</v>
      </c>
      <c r="M31" s="52">
        <v>26.08</v>
      </c>
      <c r="N31" s="52" t="s">
        <v>449</v>
      </c>
      <c r="O31" s="52">
        <v>14.12</v>
      </c>
      <c r="P31" s="52">
        <v>0.39</v>
      </c>
      <c r="Q31" s="52">
        <v>0.68</v>
      </c>
      <c r="R31" s="52">
        <v>2.41</v>
      </c>
      <c r="S31" s="52">
        <v>1.56</v>
      </c>
      <c r="T31" s="52">
        <v>1.32</v>
      </c>
    </row>
    <row r="32" spans="1:20" ht="15" thickBot="1" x14ac:dyDescent="0.35">
      <c r="A32" s="47" t="s">
        <v>473</v>
      </c>
      <c r="B32" s="46" t="s">
        <v>608</v>
      </c>
      <c r="C32" s="49" t="s">
        <v>449</v>
      </c>
      <c r="D32" s="49" t="s">
        <v>449</v>
      </c>
      <c r="E32" s="49" t="s">
        <v>449</v>
      </c>
      <c r="F32" s="49">
        <v>1.7000000000000001E-2</v>
      </c>
      <c r="G32" s="49">
        <v>9.6000000000000002E-2</v>
      </c>
      <c r="H32" s="49">
        <v>0.61299999999999999</v>
      </c>
      <c r="I32" s="49">
        <v>0.128</v>
      </c>
      <c r="J32" s="49">
        <v>0.106</v>
      </c>
      <c r="K32" s="49">
        <v>0</v>
      </c>
      <c r="L32" s="49">
        <v>0</v>
      </c>
      <c r="M32" s="49">
        <v>0.59</v>
      </c>
      <c r="N32" s="49">
        <v>0.79600000000000004</v>
      </c>
      <c r="O32" s="49">
        <v>0.69399999999999995</v>
      </c>
      <c r="P32" s="49">
        <v>0.27200000000000002</v>
      </c>
      <c r="Q32" s="49">
        <v>6.0000000000000001E-3</v>
      </c>
      <c r="R32" s="49">
        <v>0.64800000000000002</v>
      </c>
      <c r="S32" s="49">
        <v>0.56699999999999995</v>
      </c>
      <c r="T32" s="49">
        <v>0.56799999999999995</v>
      </c>
    </row>
    <row r="33" spans="1:20" ht="15" thickBot="1" x14ac:dyDescent="0.35">
      <c r="A33" s="47" t="s">
        <v>471</v>
      </c>
      <c r="B33" s="50" t="s">
        <v>607</v>
      </c>
      <c r="C33" s="52" t="s">
        <v>449</v>
      </c>
      <c r="D33" s="52" t="s">
        <v>449</v>
      </c>
      <c r="E33" s="52" t="s">
        <v>449</v>
      </c>
      <c r="F33" s="52" t="s">
        <v>449</v>
      </c>
      <c r="G33" s="52" t="s">
        <v>449</v>
      </c>
      <c r="H33" s="52" t="s">
        <v>449</v>
      </c>
      <c r="I33" s="52" t="s">
        <v>449</v>
      </c>
      <c r="J33" s="52" t="s">
        <v>449</v>
      </c>
      <c r="K33" s="52" t="s">
        <v>449</v>
      </c>
      <c r="L33" s="52" t="s">
        <v>449</v>
      </c>
      <c r="M33" s="52" t="s">
        <v>449</v>
      </c>
      <c r="N33" s="52" t="s">
        <v>449</v>
      </c>
      <c r="O33" s="52">
        <v>0.78</v>
      </c>
      <c r="P33" s="52" t="s">
        <v>449</v>
      </c>
      <c r="Q33" s="52" t="s">
        <v>449</v>
      </c>
      <c r="R33" s="52" t="s">
        <v>449</v>
      </c>
      <c r="S33" s="52" t="s">
        <v>449</v>
      </c>
      <c r="T33" s="52" t="s">
        <v>449</v>
      </c>
    </row>
    <row r="34" spans="1:20" ht="15" thickBot="1" x14ac:dyDescent="0.35">
      <c r="A34" s="56" t="s">
        <v>469</v>
      </c>
      <c r="B34" s="16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</row>
    <row r="35" spans="1:20" ht="15" thickBot="1" x14ac:dyDescent="0.35">
      <c r="A35" s="47" t="s">
        <v>468</v>
      </c>
      <c r="B35" s="46" t="s">
        <v>606</v>
      </c>
      <c r="C35" s="54" t="s">
        <v>449</v>
      </c>
      <c r="D35" s="54" t="s">
        <v>449</v>
      </c>
      <c r="E35" s="54" t="s">
        <v>449</v>
      </c>
      <c r="F35" s="54" t="s">
        <v>449</v>
      </c>
      <c r="G35" s="54">
        <v>8.6</v>
      </c>
      <c r="H35" s="54">
        <v>11.6</v>
      </c>
      <c r="I35" s="54">
        <v>9.5</v>
      </c>
      <c r="J35" s="54">
        <v>7.8</v>
      </c>
      <c r="K35" s="54">
        <v>8.9</v>
      </c>
      <c r="L35" s="54">
        <v>7.8</v>
      </c>
      <c r="M35" s="54">
        <v>6</v>
      </c>
      <c r="N35" s="54">
        <v>4.5</v>
      </c>
      <c r="O35" s="54">
        <v>4.4000000000000004</v>
      </c>
      <c r="P35" s="54">
        <v>5.6</v>
      </c>
      <c r="Q35" s="54">
        <v>4.7</v>
      </c>
      <c r="R35" s="54">
        <v>5.4</v>
      </c>
      <c r="S35" s="54">
        <v>5.8</v>
      </c>
      <c r="T35" s="54">
        <v>4.8</v>
      </c>
    </row>
    <row r="36" spans="1:20" ht="15" thickBot="1" x14ac:dyDescent="0.35">
      <c r="A36" s="47" t="s">
        <v>466</v>
      </c>
      <c r="B36" s="46" t="s">
        <v>605</v>
      </c>
      <c r="C36" s="54" t="s">
        <v>449</v>
      </c>
      <c r="D36" s="54" t="s">
        <v>449</v>
      </c>
      <c r="E36" s="54" t="s">
        <v>449</v>
      </c>
      <c r="F36" s="54" t="s">
        <v>449</v>
      </c>
      <c r="G36" s="54">
        <v>42.7</v>
      </c>
      <c r="H36" s="54">
        <v>31.6</v>
      </c>
      <c r="I36" s="54">
        <v>38.4</v>
      </c>
      <c r="J36" s="54">
        <v>47</v>
      </c>
      <c r="K36" s="54">
        <v>41.1</v>
      </c>
      <c r="L36" s="54">
        <v>46.7</v>
      </c>
      <c r="M36" s="54">
        <v>60.8</v>
      </c>
      <c r="N36" s="54">
        <v>80.8</v>
      </c>
      <c r="O36" s="54">
        <v>83.5</v>
      </c>
      <c r="P36" s="54">
        <v>65.8</v>
      </c>
      <c r="Q36" s="54">
        <v>77.400000000000006</v>
      </c>
      <c r="R36" s="54">
        <v>68.3</v>
      </c>
      <c r="S36" s="54">
        <v>63.3</v>
      </c>
      <c r="T36" s="54">
        <v>76.599999999999994</v>
      </c>
    </row>
    <row r="37" spans="1:20" ht="15" thickBot="1" x14ac:dyDescent="0.35">
      <c r="A37" s="47" t="s">
        <v>464</v>
      </c>
      <c r="B37" s="46" t="s">
        <v>604</v>
      </c>
      <c r="C37" s="54" t="s">
        <v>449</v>
      </c>
      <c r="D37" s="54" t="s">
        <v>449</v>
      </c>
      <c r="E37" s="54" t="s">
        <v>449</v>
      </c>
      <c r="F37" s="54" t="s">
        <v>449</v>
      </c>
      <c r="G37" s="54">
        <v>18.399999999999999</v>
      </c>
      <c r="H37" s="54">
        <v>15.3</v>
      </c>
      <c r="I37" s="54">
        <v>10.4</v>
      </c>
      <c r="J37" s="54">
        <v>9.1</v>
      </c>
      <c r="K37" s="54">
        <v>12.1</v>
      </c>
      <c r="L37" s="54">
        <v>8</v>
      </c>
      <c r="M37" s="54">
        <v>7.3</v>
      </c>
      <c r="N37" s="54">
        <v>7.9</v>
      </c>
      <c r="O37" s="54">
        <v>10.5</v>
      </c>
      <c r="P37" s="54">
        <v>16.7</v>
      </c>
      <c r="Q37" s="54">
        <v>11.6</v>
      </c>
      <c r="R37" s="54">
        <v>14.2</v>
      </c>
      <c r="S37" s="54">
        <v>12.1</v>
      </c>
      <c r="T37" s="54">
        <v>6.8</v>
      </c>
    </row>
    <row r="38" spans="1:20" ht="15" thickBot="1" x14ac:dyDescent="0.35">
      <c r="A38" s="47" t="s">
        <v>462</v>
      </c>
      <c r="B38" s="46" t="s">
        <v>603</v>
      </c>
      <c r="C38" s="54" t="s">
        <v>449</v>
      </c>
      <c r="D38" s="54" t="s">
        <v>449</v>
      </c>
      <c r="E38" s="54" t="s">
        <v>449</v>
      </c>
      <c r="F38" s="54" t="s">
        <v>449</v>
      </c>
      <c r="G38" s="54">
        <v>19.899999999999999</v>
      </c>
      <c r="H38" s="54">
        <v>23.9</v>
      </c>
      <c r="I38" s="54">
        <v>35.200000000000003</v>
      </c>
      <c r="J38" s="54">
        <v>40.299999999999997</v>
      </c>
      <c r="K38" s="54">
        <v>30.3</v>
      </c>
      <c r="L38" s="54">
        <v>45.8</v>
      </c>
      <c r="M38" s="54">
        <v>50.3</v>
      </c>
      <c r="N38" s="54">
        <v>46.1</v>
      </c>
      <c r="O38" s="54">
        <v>34.9</v>
      </c>
      <c r="P38" s="54">
        <v>21.9</v>
      </c>
      <c r="Q38" s="54">
        <v>31.5</v>
      </c>
      <c r="R38" s="54">
        <v>25.7</v>
      </c>
      <c r="S38" s="54">
        <v>30.2</v>
      </c>
      <c r="T38" s="54">
        <v>53.9</v>
      </c>
    </row>
    <row r="39" spans="1:20" ht="15" thickBot="1" x14ac:dyDescent="0.35">
      <c r="A39" s="47" t="s">
        <v>460</v>
      </c>
      <c r="B39" s="46" t="s">
        <v>602</v>
      </c>
      <c r="C39" s="54" t="s">
        <v>449</v>
      </c>
      <c r="D39" s="54" t="s">
        <v>449</v>
      </c>
      <c r="E39" s="54" t="s">
        <v>449</v>
      </c>
      <c r="F39" s="54" t="s">
        <v>449</v>
      </c>
      <c r="G39" s="54">
        <v>36.9</v>
      </c>
      <c r="H39" s="54">
        <v>29.5</v>
      </c>
      <c r="I39" s="54">
        <v>27.4</v>
      </c>
      <c r="J39" s="54">
        <v>20.6</v>
      </c>
      <c r="K39" s="54">
        <v>23.5</v>
      </c>
      <c r="L39" s="54">
        <v>35.200000000000003</v>
      </c>
      <c r="M39" s="54">
        <v>39.6</v>
      </c>
      <c r="N39" s="54">
        <v>48.1</v>
      </c>
      <c r="O39" s="54">
        <v>64</v>
      </c>
      <c r="P39" s="54">
        <v>48.2</v>
      </c>
      <c r="Q39" s="54">
        <v>55.6</v>
      </c>
      <c r="R39" s="54">
        <v>41.2</v>
      </c>
      <c r="S39" s="54">
        <v>32.200000000000003</v>
      </c>
      <c r="T39" s="54">
        <v>35.799999999999997</v>
      </c>
    </row>
    <row r="40" spans="1:20" ht="15" thickBot="1" x14ac:dyDescent="0.35">
      <c r="A40" s="47" t="s">
        <v>458</v>
      </c>
      <c r="B40" s="46" t="s">
        <v>601</v>
      </c>
      <c r="C40" s="52" t="s">
        <v>449</v>
      </c>
      <c r="D40" s="52" t="s">
        <v>449</v>
      </c>
      <c r="E40" s="52" t="s">
        <v>449</v>
      </c>
      <c r="F40" s="52" t="s">
        <v>449</v>
      </c>
      <c r="G40" s="52">
        <v>12.34</v>
      </c>
      <c r="H40" s="52">
        <v>12.2</v>
      </c>
      <c r="I40" s="52">
        <v>9.86</v>
      </c>
      <c r="J40" s="52">
        <v>9.24</v>
      </c>
      <c r="K40" s="52">
        <v>12.35</v>
      </c>
      <c r="L40" s="52">
        <v>11.35</v>
      </c>
      <c r="M40" s="52">
        <v>10.15</v>
      </c>
      <c r="N40" s="52">
        <v>9.8800000000000008</v>
      </c>
      <c r="O40" s="52">
        <v>13.32</v>
      </c>
      <c r="P40" s="52">
        <v>20.79</v>
      </c>
      <c r="Q40" s="52">
        <v>15.53</v>
      </c>
      <c r="R40" s="52">
        <v>17.579999999999998</v>
      </c>
      <c r="S40" s="52">
        <v>20.329999999999998</v>
      </c>
      <c r="T40" s="52">
        <v>14.28</v>
      </c>
    </row>
    <row r="41" spans="1:20" ht="15" thickBot="1" x14ac:dyDescent="0.35">
      <c r="A41" s="47" t="s">
        <v>456</v>
      </c>
      <c r="B41" s="46" t="s">
        <v>600</v>
      </c>
      <c r="C41" s="49" t="s">
        <v>449</v>
      </c>
      <c r="D41" s="49" t="s">
        <v>449</v>
      </c>
      <c r="E41" s="49" t="s">
        <v>449</v>
      </c>
      <c r="F41" s="49" t="s">
        <v>449</v>
      </c>
      <c r="G41" s="49" t="s">
        <v>449</v>
      </c>
      <c r="H41" s="49">
        <v>-0.18</v>
      </c>
      <c r="I41" s="49">
        <v>-2.1999999999999999E-2</v>
      </c>
      <c r="J41" s="49">
        <v>4.4999999999999998E-2</v>
      </c>
      <c r="K41" s="49">
        <v>-8.8999999999999996E-2</v>
      </c>
      <c r="L41" s="49">
        <v>-1.7999999999999999E-2</v>
      </c>
      <c r="M41" s="49">
        <v>-1.7000000000000001E-2</v>
      </c>
      <c r="N41" s="49">
        <v>-1E-3</v>
      </c>
      <c r="O41" s="49">
        <v>5.0999999999999997E-2</v>
      </c>
      <c r="P41" s="49">
        <v>0.121</v>
      </c>
      <c r="Q41" s="49">
        <v>0.151</v>
      </c>
      <c r="R41" s="49">
        <v>6.3E-2</v>
      </c>
      <c r="S41" s="49">
        <v>5.3999999999999999E-2</v>
      </c>
      <c r="T41" s="49">
        <v>0.20399999999999999</v>
      </c>
    </row>
    <row r="42" spans="1:20" ht="15" thickBot="1" x14ac:dyDescent="0.35">
      <c r="A42" s="47" t="s">
        <v>454</v>
      </c>
      <c r="B42" s="46" t="s">
        <v>488</v>
      </c>
      <c r="C42" s="49" t="s">
        <v>449</v>
      </c>
      <c r="D42" s="49" t="s">
        <v>449</v>
      </c>
      <c r="E42" s="49" t="s">
        <v>449</v>
      </c>
      <c r="F42" s="49">
        <v>8.0000000000000002E-3</v>
      </c>
      <c r="G42" s="49">
        <v>2E-3</v>
      </c>
      <c r="H42" s="49">
        <v>8.0000000000000002E-3</v>
      </c>
      <c r="I42" s="49">
        <v>4.2000000000000003E-2</v>
      </c>
      <c r="J42" s="49">
        <v>6.2E-2</v>
      </c>
      <c r="K42" s="49">
        <v>1.2999999999999999E-2</v>
      </c>
      <c r="L42" s="49">
        <v>3.9E-2</v>
      </c>
      <c r="M42" s="49">
        <v>4.8000000000000001E-2</v>
      </c>
      <c r="N42" s="49">
        <v>3.5999999999999997E-2</v>
      </c>
      <c r="O42" s="49">
        <v>2.7E-2</v>
      </c>
      <c r="P42" s="49">
        <v>4.0000000000000001E-3</v>
      </c>
      <c r="Q42" s="49">
        <v>3.0000000000000001E-3</v>
      </c>
      <c r="R42" s="49">
        <v>5.0000000000000001E-3</v>
      </c>
      <c r="S42" s="49">
        <v>2E-3</v>
      </c>
      <c r="T42" s="49">
        <v>5.0000000000000001E-3</v>
      </c>
    </row>
    <row r="43" spans="1:20" ht="15" thickBot="1" x14ac:dyDescent="0.35">
      <c r="A43" s="47" t="s">
        <v>452</v>
      </c>
      <c r="B43" s="46" t="s">
        <v>450</v>
      </c>
      <c r="C43" s="49" t="s">
        <v>449</v>
      </c>
      <c r="D43" s="49" t="s">
        <v>449</v>
      </c>
      <c r="E43" s="49" t="s">
        <v>449</v>
      </c>
      <c r="F43" s="49" t="s">
        <v>449</v>
      </c>
      <c r="G43" s="49">
        <v>-0.70699999999999996</v>
      </c>
      <c r="H43" s="49">
        <v>-0.64500000000000002</v>
      </c>
      <c r="I43" s="49">
        <v>-0.53700000000000003</v>
      </c>
      <c r="J43" s="49">
        <v>-0.30199999999999999</v>
      </c>
      <c r="K43" s="49">
        <v>-9.0999999999999998E-2</v>
      </c>
      <c r="L43" s="49">
        <v>-0.23699999999999999</v>
      </c>
      <c r="M43" s="49">
        <v>-0.77800000000000002</v>
      </c>
      <c r="N43" s="49">
        <v>-0.14000000000000001</v>
      </c>
      <c r="O43" s="49">
        <v>-8.5999999999999993E-2</v>
      </c>
      <c r="P43" s="49">
        <v>0.45600000000000002</v>
      </c>
      <c r="Q43" s="49">
        <v>0.22700000000000001</v>
      </c>
      <c r="R43" s="49">
        <v>0.126</v>
      </c>
      <c r="S43" s="49">
        <v>0.19500000000000001</v>
      </c>
      <c r="T43" s="49">
        <v>0.16600000000000001</v>
      </c>
    </row>
    <row r="44" spans="1:20" x14ac:dyDescent="0.3">
      <c r="A44" s="47" t="s">
        <v>451</v>
      </c>
      <c r="B44" s="46" t="s">
        <v>450</v>
      </c>
      <c r="C44" s="38" t="s">
        <v>449</v>
      </c>
      <c r="D44" s="38" t="s">
        <v>449</v>
      </c>
      <c r="E44" s="38" t="s">
        <v>449</v>
      </c>
      <c r="F44" s="38" t="s">
        <v>449</v>
      </c>
      <c r="G44" s="38" t="s">
        <v>449</v>
      </c>
      <c r="H44" s="38" t="s">
        <v>449</v>
      </c>
      <c r="I44" s="58">
        <v>635419.4</v>
      </c>
      <c r="J44" s="58">
        <v>595514.1</v>
      </c>
      <c r="K44" s="58">
        <v>734053.4</v>
      </c>
      <c r="L44" s="58">
        <v>660349.4</v>
      </c>
      <c r="M44" s="58">
        <v>663085.30000000005</v>
      </c>
      <c r="N44" s="58">
        <v>747169.7</v>
      </c>
      <c r="O44" s="58">
        <v>828726.1</v>
      </c>
      <c r="P44" s="58">
        <v>1243691.2</v>
      </c>
      <c r="Q44" s="58">
        <v>1085388.8999999999</v>
      </c>
      <c r="R44" s="58">
        <v>888777.5</v>
      </c>
      <c r="S44" s="58">
        <v>917478.1</v>
      </c>
      <c r="T44" s="58">
        <v>766405.5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Sheet2</vt:lpstr>
      <vt:lpstr>income statement </vt:lpstr>
      <vt:lpstr>balance sheet</vt:lpstr>
      <vt:lpstr>cash flow </vt:lpstr>
      <vt:lpstr>ratios quarterly </vt:lpstr>
      <vt:lpstr>ratios yearly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Voli oho</dc:creator>
  <cp:lastModifiedBy>Serban B Valentin-Daniel</cp:lastModifiedBy>
  <dcterms:created xsi:type="dcterms:W3CDTF">2023-07-05T13:53:29Z</dcterms:created>
  <dcterms:modified xsi:type="dcterms:W3CDTF">2024-08-14T19:41:09Z</dcterms:modified>
</cp:coreProperties>
</file>